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Report" sheetId="1" r:id="rId4"/>
    <sheet state="visible" name="Fahad" sheetId="2" r:id="rId5"/>
    <sheet state="visible" name="Tahsin" sheetId="3" r:id="rId6"/>
    <sheet state="visible" name="Summary_report" sheetId="4" r:id="rId7"/>
    <sheet state="hidden" name="Summary Report" sheetId="5" r:id="rId8"/>
  </sheets>
  <definedNames/>
  <calcPr/>
</workbook>
</file>

<file path=xl/sharedStrings.xml><?xml version="1.0" encoding="utf-8"?>
<sst xmlns="http://schemas.openxmlformats.org/spreadsheetml/2006/main" count="594" uniqueCount="363">
  <si>
    <t xml:space="preserve">Tester : </t>
  </si>
  <si>
    <t>Mohammed Fahad Faisal
Tahsin Ahmmed</t>
  </si>
  <si>
    <t>Severity</t>
  </si>
  <si>
    <t>Issues</t>
  </si>
  <si>
    <t>Project Name:</t>
  </si>
  <si>
    <t>NSD</t>
  </si>
  <si>
    <t>High</t>
  </si>
  <si>
    <t>Project URL:</t>
  </si>
  <si>
    <t>https://nsdai.netlify.app/</t>
  </si>
  <si>
    <t>Medium</t>
  </si>
  <si>
    <t>Developer:</t>
  </si>
  <si>
    <t>AI - Venture</t>
  </si>
  <si>
    <t>Low</t>
  </si>
  <si>
    <t xml:space="preserve">OS: </t>
  </si>
  <si>
    <t>Environment:</t>
  </si>
  <si>
    <t>Total Test Cases:</t>
  </si>
  <si>
    <t>Test Case Solved :</t>
  </si>
  <si>
    <t>Test Case ID</t>
  </si>
  <si>
    <t>Module</t>
  </si>
  <si>
    <t>Sub Module</t>
  </si>
  <si>
    <t>Test Case Description</t>
  </si>
  <si>
    <t>Preconditions</t>
  </si>
  <si>
    <t>Test Steps</t>
  </si>
  <si>
    <t>Test Data</t>
  </si>
  <si>
    <t>Expected Result</t>
  </si>
  <si>
    <t>Actual Result</t>
  </si>
  <si>
    <t>Status</t>
  </si>
  <si>
    <t>Screen Shots</t>
  </si>
  <si>
    <t>Suggestion</t>
  </si>
  <si>
    <t>Tester</t>
  </si>
  <si>
    <t>Feedback</t>
  </si>
  <si>
    <t>BR-001</t>
  </si>
  <si>
    <t>BR-002</t>
  </si>
  <si>
    <t>BR-003</t>
  </si>
  <si>
    <t>BR-004</t>
  </si>
  <si>
    <t>BR-005</t>
  </si>
  <si>
    <t>BR-006</t>
  </si>
  <si>
    <t>BR-007</t>
  </si>
  <si>
    <t>BR-008</t>
  </si>
  <si>
    <t>BR-009</t>
  </si>
  <si>
    <t>BR-010</t>
  </si>
  <si>
    <t>BR-011</t>
  </si>
  <si>
    <t>BR-012</t>
  </si>
  <si>
    <t>BR-013</t>
  </si>
  <si>
    <t>BR-014</t>
  </si>
  <si>
    <t>BR-015</t>
  </si>
  <si>
    <t>BR-016</t>
  </si>
  <si>
    <t>BR-017</t>
  </si>
  <si>
    <t>BR-018</t>
  </si>
  <si>
    <t>BR-019</t>
  </si>
  <si>
    <t>BR-020</t>
  </si>
  <si>
    <t>BR-021</t>
  </si>
  <si>
    <t>BR-022</t>
  </si>
  <si>
    <t>BR-023</t>
  </si>
  <si>
    <t>BR-024</t>
  </si>
  <si>
    <t>BR-025</t>
  </si>
  <si>
    <t>BR-026</t>
  </si>
  <si>
    <t>BR-027</t>
  </si>
  <si>
    <t>BR-028</t>
  </si>
  <si>
    <t>BR-029</t>
  </si>
  <si>
    <t>BR-030</t>
  </si>
  <si>
    <t>BR-031</t>
  </si>
  <si>
    <t>BR-032</t>
  </si>
  <si>
    <t>BR-033</t>
  </si>
  <si>
    <t>BR-034</t>
  </si>
  <si>
    <t>Mohammed Fahad Faisal</t>
  </si>
  <si>
    <t>AI- Venture</t>
  </si>
  <si>
    <t>Windows 11 Pro 
Version:24H2 
OS build:26100.4946</t>
  </si>
  <si>
    <t>Environment</t>
  </si>
  <si>
    <t>1.Brave 1.81.135
(Official Build) (64-bit)
Chromium: 139.0.7258.127
2.Firefox 141.0.3 (64-bit)
3.Google Chrome 
139.0.7258.139 (Official Build) (64-bit)
4. Microsoft Edge 
139.0.3405.102 (Official build) (64-bit)</t>
  </si>
  <si>
    <t>Test ID</t>
  </si>
  <si>
    <t>TC_001</t>
  </si>
  <si>
    <t>Home</t>
  </si>
  <si>
    <t>Header</t>
  </si>
  <si>
    <t>The company logo is not clearly visible; a blurry image has been noticed.</t>
  </si>
  <si>
    <t>User need to use a browser like Chrome, Firefox, Brave, etc.</t>
  </si>
  <si>
    <r>
      <rPr>
        <rFont val="Times New Roman"/>
        <sz val="12.0"/>
      </rPr>
      <t xml:space="preserve">1. Open </t>
    </r>
    <r>
      <rPr>
        <rFont val="Times New Roman"/>
        <color rgb="FF1155CC"/>
        <sz val="12.0"/>
        <u/>
      </rPr>
      <t>link</t>
    </r>
    <r>
      <rPr>
        <rFont val="Times New Roman"/>
        <sz val="12.0"/>
      </rPr>
      <t xml:space="preserve"> </t>
    </r>
  </si>
  <si>
    <t>N/A</t>
  </si>
  <si>
    <t>The logo needs to be easily visible.</t>
  </si>
  <si>
    <t>A blurred logo has been noticed.</t>
  </si>
  <si>
    <t>Fail</t>
  </si>
  <si>
    <t>https://drive.google.com/file/d/1IKXeg2Ik3mrfnI2FQqMgV4FmzKN8f4Nt/view?usp=drive_link</t>
  </si>
  <si>
    <t>TC_002</t>
  </si>
  <si>
    <t>The module effect is not visible when dark mode is enabled.</t>
  </si>
  <si>
    <r>
      <rPr>
        <rFont val="Times New Roman"/>
        <sz val="12.0"/>
      </rPr>
      <t xml:space="preserve">1. Open </t>
    </r>
    <r>
      <rPr>
        <rFont val="Times New Roman"/>
        <color rgb="FF1155CC"/>
        <sz val="12.0"/>
        <u/>
      </rPr>
      <t>link</t>
    </r>
    <r>
      <rPr>
        <rFont val="Times New Roman"/>
        <sz val="12.0"/>
      </rPr>
      <t xml:space="preserve"> </t>
    </r>
  </si>
  <si>
    <t>The effect should be clearly visible.</t>
  </si>
  <si>
    <t>Missing effect has been noticed</t>
  </si>
  <si>
    <t>https://drive.google.com/file/d/1qSUzLixGsGe7OtH9H6Ce-naNWPtXlMU3/view?usp=drive_link</t>
  </si>
  <si>
    <t>TC_003</t>
  </si>
  <si>
    <t>The image border and effect border appear visible in dark mode across different browsers.</t>
  </si>
  <si>
    <r>
      <rPr>
        <rFont val="Times New Roman"/>
        <sz val="12.0"/>
      </rPr>
      <t xml:space="preserve">1. Open </t>
    </r>
    <r>
      <rPr>
        <rFont val="Times New Roman"/>
        <color rgb="FF1155CC"/>
        <sz val="12.0"/>
        <u/>
      </rPr>
      <t>link</t>
    </r>
    <r>
      <rPr>
        <rFont val="Times New Roman"/>
        <sz val="12.0"/>
      </rPr>
      <t xml:space="preserve"> </t>
    </r>
  </si>
  <si>
    <t>The image border should remain invisible in all modes.</t>
  </si>
  <si>
    <t>The image and its effect border have been noticed.</t>
  </si>
  <si>
    <t>https://drive.google.com/file/d/1CZfs8AVjsK2KIVligB3IAHej2v_got3v/view?usp=drive_link</t>
  </si>
  <si>
    <t>TC_004</t>
  </si>
  <si>
    <t>The title name gets cut off when switching to dark mode in different browsers like Chrome, Firefox, and Brave.</t>
  </si>
  <si>
    <r>
      <rPr>
        <rFont val="Times New Roman"/>
        <sz val="12.0"/>
      </rPr>
      <t xml:space="preserve">1. Open </t>
    </r>
    <r>
      <rPr>
        <rFont val="Times New Roman"/>
        <color rgb="FF1155CC"/>
        <sz val="12.0"/>
        <u/>
      </rPr>
      <t>link</t>
    </r>
    <r>
      <rPr>
        <rFont val="Times New Roman"/>
        <sz val="12.0"/>
      </rPr>
      <t xml:space="preserve"> </t>
    </r>
  </si>
  <si>
    <t>The title and alignment should remain consistent across different states.</t>
  </si>
  <si>
    <t>Title shortens when switching modes.</t>
  </si>
  <si>
    <t>https://drive.google.com/file/d/1Ey4v4iC33EyuioR4Ss6WBSBjQ6tlB8NI/view?usp=drive_link</t>
  </si>
  <si>
    <t>TC_005</t>
  </si>
  <si>
    <t>Subscription packages, tire borders, and price cards are conflicting in dark mode across different browsers.</t>
  </si>
  <si>
    <r>
      <rPr>
        <rFont val="Times New Roman"/>
        <sz val="12.0"/>
      </rPr>
      <t xml:space="preserve">1. Open </t>
    </r>
    <r>
      <rPr>
        <rFont val="Times New Roman"/>
        <color rgb="FF1155CC"/>
        <sz val="12.0"/>
        <u/>
      </rPr>
      <t>link</t>
    </r>
    <r>
      <rPr>
        <rFont val="Times New Roman"/>
        <sz val="12.0"/>
      </rPr>
      <t xml:space="preserve"> 
2. Goto subscription section</t>
    </r>
  </si>
  <si>
    <t>The subscription tier borders are visible in dark mode and are clashing with the price card.</t>
  </si>
  <si>
    <t>https://drive.google.com/file/d/1kGDsHKUcdvS2xePRxpWVs63YGZXiPv1f/view?usp=drive_link</t>
  </si>
  <si>
    <t>TC_006</t>
  </si>
  <si>
    <t>Footer</t>
  </si>
  <si>
    <t>The social media link hasn't been added to the footer.</t>
  </si>
  <si>
    <r>
      <rPr>
        <rFont val="Times New Roman"/>
        <sz val="12.0"/>
      </rPr>
      <t xml:space="preserve">1. Open </t>
    </r>
    <r>
      <rPr>
        <rFont val="Times New Roman"/>
        <color rgb="FF1155CC"/>
        <sz val="12.0"/>
        <u/>
      </rPr>
      <t>link</t>
    </r>
    <r>
      <rPr>
        <rFont val="Times New Roman"/>
        <sz val="12.0"/>
      </rPr>
      <t xml:space="preserve"> 
2. Goto footer section</t>
    </r>
  </si>
  <si>
    <t>A social media profile should be set up perfectly to maximize user reach and satisfaction</t>
  </si>
  <si>
    <t>The absence of social media links has been observed in the footer section.</t>
  </si>
  <si>
    <t>https://drive.google.com/file/d/1Gi6GFhPOFpoiUmqdXq3HQj7BRX4ei5t1/view?usp=drive_link</t>
  </si>
  <si>
    <t>TC_007</t>
  </si>
  <si>
    <t>The page link is missing from the footer section.</t>
  </si>
  <si>
    <r>
      <rPr>
        <rFont val="Times New Roman"/>
        <sz val="12.0"/>
      </rPr>
      <t xml:space="preserve">1. Open </t>
    </r>
    <r>
      <rPr>
        <rFont val="Times New Roman"/>
        <color rgb="FF1155CC"/>
        <sz val="12.0"/>
        <u/>
      </rPr>
      <t>link</t>
    </r>
    <r>
      <rPr>
        <rFont val="Times New Roman"/>
        <sz val="12.0"/>
      </rPr>
      <t xml:space="preserve"> 
2. Goto footer section</t>
    </r>
  </si>
  <si>
    <t>The page link should be properly linked in the footer section.</t>
  </si>
  <si>
    <t>A missing linked page has been identified in the footer section.</t>
  </si>
  <si>
    <t>https://drive.google.com/file/d/1wPOqb5sDV7e1YuY6aF4JRRuDEZ7X66gA/view?usp=drive_link</t>
  </si>
  <si>
    <t>TC_008</t>
  </si>
  <si>
    <t>Change the email address in the email body when attempting to contact.</t>
  </si>
  <si>
    <r>
      <rPr>
        <rFont val="Times New Roman"/>
        <sz val="12.0"/>
      </rPr>
      <t xml:space="preserve">1. Open </t>
    </r>
    <r>
      <rPr>
        <rFont val="Times New Roman"/>
        <color rgb="FF1155CC"/>
        <sz val="12.0"/>
        <u/>
      </rPr>
      <t>link</t>
    </r>
    <r>
      <rPr>
        <rFont val="Times New Roman"/>
        <sz val="12.0"/>
      </rPr>
      <t xml:space="preserve"> 
2. Goto footer section
3. Click on email in footer section</t>
    </r>
  </si>
  <si>
    <t>The email received should match exactly what is displayed on the webpage.</t>
  </si>
  <si>
    <t>A different email was noticed; the one on the webpage is not the same as the one in the email body.</t>
  </si>
  <si>
    <t>https://drive.google.com/file/d/1u4YxhIKjXixH5C58NW4UXd1Kv3FMAAov/view?usp=drive_link</t>
  </si>
  <si>
    <t>TC_009</t>
  </si>
  <si>
    <t>Privacy Notice, Terms of Service, Cookies Policy, and Settings are not properly linked.</t>
  </si>
  <si>
    <r>
      <rPr>
        <rFont val="Times New Roman"/>
        <sz val="12.0"/>
      </rPr>
      <t xml:space="preserve">1. Open </t>
    </r>
    <r>
      <rPr>
        <rFont val="Times New Roman"/>
        <color rgb="FF1155CC"/>
        <sz val="12.0"/>
        <u/>
      </rPr>
      <t>link</t>
    </r>
    <r>
      <rPr>
        <rFont val="Times New Roman"/>
        <sz val="12.0"/>
      </rPr>
      <t xml:space="preserve"> 
2. Goto footer section</t>
    </r>
  </si>
  <si>
    <t>https://drive.google.com/file/d/1VXkuMGBHtodnou63HikF0nVBjMF18M-L/view?usp=drive_link</t>
  </si>
  <si>
    <t>TC_010</t>
  </si>
  <si>
    <t>The new page doesn't start from the top.</t>
  </si>
  <si>
    <r>
      <rPr>
        <rFont val="Times New Roman"/>
        <sz val="12.0"/>
      </rPr>
      <t xml:space="preserve">1. Open </t>
    </r>
    <r>
      <rPr>
        <rFont val="Times New Roman"/>
        <color rgb="FF1155CC"/>
        <sz val="12.0"/>
        <u/>
      </rPr>
      <t>link</t>
    </r>
    <r>
      <rPr>
        <rFont val="Times New Roman"/>
        <sz val="12.0"/>
      </rPr>
      <t xml:space="preserve"> </t>
    </r>
  </si>
  <si>
    <t>All pages should begin at the top.</t>
  </si>
  <si>
    <t>When a user is in the middle of a page, the next page they visit starts from the middle as well.</t>
  </si>
  <si>
    <t>https://drive.google.com/file/d/1VroDLf55Xos-h4D6PbTSY2bhHZwW-Ls-/view?usp=drive_link</t>
  </si>
  <si>
    <t>TC_011</t>
  </si>
  <si>
    <t>Dashboard</t>
  </si>
  <si>
    <t>User Dashboard</t>
  </si>
  <si>
    <t>The table title disappears when the user switches to dark mode.</t>
  </si>
  <si>
    <r>
      <rPr>
        <rFont val="Times New Roman"/>
        <sz val="12.0"/>
      </rPr>
      <t xml:space="preserve">1. Open the </t>
    </r>
    <r>
      <rPr>
        <rFont val="Times New Roman"/>
        <color rgb="FF1155CC"/>
        <sz val="12.0"/>
        <u/>
      </rPr>
      <t>link</t>
    </r>
    <r>
      <rPr>
        <rFont val="Times New Roman"/>
        <sz val="12.0"/>
      </rPr>
      <t xml:space="preserve">.  
2. Log in with valid credentials.  
3. Go to the user dashboard.  </t>
    </r>
  </si>
  <si>
    <t>email: laxali4063@fursee.com
pass: 112244557788</t>
  </si>
  <si>
    <t>The tabke titles are not visible in dark mode but visible in light mode</t>
  </si>
  <si>
    <t>https://drive.google.com/file/d/1KUC-u07_TIL_XNCsyvjMEiGYaune_SMP/view?usp=drive_link</t>
  </si>
  <si>
    <t>TC_012</t>
  </si>
  <si>
    <t>User Home</t>
  </si>
  <si>
    <t>Icon disappears when the navbar is collapsed.</t>
  </si>
  <si>
    <r>
      <rPr>
        <rFont val="Times New Roman"/>
        <sz val="12.0"/>
      </rPr>
      <t xml:space="preserve">1. Open the </t>
    </r>
    <r>
      <rPr>
        <rFont val="Times New Roman"/>
        <color rgb="FF1155CC"/>
        <sz val="12.0"/>
        <u/>
      </rPr>
      <t>link</t>
    </r>
    <r>
      <rPr>
        <rFont val="Times New Roman"/>
        <sz val="12.0"/>
      </rPr>
      <t xml:space="preserve">.  
2. Log in with valid credentials.  
3. Go to the user dashboard.  </t>
    </r>
  </si>
  <si>
    <t>The icon should stay visible when the navigation bar collapses.</t>
  </si>
  <si>
    <t>The icon disappears when the user collapses the navbar.</t>
  </si>
  <si>
    <t>https://drive.google.com/file/d/1hq3lnZgpAut2Cbkr-fulwA8BGsZTThu-/view?usp=drive_link</t>
  </si>
  <si>
    <t>TC_013</t>
  </si>
  <si>
    <t>User Profile</t>
  </si>
  <si>
    <t>Unable to load the user profile after the update.</t>
  </si>
  <si>
    <r>
      <rPr>
        <rFont val="Times New Roman"/>
        <sz val="12.0"/>
      </rPr>
      <t xml:space="preserve">1. Open the </t>
    </r>
    <r>
      <rPr>
        <rFont val="Times New Roman"/>
        <color rgb="FF1155CC"/>
        <sz val="12.0"/>
        <u/>
      </rPr>
      <t>link</t>
    </r>
    <r>
      <rPr>
        <rFont val="Times New Roman"/>
        <sz val="12.0"/>
      </rPr>
      <t xml:space="preserve">.  
2. Log in with valid credentials.  
3. Go to the user dashboard.  </t>
    </r>
  </si>
  <si>
    <t>The user should be able to load their profile, and it should stay clearly visible at all times.</t>
  </si>
  <si>
    <t>Unable to retrieve the user profile following the profile update.</t>
  </si>
  <si>
    <t>https://drive.google.com/file/d/1say3pswj7LEIeheEDSIqvgG2FjLhsz8E/view?usp=drive_link</t>
  </si>
  <si>
    <t>TC_014</t>
  </si>
  <si>
    <t>Packages</t>
  </si>
  <si>
    <t>Unable to load packages.</t>
  </si>
  <si>
    <r>
      <rPr>
        <rFont val="Times New Roman"/>
        <sz val="12.0"/>
      </rPr>
      <t xml:space="preserve">1. Open the </t>
    </r>
    <r>
      <rPr>
        <rFont val="Times New Roman"/>
        <color rgb="FF1155CC"/>
        <sz val="12.0"/>
        <u/>
      </rPr>
      <t>link</t>
    </r>
    <r>
      <rPr>
        <rFont val="Times New Roman"/>
        <sz val="12.0"/>
      </rPr>
      <t xml:space="preserve">.  
2. Log in with valid credentials.  
3. Go to the packages.  </t>
    </r>
  </si>
  <si>
    <t>Packages need to load correctly.</t>
  </si>
  <si>
    <t>Missing package data after profile update</t>
  </si>
  <si>
    <t>https://drive.google.com/file/d/114X1PWrqJvrW8SMb-XqwMLQUh52KTW2J/view?usp=drive_link</t>
  </si>
  <si>
    <t>TC_015</t>
  </si>
  <si>
    <t>Load the dashboard with dummy data.</t>
  </si>
  <si>
    <r>
      <rPr>
        <rFont val="Times New Roman"/>
        <sz val="12.0"/>
      </rPr>
      <t xml:space="preserve">1. Open the </t>
    </r>
    <r>
      <rPr>
        <rFont val="Times New Roman"/>
        <color rgb="FF1155CC"/>
        <sz val="12.0"/>
        <u/>
      </rPr>
      <t>link</t>
    </r>
    <r>
      <rPr>
        <rFont val="Times New Roman"/>
        <sz val="12.0"/>
      </rPr>
      <t xml:space="preserve">.  
2. Log in with valid credentials.  
3. Go to the user dashboard.  </t>
    </r>
  </si>
  <si>
    <t>The user dashboard should display all relevant user data.</t>
  </si>
  <si>
    <t>User dashboard filled with dummy data</t>
  </si>
  <si>
    <t>https://drive.google.com/file/d/1D66SJyBkOIMqJKQ5qDIHigk5lONf80Tq/view?usp=drive_link</t>
  </si>
  <si>
    <t>TC_016</t>
  </si>
  <si>
    <t>File Management</t>
  </si>
  <si>
    <t>The logic for page numbering is not working properly.</t>
  </si>
  <si>
    <r>
      <rPr>
        <rFont val="Times New Roman"/>
        <sz val="12.0"/>
      </rPr>
      <t xml:space="preserve">1. Open the </t>
    </r>
    <r>
      <rPr>
        <rFont val="Times New Roman"/>
        <color rgb="FF1155CC"/>
        <sz val="12.0"/>
        <u/>
      </rPr>
      <t>link</t>
    </r>
    <r>
      <rPr>
        <rFont val="Times New Roman"/>
        <sz val="12.0"/>
      </rPr>
      <t>.  
2. Log in with valid credentials.  
3. Go to the user dashboard.  
4. Click on File Management</t>
    </r>
  </si>
  <si>
    <t>The table page number should function properly and work as intended.</t>
  </si>
  <si>
    <t>Logic error in table page numbering.</t>
  </si>
  <si>
    <t>https://drive.google.com/file/d/1dosjhU5VHRrww-2jC0RedNdaxitlqZA-/view?usp=drive_link</t>
  </si>
  <si>
    <t>TC_017</t>
  </si>
  <si>
    <t>Having trouble uploading a profile picture and other items.</t>
  </si>
  <si>
    <r>
      <rPr>
        <rFont val="Times New Roman"/>
        <sz val="12.0"/>
      </rPr>
      <t xml:space="preserve">1. Open the </t>
    </r>
    <r>
      <rPr>
        <rFont val="Times New Roman"/>
        <color rgb="FF1155CC"/>
        <sz val="12.0"/>
        <u/>
      </rPr>
      <t>link</t>
    </r>
    <r>
      <rPr>
        <rFont val="Times New Roman"/>
        <sz val="12.0"/>
      </rPr>
      <t xml:space="preserve">.  
2. Log in with valid credentials.  
3. Go to the user dashboard.  </t>
    </r>
  </si>
  <si>
    <t>Users should have no trouble updating their profiles seamlessly.</t>
  </si>
  <si>
    <t>Unable to update profile, server error detected.</t>
  </si>
  <si>
    <t>https://drive.google.com/file/d/1vSBkyuu4g-5om3OMfX91IOx_LPlAhZ1O/view?usp=drive_link</t>
  </si>
  <si>
    <t>TC_018</t>
  </si>
  <si>
    <t>The profile update alert prompt remains visible on the webpage even after it has expired.</t>
  </si>
  <si>
    <r>
      <rPr>
        <rFont val="Times New Roman"/>
        <sz val="12.0"/>
      </rPr>
      <t xml:space="preserve">1. Open the </t>
    </r>
    <r>
      <rPr>
        <rFont val="Times New Roman"/>
        <color rgb="FF1155CC"/>
        <sz val="12.0"/>
        <u/>
      </rPr>
      <t>link</t>
    </r>
    <r>
      <rPr>
        <rFont val="Times New Roman"/>
        <sz val="12.0"/>
      </rPr>
      <t xml:space="preserve">.  
2. Log in with valid credentials.  
3. Go to the user dashboard.  </t>
    </r>
  </si>
  <si>
    <t>An alert prompt should disappear once its time has expired.</t>
  </si>
  <si>
    <t>The prompt stays visible on the page even after the time has expired.</t>
  </si>
  <si>
    <t>https://drive.google.com/file/d/1Kyxsb4rEoIuxr_vZ_fAujZUTaQu61QGb/view?usp=drive_link</t>
  </si>
  <si>
    <t>TC_019</t>
  </si>
  <si>
    <t>Phone and email validation errors occurred during the profile update.</t>
  </si>
  <si>
    <r>
      <rPr>
        <rFont val="Times New Roman"/>
        <sz val="12.0"/>
      </rPr>
      <t xml:space="preserve">1. Open the </t>
    </r>
    <r>
      <rPr>
        <rFont val="Times New Roman"/>
        <color rgb="FF1155CC"/>
        <sz val="12.0"/>
        <u/>
      </rPr>
      <t>link</t>
    </r>
    <r>
      <rPr>
        <rFont val="Times New Roman"/>
        <sz val="12.0"/>
      </rPr>
      <t xml:space="preserve">.  
2. Log in with valid credentials.  
3. Go to the user dashboard.  </t>
    </r>
  </si>
  <si>
    <t>Email and phone should be properly validated when users update their profiles.</t>
  </si>
  <si>
    <t xml:space="preserve">Input doesn't validate </t>
  </si>
  <si>
    <t>https://drive.google.com/file/d/1Da9xAdVhaVocl50bklPSB2dIpXE9U2l-/view?usp=drive_link</t>
  </si>
  <si>
    <t>TC_020</t>
  </si>
  <si>
    <t>Unable to buy packages while logged in.</t>
  </si>
  <si>
    <r>
      <rPr>
        <rFont val="Times New Roman"/>
        <sz val="12.0"/>
      </rPr>
      <t xml:space="preserve">1. Open the </t>
    </r>
    <r>
      <rPr>
        <rFont val="Times New Roman"/>
        <color rgb="FF1155CC"/>
        <sz val="12.0"/>
        <u/>
      </rPr>
      <t>link</t>
    </r>
    <r>
      <rPr>
        <rFont val="Times New Roman"/>
        <sz val="12.0"/>
      </rPr>
      <t>.  
2. Log in with valid credentials.  
3. Go to the Home &gt; Packages</t>
    </r>
  </si>
  <si>
    <t>Users should be able to upgrade their packages whenever they need.</t>
  </si>
  <si>
    <t>Failed to upgrade packages</t>
  </si>
  <si>
    <t>https://drive.google.com/file/d/138lORsTzMH2ExswZfn_mP0gPLgmjbnko/view?usp=drive_link</t>
  </si>
  <si>
    <t>TC_021</t>
  </si>
  <si>
    <t>Contact Us</t>
  </si>
  <si>
    <t>The validation of input data was unsuccessful.</t>
  </si>
  <si>
    <r>
      <rPr>
        <rFont val="Times New Roman"/>
        <sz val="12.0"/>
      </rPr>
      <t xml:space="preserve">1. Open the </t>
    </r>
    <r>
      <rPr>
        <rFont val="Times New Roman"/>
        <color rgb="FF1155CC"/>
        <sz val="12.0"/>
        <u/>
      </rPr>
      <t>link</t>
    </r>
    <r>
      <rPr>
        <rFont val="Times New Roman"/>
        <sz val="12.0"/>
      </rPr>
      <t>.  
2. Log in with valid credentials.  
3. Go to the Home &gt; Contact Us</t>
    </r>
  </si>
  <si>
    <t>Input should be checked for accurate valid data.</t>
  </si>
  <si>
    <t>Input validation check failed.</t>
  </si>
  <si>
    <t>https://drive.google.com/file/d/1vNZQob8wr2-u846PeEMcal8Pbb2LYkfO/view?usp=drive_link</t>
  </si>
  <si>
    <t>TC_022</t>
  </si>
  <si>
    <t>Unable to display the user's profile picture.</t>
  </si>
  <si>
    <r>
      <rPr>
        <rFont val="Times New Roman"/>
        <sz val="12.0"/>
      </rPr>
      <t xml:space="preserve">1. Open the </t>
    </r>
    <r>
      <rPr>
        <rFont val="Times New Roman"/>
        <color rgb="FF1155CC"/>
        <sz val="12.0"/>
        <u/>
      </rPr>
      <t>link</t>
    </r>
    <r>
      <rPr>
        <rFont val="Times New Roman"/>
        <sz val="12.0"/>
      </rPr>
      <t>.  
2. Log in with valid credentials.  
3. Go to the Dashboard
4. Click on profile and update profile pic</t>
    </r>
  </si>
  <si>
    <t>Users should see their profile picture in the profile section at the top right after it updates</t>
  </si>
  <si>
    <t>The user profile picture fails to display after being updated.</t>
  </si>
  <si>
    <t>https://drive.google.com/file/d/18cy3P1URIGbueuLzs75bumNBKGsVd4Rc/view?usp=drive_link</t>
  </si>
  <si>
    <t>TC_023</t>
  </si>
  <si>
    <t>Company Profile</t>
  </si>
  <si>
    <t>Unable to register the company profile.</t>
  </si>
  <si>
    <r>
      <rPr>
        <rFont val="Times New Roman"/>
        <sz val="12.0"/>
      </rPr>
      <t xml:space="preserve">1. Open the </t>
    </r>
    <r>
      <rPr>
        <rFont val="Times New Roman"/>
        <color rgb="FF1155CC"/>
        <sz val="12.0"/>
        <u/>
      </rPr>
      <t>link</t>
    </r>
    <r>
      <rPr>
        <rFont val="Times New Roman"/>
        <sz val="12.0"/>
      </rPr>
      <t>.  
2. Log in with valid credentials.  
3. Go to the Dashboard
4. Click on Company profile</t>
    </r>
  </si>
  <si>
    <t>Users should be able to update their company profile successfully without hassle.</t>
  </si>
  <si>
    <t>Unable to update the company profile after providing all the required information.</t>
  </si>
  <si>
    <t>https://drive.google.com/file/d/1EWnM9-rIVFA4qEFpBF_o3bVGqjpyGzKm/view?usp=drive_link</t>
  </si>
  <si>
    <t>TC_024</t>
  </si>
  <si>
    <t>TC_025</t>
  </si>
  <si>
    <t>TC_026</t>
  </si>
  <si>
    <t>TC_01</t>
  </si>
  <si>
    <t>Authentication</t>
  </si>
  <si>
    <t>Registration</t>
  </si>
  <si>
    <t>Verify presence of Confirm Password field in registration form</t>
  </si>
  <si>
    <t>User is on Registration page</t>
  </si>
  <si>
    <t>1. Navigate to Registration page 
2. Check the form fields</t>
  </si>
  <si>
    <t>Registration form should contain a "Confirm Password" or "Re-enter Password" field to validate password input</t>
  </si>
  <si>
    <t>No Confirm Password field available in the registration form</t>
  </si>
  <si>
    <t>https://jam.dev/c/4ce13987-abfa-4935-ac0b-57f069a91bfa</t>
  </si>
  <si>
    <t>TC_02</t>
  </si>
  <si>
    <t>Validate Name field does not accept numbers or special characters</t>
  </si>
  <si>
    <t>1. Navigate to Registration page 
2. Enter numbers or special characters in Name field 
3. Try to submit the form</t>
  </si>
  <si>
    <t>Name = "1234"</t>
  </si>
  <si>
    <t>System should show validation error and not accept invalid Name input</t>
  </si>
  <si>
    <t>Name field accepts numbers and special characters</t>
  </si>
  <si>
    <t>https://jam.dev/c/ee2b820c-2680-46e8-ab6a-c5bf37f4431c</t>
  </si>
  <si>
    <t>TC_03</t>
  </si>
  <si>
    <t>Verify email authentication requires OTP verification during registration</t>
  </si>
  <si>
    <t>User is on Registration page with valid email</t>
  </si>
  <si>
    <t>1. Navigate to Registration page 
2. Enter valid registration details 
3. Submit the form</t>
  </si>
  <si>
    <t>Email = "test@example.com"</t>
  </si>
  <si>
    <t>System should send an OTP to the provided email and require verification before confirming registration</t>
  </si>
  <si>
    <t>System directly confirms registration without OTP verification</t>
  </si>
  <si>
    <t>TC_04</t>
  </si>
  <si>
    <t>Verify password field enforces validation rules (min 8 characters, mix of letters, numbers, special chars)</t>
  </si>
  <si>
    <t>1. Navigate to Registration page 
2. Enter weak passwords (less than 8 chars, only letters, only numbers, etc.) →
3. Submit the form</t>
  </si>
  <si>
    <t>Password = "12345", Password = "abcdef", Password = "abc123"</t>
  </si>
  <si>
    <t>System should display validation errors for weak passwords and not allow submission</t>
  </si>
  <si>
    <t>Password field accepts weak passwords without validation</t>
  </si>
  <si>
    <t>TC_05</t>
  </si>
  <si>
    <t>Verify system prevents registration with duplicate email</t>
  </si>
  <si>
    <t>User is on Registration page and email is already registered</t>
  </si>
  <si>
    <t>1. Navigate to Registration page 
2. Enter all valid registration details with an email already in the system 
3. Submit the form</t>
  </si>
  <si>
    <t>Email = "tahsinahmmed2063@gmail.com"</t>
  </si>
  <si>
    <t>System should show an error indicating the email is already registered and prevent submission</t>
  </si>
  <si>
    <t>System allows registration with duplicate email</t>
  </si>
  <si>
    <t>TC_06</t>
  </si>
  <si>
    <t>Forgot Password</t>
  </si>
  <si>
    <t>Verify system response when entering OTP during password reset</t>
  </si>
  <si>
    <t>User is on Forgot Password page and has requested an OTP (not received)</t>
  </si>
  <si>
    <t>1. Navigate to Forgot Password page 
2. Enter registered email 
3. Click 'Continue' 
4. Input a dummy OTP 
5. Click 'Continue' button</t>
  </si>
  <si>
    <t xml:space="preserve"> OTP = "123456"</t>
  </si>
  <si>
    <t>System should display an error for invalid OTP or success message for valid OTP</t>
  </si>
  <si>
    <t>No response shown after clicking Continue (neither success nor error message)</t>
  </si>
  <si>
    <t>https://jam.dev/c/55e8284e-72e9-4517-b73f-2b70517f2f46</t>
  </si>
  <si>
    <t>TC_07</t>
  </si>
  <si>
    <t>Verify OTP is delivered to user email during password reset</t>
  </si>
  <si>
    <t>User has a registered email and is on Forgot Password page</t>
  </si>
  <si>
    <t>1. Navigate to Forgot Password page 
2. Enter registered email 
3. Click on 'Continue' button</t>
  </si>
  <si>
    <t>System should send an OTP to the registered email and display confirmation message</t>
  </si>
  <si>
    <t>Confirmation message shown but no OTP received in email</t>
  </si>
  <si>
    <t>https://jam.dev/c/01d5ee03-293e-4e17-a934-91c7b0fcc94b</t>
  </si>
  <si>
    <t>TC_08</t>
  </si>
  <si>
    <t>Verify dashboard shows user-specific data after registration</t>
  </si>
  <si>
    <t>User has successfully registered and logged in as a new user</t>
  </si>
  <si>
    <t>1. Register as a new user 
2. Log in with the new account 
3. Navigate to dashboard</t>
  </si>
  <si>
    <t xml:space="preserve">Dashboard should display data relevant to the logged-in user </t>
  </si>
  <si>
    <t>Dashboard shows dummy data instead of user-specific data</t>
  </si>
  <si>
    <t>https://jam.dev/c/02f0ee26-25df-4861-9a84-256bec795fb8</t>
  </si>
  <si>
    <t>TC_09</t>
  </si>
  <si>
    <t>Verify contact number field shows specific validation error when invalid characters are entered</t>
  </si>
  <si>
    <t>User is logged in and on Company Profile form</t>
  </si>
  <si>
    <t>1. Navigate to Company Profile form 
2. Enter alphabetic or special characters in Contact Number field 
3. Click Save button</t>
  </si>
  <si>
    <t>Contact Number = "abcd123", Contact Number = "@#$%"</t>
  </si>
  <si>
    <t>System should display a clear validation error (e.g., "Contact number must contain only digits") and prevent saving</t>
  </si>
  <si>
    <t>System shows generic error "An error occurred" without specific validation message</t>
  </si>
  <si>
    <t>https://jam.dev/c/60314134-5f05-4393-bc1e-6816c5e93243</t>
  </si>
  <si>
    <t>TC_10</t>
  </si>
  <si>
    <t>Verify Owner/Admin Name field does not accept numbers or special characters</t>
  </si>
  <si>
    <t>1. Navigate to Company Profile form 
2. Enter numbers or special characters in Owner/Admin Name field 
3. Click Save button</t>
  </si>
  <si>
    <t>Owner Name = "12345"</t>
  </si>
  <si>
    <t>System should display a validation error and restrict Owner/Admin Name to alphabetic characters only</t>
  </si>
  <si>
    <t>Owner/Admin Name field accepts numbers and special characters</t>
  </si>
  <si>
    <t>https://jam.dev/c/48876bd6-b655-4460-a4d3-3b8933ef305e</t>
  </si>
  <si>
    <t>TC_11</t>
  </si>
  <si>
    <t>Verify Company Name field does not accept only special characters</t>
  </si>
  <si>
    <t>1. Navigate to Company Profile form 
2. Enter only special characters in Company Name field 
3. Click Save button</t>
  </si>
  <si>
    <t>Company Name = "@@@@"</t>
  </si>
  <si>
    <t>System should display a validation error (e.g., "Company name cannot contain only special characters") and prevent saving</t>
  </si>
  <si>
    <t>Company Name field accepts only special characters without validation</t>
  </si>
  <si>
    <t>https://jam.dev/c/d36a5cb6-3d2f-4b70-a8d2-47d197d66036</t>
  </si>
  <si>
    <t>TC_12</t>
  </si>
  <si>
    <t>TC_13</t>
  </si>
  <si>
    <t>TC_14</t>
  </si>
  <si>
    <t>TC_15</t>
  </si>
  <si>
    <t>TC_16</t>
  </si>
  <si>
    <t>TC_17</t>
  </si>
  <si>
    <t>TC_18</t>
  </si>
  <si>
    <t>TC_19</t>
  </si>
  <si>
    <t>TC_20</t>
  </si>
  <si>
    <t>TC_21</t>
  </si>
  <si>
    <t>TC_22</t>
  </si>
  <si>
    <t>TC_23</t>
  </si>
  <si>
    <t>TC_24</t>
  </si>
  <si>
    <t>TC_25</t>
  </si>
  <si>
    <t>TC_26</t>
  </si>
  <si>
    <t>TC_27</t>
  </si>
  <si>
    <t>TC_28</t>
  </si>
  <si>
    <t>TC_29</t>
  </si>
  <si>
    <t>TC_30</t>
  </si>
  <si>
    <t>TC_31</t>
  </si>
  <si>
    <t>TC_32</t>
  </si>
  <si>
    <t>TC_33</t>
  </si>
  <si>
    <t>TC_34</t>
  </si>
  <si>
    <t>TC_35</t>
  </si>
  <si>
    <t>TC_36</t>
  </si>
  <si>
    <t>TC_37</t>
  </si>
  <si>
    <t>TC_38</t>
  </si>
  <si>
    <t>TC_39</t>
  </si>
  <si>
    <t>TC_40</t>
  </si>
  <si>
    <t>TC_41</t>
  </si>
  <si>
    <t>TC_42</t>
  </si>
  <si>
    <t>TC_43</t>
  </si>
  <si>
    <t>TC_44</t>
  </si>
  <si>
    <t>TC_45</t>
  </si>
  <si>
    <t>TC_46</t>
  </si>
  <si>
    <t>TC_47</t>
  </si>
  <si>
    <t>TC_48</t>
  </si>
  <si>
    <t>TC_49</t>
  </si>
  <si>
    <t>TC_50</t>
  </si>
  <si>
    <t>TC_51</t>
  </si>
  <si>
    <t>TC_52</t>
  </si>
  <si>
    <t>TC_53</t>
  </si>
  <si>
    <t>TC_54</t>
  </si>
  <si>
    <t>TC_55</t>
  </si>
  <si>
    <t>TC_56</t>
  </si>
  <si>
    <t>TC_57</t>
  </si>
  <si>
    <t>TC_58</t>
  </si>
  <si>
    <t>TC_59</t>
  </si>
  <si>
    <t>TC_60</t>
  </si>
  <si>
    <t>TC_61</t>
  </si>
  <si>
    <t>TC_62</t>
  </si>
  <si>
    <t>TC_63</t>
  </si>
  <si>
    <t>TC_64</t>
  </si>
  <si>
    <t>TC_65</t>
  </si>
  <si>
    <t>Test Case Count</t>
  </si>
  <si>
    <t>Bug Count</t>
  </si>
  <si>
    <t>Bug Rate %</t>
  </si>
  <si>
    <t>Bug Severity</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</si>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</sst>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color theme="1"/>
      <name val="Arial"/>
    </font>
    <font>
      <b/>
      <sz val="12.0"/>
      <color theme="1"/>
      <name val="Calibri"/>
    </font>
    <font>
      <sz val="11.0"/>
      <color theme="1"/>
      <name val="Calibri"/>
    </font>
    <font>
      <b/>
      <sz val="12.0"/>
      <color theme="1"/>
      <name val="Arial"/>
    </font>
    <font>
      <b/>
      <color rgb="FF000000"/>
      <name val="Arial"/>
      <scheme val="minor"/>
    </font>
    <font>
      <u/>
      <color rgb="FF1155CC"/>
      <name val="Arial"/>
    </font>
    <font>
      <b/>
      <sz val="11.0"/>
      <color theme="1"/>
      <name val="Calibri"/>
    </font>
    <font>
      <b/>
      <color theme="1"/>
      <name val="Arial"/>
    </font>
    <font>
      <b/>
      <sz val="15.0"/>
      <color theme="1"/>
      <name val="Calibri"/>
    </font>
    <font>
      <sz val="15.0"/>
      <color theme="1"/>
      <name val="Arial"/>
      <scheme val="minor"/>
    </font>
    <font>
      <color theme="1"/>
      <name val="Arial"/>
      <scheme val="minor"/>
    </font>
    <font>
      <u/>
      <color rgb="FF0000FF"/>
    </font>
    <font>
      <b/>
      <sz val="12.0"/>
      <color theme="1"/>
      <name val="Times New Roman"/>
    </font>
    <font>
      <sz val="12.0"/>
      <color rgb="FF000000"/>
      <name val="Times New Roman"/>
    </font>
    <font>
      <sz val="12.0"/>
      <color theme="1"/>
      <name val="Times New Roman"/>
    </font>
    <font>
      <u/>
      <sz val="12.0"/>
      <color rgb="FF0000FF"/>
      <name val="Times New Roman"/>
    </font>
    <font>
      <u/>
      <sz val="12.0"/>
      <color rgb="FF1155CC"/>
      <name val="Times New Roman"/>
    </font>
    <font>
      <u/>
      <sz val="12.0"/>
      <color rgb="FF0000FF"/>
      <name val="Times New Roman"/>
    </font>
    <font>
      <u/>
      <sz val="12.0"/>
      <color rgb="FF1155CC"/>
      <name val="Times New Roman"/>
    </font>
    <font>
      <u/>
      <sz val="12.0"/>
      <color rgb="FF0000FF"/>
      <name val="Times New Roman"/>
    </font>
    <font>
      <u/>
      <sz val="12.0"/>
      <color rgb="FF1155CC"/>
      <name val="Times New Roman"/>
    </font>
    <font>
      <u/>
      <color rgb="FF1155CC"/>
      <name val="Arial"/>
    </font>
    <font>
      <b/>
      <sz val="16.0"/>
      <color theme="1"/>
      <name val="Calibri"/>
    </font>
    <font>
      <sz val="12.0"/>
      <color theme="1"/>
      <name val="Calibri"/>
    </font>
    <font>
      <u/>
      <sz val="12.0"/>
      <color rgb="FF1155CC"/>
      <name val="Calibri"/>
    </font>
    <font>
      <u/>
      <sz val="12.0"/>
      <color rgb="FF1155CC"/>
      <name val="Calibri"/>
    </font>
    <font>
      <b/>
      <sz val="13.0"/>
      <color theme="1"/>
      <name val="Times New Roman"/>
    </font>
    <font/>
    <font>
      <b/>
      <sz val="17.0"/>
      <color theme="1"/>
      <name val="Arial"/>
    </font>
  </fonts>
  <fills count="5">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00FF00"/>
        <bgColor rgb="FF00FF00"/>
      </patternFill>
    </fill>
  </fills>
  <borders count="7">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right" shrinkToFit="0" vertical="center" wrapText="1"/>
    </xf>
    <xf borderId="1" fillId="0" fontId="3"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shrinkToFit="0" wrapText="1"/>
    </xf>
    <xf borderId="1" fillId="0" fontId="6"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2" numFmtId="0" xfId="0" applyAlignment="1" applyBorder="1" applyFont="1">
      <alignment horizontal="right" readingOrder="0" shrinkToFit="0" vertical="center" wrapText="1"/>
    </xf>
    <xf borderId="1" fillId="0" fontId="7" numFmtId="0" xfId="0" applyAlignment="1" applyBorder="1" applyFont="1">
      <alignment horizontal="center" shrinkToFit="0" wrapText="1"/>
    </xf>
    <xf borderId="1" fillId="0" fontId="8" numFmtId="0" xfId="0" applyAlignment="1" applyBorder="1" applyFont="1">
      <alignment horizontal="center" shrinkToFit="0" wrapText="1"/>
    </xf>
    <xf borderId="2" fillId="2" fontId="9" numFmtId="0" xfId="0" applyAlignment="1" applyBorder="1" applyFill="1" applyFont="1">
      <alignment horizontal="center" shrinkToFit="0" vertical="center" wrapText="1"/>
    </xf>
    <xf borderId="2" fillId="2" fontId="9" numFmtId="0" xfId="0" applyAlignment="1" applyBorder="1" applyFont="1">
      <alignment horizontal="center" readingOrder="0" shrinkToFit="0" vertical="center" wrapText="1"/>
    </xf>
    <xf borderId="0" fillId="0" fontId="10" numFmtId="0" xfId="0" applyAlignment="1" applyFont="1">
      <alignment horizontal="center" shrinkToFit="0" vertical="center" wrapText="1"/>
    </xf>
    <xf borderId="1" fillId="0" fontId="11" numFmtId="0" xfId="0" applyAlignment="1" applyBorder="1" applyFont="1">
      <alignment horizontal="center" readingOrder="0" shrinkToFit="0" vertical="center" wrapText="1"/>
    </xf>
    <xf borderId="1" fillId="0" fontId="11" numFmtId="0" xfId="0" applyAlignment="1" applyBorder="1" applyFont="1">
      <alignment horizontal="center" shrinkToFit="0" vertical="center" wrapText="1"/>
    </xf>
    <xf borderId="1" fillId="0" fontId="12" numFmtId="0" xfId="0" applyAlignment="1" applyBorder="1" applyFont="1">
      <alignment horizontal="center" shrinkToFit="0" vertical="center" wrapText="1"/>
    </xf>
    <xf borderId="0" fillId="0" fontId="11" numFmtId="0" xfId="0" applyAlignment="1" applyFont="1">
      <alignment horizontal="center" shrinkToFit="0" vertical="center" wrapText="1"/>
    </xf>
    <xf borderId="0" fillId="0" fontId="11" numFmtId="0" xfId="0" applyAlignment="1" applyFont="1">
      <alignment horizontal="center" readingOrder="0" shrinkToFit="0" vertical="center" wrapText="1"/>
    </xf>
    <xf borderId="1" fillId="0" fontId="13" numFmtId="0" xfId="0" applyAlignment="1" applyBorder="1" applyFont="1">
      <alignment horizontal="right" shrinkToFit="0" wrapText="1"/>
    </xf>
    <xf borderId="1" fillId="0" fontId="14" numFmtId="0" xfId="0" applyAlignment="1" applyBorder="1" applyFont="1">
      <alignment horizontal="center" readingOrder="0" shrinkToFit="0" vertical="center" wrapText="1"/>
    </xf>
    <xf borderId="0" fillId="0" fontId="15" numFmtId="0" xfId="0" applyFont="1"/>
    <xf borderId="1" fillId="0" fontId="14" numFmtId="0" xfId="0" applyAlignment="1" applyBorder="1" applyFont="1">
      <alignment horizontal="center" readingOrder="0" shrinkToFit="0" vertical="center" wrapText="1"/>
    </xf>
    <xf borderId="1" fillId="3" fontId="14" numFmtId="0" xfId="0" applyAlignment="1" applyBorder="1" applyFill="1" applyFont="1">
      <alignment horizontal="left" readingOrder="0" shrinkToFit="0" vertical="center" wrapText="1"/>
    </xf>
    <xf borderId="1" fillId="0" fontId="13" numFmtId="0" xfId="0" applyAlignment="1" applyBorder="1" applyFont="1">
      <alignment horizontal="right"/>
    </xf>
    <xf borderId="3" fillId="4" fontId="13" numFmtId="0" xfId="0" applyAlignment="1" applyBorder="1" applyFill="1" applyFont="1">
      <alignment horizontal="center" shrinkToFit="0" vertical="center" wrapText="1"/>
    </xf>
    <xf borderId="0" fillId="0" fontId="15" numFmtId="0" xfId="0" applyAlignment="1" applyFont="1">
      <alignment vertical="center"/>
    </xf>
    <xf borderId="4" fillId="0" fontId="15"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4" fillId="0" fontId="16" numFmtId="0" xfId="0" applyAlignment="1" applyBorder="1" applyFont="1">
      <alignment horizontal="left" readingOrder="0" shrinkToFit="0" vertical="center" wrapText="1"/>
    </xf>
    <xf borderId="4" fillId="0" fontId="17" numFmtId="0" xfId="0" applyAlignment="1" applyBorder="1" applyFont="1">
      <alignment horizontal="center" readingOrder="0" shrinkToFit="0" vertical="center" wrapText="1"/>
    </xf>
    <xf borderId="0" fillId="0" fontId="15" numFmtId="0" xfId="0" applyAlignment="1" applyFont="1">
      <alignment horizontal="center" shrinkToFit="0" vertical="center" wrapText="1"/>
    </xf>
    <xf borderId="0" fillId="0" fontId="15" numFmtId="0" xfId="0" applyAlignment="1" applyFont="1">
      <alignment horizontal="left" shrinkToFit="0" vertical="center" wrapText="1"/>
    </xf>
    <xf borderId="1" fillId="0" fontId="18" numFmtId="0" xfId="0" applyAlignment="1" applyBorder="1" applyFont="1">
      <alignment horizontal="left" readingOrder="0" shrinkToFit="0" vertical="center" wrapText="1"/>
    </xf>
    <xf borderId="1" fillId="0" fontId="19" numFmtId="0" xfId="0" applyAlignment="1" applyBorder="1" applyFont="1">
      <alignment horizontal="center" readingOrder="0" shrinkToFit="0" vertical="center" wrapText="1"/>
    </xf>
    <xf borderId="1" fillId="0" fontId="20" numFmtId="0" xfId="0" applyAlignment="1" applyBorder="1" applyFont="1">
      <alignment horizontal="center" readingOrder="0" shrinkToFit="0" vertical="center" wrapText="1"/>
    </xf>
    <xf borderId="1" fillId="0" fontId="15" numFmtId="0" xfId="0" applyAlignment="1" applyBorder="1" applyFont="1">
      <alignment horizontal="center" shrinkToFit="0" vertical="center" wrapText="1"/>
    </xf>
    <xf borderId="1" fillId="0" fontId="15" numFmtId="0" xfId="0" applyAlignment="1" applyBorder="1" applyFont="1">
      <alignment horizontal="center" readingOrder="0" shrinkToFit="0" vertical="center" wrapText="1"/>
    </xf>
    <xf borderId="1" fillId="0" fontId="15" numFmtId="0" xfId="0" applyAlignment="1" applyBorder="1" applyFont="1">
      <alignment horizontal="left" shrinkToFit="0" vertical="center" wrapText="1"/>
    </xf>
    <xf borderId="1" fillId="0" fontId="21" numFmtId="0" xfId="0" applyAlignment="1" applyBorder="1" applyFont="1">
      <alignment horizontal="center" shrinkToFit="0" vertical="center" wrapText="1"/>
    </xf>
    <xf borderId="0" fillId="0" fontId="1" numFmtId="0" xfId="0" applyAlignment="1" applyFont="1">
      <alignment vertical="bottom"/>
    </xf>
    <xf borderId="1" fillId="0" fontId="2" numFmtId="0" xfId="0" applyAlignment="1" applyBorder="1" applyFont="1">
      <alignment horizontal="right" shrinkToFit="0" vertical="bottom" wrapText="1"/>
    </xf>
    <xf borderId="1" fillId="0" fontId="9" numFmtId="0" xfId="0" applyAlignment="1" applyBorder="1" applyFont="1">
      <alignment horizontal="center" vertical="bottom"/>
    </xf>
    <xf borderId="1" fillId="0" fontId="4" numFmtId="0" xfId="0" applyAlignment="1" applyBorder="1" applyFont="1">
      <alignment horizontal="center" shrinkToFit="0" wrapText="1"/>
    </xf>
    <xf borderId="1" fillId="0" fontId="1" numFmtId="0" xfId="0" applyAlignment="1" applyBorder="1" applyFont="1">
      <alignment horizontal="center" readingOrder="0" vertical="bottom"/>
    </xf>
    <xf borderId="1" fillId="0" fontId="1" numFmtId="0" xfId="0" applyAlignment="1" applyBorder="1" applyFont="1">
      <alignment horizontal="center"/>
    </xf>
    <xf borderId="1" fillId="0" fontId="22" numFmtId="0" xfId="0" applyAlignment="1" applyBorder="1" applyFont="1">
      <alignment horizontal="center" readingOrder="0" shrinkToFit="0" vertical="bottom" wrapText="1"/>
    </xf>
    <xf borderId="1" fillId="0" fontId="1" numFmtId="0" xfId="0" applyAlignment="1" applyBorder="1" applyFont="1">
      <alignment vertical="bottom"/>
    </xf>
    <xf borderId="1" fillId="0" fontId="2" numFmtId="0" xfId="0" applyAlignment="1" applyBorder="1" applyFont="1">
      <alignment horizontal="right" vertical="bottom"/>
    </xf>
    <xf borderId="1" fillId="0" fontId="7" numFmtId="0" xfId="0" applyAlignment="1" applyBorder="1" applyFont="1">
      <alignment horizontal="right" vertical="bottom"/>
    </xf>
    <xf borderId="1" fillId="0" fontId="1" numFmtId="0" xfId="0" applyAlignment="1" applyBorder="1" applyFont="1">
      <alignment horizontal="center" vertical="bottom"/>
    </xf>
    <xf borderId="1" fillId="2" fontId="23" numFmtId="0" xfId="0" applyAlignment="1" applyBorder="1" applyFont="1">
      <alignment horizontal="center" shrinkToFit="0" vertical="center" wrapText="1"/>
    </xf>
    <xf borderId="1" fillId="0" fontId="24" numFmtId="0" xfId="0" applyAlignment="1" applyBorder="1" applyFont="1">
      <alignment horizontal="center" shrinkToFit="0" vertical="center" wrapText="1"/>
    </xf>
    <xf borderId="1" fillId="0" fontId="24" numFmtId="0" xfId="0" applyAlignment="1" applyBorder="1" applyFont="1">
      <alignment readingOrder="0" shrinkToFit="0" vertical="center" wrapText="1"/>
    </xf>
    <xf borderId="1" fillId="0" fontId="25" numFmtId="0" xfId="0" applyAlignment="1" applyBorder="1" applyFont="1">
      <alignment readingOrder="0" shrinkToFit="0" vertical="center" wrapText="1"/>
    </xf>
    <xf borderId="1" fillId="0" fontId="1" numFmtId="0" xfId="0" applyAlignment="1" applyBorder="1" applyFont="1">
      <alignment shrinkToFit="0" vertical="center" wrapText="1"/>
    </xf>
    <xf borderId="1" fillId="0" fontId="1" numFmtId="0" xfId="0" applyAlignment="1" applyBorder="1" applyFont="1">
      <alignment vertical="bottom"/>
    </xf>
    <xf borderId="1" fillId="0" fontId="24" numFmtId="0" xfId="0" applyAlignment="1" applyBorder="1" applyFont="1">
      <alignment shrinkToFit="0" vertical="center" wrapText="1"/>
    </xf>
    <xf borderId="1" fillId="0" fontId="26" numFmtId="0" xfId="0" applyAlignment="1" applyBorder="1" applyFont="1">
      <alignment shrinkToFit="0" vertical="center" wrapText="1"/>
    </xf>
    <xf borderId="1" fillId="0" fontId="1" numFmtId="0" xfId="0" applyBorder="1" applyFont="1"/>
    <xf borderId="1" fillId="0" fontId="1" numFmtId="0" xfId="0" applyBorder="1" applyFont="1"/>
    <xf borderId="3" fillId="2" fontId="27" numFmtId="0" xfId="0" applyAlignment="1" applyBorder="1" applyFont="1">
      <alignment horizontal="center" shrinkToFit="0" vertical="center" wrapText="1"/>
    </xf>
    <xf borderId="3" fillId="2" fontId="27" numFmtId="0" xfId="0" applyAlignment="1" applyBorder="1" applyFont="1">
      <alignment horizontal="center" shrinkToFit="0" vertical="center" wrapText="1"/>
    </xf>
    <xf borderId="5" fillId="0" fontId="11" numFmtId="0" xfId="0" applyAlignment="1" applyBorder="1" applyFont="1">
      <alignment horizontal="center" shrinkToFit="0" vertical="center" wrapText="1"/>
    </xf>
    <xf borderId="4" fillId="0" fontId="11" numFmtId="0" xfId="0" applyAlignment="1" applyBorder="1" applyFont="1">
      <alignment horizontal="center" shrinkToFit="0" vertical="center" wrapText="1"/>
    </xf>
    <xf borderId="4" fillId="0" fontId="28" numFmtId="0" xfId="0" applyBorder="1" applyFont="1"/>
    <xf borderId="6" fillId="0" fontId="11" numFmtId="0" xfId="0" applyAlignment="1" applyBorder="1" applyFont="1">
      <alignment horizontal="center" shrinkToFit="0" vertical="center" wrapText="1"/>
    </xf>
    <xf borderId="5" fillId="0" fontId="28" numFmtId="0" xfId="0" applyBorder="1" applyFont="1"/>
    <xf borderId="2" fillId="2" fontId="27" numFmtId="0" xfId="0" applyAlignment="1" applyBorder="1" applyFont="1">
      <alignment horizontal="center" shrinkToFit="0" vertical="center" wrapText="1"/>
    </xf>
    <xf borderId="2" fillId="2" fontId="27" numFmtId="0" xfId="0" applyAlignment="1" applyBorder="1" applyFont="1">
      <alignment horizontal="center" shrinkToFit="0" vertical="center" wrapText="1"/>
    </xf>
    <xf borderId="0" fillId="0" fontId="1" numFmtId="0" xfId="0" applyAlignment="1" applyFont="1">
      <alignment horizontal="center" shrinkToFit="0" vertical="center" wrapText="1"/>
    </xf>
    <xf borderId="6" fillId="0" fontId="29" numFmtId="0" xfId="0" applyAlignment="1" applyBorder="1" applyFont="1">
      <alignment horizontal="center" shrinkToFit="0" textRotation="90" vertical="center" wrapText="1"/>
    </xf>
    <xf borderId="6" fillId="0" fontId="1"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5" fillId="0" fontId="29" numFmtId="0" xfId="0" applyAlignment="1" applyBorder="1" applyFont="1">
      <alignment horizontal="center" shrinkToFit="0" textRotation="90" vertical="center" wrapText="1"/>
    </xf>
    <xf borderId="1" fillId="0" fontId="1" numFmtId="0" xfId="0" applyAlignment="1" applyBorder="1" applyFont="1">
      <alignment horizontal="center" shrinkToFit="0" vertical="center" wrapText="1"/>
    </xf>
    <xf borderId="1" fillId="0" fontId="29" numFmtId="0" xfId="0" applyAlignment="1" applyBorder="1" applyFont="1">
      <alignment horizontal="center" shrinkToFit="0" textRotation="9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doughnutChart>
        <c:varyColors val="1"/>
        <c:ser>
          <c:idx val="0"/>
          <c:order val="0"/>
          <c:dPt>
            <c:idx val="0"/>
            <c:spPr>
              <a:solidFill>
                <a:srgbClr val="FF0000"/>
              </a:solidFill>
            </c:spPr>
          </c:dPt>
          <c:dPt>
            <c:idx val="1"/>
            <c:spPr>
              <a:solidFill>
                <a:srgbClr val="FFFF00"/>
              </a:solidFill>
            </c:spPr>
          </c:dPt>
          <c:dPt>
            <c:idx val="2"/>
            <c:spPr>
              <a:solidFill>
                <a:srgbClr val="6AA84F"/>
              </a:solidFill>
            </c:spPr>
          </c:dPt>
          <c:dLbls>
            <c:showLegendKey val="0"/>
            <c:showVal val="1"/>
            <c:showCatName val="0"/>
            <c:showSerName val="0"/>
            <c:showPercent val="0"/>
            <c:showBubbleSize val="0"/>
            <c:showLeaderLines val="1"/>
          </c:dLbls>
          <c:cat>
            <c:strRef>
              <c:f>'Main Report'!$D$3:$D$5</c:f>
            </c:strRef>
          </c:cat>
          <c:val>
            <c:numRef>
              <c:f>'Main Report'!$E$3:$E$5</c:f>
              <c:numCache/>
            </c:numRef>
          </c:val>
        </c:ser>
        <c:dLbls>
          <c:showLegendKey val="0"/>
          <c:showVal val="0"/>
          <c:showCatName val="0"/>
          <c:showSerName val="0"/>
          <c:showPercent val="0"/>
          <c:showBubbleSize val="0"/>
        </c:dLbls>
        <c:holeSize val="25"/>
      </c:doughnutChart>
    </c:plotArea>
    <c:legend>
      <c:legendPos val="r"/>
      <c:overlay val="0"/>
      <c:txPr>
        <a:bodyPr/>
        <a:lstStyle/>
        <a:p>
          <a:pPr lvl="0">
            <a:defRPr b="0">
              <a:solidFill>
                <a:srgbClr val="1A1A1A"/>
              </a:solidFill>
              <a:latin typeface="Arial black"/>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4210050" cy="21240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8cy3P1URIGbueuLzs75bumNBKGsVd4Rc/view?usp=drive_link" TargetMode="External"/><Relationship Id="rId22" Type="http://schemas.openxmlformats.org/officeDocument/2006/relationships/hyperlink" Target="https://drive.google.com/file/d/1Gi6GFhPOFpoiUmqdXq3HQj7BRX4ei5t1/view?usp=drive_link" TargetMode="External"/><Relationship Id="rId21" Type="http://schemas.openxmlformats.org/officeDocument/2006/relationships/hyperlink" Target="https://drive.google.com/file/d/1vNZQob8wr2-u846PeEMcal8Pbb2LYkfO/view?usp=drive_link" TargetMode="External"/><Relationship Id="rId24" Type="http://schemas.openxmlformats.org/officeDocument/2006/relationships/hyperlink" Target="https://drive.google.com/file/d/1u4YxhIKjXixH5C58NW4UXd1Kv3FMAAov/view?usp=drive_link" TargetMode="External"/><Relationship Id="rId23" Type="http://schemas.openxmlformats.org/officeDocument/2006/relationships/hyperlink" Target="https://drive.google.com/file/d/1wPOqb5sDV7e1YuY6aF4JRRuDEZ7X66gA/view?usp=drive_link" TargetMode="External"/><Relationship Id="rId1" Type="http://schemas.openxmlformats.org/officeDocument/2006/relationships/hyperlink" Target="https://nsdai.netlify.app/" TargetMode="External"/><Relationship Id="rId2" Type="http://schemas.openxmlformats.org/officeDocument/2006/relationships/hyperlink" Target="https://jam.dev/c/55e8284e-72e9-4517-b73f-2b70517f2f46" TargetMode="External"/><Relationship Id="rId3" Type="http://schemas.openxmlformats.org/officeDocument/2006/relationships/hyperlink" Target="https://jam.dev/c/01d5ee03-293e-4e17-a934-91c7b0fcc94b" TargetMode="External"/><Relationship Id="rId4" Type="http://schemas.openxmlformats.org/officeDocument/2006/relationships/hyperlink" Target="https://jam.dev/c/4ce13987-abfa-4935-ac0b-57f069a91bfa" TargetMode="External"/><Relationship Id="rId9" Type="http://schemas.openxmlformats.org/officeDocument/2006/relationships/hyperlink" Target="https://jam.dev/c/48876bd6-b655-4460-a4d3-3b8933ef305e" TargetMode="External"/><Relationship Id="rId26" Type="http://schemas.openxmlformats.org/officeDocument/2006/relationships/hyperlink" Target="https://drive.google.com/file/d/1IKXeg2Ik3mrfnI2FQqMgV4FmzKN8f4Nt/view?usp=drive_link" TargetMode="External"/><Relationship Id="rId25" Type="http://schemas.openxmlformats.org/officeDocument/2006/relationships/hyperlink" Target="https://drive.google.com/file/d/1VXkuMGBHtodnou63HikF0nVBjMF18M-L/view?usp=drive_link" TargetMode="External"/><Relationship Id="rId28" Type="http://schemas.openxmlformats.org/officeDocument/2006/relationships/hyperlink" Target="https://drive.google.com/file/d/1CZfs8AVjsK2KIVligB3IAHej2v_got3v/view?usp=drive_link" TargetMode="External"/><Relationship Id="rId27" Type="http://schemas.openxmlformats.org/officeDocument/2006/relationships/hyperlink" Target="https://drive.google.com/file/d/1qSUzLixGsGe7OtH9H6Ce-naNWPtXlMU3/view?usp=drive_link" TargetMode="External"/><Relationship Id="rId5" Type="http://schemas.openxmlformats.org/officeDocument/2006/relationships/hyperlink" Target="https://jam.dev/c/ee2b820c-2680-46e8-ab6a-c5bf37f4431c" TargetMode="External"/><Relationship Id="rId6" Type="http://schemas.openxmlformats.org/officeDocument/2006/relationships/hyperlink" Target="https://jam.dev/c/ee2b820c-2680-46e8-ab6a-c5bf37f4431c" TargetMode="External"/><Relationship Id="rId29" Type="http://schemas.openxmlformats.org/officeDocument/2006/relationships/hyperlink" Target="https://drive.google.com/file/d/1Ey4v4iC33EyuioR4Ss6WBSBjQ6tlB8NI/view?usp=drive_link" TargetMode="External"/><Relationship Id="rId7" Type="http://schemas.openxmlformats.org/officeDocument/2006/relationships/hyperlink" Target="https://drive.google.com/file/d/1EWnM9-rIVFA4qEFpBF_o3bVGqjpyGzKm/view?usp=drive_link" TargetMode="External"/><Relationship Id="rId8" Type="http://schemas.openxmlformats.org/officeDocument/2006/relationships/hyperlink" Target="https://jam.dev/c/60314134-5f05-4393-bc1e-6816c5e93243" TargetMode="External"/><Relationship Id="rId31" Type="http://schemas.openxmlformats.org/officeDocument/2006/relationships/hyperlink" Target="https://drive.google.com/file/d/1VroDLf55Xos-h4D6PbTSY2bhHZwW-Ls-/view?usp=drive_link" TargetMode="External"/><Relationship Id="rId30" Type="http://schemas.openxmlformats.org/officeDocument/2006/relationships/hyperlink" Target="https://drive.google.com/file/d/1kGDsHKUcdvS2xePRxpWVs63YGZXiPv1f/view?usp=drive_link" TargetMode="External"/><Relationship Id="rId11" Type="http://schemas.openxmlformats.org/officeDocument/2006/relationships/hyperlink" Target="https://drive.google.com/file/d/1dosjhU5VHRrww-2jC0RedNdaxitlqZA-/view?usp=drive_link" TargetMode="External"/><Relationship Id="rId33" Type="http://schemas.openxmlformats.org/officeDocument/2006/relationships/hyperlink" Target="https://drive.google.com/file/d/138lORsTzMH2ExswZfn_mP0gPLgmjbnko/view?usp=drive_link" TargetMode="External"/><Relationship Id="rId10" Type="http://schemas.openxmlformats.org/officeDocument/2006/relationships/hyperlink" Target="https://jam.dev/c/d36a5cb6-3d2f-4b70-a8d2-47d197d66036" TargetMode="External"/><Relationship Id="rId32" Type="http://schemas.openxmlformats.org/officeDocument/2006/relationships/hyperlink" Target="https://drive.google.com/file/d/114X1PWrqJvrW8SMb-XqwMLQUh52KTW2J/view?usp=drive_link" TargetMode="External"/><Relationship Id="rId13" Type="http://schemas.openxmlformats.org/officeDocument/2006/relationships/hyperlink" Target="https://jam.dev/c/02f0ee26-25df-4861-9a84-256bec795fb8" TargetMode="External"/><Relationship Id="rId12" Type="http://schemas.openxmlformats.org/officeDocument/2006/relationships/hyperlink" Target="https://drive.google.com/file/d/1KUC-u07_TIL_XNCsyvjMEiGYaune_SMP/view?usp=drive_link" TargetMode="External"/><Relationship Id="rId34" Type="http://schemas.openxmlformats.org/officeDocument/2006/relationships/drawing" Target="../drawings/drawing1.xml"/><Relationship Id="rId15" Type="http://schemas.openxmlformats.org/officeDocument/2006/relationships/hyperlink" Target="https://drive.google.com/file/d/1say3pswj7LEIeheEDSIqvgG2FjLhsz8E/view?usp=drive_link" TargetMode="External"/><Relationship Id="rId14" Type="http://schemas.openxmlformats.org/officeDocument/2006/relationships/hyperlink" Target="https://drive.google.com/file/d/1hq3lnZgpAut2Cbkr-fulwA8BGsZTThu-/view?usp=drive_link" TargetMode="External"/><Relationship Id="rId17" Type="http://schemas.openxmlformats.org/officeDocument/2006/relationships/hyperlink" Target="https://drive.google.com/file/d/1vSBkyuu4g-5om3OMfX91IOx_LPlAhZ1O/view?usp=drive_link" TargetMode="External"/><Relationship Id="rId16" Type="http://schemas.openxmlformats.org/officeDocument/2006/relationships/hyperlink" Target="https://drive.google.com/file/d/1D66SJyBkOIMqJKQ5qDIHigk5lONf80Tq/view?usp=drive_link" TargetMode="External"/><Relationship Id="rId19" Type="http://schemas.openxmlformats.org/officeDocument/2006/relationships/hyperlink" Target="https://drive.google.com/file/d/1Da9xAdVhaVocl50bklPSB2dIpXE9U2l-/view?usp=drive_link" TargetMode="External"/><Relationship Id="rId18" Type="http://schemas.openxmlformats.org/officeDocument/2006/relationships/hyperlink" Target="https://drive.google.com/file/d/1Kyxsb4rEoIuxr_vZ_fAujZUTaQu61QGb/view?usp=drive_link"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38lORsTzMH2ExswZfn_mP0gPLgmjbnko/view?usp=drive_link" TargetMode="External"/><Relationship Id="rId20" Type="http://schemas.openxmlformats.org/officeDocument/2006/relationships/hyperlink" Target="https://drive.google.com/file/d/1VroDLf55Xos-h4D6PbTSY2bhHZwW-Ls-/view?usp=drive_link" TargetMode="External"/><Relationship Id="rId42" Type="http://schemas.openxmlformats.org/officeDocument/2006/relationships/hyperlink" Target="https://drive.google.com/file/d/1vNZQob8wr2-u846PeEMcal8Pbb2LYkfO/view?usp=drive_link" TargetMode="External"/><Relationship Id="rId41" Type="http://schemas.openxmlformats.org/officeDocument/2006/relationships/hyperlink" Target="https://nsdai.netlify.app/" TargetMode="External"/><Relationship Id="rId22" Type="http://schemas.openxmlformats.org/officeDocument/2006/relationships/hyperlink" Target="https://drive.google.com/file/d/1KUC-u07_TIL_XNCsyvjMEiGYaune_SMP/view?usp=drive_link" TargetMode="External"/><Relationship Id="rId44" Type="http://schemas.openxmlformats.org/officeDocument/2006/relationships/hyperlink" Target="https://drive.google.com/file/d/18cy3P1URIGbueuLzs75bumNBKGsVd4Rc/view?usp=drive_link" TargetMode="External"/><Relationship Id="rId21" Type="http://schemas.openxmlformats.org/officeDocument/2006/relationships/hyperlink" Target="https://nsdai.netlify.app/" TargetMode="External"/><Relationship Id="rId43" Type="http://schemas.openxmlformats.org/officeDocument/2006/relationships/hyperlink" Target="https://nsdai.netlify.app/" TargetMode="External"/><Relationship Id="rId24" Type="http://schemas.openxmlformats.org/officeDocument/2006/relationships/hyperlink" Target="https://drive.google.com/file/d/1hq3lnZgpAut2Cbkr-fulwA8BGsZTThu-/view?usp=drive_link" TargetMode="External"/><Relationship Id="rId46" Type="http://schemas.openxmlformats.org/officeDocument/2006/relationships/hyperlink" Target="https://drive.google.com/file/d/1EWnM9-rIVFA4qEFpBF_o3bVGqjpyGzKm/view?usp=drive_link" TargetMode="External"/><Relationship Id="rId23" Type="http://schemas.openxmlformats.org/officeDocument/2006/relationships/hyperlink" Target="https://nsdai.netlify.app/" TargetMode="External"/><Relationship Id="rId45" Type="http://schemas.openxmlformats.org/officeDocument/2006/relationships/hyperlink" Target="https://nsdai.netlify.app/" TargetMode="External"/><Relationship Id="rId1" Type="http://schemas.openxmlformats.org/officeDocument/2006/relationships/hyperlink" Target="https://nsdai.netlify.app/" TargetMode="External"/><Relationship Id="rId2" Type="http://schemas.openxmlformats.org/officeDocument/2006/relationships/hyperlink" Target="https://drive.google.com/file/d/1IKXeg2Ik3mrfnI2FQqMgV4FmzKN8f4Nt/view?usp=drive_link" TargetMode="External"/><Relationship Id="rId3" Type="http://schemas.openxmlformats.org/officeDocument/2006/relationships/hyperlink" Target="https://nsdai.netlify.app/" TargetMode="External"/><Relationship Id="rId4" Type="http://schemas.openxmlformats.org/officeDocument/2006/relationships/hyperlink" Target="https://drive.google.com/file/d/1qSUzLixGsGe7OtH9H6Ce-naNWPtXlMU3/view?usp=drive_link" TargetMode="External"/><Relationship Id="rId9" Type="http://schemas.openxmlformats.org/officeDocument/2006/relationships/hyperlink" Target="https://nsdai.netlify.app/" TargetMode="External"/><Relationship Id="rId26" Type="http://schemas.openxmlformats.org/officeDocument/2006/relationships/hyperlink" Target="https://drive.google.com/file/d/1say3pswj7LEIeheEDSIqvgG2FjLhsz8E/view?usp=drive_link" TargetMode="External"/><Relationship Id="rId25" Type="http://schemas.openxmlformats.org/officeDocument/2006/relationships/hyperlink" Target="https://nsdai.netlify.app/" TargetMode="External"/><Relationship Id="rId47" Type="http://schemas.openxmlformats.org/officeDocument/2006/relationships/drawing" Target="../drawings/drawing2.xml"/><Relationship Id="rId28" Type="http://schemas.openxmlformats.org/officeDocument/2006/relationships/hyperlink" Target="https://drive.google.com/file/d/114X1PWrqJvrW8SMb-XqwMLQUh52KTW2J/view?usp=drive_link" TargetMode="External"/><Relationship Id="rId27" Type="http://schemas.openxmlformats.org/officeDocument/2006/relationships/hyperlink" Target="https://nsdai.netlify.app/" TargetMode="External"/><Relationship Id="rId5" Type="http://schemas.openxmlformats.org/officeDocument/2006/relationships/hyperlink" Target="https://nsdai.netlify.app/" TargetMode="External"/><Relationship Id="rId6" Type="http://schemas.openxmlformats.org/officeDocument/2006/relationships/hyperlink" Target="https://drive.google.com/file/d/1CZfs8AVjsK2KIVligB3IAHej2v_got3v/view?usp=drive_link" TargetMode="External"/><Relationship Id="rId29" Type="http://schemas.openxmlformats.org/officeDocument/2006/relationships/hyperlink" Target="https://nsdai.netlify.app/" TargetMode="External"/><Relationship Id="rId7" Type="http://schemas.openxmlformats.org/officeDocument/2006/relationships/hyperlink" Target="https://nsdai.netlify.app/" TargetMode="External"/><Relationship Id="rId8" Type="http://schemas.openxmlformats.org/officeDocument/2006/relationships/hyperlink" Target="https://drive.google.com/file/d/1Ey4v4iC33EyuioR4Ss6WBSBjQ6tlB8NI/view?usp=drive_link" TargetMode="External"/><Relationship Id="rId31" Type="http://schemas.openxmlformats.org/officeDocument/2006/relationships/hyperlink" Target="https://nsdai.netlify.app/" TargetMode="External"/><Relationship Id="rId30" Type="http://schemas.openxmlformats.org/officeDocument/2006/relationships/hyperlink" Target="https://drive.google.com/file/d/1D66SJyBkOIMqJKQ5qDIHigk5lONf80Tq/view?usp=drive_link" TargetMode="External"/><Relationship Id="rId11" Type="http://schemas.openxmlformats.org/officeDocument/2006/relationships/hyperlink" Target="https://nsdai.netlify.app/" TargetMode="External"/><Relationship Id="rId33" Type="http://schemas.openxmlformats.org/officeDocument/2006/relationships/hyperlink" Target="https://nsdai.netlify.app/" TargetMode="External"/><Relationship Id="rId10" Type="http://schemas.openxmlformats.org/officeDocument/2006/relationships/hyperlink" Target="https://drive.google.com/file/d/1kGDsHKUcdvS2xePRxpWVs63YGZXiPv1f/view?usp=drive_link" TargetMode="External"/><Relationship Id="rId32" Type="http://schemas.openxmlformats.org/officeDocument/2006/relationships/hyperlink" Target="https://drive.google.com/file/d/1dosjhU5VHRrww-2jC0RedNdaxitlqZA-/view?usp=drive_link" TargetMode="External"/><Relationship Id="rId13" Type="http://schemas.openxmlformats.org/officeDocument/2006/relationships/hyperlink" Target="https://nsdai.netlify.app/" TargetMode="External"/><Relationship Id="rId35" Type="http://schemas.openxmlformats.org/officeDocument/2006/relationships/hyperlink" Target="https://nsdai.netlify.app/" TargetMode="External"/><Relationship Id="rId12" Type="http://schemas.openxmlformats.org/officeDocument/2006/relationships/hyperlink" Target="https://drive.google.com/file/d/1Gi6GFhPOFpoiUmqdXq3HQj7BRX4ei5t1/view?usp=drive_link" TargetMode="External"/><Relationship Id="rId34" Type="http://schemas.openxmlformats.org/officeDocument/2006/relationships/hyperlink" Target="https://drive.google.com/file/d/1vSBkyuu4g-5om3OMfX91IOx_LPlAhZ1O/view?usp=drive_link" TargetMode="External"/><Relationship Id="rId15" Type="http://schemas.openxmlformats.org/officeDocument/2006/relationships/hyperlink" Target="https://nsdai.netlify.app/" TargetMode="External"/><Relationship Id="rId37" Type="http://schemas.openxmlformats.org/officeDocument/2006/relationships/hyperlink" Target="https://nsdai.netlify.app/" TargetMode="External"/><Relationship Id="rId14" Type="http://schemas.openxmlformats.org/officeDocument/2006/relationships/hyperlink" Target="https://drive.google.com/file/d/1wPOqb5sDV7e1YuY6aF4JRRuDEZ7X66gA/view?usp=drive_link" TargetMode="External"/><Relationship Id="rId36" Type="http://schemas.openxmlformats.org/officeDocument/2006/relationships/hyperlink" Target="https://drive.google.com/file/d/1Kyxsb4rEoIuxr_vZ_fAujZUTaQu61QGb/view?usp=drive_link" TargetMode="External"/><Relationship Id="rId17" Type="http://schemas.openxmlformats.org/officeDocument/2006/relationships/hyperlink" Target="https://nsdai.netlify.app/" TargetMode="External"/><Relationship Id="rId39" Type="http://schemas.openxmlformats.org/officeDocument/2006/relationships/hyperlink" Target="https://nsdai.netlify.app/" TargetMode="External"/><Relationship Id="rId16" Type="http://schemas.openxmlformats.org/officeDocument/2006/relationships/hyperlink" Target="https://drive.google.com/file/d/1u4YxhIKjXixH5C58NW4UXd1Kv3FMAAov/view?usp=drive_link" TargetMode="External"/><Relationship Id="rId38" Type="http://schemas.openxmlformats.org/officeDocument/2006/relationships/hyperlink" Target="https://drive.google.com/file/d/1Da9xAdVhaVocl50bklPSB2dIpXE9U2l-/view?usp=drive_link" TargetMode="External"/><Relationship Id="rId19" Type="http://schemas.openxmlformats.org/officeDocument/2006/relationships/hyperlink" Target="https://nsdai.netlify.app/" TargetMode="External"/><Relationship Id="rId18" Type="http://schemas.openxmlformats.org/officeDocument/2006/relationships/hyperlink" Target="https://drive.google.com/file/d/1VXkuMGBHtodnou63HikF0nVBjMF18M-L/view?usp=drive_link"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jam.dev/c/4ce13987-abfa-4935-ac0b-57f069a91bfa" TargetMode="External"/><Relationship Id="rId2" Type="http://schemas.openxmlformats.org/officeDocument/2006/relationships/hyperlink" Target="https://jam.dev/c/ee2b820c-2680-46e8-ab6a-c5bf37f4431c" TargetMode="External"/><Relationship Id="rId3" Type="http://schemas.openxmlformats.org/officeDocument/2006/relationships/hyperlink" Target="https://jam.dev/c/ee2b820c-2680-46e8-ab6a-c5bf37f4431c" TargetMode="External"/><Relationship Id="rId4" Type="http://schemas.openxmlformats.org/officeDocument/2006/relationships/hyperlink" Target="https://jam.dev/c/55e8284e-72e9-4517-b73f-2b70517f2f46" TargetMode="External"/><Relationship Id="rId9" Type="http://schemas.openxmlformats.org/officeDocument/2006/relationships/hyperlink" Target="https://jam.dev/c/d36a5cb6-3d2f-4b70-a8d2-47d197d66036" TargetMode="External"/><Relationship Id="rId5" Type="http://schemas.openxmlformats.org/officeDocument/2006/relationships/hyperlink" Target="https://jam.dev/c/01d5ee03-293e-4e17-a934-91c7b0fcc94b" TargetMode="External"/><Relationship Id="rId6" Type="http://schemas.openxmlformats.org/officeDocument/2006/relationships/hyperlink" Target="https://jam.dev/c/02f0ee26-25df-4861-9a84-256bec795fb8" TargetMode="External"/><Relationship Id="rId7" Type="http://schemas.openxmlformats.org/officeDocument/2006/relationships/hyperlink" Target="https://jam.dev/c/60314134-5f05-4393-bc1e-6816c5e93243" TargetMode="External"/><Relationship Id="rId8" Type="http://schemas.openxmlformats.org/officeDocument/2006/relationships/hyperlink" Target="https://jam.dev/c/48876bd6-b655-4460-a4d3-3b8933ef305e" TargetMode="External"/><Relationship Id="rId10"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20.25"/>
    <col customWidth="1" min="3" max="3" width="14.0"/>
    <col customWidth="1" min="4" max="4" width="24.5"/>
    <col customWidth="1" min="5" max="5" width="16.13"/>
    <col customWidth="1" min="6" max="6" width="20.0"/>
    <col customWidth="1" min="7" max="7" width="15.5"/>
    <col customWidth="1" min="8" max="8" width="19.88"/>
    <col customWidth="1" min="9" max="9" width="16.25"/>
    <col customWidth="1" min="10" max="10" width="14.13"/>
    <col customWidth="1" min="12" max="12" width="17.63"/>
    <col customWidth="1" min="13" max="13" width="18.75"/>
    <col customWidth="1" min="14" max="15" width="15.25"/>
  </cols>
  <sheetData>
    <row r="1">
      <c r="A1" s="1"/>
      <c r="B1" s="1"/>
      <c r="C1" s="1"/>
      <c r="D1" s="1"/>
      <c r="E1" s="1"/>
      <c r="F1" s="1"/>
      <c r="G1" s="1"/>
      <c r="H1" s="1"/>
      <c r="I1" s="1"/>
      <c r="J1" s="1"/>
      <c r="K1" s="1"/>
      <c r="L1" s="1"/>
      <c r="M1" s="1"/>
      <c r="N1" s="1"/>
      <c r="O1" s="1"/>
    </row>
    <row r="2">
      <c r="A2" s="2" t="s">
        <v>0</v>
      </c>
      <c r="B2" s="3" t="s">
        <v>1</v>
      </c>
      <c r="C2" s="1"/>
      <c r="D2" s="4" t="s">
        <v>2</v>
      </c>
      <c r="E2" s="4" t="s">
        <v>3</v>
      </c>
      <c r="F2" s="1"/>
      <c r="G2" s="1"/>
      <c r="H2" s="5"/>
      <c r="I2" s="5"/>
      <c r="J2" s="5"/>
      <c r="K2" s="5"/>
      <c r="L2" s="5"/>
      <c r="M2" s="5"/>
      <c r="N2" s="1"/>
      <c r="O2" s="1"/>
    </row>
    <row r="3">
      <c r="A3" s="2" t="s">
        <v>4</v>
      </c>
      <c r="B3" s="6" t="s">
        <v>5</v>
      </c>
      <c r="C3" s="1"/>
      <c r="D3" s="7" t="s">
        <v>6</v>
      </c>
      <c r="E3" s="7">
        <f>COUNTIF(Tahsin!K14:K1006, "High") + COUNTIF(Fahad!K8:K1004, "High")</f>
        <v>18</v>
      </c>
      <c r="F3" s="1"/>
      <c r="G3" s="1"/>
      <c r="H3" s="1"/>
      <c r="I3" s="1"/>
      <c r="J3" s="1"/>
      <c r="K3" s="1"/>
      <c r="L3" s="1"/>
      <c r="M3" s="1"/>
      <c r="N3" s="1"/>
      <c r="O3" s="1"/>
    </row>
    <row r="4">
      <c r="A4" s="2" t="s">
        <v>7</v>
      </c>
      <c r="B4" s="8" t="s">
        <v>8</v>
      </c>
      <c r="C4" s="1"/>
      <c r="D4" s="7" t="s">
        <v>9</v>
      </c>
      <c r="E4" s="7">
        <f>COUNTIF(Tahsin!K14:K1007, "Medium") + COUNTIF(Fahad!K8:K1005, "Medium")</f>
        <v>13</v>
      </c>
      <c r="F4" s="1"/>
      <c r="G4" s="1"/>
      <c r="H4" s="1"/>
      <c r="I4" s="1"/>
      <c r="J4" s="1"/>
      <c r="K4" s="1"/>
      <c r="L4" s="1"/>
      <c r="M4" s="1"/>
      <c r="N4" s="1"/>
      <c r="O4" s="1"/>
    </row>
    <row r="5">
      <c r="A5" s="2" t="s">
        <v>10</v>
      </c>
      <c r="B5" s="9" t="s">
        <v>11</v>
      </c>
      <c r="C5" s="1"/>
      <c r="D5" s="7" t="s">
        <v>12</v>
      </c>
      <c r="E5" s="7">
        <f>COUNTIF(Fahad!K8:K1006, "Low") + COUNTIF(Tahsin!K14:K1010, "Low")</f>
        <v>3</v>
      </c>
      <c r="F5" s="1"/>
      <c r="G5" s="1"/>
      <c r="H5" s="1"/>
      <c r="I5" s="1"/>
      <c r="J5" s="1"/>
      <c r="K5" s="1"/>
      <c r="L5" s="1"/>
      <c r="M5" s="1"/>
      <c r="N5" s="1"/>
      <c r="O5" s="1"/>
    </row>
    <row r="6">
      <c r="A6" s="2" t="s">
        <v>13</v>
      </c>
      <c r="B6" s="10"/>
      <c r="C6" s="1"/>
      <c r="D6" s="1"/>
      <c r="E6" s="1"/>
      <c r="F6" s="1"/>
      <c r="G6" s="1"/>
      <c r="H6" s="1"/>
      <c r="I6" s="1"/>
      <c r="J6" s="1"/>
      <c r="K6" s="1"/>
      <c r="L6" s="1"/>
      <c r="M6" s="1"/>
      <c r="N6" s="1"/>
      <c r="O6" s="1"/>
    </row>
    <row r="7">
      <c r="A7" s="11" t="s">
        <v>14</v>
      </c>
      <c r="B7" s="10"/>
      <c r="C7" s="1"/>
      <c r="D7" s="12" t="s">
        <v>15</v>
      </c>
      <c r="E7" s="13">
        <f>SUM(E3:E5)</f>
        <v>34</v>
      </c>
      <c r="F7" s="1"/>
      <c r="G7" s="1"/>
      <c r="H7" s="1"/>
      <c r="I7" s="1"/>
      <c r="J7" s="1"/>
      <c r="K7" s="1"/>
      <c r="L7" s="1"/>
      <c r="M7" s="1"/>
      <c r="N7" s="1"/>
      <c r="O7" s="1"/>
    </row>
    <row r="8">
      <c r="A8" s="1"/>
      <c r="B8" s="1"/>
      <c r="C8" s="1"/>
      <c r="D8" s="12" t="s">
        <v>16</v>
      </c>
      <c r="E8" s="13">
        <f>COUNTIF(N11:N1003, "Solved")</f>
        <v>0</v>
      </c>
      <c r="F8" s="1"/>
      <c r="G8" s="1"/>
      <c r="H8" s="1"/>
      <c r="I8" s="1"/>
      <c r="J8" s="1"/>
      <c r="K8" s="1"/>
      <c r="L8" s="1"/>
      <c r="M8" s="1"/>
      <c r="N8" s="1"/>
      <c r="O8" s="1"/>
    </row>
    <row r="9">
      <c r="A9" s="1"/>
      <c r="B9" s="1"/>
      <c r="C9" s="1"/>
      <c r="D9" s="1"/>
      <c r="E9" s="1"/>
      <c r="F9" s="1"/>
      <c r="G9" s="1"/>
      <c r="H9" s="1"/>
      <c r="I9" s="1"/>
      <c r="J9" s="1"/>
      <c r="K9" s="1"/>
      <c r="L9" s="1"/>
      <c r="M9" s="1"/>
      <c r="N9" s="1"/>
      <c r="O9" s="1"/>
    </row>
    <row r="10">
      <c r="A10" s="14" t="s">
        <v>17</v>
      </c>
      <c r="B10" s="14" t="s">
        <v>18</v>
      </c>
      <c r="C10" s="14" t="s">
        <v>19</v>
      </c>
      <c r="D10" s="14" t="s">
        <v>20</v>
      </c>
      <c r="E10" s="14" t="s">
        <v>21</v>
      </c>
      <c r="F10" s="14" t="s">
        <v>22</v>
      </c>
      <c r="G10" s="14" t="s">
        <v>23</v>
      </c>
      <c r="H10" s="14" t="s">
        <v>24</v>
      </c>
      <c r="I10" s="14" t="s">
        <v>25</v>
      </c>
      <c r="J10" s="14" t="s">
        <v>26</v>
      </c>
      <c r="K10" s="14" t="s">
        <v>2</v>
      </c>
      <c r="L10" s="14" t="s">
        <v>27</v>
      </c>
      <c r="M10" s="14" t="s">
        <v>28</v>
      </c>
      <c r="N10" s="15" t="s">
        <v>29</v>
      </c>
      <c r="O10" s="15" t="s">
        <v>30</v>
      </c>
      <c r="P10" s="16"/>
      <c r="Q10" s="16"/>
      <c r="R10" s="16"/>
      <c r="S10" s="16"/>
      <c r="T10" s="16"/>
      <c r="U10" s="16"/>
      <c r="V10" s="16"/>
      <c r="W10" s="16"/>
      <c r="X10" s="16"/>
      <c r="Y10" s="16"/>
      <c r="Z10" s="16"/>
      <c r="AA10" s="16"/>
    </row>
    <row r="11">
      <c r="A11" s="17" t="s">
        <v>31</v>
      </c>
      <c r="B11" s="18" t="str">
        <f>IFERROR(__xludf.DUMMYFUNCTION("QUERY(
  {
    ARRAYFORMULA({TRIM(Fahad!B8:B999), Fahad!C8:M999, IF(LEN(Fahad!B8:B999), ""Fahad"", """")});
    ARRAYFORMULA({TRIM(Tahsin!B15:B999), Tahsin!C15:M999, IF(LEN(Tahsin!B15:B999), ""Tahsin"", """")})
  },
  ""SELECT * WHERE Col1 IS NOT NULL ORD"&amp;"ER BY Col1 ASC, Col2 ASC"",
  0
)
"),"Authentication")</f>
        <v>Authentication</v>
      </c>
      <c r="C11" s="18" t="str">
        <f>IFERROR(__xludf.DUMMYFUNCTION("""COMPUTED_VALUE"""),"Forgot Password")</f>
        <v>Forgot Password</v>
      </c>
      <c r="D11" s="18" t="str">
        <f>IFERROR(__xludf.DUMMYFUNCTION("""COMPUTED_VALUE"""),"Verify system response when entering OTP during password reset")</f>
        <v>Verify system response when entering OTP during password reset</v>
      </c>
      <c r="E11" s="18" t="str">
        <f>IFERROR(__xludf.DUMMYFUNCTION("""COMPUTED_VALUE"""),"User is on Forgot Password page and has requested an OTP (not received)")</f>
        <v>User is on Forgot Password page and has requested an OTP (not received)</v>
      </c>
      <c r="F11" s="18" t="str">
        <f>IFERROR(__xludf.DUMMYFUNCTION("""COMPUTED_VALUE"""),"1. Navigate to Forgot Password page 
2. Enter registered email 
3. Click 'Continue' 
4. Input a dummy OTP 
5. Click 'Continue' button")</f>
        <v>1. Navigate to Forgot Password page 
2. Enter registered email 
3. Click 'Continue' 
4. Input a dummy OTP 
5. Click 'Continue' button</v>
      </c>
      <c r="G11" s="18" t="str">
        <f>IFERROR(__xludf.DUMMYFUNCTION("""COMPUTED_VALUE""")," OTP = ""123456""")</f>
        <v> OTP = "123456"</v>
      </c>
      <c r="H11" s="18" t="str">
        <f>IFERROR(__xludf.DUMMYFUNCTION("""COMPUTED_VALUE"""),"System should display an error for invalid OTP or success message for valid OTP")</f>
        <v>System should display an error for invalid OTP or success message for valid OTP</v>
      </c>
      <c r="I11" s="18" t="str">
        <f>IFERROR(__xludf.DUMMYFUNCTION("""COMPUTED_VALUE"""),"No response shown after clicking Continue (neither success nor error message)")</f>
        <v>No response shown after clicking Continue (neither success nor error message)</v>
      </c>
      <c r="J11" s="18" t="str">
        <f>IFERROR(__xludf.DUMMYFUNCTION("""COMPUTED_VALUE"""),"Fail")</f>
        <v>Fail</v>
      </c>
      <c r="K11" s="18" t="str">
        <f>IFERROR(__xludf.DUMMYFUNCTION("""COMPUTED_VALUE"""),"High")</f>
        <v>High</v>
      </c>
      <c r="L11" s="19" t="str">
        <f>IFERROR(__xludf.DUMMYFUNCTION("""COMPUTED_VALUE"""),"https://jam.dev/c/55e8284e-72e9-4517-b73f-2b70517f2f46")</f>
        <v>https://jam.dev/c/55e8284e-72e9-4517-b73f-2b70517f2f46</v>
      </c>
      <c r="M11" s="18"/>
      <c r="N11" s="17" t="str">
        <f>IFERROR(__xludf.DUMMYFUNCTION("""COMPUTED_VALUE"""),"Tahsin")</f>
        <v>Tahsin</v>
      </c>
      <c r="O11" s="17"/>
      <c r="P11" s="20"/>
      <c r="Q11" s="20"/>
      <c r="R11" s="20"/>
      <c r="S11" s="20"/>
      <c r="T11" s="20"/>
      <c r="U11" s="20"/>
      <c r="V11" s="20"/>
      <c r="W11" s="20"/>
      <c r="X11" s="20"/>
      <c r="Y11" s="20"/>
      <c r="Z11" s="20"/>
      <c r="AA11" s="20"/>
    </row>
    <row r="12">
      <c r="A12" s="17" t="s">
        <v>32</v>
      </c>
      <c r="B12" s="18" t="str">
        <f>IFERROR(__xludf.DUMMYFUNCTION("""COMPUTED_VALUE"""),"Authentication")</f>
        <v>Authentication</v>
      </c>
      <c r="C12" s="18" t="str">
        <f>IFERROR(__xludf.DUMMYFUNCTION("""COMPUTED_VALUE"""),"Forgot Password")</f>
        <v>Forgot Password</v>
      </c>
      <c r="D12" s="18" t="str">
        <f>IFERROR(__xludf.DUMMYFUNCTION("""COMPUTED_VALUE"""),"Verify OTP is delivered to user email during password reset")</f>
        <v>Verify OTP is delivered to user email during password reset</v>
      </c>
      <c r="E12" s="18" t="str">
        <f>IFERROR(__xludf.DUMMYFUNCTION("""COMPUTED_VALUE"""),"User has a registered email and is on Forgot Password page")</f>
        <v>User has a registered email and is on Forgot Password page</v>
      </c>
      <c r="F12" s="18" t="str">
        <f>IFERROR(__xludf.DUMMYFUNCTION("""COMPUTED_VALUE"""),"1. Navigate to Forgot Password page 
2. Enter registered email 
3. Click on 'Continue' button")</f>
        <v>1. Navigate to Forgot Password page 
2. Enter registered email 
3. Click on 'Continue' button</v>
      </c>
      <c r="G12" s="18" t="str">
        <f>IFERROR(__xludf.DUMMYFUNCTION("""COMPUTED_VALUE"""),"Email = ""tahsinahmmed2063@gmail.com""")</f>
        <v>Email = "tahsinahmmed2063@gmail.com"</v>
      </c>
      <c r="H12" s="18" t="str">
        <f>IFERROR(__xludf.DUMMYFUNCTION("""COMPUTED_VALUE"""),"System should send an OTP to the registered email and display confirmation message")</f>
        <v>System should send an OTP to the registered email and display confirmation message</v>
      </c>
      <c r="I12" s="18" t="str">
        <f>IFERROR(__xludf.DUMMYFUNCTION("""COMPUTED_VALUE"""),"Confirmation message shown but no OTP received in email")</f>
        <v>Confirmation message shown but no OTP received in email</v>
      </c>
      <c r="J12" s="18" t="str">
        <f>IFERROR(__xludf.DUMMYFUNCTION("""COMPUTED_VALUE"""),"Fail")</f>
        <v>Fail</v>
      </c>
      <c r="K12" s="18" t="str">
        <f>IFERROR(__xludf.DUMMYFUNCTION("""COMPUTED_VALUE"""),"High")</f>
        <v>High</v>
      </c>
      <c r="L12" s="19" t="str">
        <f>IFERROR(__xludf.DUMMYFUNCTION("""COMPUTED_VALUE"""),"https://jam.dev/c/01d5ee03-293e-4e17-a934-91c7b0fcc94b")</f>
        <v>https://jam.dev/c/01d5ee03-293e-4e17-a934-91c7b0fcc94b</v>
      </c>
      <c r="M12" s="18"/>
      <c r="N12" s="18" t="str">
        <f>IFERROR(__xludf.DUMMYFUNCTION("""COMPUTED_VALUE"""),"Tahsin")</f>
        <v>Tahsin</v>
      </c>
      <c r="O12" s="17"/>
      <c r="P12" s="20"/>
      <c r="Q12" s="20"/>
      <c r="R12" s="20"/>
      <c r="S12" s="20"/>
      <c r="T12" s="20"/>
      <c r="U12" s="20"/>
      <c r="V12" s="20"/>
      <c r="W12" s="20"/>
      <c r="X12" s="20"/>
      <c r="Y12" s="20"/>
      <c r="Z12" s="20"/>
      <c r="AA12" s="20"/>
    </row>
    <row r="13">
      <c r="A13" s="17" t="s">
        <v>33</v>
      </c>
      <c r="B13" s="18" t="str">
        <f>IFERROR(__xludf.DUMMYFUNCTION("""COMPUTED_VALUE"""),"Authentication")</f>
        <v>Authentication</v>
      </c>
      <c r="C13" s="18" t="str">
        <f>IFERROR(__xludf.DUMMYFUNCTION("""COMPUTED_VALUE"""),"Registration")</f>
        <v>Registration</v>
      </c>
      <c r="D13" s="18" t="str">
        <f>IFERROR(__xludf.DUMMYFUNCTION("""COMPUTED_VALUE"""),"Verify presence of Confirm Password field in registration form")</f>
        <v>Verify presence of Confirm Password field in registration form</v>
      </c>
      <c r="E13" s="18" t="str">
        <f>IFERROR(__xludf.DUMMYFUNCTION("""COMPUTED_VALUE"""),"User is on Registration page")</f>
        <v>User is on Registration page</v>
      </c>
      <c r="F13" s="18" t="str">
        <f>IFERROR(__xludf.DUMMYFUNCTION("""COMPUTED_VALUE"""),"1. Navigate to Registration page 
2. Check the form fields")</f>
        <v>1. Navigate to Registration page 
2. Check the form fields</v>
      </c>
      <c r="G13" s="18" t="str">
        <f>IFERROR(__xludf.DUMMYFUNCTION("""COMPUTED_VALUE"""),"N/A")</f>
        <v>N/A</v>
      </c>
      <c r="H13" s="18" t="str">
        <f>IFERROR(__xludf.DUMMYFUNCTION("""COMPUTED_VALUE"""),"Registration form should contain a ""Confirm Password"" or ""Re-enter Password"" field to validate password input")</f>
        <v>Registration form should contain a "Confirm Password" or "Re-enter Password" field to validate password input</v>
      </c>
      <c r="I13" s="18" t="str">
        <f>IFERROR(__xludf.DUMMYFUNCTION("""COMPUTED_VALUE"""),"No Confirm Password field available in the registration form")</f>
        <v>No Confirm Password field available in the registration form</v>
      </c>
      <c r="J13" s="18" t="str">
        <f>IFERROR(__xludf.DUMMYFUNCTION("""COMPUTED_VALUE"""),"Fail")</f>
        <v>Fail</v>
      </c>
      <c r="K13" s="18" t="str">
        <f>IFERROR(__xludf.DUMMYFUNCTION("""COMPUTED_VALUE"""),"Medium")</f>
        <v>Medium</v>
      </c>
      <c r="L13" s="19" t="str">
        <f>IFERROR(__xludf.DUMMYFUNCTION("""COMPUTED_VALUE"""),"https://jam.dev/c/4ce13987-abfa-4935-ac0b-57f069a91bfa")</f>
        <v>https://jam.dev/c/4ce13987-abfa-4935-ac0b-57f069a91bfa</v>
      </c>
      <c r="M13" s="18"/>
      <c r="N13" s="18" t="str">
        <f>IFERROR(__xludf.DUMMYFUNCTION("""COMPUTED_VALUE"""),"Tahsin")</f>
        <v>Tahsin</v>
      </c>
      <c r="O13" s="18"/>
      <c r="P13" s="20"/>
      <c r="Q13" s="20"/>
      <c r="R13" s="20"/>
      <c r="S13" s="20"/>
      <c r="T13" s="20"/>
      <c r="U13" s="20"/>
      <c r="V13" s="20"/>
      <c r="W13" s="20"/>
      <c r="X13" s="20"/>
      <c r="Y13" s="20"/>
      <c r="Z13" s="20"/>
      <c r="AA13" s="20"/>
    </row>
    <row r="14">
      <c r="A14" s="17" t="s">
        <v>34</v>
      </c>
      <c r="B14" s="18" t="str">
        <f>IFERROR(__xludf.DUMMYFUNCTION("""COMPUTED_VALUE"""),"Authentication")</f>
        <v>Authentication</v>
      </c>
      <c r="C14" s="18" t="str">
        <f>IFERROR(__xludf.DUMMYFUNCTION("""COMPUTED_VALUE"""),"Registration")</f>
        <v>Registration</v>
      </c>
      <c r="D14" s="18" t="str">
        <f>IFERROR(__xludf.DUMMYFUNCTION("""COMPUTED_VALUE"""),"Validate Name field does not accept numbers or special characters")</f>
        <v>Validate Name field does not accept numbers or special characters</v>
      </c>
      <c r="E14" s="18" t="str">
        <f>IFERROR(__xludf.DUMMYFUNCTION("""COMPUTED_VALUE"""),"User is on Registration page")</f>
        <v>User is on Registration page</v>
      </c>
      <c r="F14" s="18" t="str">
        <f>IFERROR(__xludf.DUMMYFUNCTION("""COMPUTED_VALUE"""),"1. Navigate to Registration page 
2. Enter numbers or special characters in Name field 
3. Try to submit the form")</f>
        <v>1. Navigate to Registration page 
2. Enter numbers or special characters in Name field 
3. Try to submit the form</v>
      </c>
      <c r="G14" s="18" t="str">
        <f>IFERROR(__xludf.DUMMYFUNCTION("""COMPUTED_VALUE"""),"Name = ""1234""")</f>
        <v>Name = "1234"</v>
      </c>
      <c r="H14" s="18" t="str">
        <f>IFERROR(__xludf.DUMMYFUNCTION("""COMPUTED_VALUE"""),"System should show validation error and not accept invalid Name input")</f>
        <v>System should show validation error and not accept invalid Name input</v>
      </c>
      <c r="I14" s="18" t="str">
        <f>IFERROR(__xludf.DUMMYFUNCTION("""COMPUTED_VALUE"""),"Name field accepts numbers and special characters")</f>
        <v>Name field accepts numbers and special characters</v>
      </c>
      <c r="J14" s="18" t="str">
        <f>IFERROR(__xludf.DUMMYFUNCTION("""COMPUTED_VALUE"""),"Fail")</f>
        <v>Fail</v>
      </c>
      <c r="K14" s="18" t="str">
        <f>IFERROR(__xludf.DUMMYFUNCTION("""COMPUTED_VALUE"""),"High")</f>
        <v>High</v>
      </c>
      <c r="L14" s="19" t="str">
        <f>IFERROR(__xludf.DUMMYFUNCTION("""COMPUTED_VALUE"""),"https://jam.dev/c/ee2b820c-2680-46e8-ab6a-c5bf37f4431c")</f>
        <v>https://jam.dev/c/ee2b820c-2680-46e8-ab6a-c5bf37f4431c</v>
      </c>
      <c r="M14" s="18"/>
      <c r="N14" s="18" t="str">
        <f>IFERROR(__xludf.DUMMYFUNCTION("""COMPUTED_VALUE"""),"Tahsin")</f>
        <v>Tahsin</v>
      </c>
      <c r="O14" s="18"/>
      <c r="P14" s="20"/>
      <c r="Q14" s="20"/>
      <c r="R14" s="20"/>
      <c r="S14" s="20"/>
      <c r="T14" s="20"/>
      <c r="U14" s="20"/>
      <c r="V14" s="20"/>
      <c r="W14" s="20"/>
      <c r="X14" s="20"/>
      <c r="Y14" s="20"/>
      <c r="Z14" s="20"/>
      <c r="AA14" s="20"/>
    </row>
    <row r="15">
      <c r="A15" s="17" t="s">
        <v>35</v>
      </c>
      <c r="B15" s="18" t="str">
        <f>IFERROR(__xludf.DUMMYFUNCTION("""COMPUTED_VALUE"""),"Authentication")</f>
        <v>Authentication</v>
      </c>
      <c r="C15" s="18" t="str">
        <f>IFERROR(__xludf.DUMMYFUNCTION("""COMPUTED_VALUE"""),"Registration")</f>
        <v>Registration</v>
      </c>
      <c r="D15" s="18" t="str">
        <f>IFERROR(__xludf.DUMMYFUNCTION("""COMPUTED_VALUE"""),"Verify email authentication requires OTP verification during registration")</f>
        <v>Verify email authentication requires OTP verification during registration</v>
      </c>
      <c r="E15" s="18" t="str">
        <f>IFERROR(__xludf.DUMMYFUNCTION("""COMPUTED_VALUE"""),"User is on Registration page with valid email")</f>
        <v>User is on Registration page with valid email</v>
      </c>
      <c r="F15" s="18" t="str">
        <f>IFERROR(__xludf.DUMMYFUNCTION("""COMPUTED_VALUE"""),"1. Navigate to Registration page 
2. Enter valid registration details 
3. Submit the form")</f>
        <v>1. Navigate to Registration page 
2. Enter valid registration details 
3. Submit the form</v>
      </c>
      <c r="G15" s="18" t="str">
        <f>IFERROR(__xludf.DUMMYFUNCTION("""COMPUTED_VALUE"""),"Email = ""test@example.com""")</f>
        <v>Email = "test@example.com"</v>
      </c>
      <c r="H15" s="18" t="str">
        <f>IFERROR(__xludf.DUMMYFUNCTION("""COMPUTED_VALUE"""),"System should send an OTP to the provided email and require verification before confirming registration")</f>
        <v>System should send an OTP to the provided email and require verification before confirming registration</v>
      </c>
      <c r="I15" s="18" t="str">
        <f>IFERROR(__xludf.DUMMYFUNCTION("""COMPUTED_VALUE"""),"System directly confirms registration without OTP verification")</f>
        <v>System directly confirms registration without OTP verification</v>
      </c>
      <c r="J15" s="18" t="str">
        <f>IFERROR(__xludf.DUMMYFUNCTION("""COMPUTED_VALUE"""),"Fail")</f>
        <v>Fail</v>
      </c>
      <c r="K15" s="18" t="str">
        <f>IFERROR(__xludf.DUMMYFUNCTION("""COMPUTED_VALUE"""),"High")</f>
        <v>High</v>
      </c>
      <c r="L15" s="19" t="str">
        <f>IFERROR(__xludf.DUMMYFUNCTION("""COMPUTED_VALUE"""),"https://jam.dev/c/ee2b820c-2680-46e8-ab6a-c5bf37f4431c")</f>
        <v>https://jam.dev/c/ee2b820c-2680-46e8-ab6a-c5bf37f4431c</v>
      </c>
      <c r="M15" s="18"/>
      <c r="N15" s="18" t="str">
        <f>IFERROR(__xludf.DUMMYFUNCTION("""COMPUTED_VALUE"""),"Tahsin")</f>
        <v>Tahsin</v>
      </c>
      <c r="O15" s="18"/>
      <c r="P15" s="20"/>
      <c r="Q15" s="20"/>
      <c r="R15" s="20"/>
      <c r="S15" s="20"/>
      <c r="T15" s="20"/>
      <c r="U15" s="20"/>
      <c r="V15" s="20"/>
      <c r="W15" s="20"/>
      <c r="X15" s="20"/>
      <c r="Y15" s="20"/>
      <c r="Z15" s="20"/>
      <c r="AA15" s="20"/>
    </row>
    <row r="16">
      <c r="A16" s="17" t="s">
        <v>36</v>
      </c>
      <c r="B16" s="18" t="str">
        <f>IFERROR(__xludf.DUMMYFUNCTION("""COMPUTED_VALUE"""),"Authentication")</f>
        <v>Authentication</v>
      </c>
      <c r="C16" s="18" t="str">
        <f>IFERROR(__xludf.DUMMYFUNCTION("""COMPUTED_VALUE"""),"Registration")</f>
        <v>Registration</v>
      </c>
      <c r="D16" s="18" t="str">
        <f>IFERROR(__xludf.DUMMYFUNCTION("""COMPUTED_VALUE"""),"Verify password field enforces validation rules (min 8 characters, mix of letters, numbers, special chars)")</f>
        <v>Verify password field enforces validation rules (min 8 characters, mix of letters, numbers, special chars)</v>
      </c>
      <c r="E16" s="18" t="str">
        <f>IFERROR(__xludf.DUMMYFUNCTION("""COMPUTED_VALUE"""),"User is on Registration page")</f>
        <v>User is on Registration page</v>
      </c>
      <c r="F16" s="18" t="str">
        <f>IFERROR(__xludf.DUMMYFUNCTION("""COMPUTED_VALUE"""),"1. Navigate to Registration page 
2. Enter weak passwords (less than 8 chars, only letters, only numbers, etc.) →
3. Submit the form")</f>
        <v>1. Navigate to Registration page 
2. Enter weak passwords (less than 8 chars, only letters, only numbers, etc.) →
3. Submit the form</v>
      </c>
      <c r="G16" s="18" t="str">
        <f>IFERROR(__xludf.DUMMYFUNCTION("""COMPUTED_VALUE"""),"Password = ""12345"", Password = ""abcdef"", Password = ""abc123""")</f>
        <v>Password = "12345", Password = "abcdef", Password = "abc123"</v>
      </c>
      <c r="H16" s="18" t="str">
        <f>IFERROR(__xludf.DUMMYFUNCTION("""COMPUTED_VALUE"""),"System should display validation errors for weak passwords and not allow submission")</f>
        <v>System should display validation errors for weak passwords and not allow submission</v>
      </c>
      <c r="I16" s="18" t="str">
        <f>IFERROR(__xludf.DUMMYFUNCTION("""COMPUTED_VALUE"""),"Password field accepts weak passwords without validation")</f>
        <v>Password field accepts weak passwords without validation</v>
      </c>
      <c r="J16" s="18" t="str">
        <f>IFERROR(__xludf.DUMMYFUNCTION("""COMPUTED_VALUE"""),"Fail")</f>
        <v>Fail</v>
      </c>
      <c r="K16" s="18" t="str">
        <f>IFERROR(__xludf.DUMMYFUNCTION("""COMPUTED_VALUE"""),"High")</f>
        <v>High</v>
      </c>
      <c r="L16" s="18"/>
      <c r="M16" s="18"/>
      <c r="N16" s="18" t="str">
        <f>IFERROR(__xludf.DUMMYFUNCTION("""COMPUTED_VALUE"""),"Tahsin")</f>
        <v>Tahsin</v>
      </c>
      <c r="O16" s="18"/>
      <c r="P16" s="20"/>
      <c r="Q16" s="20"/>
      <c r="R16" s="20"/>
      <c r="S16" s="20"/>
      <c r="T16" s="20"/>
      <c r="U16" s="20"/>
      <c r="V16" s="20"/>
      <c r="W16" s="20"/>
      <c r="X16" s="20"/>
      <c r="Y16" s="20"/>
      <c r="Z16" s="20"/>
      <c r="AA16" s="20"/>
    </row>
    <row r="17">
      <c r="A17" s="17" t="s">
        <v>37</v>
      </c>
      <c r="B17" s="18" t="str">
        <f>IFERROR(__xludf.DUMMYFUNCTION("""COMPUTED_VALUE"""),"Authentication")</f>
        <v>Authentication</v>
      </c>
      <c r="C17" s="18" t="str">
        <f>IFERROR(__xludf.DUMMYFUNCTION("""COMPUTED_VALUE"""),"Registration")</f>
        <v>Registration</v>
      </c>
      <c r="D17" s="18" t="str">
        <f>IFERROR(__xludf.DUMMYFUNCTION("""COMPUTED_VALUE"""),"Verify system prevents registration with duplicate email")</f>
        <v>Verify system prevents registration with duplicate email</v>
      </c>
      <c r="E17" s="18" t="str">
        <f>IFERROR(__xludf.DUMMYFUNCTION("""COMPUTED_VALUE"""),"User is on Registration page and email is already registered")</f>
        <v>User is on Registration page and email is already registered</v>
      </c>
      <c r="F17" s="18" t="str">
        <f>IFERROR(__xludf.DUMMYFUNCTION("""COMPUTED_VALUE"""),"1. Navigate to Registration page 
2. Enter all valid registration details with an email already in the system 
3. Submit the form")</f>
        <v>1. Navigate to Registration page 
2. Enter all valid registration details with an email already in the system 
3. Submit the form</v>
      </c>
      <c r="G17" s="18" t="str">
        <f>IFERROR(__xludf.DUMMYFUNCTION("""COMPUTED_VALUE"""),"Email = ""tahsinahmmed2063@gmail.com""")</f>
        <v>Email = "tahsinahmmed2063@gmail.com"</v>
      </c>
      <c r="H17" s="18" t="str">
        <f>IFERROR(__xludf.DUMMYFUNCTION("""COMPUTED_VALUE"""),"System should show an error indicating the email is already registered and prevent submission")</f>
        <v>System should show an error indicating the email is already registered and prevent submission</v>
      </c>
      <c r="I17" s="18" t="str">
        <f>IFERROR(__xludf.DUMMYFUNCTION("""COMPUTED_VALUE"""),"System allows registration with duplicate email")</f>
        <v>System allows registration with duplicate email</v>
      </c>
      <c r="J17" s="18" t="str">
        <f>IFERROR(__xludf.DUMMYFUNCTION("""COMPUTED_VALUE"""),"Fail")</f>
        <v>Fail</v>
      </c>
      <c r="K17" s="18" t="str">
        <f>IFERROR(__xludf.DUMMYFUNCTION("""COMPUTED_VALUE"""),"High")</f>
        <v>High</v>
      </c>
      <c r="L17" s="18"/>
      <c r="M17" s="18"/>
      <c r="N17" s="18" t="str">
        <f>IFERROR(__xludf.DUMMYFUNCTION("""COMPUTED_VALUE"""),"Tahsin")</f>
        <v>Tahsin</v>
      </c>
      <c r="O17" s="18"/>
      <c r="P17" s="20"/>
      <c r="Q17" s="20"/>
      <c r="R17" s="20"/>
      <c r="S17" s="20"/>
      <c r="T17" s="20"/>
      <c r="U17" s="20"/>
      <c r="V17" s="20"/>
      <c r="W17" s="20"/>
      <c r="X17" s="20"/>
      <c r="Y17" s="20"/>
      <c r="Z17" s="20"/>
      <c r="AA17" s="20"/>
    </row>
    <row r="18">
      <c r="A18" s="17" t="s">
        <v>38</v>
      </c>
      <c r="B18" s="18" t="str">
        <f>IFERROR(__xludf.DUMMYFUNCTION("""COMPUTED_VALUE"""),"Dashboard")</f>
        <v>Dashboard</v>
      </c>
      <c r="C18" s="18" t="str">
        <f>IFERROR(__xludf.DUMMYFUNCTION("""COMPUTED_VALUE"""),"Company Profile")</f>
        <v>Company Profile</v>
      </c>
      <c r="D18" s="18" t="str">
        <f>IFERROR(__xludf.DUMMYFUNCTION("""COMPUTED_VALUE"""),"Unable to register the company profile.")</f>
        <v>Unable to register the company profile.</v>
      </c>
      <c r="E18" s="18" t="str">
        <f>IFERROR(__xludf.DUMMYFUNCTION("""COMPUTED_VALUE"""),"User need to use a browser like Chrome, Firefox, Brave, etc.")</f>
        <v>User need to use a browser like Chrome, Firefox, Brave, etc.</v>
      </c>
      <c r="F18" s="18" t="str">
        <f>IFERROR(__xludf.DUMMYFUNCTION("""COMPUTED_VALUE"""),"1. Open the link.  
2. Log in with valid credentials.  
3. Go to the Dashboard
4. Click on Company profile")</f>
        <v>1. Open the link.  
2. Log in with valid credentials.  
3. Go to the Dashboard
4. Click on Company profile</v>
      </c>
      <c r="G18" s="18" t="str">
        <f>IFERROR(__xludf.DUMMYFUNCTION("""COMPUTED_VALUE"""),"email: laxali4063@fursee.com
pass: 112244557788")</f>
        <v>email: laxali4063@fursee.com
pass: 112244557788</v>
      </c>
      <c r="H18" s="18" t="str">
        <f>IFERROR(__xludf.DUMMYFUNCTION("""COMPUTED_VALUE"""),"Users should be able to update their company profile successfully without hassle.")</f>
        <v>Users should be able to update their company profile successfully without hassle.</v>
      </c>
      <c r="I18" s="18" t="str">
        <f>IFERROR(__xludf.DUMMYFUNCTION("""COMPUTED_VALUE"""),"Unable to update the company profile after providing all the required information.")</f>
        <v>Unable to update the company profile after providing all the required information.</v>
      </c>
      <c r="J18" s="18" t="str">
        <f>IFERROR(__xludf.DUMMYFUNCTION("""COMPUTED_VALUE"""),"Fail")</f>
        <v>Fail</v>
      </c>
      <c r="K18" s="18" t="str">
        <f>IFERROR(__xludf.DUMMYFUNCTION("""COMPUTED_VALUE"""),"High")</f>
        <v>High</v>
      </c>
      <c r="L18" s="19" t="str">
        <f>IFERROR(__xludf.DUMMYFUNCTION("""COMPUTED_VALUE"""),"https://drive.google.com/file/d/1EWnM9-rIVFA4qEFpBF_o3bVGqjpyGzKm/view?usp=drive_link")</f>
        <v>https://drive.google.com/file/d/1EWnM9-rIVFA4qEFpBF_o3bVGqjpyGzKm/view?usp=drive_link</v>
      </c>
      <c r="M18" s="18"/>
      <c r="N18" s="18" t="str">
        <f>IFERROR(__xludf.DUMMYFUNCTION("""COMPUTED_VALUE"""),"Fahad")</f>
        <v>Fahad</v>
      </c>
      <c r="O18" s="18"/>
      <c r="P18" s="20"/>
      <c r="Q18" s="20"/>
      <c r="R18" s="20"/>
      <c r="S18" s="20"/>
      <c r="T18" s="20"/>
      <c r="U18" s="20"/>
      <c r="V18" s="20"/>
      <c r="W18" s="20"/>
      <c r="X18" s="20"/>
      <c r="Y18" s="20"/>
      <c r="Z18" s="20"/>
      <c r="AA18" s="20"/>
    </row>
    <row r="19">
      <c r="A19" s="17" t="s">
        <v>39</v>
      </c>
      <c r="B19" s="18" t="str">
        <f>IFERROR(__xludf.DUMMYFUNCTION("""COMPUTED_VALUE"""),"Dashboard")</f>
        <v>Dashboard</v>
      </c>
      <c r="C19" s="18" t="str">
        <f>IFERROR(__xludf.DUMMYFUNCTION("""COMPUTED_VALUE"""),"Company Profile")</f>
        <v>Company Profile</v>
      </c>
      <c r="D19" s="18" t="str">
        <f>IFERROR(__xludf.DUMMYFUNCTION("""COMPUTED_VALUE"""),"Verify contact number field shows specific validation error when invalid characters are entered")</f>
        <v>Verify contact number field shows specific validation error when invalid characters are entered</v>
      </c>
      <c r="E19" s="18" t="str">
        <f>IFERROR(__xludf.DUMMYFUNCTION("""COMPUTED_VALUE"""),"User is logged in and on Company Profile form")</f>
        <v>User is logged in and on Company Profile form</v>
      </c>
      <c r="F19" s="18" t="str">
        <f>IFERROR(__xludf.DUMMYFUNCTION("""COMPUTED_VALUE"""),"1. Navigate to Company Profile form 
2. Enter alphabetic or special characters in Contact Number field 
3. Click Save button")</f>
        <v>1. Navigate to Company Profile form 
2. Enter alphabetic or special characters in Contact Number field 
3. Click Save button</v>
      </c>
      <c r="G19" s="18" t="str">
        <f>IFERROR(__xludf.DUMMYFUNCTION("""COMPUTED_VALUE"""),"Contact Number = ""abcd123"", Contact Number = ""@#$%""")</f>
        <v>Contact Number = "abcd123", Contact Number = "@#$%"</v>
      </c>
      <c r="H19" s="18" t="str">
        <f>IFERROR(__xludf.DUMMYFUNCTION("""COMPUTED_VALUE"""),"System should display a clear validation error (e.g., ""Contact number must contain only digits"") and prevent saving")</f>
        <v>System should display a clear validation error (e.g., "Contact number must contain only digits") and prevent saving</v>
      </c>
      <c r="I19" s="18" t="str">
        <f>IFERROR(__xludf.DUMMYFUNCTION("""COMPUTED_VALUE"""),"System shows generic error ""An error occurred"" without specific validation message")</f>
        <v>System shows generic error "An error occurred" without specific validation message</v>
      </c>
      <c r="J19" s="18" t="str">
        <f>IFERROR(__xludf.DUMMYFUNCTION("""COMPUTED_VALUE"""),"Fail")</f>
        <v>Fail</v>
      </c>
      <c r="K19" s="18" t="str">
        <f>IFERROR(__xludf.DUMMYFUNCTION("""COMPUTED_VALUE"""),"Medium")</f>
        <v>Medium</v>
      </c>
      <c r="L19" s="19" t="str">
        <f>IFERROR(__xludf.DUMMYFUNCTION("""COMPUTED_VALUE"""),"https://jam.dev/c/60314134-5f05-4393-bc1e-6816c5e93243")</f>
        <v>https://jam.dev/c/60314134-5f05-4393-bc1e-6816c5e93243</v>
      </c>
      <c r="M19" s="18"/>
      <c r="N19" s="18" t="str">
        <f>IFERROR(__xludf.DUMMYFUNCTION("""COMPUTED_VALUE"""),"Tahsin")</f>
        <v>Tahsin</v>
      </c>
      <c r="O19" s="18"/>
      <c r="P19" s="20"/>
      <c r="Q19" s="20"/>
      <c r="R19" s="20"/>
      <c r="S19" s="20"/>
      <c r="T19" s="20"/>
      <c r="U19" s="20"/>
      <c r="V19" s="20"/>
      <c r="W19" s="20"/>
      <c r="X19" s="20"/>
      <c r="Y19" s="20"/>
      <c r="Z19" s="20"/>
      <c r="AA19" s="20"/>
    </row>
    <row r="20">
      <c r="A20" s="17" t="s">
        <v>40</v>
      </c>
      <c r="B20" s="18" t="str">
        <f>IFERROR(__xludf.DUMMYFUNCTION("""COMPUTED_VALUE"""),"Dashboard")</f>
        <v>Dashboard</v>
      </c>
      <c r="C20" s="18" t="str">
        <f>IFERROR(__xludf.DUMMYFUNCTION("""COMPUTED_VALUE"""),"Company Profile")</f>
        <v>Company Profile</v>
      </c>
      <c r="D20" s="18" t="str">
        <f>IFERROR(__xludf.DUMMYFUNCTION("""COMPUTED_VALUE"""),"Verify Owner/Admin Name field does not accept numbers or special characters")</f>
        <v>Verify Owner/Admin Name field does not accept numbers or special characters</v>
      </c>
      <c r="E20" s="18" t="str">
        <f>IFERROR(__xludf.DUMMYFUNCTION("""COMPUTED_VALUE"""),"User is logged in and on Company Profile form")</f>
        <v>User is logged in and on Company Profile form</v>
      </c>
      <c r="F20" s="18" t="str">
        <f>IFERROR(__xludf.DUMMYFUNCTION("""COMPUTED_VALUE"""),"1. Navigate to Company Profile form 
2. Enter numbers or special characters in Owner/Admin Name field 
3. Click Save button")</f>
        <v>1. Navigate to Company Profile form 
2. Enter numbers or special characters in Owner/Admin Name field 
3. Click Save button</v>
      </c>
      <c r="G20" s="18" t="str">
        <f>IFERROR(__xludf.DUMMYFUNCTION("""COMPUTED_VALUE"""),"Owner Name = ""12345""")</f>
        <v>Owner Name = "12345"</v>
      </c>
      <c r="H20" s="18" t="str">
        <f>IFERROR(__xludf.DUMMYFUNCTION("""COMPUTED_VALUE"""),"System should display a validation error and restrict Owner/Admin Name to alphabetic characters only")</f>
        <v>System should display a validation error and restrict Owner/Admin Name to alphabetic characters only</v>
      </c>
      <c r="I20" s="18" t="str">
        <f>IFERROR(__xludf.DUMMYFUNCTION("""COMPUTED_VALUE"""),"Owner/Admin Name field accepts numbers and special characters")</f>
        <v>Owner/Admin Name field accepts numbers and special characters</v>
      </c>
      <c r="J20" s="18" t="str">
        <f>IFERROR(__xludf.DUMMYFUNCTION("""COMPUTED_VALUE"""),"Fail")</f>
        <v>Fail</v>
      </c>
      <c r="K20" s="18" t="str">
        <f>IFERROR(__xludf.DUMMYFUNCTION("""COMPUTED_VALUE"""),"Medium")</f>
        <v>Medium</v>
      </c>
      <c r="L20" s="19" t="str">
        <f>IFERROR(__xludf.DUMMYFUNCTION("""COMPUTED_VALUE"""),"https://jam.dev/c/48876bd6-b655-4460-a4d3-3b8933ef305e")</f>
        <v>https://jam.dev/c/48876bd6-b655-4460-a4d3-3b8933ef305e</v>
      </c>
      <c r="M20" s="18"/>
      <c r="N20" s="18" t="str">
        <f>IFERROR(__xludf.DUMMYFUNCTION("""COMPUTED_VALUE"""),"Tahsin")</f>
        <v>Tahsin</v>
      </c>
      <c r="O20" s="18"/>
      <c r="P20" s="20"/>
      <c r="Q20" s="20"/>
      <c r="R20" s="20"/>
      <c r="S20" s="20"/>
      <c r="T20" s="20"/>
      <c r="U20" s="20"/>
      <c r="V20" s="20"/>
      <c r="W20" s="20"/>
      <c r="X20" s="20"/>
      <c r="Y20" s="20"/>
      <c r="Z20" s="20"/>
      <c r="AA20" s="20"/>
    </row>
    <row r="21">
      <c r="A21" s="17" t="s">
        <v>41</v>
      </c>
      <c r="B21" s="18" t="str">
        <f>IFERROR(__xludf.DUMMYFUNCTION("""COMPUTED_VALUE"""),"Dashboard")</f>
        <v>Dashboard</v>
      </c>
      <c r="C21" s="18" t="str">
        <f>IFERROR(__xludf.DUMMYFUNCTION("""COMPUTED_VALUE"""),"Company Profile")</f>
        <v>Company Profile</v>
      </c>
      <c r="D21" s="18" t="str">
        <f>IFERROR(__xludf.DUMMYFUNCTION("""COMPUTED_VALUE"""),"Verify Company Name field does not accept only special characters")</f>
        <v>Verify Company Name field does not accept only special characters</v>
      </c>
      <c r="E21" s="18" t="str">
        <f>IFERROR(__xludf.DUMMYFUNCTION("""COMPUTED_VALUE"""),"User is logged in and on Company Profile form")</f>
        <v>User is logged in and on Company Profile form</v>
      </c>
      <c r="F21" s="18" t="str">
        <f>IFERROR(__xludf.DUMMYFUNCTION("""COMPUTED_VALUE"""),"1. Navigate to Company Profile form 
2. Enter only special characters in Company Name field 
3. Click Save button")</f>
        <v>1. Navigate to Company Profile form 
2. Enter only special characters in Company Name field 
3. Click Save button</v>
      </c>
      <c r="G21" s="18" t="str">
        <f>IFERROR(__xludf.DUMMYFUNCTION("""COMPUTED_VALUE"""),"Company Name = ""@@@@""")</f>
        <v>Company Name = "@@@@"</v>
      </c>
      <c r="H21" s="18" t="str">
        <f>IFERROR(__xludf.DUMMYFUNCTION("""COMPUTED_VALUE"""),"System should display a validation error (e.g., ""Company name cannot contain only special characters"") and prevent saving")</f>
        <v>System should display a validation error (e.g., "Company name cannot contain only special characters") and prevent saving</v>
      </c>
      <c r="I21" s="18" t="str">
        <f>IFERROR(__xludf.DUMMYFUNCTION("""COMPUTED_VALUE"""),"Company Name field accepts only special characters without validation")</f>
        <v>Company Name field accepts only special characters without validation</v>
      </c>
      <c r="J21" s="18" t="str">
        <f>IFERROR(__xludf.DUMMYFUNCTION("""COMPUTED_VALUE"""),"Fail")</f>
        <v>Fail</v>
      </c>
      <c r="K21" s="18" t="str">
        <f>IFERROR(__xludf.DUMMYFUNCTION("""COMPUTED_VALUE"""),"Medium")</f>
        <v>Medium</v>
      </c>
      <c r="L21" s="19" t="str">
        <f>IFERROR(__xludf.DUMMYFUNCTION("""COMPUTED_VALUE"""),"https://jam.dev/c/d36a5cb6-3d2f-4b70-a8d2-47d197d66036")</f>
        <v>https://jam.dev/c/d36a5cb6-3d2f-4b70-a8d2-47d197d66036</v>
      </c>
      <c r="M21" s="18"/>
      <c r="N21" s="18" t="str">
        <f>IFERROR(__xludf.DUMMYFUNCTION("""COMPUTED_VALUE"""),"Tahsin")</f>
        <v>Tahsin</v>
      </c>
      <c r="O21" s="18"/>
      <c r="P21" s="20"/>
      <c r="Q21" s="20"/>
      <c r="R21" s="20"/>
      <c r="S21" s="20"/>
      <c r="T21" s="20"/>
      <c r="U21" s="20"/>
      <c r="V21" s="20"/>
      <c r="W21" s="20"/>
      <c r="X21" s="20"/>
      <c r="Y21" s="20"/>
      <c r="Z21" s="20"/>
      <c r="AA21" s="20"/>
    </row>
    <row r="22">
      <c r="A22" s="17" t="s">
        <v>42</v>
      </c>
      <c r="B22" s="18" t="str">
        <f>IFERROR(__xludf.DUMMYFUNCTION("""COMPUTED_VALUE"""),"Dashboard")</f>
        <v>Dashboard</v>
      </c>
      <c r="C22" s="18" t="str">
        <f>IFERROR(__xludf.DUMMYFUNCTION("""COMPUTED_VALUE"""),"File Management")</f>
        <v>File Management</v>
      </c>
      <c r="D22" s="18" t="str">
        <f>IFERROR(__xludf.DUMMYFUNCTION("""COMPUTED_VALUE"""),"The logic for page numbering is not working properly.")</f>
        <v>The logic for page numbering is not working properly.</v>
      </c>
      <c r="E22" s="18" t="str">
        <f>IFERROR(__xludf.DUMMYFUNCTION("""COMPUTED_VALUE"""),"User need to use a browser like Chrome, Firefox, Brave, etc.")</f>
        <v>User need to use a browser like Chrome, Firefox, Brave, etc.</v>
      </c>
      <c r="F22" s="18" t="str">
        <f>IFERROR(__xludf.DUMMYFUNCTION("""COMPUTED_VALUE"""),"1. Open the link.  
2. Log in with valid credentials.  
3. Go to the user dashboard.  
4. Click on File Management")</f>
        <v>1. Open the link.  
2. Log in with valid credentials.  
3. Go to the user dashboard.  
4. Click on File Management</v>
      </c>
      <c r="G22" s="18" t="str">
        <f>IFERROR(__xludf.DUMMYFUNCTION("""COMPUTED_VALUE"""),"email: laxali4063@fursee.com
pass: 112244557788")</f>
        <v>email: laxali4063@fursee.com
pass: 112244557788</v>
      </c>
      <c r="H22" s="18" t="str">
        <f>IFERROR(__xludf.DUMMYFUNCTION("""COMPUTED_VALUE"""),"The table page number should function properly and work as intended.")</f>
        <v>The table page number should function properly and work as intended.</v>
      </c>
      <c r="I22" s="18" t="str">
        <f>IFERROR(__xludf.DUMMYFUNCTION("""COMPUTED_VALUE"""),"Logic error in table page numbering.")</f>
        <v>Logic error in table page numbering.</v>
      </c>
      <c r="J22" s="18" t="str">
        <f>IFERROR(__xludf.DUMMYFUNCTION("""COMPUTED_VALUE"""),"Fail")</f>
        <v>Fail</v>
      </c>
      <c r="K22" s="18" t="str">
        <f>IFERROR(__xludf.DUMMYFUNCTION("""COMPUTED_VALUE"""),"Medium")</f>
        <v>Medium</v>
      </c>
      <c r="L22" s="19" t="str">
        <f>IFERROR(__xludf.DUMMYFUNCTION("""COMPUTED_VALUE"""),"https://drive.google.com/file/d/1dosjhU5VHRrww-2jC0RedNdaxitlqZA-/view?usp=drive_link")</f>
        <v>https://drive.google.com/file/d/1dosjhU5VHRrww-2jC0RedNdaxitlqZA-/view?usp=drive_link</v>
      </c>
      <c r="M22" s="18"/>
      <c r="N22" s="18" t="str">
        <f>IFERROR(__xludf.DUMMYFUNCTION("""COMPUTED_VALUE"""),"Fahad")</f>
        <v>Fahad</v>
      </c>
      <c r="O22" s="18"/>
      <c r="P22" s="20"/>
      <c r="Q22" s="20"/>
      <c r="R22" s="20"/>
      <c r="S22" s="20"/>
      <c r="T22" s="20"/>
      <c r="U22" s="20"/>
      <c r="V22" s="20"/>
      <c r="W22" s="20"/>
      <c r="X22" s="20"/>
      <c r="Y22" s="20"/>
      <c r="Z22" s="20"/>
      <c r="AA22" s="20"/>
    </row>
    <row r="23">
      <c r="A23" s="17" t="s">
        <v>43</v>
      </c>
      <c r="B23" s="18" t="str">
        <f>IFERROR(__xludf.DUMMYFUNCTION("""COMPUTED_VALUE"""),"Dashboard")</f>
        <v>Dashboard</v>
      </c>
      <c r="C23" s="18" t="str">
        <f>IFERROR(__xludf.DUMMYFUNCTION("""COMPUTED_VALUE"""),"User Dashboard")</f>
        <v>User Dashboard</v>
      </c>
      <c r="D23" s="18" t="str">
        <f>IFERROR(__xludf.DUMMYFUNCTION("""COMPUTED_VALUE"""),"The table title disappears when the user switches to dark mode.")</f>
        <v>The table title disappears when the user switches to dark mode.</v>
      </c>
      <c r="E23" s="18" t="str">
        <f>IFERROR(__xludf.DUMMYFUNCTION("""COMPUTED_VALUE"""),"User need to use a browser like Chrome, Firefox, Brave, etc.")</f>
        <v>User need to use a browser like Chrome, Firefox, Brave, etc.</v>
      </c>
      <c r="F23" s="18" t="str">
        <f>IFERROR(__xludf.DUMMYFUNCTION("""COMPUTED_VALUE"""),"1. Open the link.  
2. Log in with valid credentials.  
3. Go to the user dashboard.  ")</f>
        <v>1. Open the link.  
2. Log in with valid credentials.  
3. Go to the user dashboard.  </v>
      </c>
      <c r="G23" s="18" t="str">
        <f>IFERROR(__xludf.DUMMYFUNCTION("""COMPUTED_VALUE"""),"email: laxali4063@fursee.com
pass: 112244557788")</f>
        <v>email: laxali4063@fursee.com
pass: 112244557788</v>
      </c>
      <c r="H23" s="18" t="str">
        <f>IFERROR(__xludf.DUMMYFUNCTION("""COMPUTED_VALUE"""),"The title and alignment should remain consistent across different states.")</f>
        <v>The title and alignment should remain consistent across different states.</v>
      </c>
      <c r="I23" s="18" t="str">
        <f>IFERROR(__xludf.DUMMYFUNCTION("""COMPUTED_VALUE"""),"The tabke titles are not visible in dark mode but visible in light mode")</f>
        <v>The tabke titles are not visible in dark mode but visible in light mode</v>
      </c>
      <c r="J23" s="18" t="str">
        <f>IFERROR(__xludf.DUMMYFUNCTION("""COMPUTED_VALUE"""),"Fail")</f>
        <v>Fail</v>
      </c>
      <c r="K23" s="18" t="str">
        <f>IFERROR(__xludf.DUMMYFUNCTION("""COMPUTED_VALUE"""),"Medium")</f>
        <v>Medium</v>
      </c>
      <c r="L23" s="19" t="str">
        <f>IFERROR(__xludf.DUMMYFUNCTION("""COMPUTED_VALUE"""),"https://drive.google.com/file/d/1KUC-u07_TIL_XNCsyvjMEiGYaune_SMP/view?usp=drive_link")</f>
        <v>https://drive.google.com/file/d/1KUC-u07_TIL_XNCsyvjMEiGYaune_SMP/view?usp=drive_link</v>
      </c>
      <c r="M23" s="18"/>
      <c r="N23" s="18" t="str">
        <f>IFERROR(__xludf.DUMMYFUNCTION("""COMPUTED_VALUE"""),"Fahad")</f>
        <v>Fahad</v>
      </c>
      <c r="O23" s="18"/>
      <c r="P23" s="20"/>
      <c r="Q23" s="20"/>
      <c r="R23" s="20"/>
      <c r="S23" s="20"/>
      <c r="T23" s="20"/>
      <c r="U23" s="20"/>
      <c r="V23" s="20"/>
      <c r="W23" s="20"/>
      <c r="X23" s="20"/>
      <c r="Y23" s="20"/>
      <c r="Z23" s="20"/>
      <c r="AA23" s="20"/>
    </row>
    <row r="24">
      <c r="A24" s="17" t="s">
        <v>44</v>
      </c>
      <c r="B24" s="18" t="str">
        <f>IFERROR(__xludf.DUMMYFUNCTION("""COMPUTED_VALUE"""),"Dashboard")</f>
        <v>Dashboard</v>
      </c>
      <c r="C24" s="18" t="str">
        <f>IFERROR(__xludf.DUMMYFUNCTION("""COMPUTED_VALUE"""),"User Dashboard")</f>
        <v>User Dashboard</v>
      </c>
      <c r="D24" s="18" t="str">
        <f>IFERROR(__xludf.DUMMYFUNCTION("""COMPUTED_VALUE"""),"Verify dashboard shows user-specific data after registration")</f>
        <v>Verify dashboard shows user-specific data after registration</v>
      </c>
      <c r="E24" s="18" t="str">
        <f>IFERROR(__xludf.DUMMYFUNCTION("""COMPUTED_VALUE"""),"User has successfully registered and logged in as a new user")</f>
        <v>User has successfully registered and logged in as a new user</v>
      </c>
      <c r="F24" s="18" t="str">
        <f>IFERROR(__xludf.DUMMYFUNCTION("""COMPUTED_VALUE"""),"1. Register as a new user 
2. Log in with the new account 
3. Navigate to dashboard")</f>
        <v>1. Register as a new user 
2. Log in with the new account 
3. Navigate to dashboard</v>
      </c>
      <c r="G24" s="18" t="str">
        <f>IFERROR(__xludf.DUMMYFUNCTION("""COMPUTED_VALUE"""),"Email = ""tahsinahmmed2063@gmail.com""")</f>
        <v>Email = "tahsinahmmed2063@gmail.com"</v>
      </c>
      <c r="H24" s="18" t="str">
        <f>IFERROR(__xludf.DUMMYFUNCTION("""COMPUTED_VALUE"""),"Dashboard should display data relevant to the logged-in user ")</f>
        <v>Dashboard should display data relevant to the logged-in user </v>
      </c>
      <c r="I24" s="18" t="str">
        <f>IFERROR(__xludf.DUMMYFUNCTION("""COMPUTED_VALUE"""),"Dashboard shows dummy data instead of user-specific data")</f>
        <v>Dashboard shows dummy data instead of user-specific data</v>
      </c>
      <c r="J24" s="18" t="str">
        <f>IFERROR(__xludf.DUMMYFUNCTION("""COMPUTED_VALUE"""),"Fail")</f>
        <v>Fail</v>
      </c>
      <c r="K24" s="18" t="str">
        <f>IFERROR(__xludf.DUMMYFUNCTION("""COMPUTED_VALUE"""),"Medium")</f>
        <v>Medium</v>
      </c>
      <c r="L24" s="19" t="str">
        <f>IFERROR(__xludf.DUMMYFUNCTION("""COMPUTED_VALUE"""),"https://jam.dev/c/02f0ee26-25df-4861-9a84-256bec795fb8")</f>
        <v>https://jam.dev/c/02f0ee26-25df-4861-9a84-256bec795fb8</v>
      </c>
      <c r="M24" s="18"/>
      <c r="N24" s="18" t="str">
        <f>IFERROR(__xludf.DUMMYFUNCTION("""COMPUTED_VALUE"""),"Tahsin")</f>
        <v>Tahsin</v>
      </c>
      <c r="O24" s="18"/>
      <c r="P24" s="20"/>
      <c r="Q24" s="20"/>
      <c r="R24" s="20"/>
      <c r="S24" s="20"/>
      <c r="T24" s="20"/>
      <c r="U24" s="20"/>
      <c r="V24" s="20"/>
      <c r="W24" s="20"/>
      <c r="X24" s="20"/>
      <c r="Y24" s="20"/>
      <c r="Z24" s="20"/>
      <c r="AA24" s="20"/>
    </row>
    <row r="25">
      <c r="A25" s="17" t="s">
        <v>45</v>
      </c>
      <c r="B25" s="18" t="str">
        <f>IFERROR(__xludf.DUMMYFUNCTION("""COMPUTED_VALUE"""),"Dashboard")</f>
        <v>Dashboard</v>
      </c>
      <c r="C25" s="18" t="str">
        <f>IFERROR(__xludf.DUMMYFUNCTION("""COMPUTED_VALUE"""),"User Home")</f>
        <v>User Home</v>
      </c>
      <c r="D25" s="18" t="str">
        <f>IFERROR(__xludf.DUMMYFUNCTION("""COMPUTED_VALUE"""),"Icon disappears when the navbar is collapsed.")</f>
        <v>Icon disappears when the navbar is collapsed.</v>
      </c>
      <c r="E25" s="18" t="str">
        <f>IFERROR(__xludf.DUMMYFUNCTION("""COMPUTED_VALUE"""),"User need to use a browser like Chrome, Firefox, Brave, etc.")</f>
        <v>User need to use a browser like Chrome, Firefox, Brave, etc.</v>
      </c>
      <c r="F25" s="18" t="str">
        <f>IFERROR(__xludf.DUMMYFUNCTION("""COMPUTED_VALUE"""),"1. Open the link.  
2. Log in with valid credentials.  
3. Go to the user dashboard.  ")</f>
        <v>1. Open the link.  
2. Log in with valid credentials.  
3. Go to the user dashboard.  </v>
      </c>
      <c r="G25" s="18" t="str">
        <f>IFERROR(__xludf.DUMMYFUNCTION("""COMPUTED_VALUE"""),"email: laxali4063@fursee.com
pass: 112244557788")</f>
        <v>email: laxali4063@fursee.com
pass: 112244557788</v>
      </c>
      <c r="H25" s="18" t="str">
        <f>IFERROR(__xludf.DUMMYFUNCTION("""COMPUTED_VALUE"""),"The icon should stay visible when the navigation bar collapses.")</f>
        <v>The icon should stay visible when the navigation bar collapses.</v>
      </c>
      <c r="I25" s="18" t="str">
        <f>IFERROR(__xludf.DUMMYFUNCTION("""COMPUTED_VALUE"""),"The icon disappears when the user collapses the navbar.")</f>
        <v>The icon disappears when the user collapses the navbar.</v>
      </c>
      <c r="J25" s="18" t="str">
        <f>IFERROR(__xludf.DUMMYFUNCTION("""COMPUTED_VALUE"""),"Fail")</f>
        <v>Fail</v>
      </c>
      <c r="K25" s="18" t="str">
        <f>IFERROR(__xludf.DUMMYFUNCTION("""COMPUTED_VALUE"""),"Medium")</f>
        <v>Medium</v>
      </c>
      <c r="L25" s="19" t="str">
        <f>IFERROR(__xludf.DUMMYFUNCTION("""COMPUTED_VALUE"""),"https://drive.google.com/file/d/1hq3lnZgpAut2Cbkr-fulwA8BGsZTThu-/view?usp=drive_link")</f>
        <v>https://drive.google.com/file/d/1hq3lnZgpAut2Cbkr-fulwA8BGsZTThu-/view?usp=drive_link</v>
      </c>
      <c r="M25" s="18"/>
      <c r="N25" s="18" t="str">
        <f>IFERROR(__xludf.DUMMYFUNCTION("""COMPUTED_VALUE"""),"Fahad")</f>
        <v>Fahad</v>
      </c>
      <c r="O25" s="18"/>
      <c r="P25" s="20"/>
      <c r="Q25" s="20"/>
      <c r="R25" s="20"/>
      <c r="S25" s="20"/>
      <c r="T25" s="20"/>
      <c r="U25" s="20"/>
      <c r="V25" s="20"/>
      <c r="W25" s="20"/>
      <c r="X25" s="20"/>
      <c r="Y25" s="20"/>
      <c r="Z25" s="20"/>
      <c r="AA25" s="20"/>
    </row>
    <row r="26">
      <c r="A26" s="17" t="s">
        <v>46</v>
      </c>
      <c r="B26" s="18" t="str">
        <f>IFERROR(__xludf.DUMMYFUNCTION("""COMPUTED_VALUE"""),"Dashboard")</f>
        <v>Dashboard</v>
      </c>
      <c r="C26" s="18" t="str">
        <f>IFERROR(__xludf.DUMMYFUNCTION("""COMPUTED_VALUE"""),"User Profile")</f>
        <v>User Profile</v>
      </c>
      <c r="D26" s="18" t="str">
        <f>IFERROR(__xludf.DUMMYFUNCTION("""COMPUTED_VALUE"""),"Unable to load the user profile after the update.")</f>
        <v>Unable to load the user profile after the update.</v>
      </c>
      <c r="E26" s="18" t="str">
        <f>IFERROR(__xludf.DUMMYFUNCTION("""COMPUTED_VALUE"""),"User need to use a browser like Chrome, Firefox, Brave, etc.")</f>
        <v>User need to use a browser like Chrome, Firefox, Brave, etc.</v>
      </c>
      <c r="F26" s="18" t="str">
        <f>IFERROR(__xludf.DUMMYFUNCTION("""COMPUTED_VALUE"""),"1. Open the link.  
2. Log in with valid credentials.  
3. Go to the user dashboard.  ")</f>
        <v>1. Open the link.  
2. Log in with valid credentials.  
3. Go to the user dashboard.  </v>
      </c>
      <c r="G26" s="18" t="str">
        <f>IFERROR(__xludf.DUMMYFUNCTION("""COMPUTED_VALUE"""),"email: laxali4063@fursee.com
pass: 112244557788")</f>
        <v>email: laxali4063@fursee.com
pass: 112244557788</v>
      </c>
      <c r="H26" s="18" t="str">
        <f>IFERROR(__xludf.DUMMYFUNCTION("""COMPUTED_VALUE"""),"The user should be able to load their profile, and it should stay clearly visible at all times.")</f>
        <v>The user should be able to load their profile, and it should stay clearly visible at all times.</v>
      </c>
      <c r="I26" s="18" t="str">
        <f>IFERROR(__xludf.DUMMYFUNCTION("""COMPUTED_VALUE"""),"Unable to retrieve the user profile following the profile update.")</f>
        <v>Unable to retrieve the user profile following the profile update.</v>
      </c>
      <c r="J26" s="18" t="str">
        <f>IFERROR(__xludf.DUMMYFUNCTION("""COMPUTED_VALUE"""),"Fail")</f>
        <v>Fail</v>
      </c>
      <c r="K26" s="18" t="str">
        <f>IFERROR(__xludf.DUMMYFUNCTION("""COMPUTED_VALUE"""),"High")</f>
        <v>High</v>
      </c>
      <c r="L26" s="19" t="str">
        <f>IFERROR(__xludf.DUMMYFUNCTION("""COMPUTED_VALUE"""),"https://drive.google.com/file/d/1say3pswj7LEIeheEDSIqvgG2FjLhsz8E/view?usp=drive_link")</f>
        <v>https://drive.google.com/file/d/1say3pswj7LEIeheEDSIqvgG2FjLhsz8E/view?usp=drive_link</v>
      </c>
      <c r="M26" s="18"/>
      <c r="N26" s="18" t="str">
        <f>IFERROR(__xludf.DUMMYFUNCTION("""COMPUTED_VALUE"""),"Fahad")</f>
        <v>Fahad</v>
      </c>
      <c r="O26" s="18"/>
      <c r="P26" s="20"/>
      <c r="Q26" s="20"/>
      <c r="R26" s="20"/>
      <c r="S26" s="20"/>
      <c r="T26" s="20"/>
      <c r="U26" s="20"/>
      <c r="V26" s="20"/>
      <c r="W26" s="20"/>
      <c r="X26" s="20"/>
      <c r="Y26" s="20"/>
      <c r="Z26" s="20"/>
      <c r="AA26" s="20"/>
    </row>
    <row r="27">
      <c r="A27" s="17" t="s">
        <v>47</v>
      </c>
      <c r="B27" s="18" t="str">
        <f>IFERROR(__xludf.DUMMYFUNCTION("""COMPUTED_VALUE"""),"Dashboard")</f>
        <v>Dashboard</v>
      </c>
      <c r="C27" s="18" t="str">
        <f>IFERROR(__xludf.DUMMYFUNCTION("""COMPUTED_VALUE"""),"User Profile")</f>
        <v>User Profile</v>
      </c>
      <c r="D27" s="18" t="str">
        <f>IFERROR(__xludf.DUMMYFUNCTION("""COMPUTED_VALUE"""),"Load the dashboard with dummy data.")</f>
        <v>Load the dashboard with dummy data.</v>
      </c>
      <c r="E27" s="18" t="str">
        <f>IFERROR(__xludf.DUMMYFUNCTION("""COMPUTED_VALUE"""),"User need to use a browser like Chrome, Firefox, Brave, etc.")</f>
        <v>User need to use a browser like Chrome, Firefox, Brave, etc.</v>
      </c>
      <c r="F27" s="18" t="str">
        <f>IFERROR(__xludf.DUMMYFUNCTION("""COMPUTED_VALUE"""),"1. Open the link.  
2. Log in with valid credentials.  
3. Go to the user dashboard.  ")</f>
        <v>1. Open the link.  
2. Log in with valid credentials.  
3. Go to the user dashboard.  </v>
      </c>
      <c r="G27" s="18" t="str">
        <f>IFERROR(__xludf.DUMMYFUNCTION("""COMPUTED_VALUE"""),"email: laxali4063@fursee.com
pass: 112244557788")</f>
        <v>email: laxali4063@fursee.com
pass: 112244557788</v>
      </c>
      <c r="H27" s="18" t="str">
        <f>IFERROR(__xludf.DUMMYFUNCTION("""COMPUTED_VALUE"""),"The user dashboard should display all relevant user data.")</f>
        <v>The user dashboard should display all relevant user data.</v>
      </c>
      <c r="I27" s="18" t="str">
        <f>IFERROR(__xludf.DUMMYFUNCTION("""COMPUTED_VALUE"""),"User dashboard filled with dummy data")</f>
        <v>User dashboard filled with dummy data</v>
      </c>
      <c r="J27" s="18" t="str">
        <f>IFERROR(__xludf.DUMMYFUNCTION("""COMPUTED_VALUE"""),"Fail")</f>
        <v>Fail</v>
      </c>
      <c r="K27" s="18" t="str">
        <f>IFERROR(__xludf.DUMMYFUNCTION("""COMPUTED_VALUE"""),"High")</f>
        <v>High</v>
      </c>
      <c r="L27" s="19" t="str">
        <f>IFERROR(__xludf.DUMMYFUNCTION("""COMPUTED_VALUE"""),"https://drive.google.com/file/d/1D66SJyBkOIMqJKQ5qDIHigk5lONf80Tq/view?usp=drive_link")</f>
        <v>https://drive.google.com/file/d/1D66SJyBkOIMqJKQ5qDIHigk5lONf80Tq/view?usp=drive_link</v>
      </c>
      <c r="M27" s="18"/>
      <c r="N27" s="18" t="str">
        <f>IFERROR(__xludf.DUMMYFUNCTION("""COMPUTED_VALUE"""),"Fahad")</f>
        <v>Fahad</v>
      </c>
      <c r="O27" s="18"/>
      <c r="P27" s="20"/>
      <c r="Q27" s="20"/>
      <c r="R27" s="20"/>
      <c r="S27" s="20"/>
      <c r="T27" s="20"/>
      <c r="U27" s="20"/>
      <c r="V27" s="20"/>
      <c r="W27" s="20"/>
      <c r="X27" s="20"/>
      <c r="Y27" s="20"/>
      <c r="Z27" s="20"/>
      <c r="AA27" s="20"/>
    </row>
    <row r="28">
      <c r="A28" s="17" t="s">
        <v>48</v>
      </c>
      <c r="B28" s="18" t="str">
        <f>IFERROR(__xludf.DUMMYFUNCTION("""COMPUTED_VALUE"""),"Dashboard")</f>
        <v>Dashboard</v>
      </c>
      <c r="C28" s="18" t="str">
        <f>IFERROR(__xludf.DUMMYFUNCTION("""COMPUTED_VALUE"""),"User Profile")</f>
        <v>User Profile</v>
      </c>
      <c r="D28" s="18" t="str">
        <f>IFERROR(__xludf.DUMMYFUNCTION("""COMPUTED_VALUE"""),"Having trouble uploading a profile picture and other items.")</f>
        <v>Having trouble uploading a profile picture and other items.</v>
      </c>
      <c r="E28" s="18" t="str">
        <f>IFERROR(__xludf.DUMMYFUNCTION("""COMPUTED_VALUE"""),"User need to use a browser like Chrome, Firefox, Brave, etc.")</f>
        <v>User need to use a browser like Chrome, Firefox, Brave, etc.</v>
      </c>
      <c r="F28" s="18" t="str">
        <f>IFERROR(__xludf.DUMMYFUNCTION("""COMPUTED_VALUE"""),"1. Open the link.  
2. Log in with valid credentials.  
3. Go to the user dashboard.  ")</f>
        <v>1. Open the link.  
2. Log in with valid credentials.  
3. Go to the user dashboard.  </v>
      </c>
      <c r="G28" s="18" t="str">
        <f>IFERROR(__xludf.DUMMYFUNCTION("""COMPUTED_VALUE"""),"email: laxali4063@fursee.com
pass: 112244557788")</f>
        <v>email: laxali4063@fursee.com
pass: 112244557788</v>
      </c>
      <c r="H28" s="18" t="str">
        <f>IFERROR(__xludf.DUMMYFUNCTION("""COMPUTED_VALUE"""),"Users should have no trouble updating their profiles seamlessly.")</f>
        <v>Users should have no trouble updating their profiles seamlessly.</v>
      </c>
      <c r="I28" s="18" t="str">
        <f>IFERROR(__xludf.DUMMYFUNCTION("""COMPUTED_VALUE"""),"Unable to update profile, server error detected.")</f>
        <v>Unable to update profile, server error detected.</v>
      </c>
      <c r="J28" s="18" t="str">
        <f>IFERROR(__xludf.DUMMYFUNCTION("""COMPUTED_VALUE"""),"Fail")</f>
        <v>Fail</v>
      </c>
      <c r="K28" s="18" t="str">
        <f>IFERROR(__xludf.DUMMYFUNCTION("""COMPUTED_VALUE"""),"High")</f>
        <v>High</v>
      </c>
      <c r="L28" s="19" t="str">
        <f>IFERROR(__xludf.DUMMYFUNCTION("""COMPUTED_VALUE"""),"https://drive.google.com/file/d/1vSBkyuu4g-5om3OMfX91IOx_LPlAhZ1O/view?usp=drive_link")</f>
        <v>https://drive.google.com/file/d/1vSBkyuu4g-5om3OMfX91IOx_LPlAhZ1O/view?usp=drive_link</v>
      </c>
      <c r="M28" s="18"/>
      <c r="N28" s="18" t="str">
        <f>IFERROR(__xludf.DUMMYFUNCTION("""COMPUTED_VALUE"""),"Fahad")</f>
        <v>Fahad</v>
      </c>
      <c r="O28" s="18"/>
      <c r="P28" s="20"/>
      <c r="Q28" s="20"/>
      <c r="R28" s="20"/>
      <c r="S28" s="20"/>
      <c r="T28" s="20"/>
      <c r="U28" s="20"/>
      <c r="V28" s="20"/>
      <c r="W28" s="20"/>
      <c r="X28" s="20"/>
      <c r="Y28" s="20"/>
      <c r="Z28" s="20"/>
      <c r="AA28" s="20"/>
    </row>
    <row r="29">
      <c r="A29" s="17" t="s">
        <v>49</v>
      </c>
      <c r="B29" s="18" t="str">
        <f>IFERROR(__xludf.DUMMYFUNCTION("""COMPUTED_VALUE"""),"Dashboard")</f>
        <v>Dashboard</v>
      </c>
      <c r="C29" s="18" t="str">
        <f>IFERROR(__xludf.DUMMYFUNCTION("""COMPUTED_VALUE"""),"User Profile")</f>
        <v>User Profile</v>
      </c>
      <c r="D29" s="18" t="str">
        <f>IFERROR(__xludf.DUMMYFUNCTION("""COMPUTED_VALUE"""),"The profile update alert prompt remains visible on the webpage even after it has expired.")</f>
        <v>The profile update alert prompt remains visible on the webpage even after it has expired.</v>
      </c>
      <c r="E29" s="18" t="str">
        <f>IFERROR(__xludf.DUMMYFUNCTION("""COMPUTED_VALUE"""),"User need to use a browser like Chrome, Firefox, Brave, etc.")</f>
        <v>User need to use a browser like Chrome, Firefox, Brave, etc.</v>
      </c>
      <c r="F29" s="18" t="str">
        <f>IFERROR(__xludf.DUMMYFUNCTION("""COMPUTED_VALUE"""),"1. Open the link.  
2. Log in with valid credentials.  
3. Go to the user dashboard.  ")</f>
        <v>1. Open the link.  
2. Log in with valid credentials.  
3. Go to the user dashboard.  </v>
      </c>
      <c r="G29" s="18" t="str">
        <f>IFERROR(__xludf.DUMMYFUNCTION("""COMPUTED_VALUE"""),"email: laxali4063@fursee.com
pass: 112244557788")</f>
        <v>email: laxali4063@fursee.com
pass: 112244557788</v>
      </c>
      <c r="H29" s="18" t="str">
        <f>IFERROR(__xludf.DUMMYFUNCTION("""COMPUTED_VALUE"""),"An alert prompt should disappear once its time has expired.")</f>
        <v>An alert prompt should disappear once its time has expired.</v>
      </c>
      <c r="I29" s="18" t="str">
        <f>IFERROR(__xludf.DUMMYFUNCTION("""COMPUTED_VALUE"""),"The prompt stays visible on the page even after the time has expired.")</f>
        <v>The prompt stays visible on the page even after the time has expired.</v>
      </c>
      <c r="J29" s="18" t="str">
        <f>IFERROR(__xludf.DUMMYFUNCTION("""COMPUTED_VALUE"""),"Fail")</f>
        <v>Fail</v>
      </c>
      <c r="K29" s="18" t="str">
        <f>IFERROR(__xludf.DUMMYFUNCTION("""COMPUTED_VALUE"""),"Medium")</f>
        <v>Medium</v>
      </c>
      <c r="L29" s="19" t="str">
        <f>IFERROR(__xludf.DUMMYFUNCTION("""COMPUTED_VALUE"""),"https://drive.google.com/file/d/1Kyxsb4rEoIuxr_vZ_fAujZUTaQu61QGb/view?usp=drive_link")</f>
        <v>https://drive.google.com/file/d/1Kyxsb4rEoIuxr_vZ_fAujZUTaQu61QGb/view?usp=drive_link</v>
      </c>
      <c r="M29" s="18"/>
      <c r="N29" s="18" t="str">
        <f>IFERROR(__xludf.DUMMYFUNCTION("""COMPUTED_VALUE"""),"Fahad")</f>
        <v>Fahad</v>
      </c>
      <c r="O29" s="18"/>
      <c r="P29" s="20"/>
      <c r="Q29" s="20"/>
      <c r="R29" s="20"/>
      <c r="S29" s="20"/>
      <c r="T29" s="20"/>
      <c r="U29" s="20"/>
      <c r="V29" s="20"/>
      <c r="W29" s="20"/>
      <c r="X29" s="20"/>
      <c r="Y29" s="20"/>
      <c r="Z29" s="20"/>
      <c r="AA29" s="20"/>
    </row>
    <row r="30">
      <c r="A30" s="17" t="s">
        <v>50</v>
      </c>
      <c r="B30" s="18" t="str">
        <f>IFERROR(__xludf.DUMMYFUNCTION("""COMPUTED_VALUE"""),"Dashboard")</f>
        <v>Dashboard</v>
      </c>
      <c r="C30" s="18" t="str">
        <f>IFERROR(__xludf.DUMMYFUNCTION("""COMPUTED_VALUE"""),"User Profile")</f>
        <v>User Profile</v>
      </c>
      <c r="D30" s="18" t="str">
        <f>IFERROR(__xludf.DUMMYFUNCTION("""COMPUTED_VALUE"""),"Phone and email validation errors occurred during the profile update.")</f>
        <v>Phone and email validation errors occurred during the profile update.</v>
      </c>
      <c r="E30" s="18" t="str">
        <f>IFERROR(__xludf.DUMMYFUNCTION("""COMPUTED_VALUE"""),"User need to use a browser like Chrome, Firefox, Brave, etc.")</f>
        <v>User need to use a browser like Chrome, Firefox, Brave, etc.</v>
      </c>
      <c r="F30" s="18" t="str">
        <f>IFERROR(__xludf.DUMMYFUNCTION("""COMPUTED_VALUE"""),"1. Open the link.  
2. Log in with valid credentials.  
3. Go to the user dashboard.  ")</f>
        <v>1. Open the link.  
2. Log in with valid credentials.  
3. Go to the user dashboard.  </v>
      </c>
      <c r="G30" s="18" t="str">
        <f>IFERROR(__xludf.DUMMYFUNCTION("""COMPUTED_VALUE"""),"email: laxali4063@fursee.com
pass: 112244557788")</f>
        <v>email: laxali4063@fursee.com
pass: 112244557788</v>
      </c>
      <c r="H30" s="18" t="str">
        <f>IFERROR(__xludf.DUMMYFUNCTION("""COMPUTED_VALUE"""),"Email and phone should be properly validated when users update their profiles.")</f>
        <v>Email and phone should be properly validated when users update their profiles.</v>
      </c>
      <c r="I30" s="18" t="str">
        <f>IFERROR(__xludf.DUMMYFUNCTION("""COMPUTED_VALUE"""),"Input doesn't validate ")</f>
        <v>Input doesn't validate </v>
      </c>
      <c r="J30" s="18" t="str">
        <f>IFERROR(__xludf.DUMMYFUNCTION("""COMPUTED_VALUE"""),"Fail")</f>
        <v>Fail</v>
      </c>
      <c r="K30" s="18" t="str">
        <f>IFERROR(__xludf.DUMMYFUNCTION("""COMPUTED_VALUE"""),"High")</f>
        <v>High</v>
      </c>
      <c r="L30" s="19" t="str">
        <f>IFERROR(__xludf.DUMMYFUNCTION("""COMPUTED_VALUE"""),"https://drive.google.com/file/d/1Da9xAdVhaVocl50bklPSB2dIpXE9U2l-/view?usp=drive_link")</f>
        <v>https://drive.google.com/file/d/1Da9xAdVhaVocl50bklPSB2dIpXE9U2l-/view?usp=drive_link</v>
      </c>
      <c r="M30" s="18"/>
      <c r="N30" s="18" t="str">
        <f>IFERROR(__xludf.DUMMYFUNCTION("""COMPUTED_VALUE"""),"Fahad")</f>
        <v>Fahad</v>
      </c>
      <c r="O30" s="18"/>
      <c r="P30" s="20"/>
      <c r="Q30" s="20"/>
      <c r="R30" s="20"/>
      <c r="S30" s="20"/>
      <c r="T30" s="20"/>
      <c r="U30" s="20"/>
      <c r="V30" s="20"/>
      <c r="W30" s="20"/>
      <c r="X30" s="20"/>
      <c r="Y30" s="20"/>
      <c r="Z30" s="20"/>
      <c r="AA30" s="20"/>
    </row>
    <row r="31">
      <c r="A31" s="17" t="s">
        <v>51</v>
      </c>
      <c r="B31" s="18" t="str">
        <f>IFERROR(__xludf.DUMMYFUNCTION("""COMPUTED_VALUE"""),"Dashboard")</f>
        <v>Dashboard</v>
      </c>
      <c r="C31" s="18" t="str">
        <f>IFERROR(__xludf.DUMMYFUNCTION("""COMPUTED_VALUE"""),"User Profile")</f>
        <v>User Profile</v>
      </c>
      <c r="D31" s="18" t="str">
        <f>IFERROR(__xludf.DUMMYFUNCTION("""COMPUTED_VALUE"""),"Unable to display the user's profile picture.")</f>
        <v>Unable to display the user's profile picture.</v>
      </c>
      <c r="E31" s="18" t="str">
        <f>IFERROR(__xludf.DUMMYFUNCTION("""COMPUTED_VALUE"""),"User need to use a browser like Chrome, Firefox, Brave, etc.")</f>
        <v>User need to use a browser like Chrome, Firefox, Brave, etc.</v>
      </c>
      <c r="F31" s="18" t="str">
        <f>IFERROR(__xludf.DUMMYFUNCTION("""COMPUTED_VALUE"""),"1. Open the link.  
2. Log in with valid credentials.  
3. Go to the Dashboard
4. Click on profile and update profile pic")</f>
        <v>1. Open the link.  
2. Log in with valid credentials.  
3. Go to the Dashboard
4. Click on profile and update profile pic</v>
      </c>
      <c r="G31" s="18" t="str">
        <f>IFERROR(__xludf.DUMMYFUNCTION("""COMPUTED_VALUE"""),"email: laxali4063@fursee.com
pass: 112244557788")</f>
        <v>email: laxali4063@fursee.com
pass: 112244557788</v>
      </c>
      <c r="H31" s="18" t="str">
        <f>IFERROR(__xludf.DUMMYFUNCTION("""COMPUTED_VALUE"""),"Users should see their profile picture in the profile section at the top right after it updates")</f>
        <v>Users should see their profile picture in the profile section at the top right after it updates</v>
      </c>
      <c r="I31" s="18" t="str">
        <f>IFERROR(__xludf.DUMMYFUNCTION("""COMPUTED_VALUE"""),"The user profile picture fails to display after being updated.")</f>
        <v>The user profile picture fails to display after being updated.</v>
      </c>
      <c r="J31" s="18" t="str">
        <f>IFERROR(__xludf.DUMMYFUNCTION("""COMPUTED_VALUE"""),"Fail")</f>
        <v>Fail</v>
      </c>
      <c r="K31" s="18" t="str">
        <f>IFERROR(__xludf.DUMMYFUNCTION("""COMPUTED_VALUE"""),"High")</f>
        <v>High</v>
      </c>
      <c r="L31" s="19" t="str">
        <f>IFERROR(__xludf.DUMMYFUNCTION("""COMPUTED_VALUE"""),"https://drive.google.com/file/d/18cy3P1URIGbueuLzs75bumNBKGsVd4Rc/view?usp=drive_link")</f>
        <v>https://drive.google.com/file/d/18cy3P1URIGbueuLzs75bumNBKGsVd4Rc/view?usp=drive_link</v>
      </c>
      <c r="M31" s="18"/>
      <c r="N31" s="18" t="str">
        <f>IFERROR(__xludf.DUMMYFUNCTION("""COMPUTED_VALUE"""),"Fahad")</f>
        <v>Fahad</v>
      </c>
      <c r="O31" s="18"/>
      <c r="P31" s="20"/>
      <c r="Q31" s="20"/>
      <c r="R31" s="20"/>
      <c r="S31" s="20"/>
      <c r="T31" s="20"/>
      <c r="U31" s="20"/>
      <c r="V31" s="20"/>
      <c r="W31" s="20"/>
      <c r="X31" s="20"/>
      <c r="Y31" s="20"/>
      <c r="Z31" s="20"/>
      <c r="AA31" s="20"/>
    </row>
    <row r="32">
      <c r="A32" s="17" t="s">
        <v>52</v>
      </c>
      <c r="B32" s="18" t="str">
        <f>IFERROR(__xludf.DUMMYFUNCTION("""COMPUTED_VALUE"""),"Home")</f>
        <v>Home</v>
      </c>
      <c r="C32" s="18" t="str">
        <f>IFERROR(__xludf.DUMMYFUNCTION("""COMPUTED_VALUE"""),"Contact Us")</f>
        <v>Contact Us</v>
      </c>
      <c r="D32" s="18" t="str">
        <f>IFERROR(__xludf.DUMMYFUNCTION("""COMPUTED_VALUE"""),"The validation of input data was unsuccessful.")</f>
        <v>The validation of input data was unsuccessful.</v>
      </c>
      <c r="E32" s="18" t="str">
        <f>IFERROR(__xludf.DUMMYFUNCTION("""COMPUTED_VALUE"""),"User need to use a browser like Chrome, Firefox, Brave, etc.")</f>
        <v>User need to use a browser like Chrome, Firefox, Brave, etc.</v>
      </c>
      <c r="F32" s="18" t="str">
        <f>IFERROR(__xludf.DUMMYFUNCTION("""COMPUTED_VALUE"""),"1. Open the link.  
2. Log in with valid credentials.  
3. Go to the Home &gt; Contact Us")</f>
        <v>1. Open the link.  
2. Log in with valid credentials.  
3. Go to the Home &gt; Contact Us</v>
      </c>
      <c r="G32" s="18" t="str">
        <f>IFERROR(__xludf.DUMMYFUNCTION("""COMPUTED_VALUE"""),"email: laxali4063@fursee.com
pass: 112244557788")</f>
        <v>email: laxali4063@fursee.com
pass: 112244557788</v>
      </c>
      <c r="H32" s="18" t="str">
        <f>IFERROR(__xludf.DUMMYFUNCTION("""COMPUTED_VALUE"""),"Input should be checked for accurate valid data.")</f>
        <v>Input should be checked for accurate valid data.</v>
      </c>
      <c r="I32" s="18" t="str">
        <f>IFERROR(__xludf.DUMMYFUNCTION("""COMPUTED_VALUE"""),"Input validation check failed.")</f>
        <v>Input validation check failed.</v>
      </c>
      <c r="J32" s="18" t="str">
        <f>IFERROR(__xludf.DUMMYFUNCTION("""COMPUTED_VALUE"""),"Fail")</f>
        <v>Fail</v>
      </c>
      <c r="K32" s="18" t="str">
        <f>IFERROR(__xludf.DUMMYFUNCTION("""COMPUTED_VALUE"""),"High")</f>
        <v>High</v>
      </c>
      <c r="L32" s="19" t="str">
        <f>IFERROR(__xludf.DUMMYFUNCTION("""COMPUTED_VALUE"""),"https://drive.google.com/file/d/1vNZQob8wr2-u846PeEMcal8Pbb2LYkfO/view?usp=drive_link")</f>
        <v>https://drive.google.com/file/d/1vNZQob8wr2-u846PeEMcal8Pbb2LYkfO/view?usp=drive_link</v>
      </c>
      <c r="M32" s="18"/>
      <c r="N32" s="18" t="str">
        <f>IFERROR(__xludf.DUMMYFUNCTION("""COMPUTED_VALUE"""),"Fahad")</f>
        <v>Fahad</v>
      </c>
      <c r="O32" s="18"/>
      <c r="P32" s="20"/>
      <c r="Q32" s="20"/>
      <c r="R32" s="20"/>
      <c r="S32" s="20"/>
      <c r="T32" s="20"/>
      <c r="U32" s="20"/>
      <c r="V32" s="20"/>
      <c r="W32" s="20"/>
      <c r="X32" s="20"/>
      <c r="Y32" s="20"/>
      <c r="Z32" s="20"/>
      <c r="AA32" s="20"/>
    </row>
    <row r="33">
      <c r="A33" s="17" t="s">
        <v>53</v>
      </c>
      <c r="B33" s="18" t="str">
        <f>IFERROR(__xludf.DUMMYFUNCTION("""COMPUTED_VALUE"""),"Home")</f>
        <v>Home</v>
      </c>
      <c r="C33" s="18" t="str">
        <f>IFERROR(__xludf.DUMMYFUNCTION("""COMPUTED_VALUE"""),"Footer")</f>
        <v>Footer</v>
      </c>
      <c r="D33" s="18" t="str">
        <f>IFERROR(__xludf.DUMMYFUNCTION("""COMPUTED_VALUE"""),"The social media link hasn't been added to the footer.")</f>
        <v>The social media link hasn't been added to the footer.</v>
      </c>
      <c r="E33" s="18" t="str">
        <f>IFERROR(__xludf.DUMMYFUNCTION("""COMPUTED_VALUE"""),"User need to use a browser like Chrome, Firefox, Brave, etc.")</f>
        <v>User need to use a browser like Chrome, Firefox, Brave, etc.</v>
      </c>
      <c r="F33" s="18" t="str">
        <f>IFERROR(__xludf.DUMMYFUNCTION("""COMPUTED_VALUE"""),"1. Open link 
2. Goto footer section")</f>
        <v>1. Open link 
2. Goto footer section</v>
      </c>
      <c r="G33" s="18" t="str">
        <f>IFERROR(__xludf.DUMMYFUNCTION("""COMPUTED_VALUE"""),"N/A")</f>
        <v>N/A</v>
      </c>
      <c r="H33" s="18" t="str">
        <f>IFERROR(__xludf.DUMMYFUNCTION("""COMPUTED_VALUE"""),"A social media profile should be set up perfectly to maximize user reach and satisfaction")</f>
        <v>A social media profile should be set up perfectly to maximize user reach and satisfaction</v>
      </c>
      <c r="I33" s="18" t="str">
        <f>IFERROR(__xludf.DUMMYFUNCTION("""COMPUTED_VALUE"""),"The absence of social media links has been observed in the footer section.")</f>
        <v>The absence of social media links has been observed in the footer section.</v>
      </c>
      <c r="J33" s="18" t="str">
        <f>IFERROR(__xludf.DUMMYFUNCTION("""COMPUTED_VALUE"""),"Fail")</f>
        <v>Fail</v>
      </c>
      <c r="K33" s="18" t="str">
        <f>IFERROR(__xludf.DUMMYFUNCTION("""COMPUTED_VALUE"""),"Medium")</f>
        <v>Medium</v>
      </c>
      <c r="L33" s="19" t="str">
        <f>IFERROR(__xludf.DUMMYFUNCTION("""COMPUTED_VALUE"""),"https://drive.google.com/file/d/1Gi6GFhPOFpoiUmqdXq3HQj7BRX4ei5t1/view?usp=drive_link")</f>
        <v>https://drive.google.com/file/d/1Gi6GFhPOFpoiUmqdXq3HQj7BRX4ei5t1/view?usp=drive_link</v>
      </c>
      <c r="M33" s="18"/>
      <c r="N33" s="18" t="str">
        <f>IFERROR(__xludf.DUMMYFUNCTION("""COMPUTED_VALUE"""),"Fahad")</f>
        <v>Fahad</v>
      </c>
      <c r="O33" s="18"/>
      <c r="P33" s="20"/>
      <c r="Q33" s="20"/>
      <c r="R33" s="20"/>
      <c r="S33" s="20"/>
      <c r="T33" s="20"/>
      <c r="U33" s="20"/>
      <c r="V33" s="20"/>
      <c r="W33" s="20"/>
      <c r="X33" s="20"/>
      <c r="Y33" s="20"/>
      <c r="Z33" s="20"/>
      <c r="AA33" s="20"/>
    </row>
    <row r="34">
      <c r="A34" s="17" t="s">
        <v>54</v>
      </c>
      <c r="B34" s="18" t="str">
        <f>IFERROR(__xludf.DUMMYFUNCTION("""COMPUTED_VALUE"""),"Home")</f>
        <v>Home</v>
      </c>
      <c r="C34" s="18" t="str">
        <f>IFERROR(__xludf.DUMMYFUNCTION("""COMPUTED_VALUE"""),"Footer")</f>
        <v>Footer</v>
      </c>
      <c r="D34" s="18" t="str">
        <f>IFERROR(__xludf.DUMMYFUNCTION("""COMPUTED_VALUE"""),"The page link is missing from the footer section.")</f>
        <v>The page link is missing from the footer section.</v>
      </c>
      <c r="E34" s="18" t="str">
        <f>IFERROR(__xludf.DUMMYFUNCTION("""COMPUTED_VALUE"""),"User need to use a browser like Chrome, Firefox, Brave, etc.")</f>
        <v>User need to use a browser like Chrome, Firefox, Brave, etc.</v>
      </c>
      <c r="F34" s="18" t="str">
        <f>IFERROR(__xludf.DUMMYFUNCTION("""COMPUTED_VALUE"""),"1. Open link 
2. Goto footer section")</f>
        <v>1. Open link 
2. Goto footer section</v>
      </c>
      <c r="G34" s="18" t="str">
        <f>IFERROR(__xludf.DUMMYFUNCTION("""COMPUTED_VALUE"""),"N/A")</f>
        <v>N/A</v>
      </c>
      <c r="H34" s="18" t="str">
        <f>IFERROR(__xludf.DUMMYFUNCTION("""COMPUTED_VALUE"""),"The page link should be properly linked in the footer section.")</f>
        <v>The page link should be properly linked in the footer section.</v>
      </c>
      <c r="I34" s="18" t="str">
        <f>IFERROR(__xludf.DUMMYFUNCTION("""COMPUTED_VALUE"""),"A missing linked page has been identified in the footer section.")</f>
        <v>A missing linked page has been identified in the footer section.</v>
      </c>
      <c r="J34" s="18" t="str">
        <f>IFERROR(__xludf.DUMMYFUNCTION("""COMPUTED_VALUE"""),"Fail")</f>
        <v>Fail</v>
      </c>
      <c r="K34" s="18" t="str">
        <f>IFERROR(__xludf.DUMMYFUNCTION("""COMPUTED_VALUE"""),"High")</f>
        <v>High</v>
      </c>
      <c r="L34" s="19" t="str">
        <f>IFERROR(__xludf.DUMMYFUNCTION("""COMPUTED_VALUE"""),"https://drive.google.com/file/d/1wPOqb5sDV7e1YuY6aF4JRRuDEZ7X66gA/view?usp=drive_link")</f>
        <v>https://drive.google.com/file/d/1wPOqb5sDV7e1YuY6aF4JRRuDEZ7X66gA/view?usp=drive_link</v>
      </c>
      <c r="M34" s="18"/>
      <c r="N34" s="18" t="str">
        <f>IFERROR(__xludf.DUMMYFUNCTION("""COMPUTED_VALUE"""),"Fahad")</f>
        <v>Fahad</v>
      </c>
      <c r="O34" s="18"/>
      <c r="P34" s="20"/>
      <c r="Q34" s="20"/>
      <c r="R34" s="20"/>
      <c r="S34" s="20"/>
      <c r="T34" s="20"/>
      <c r="U34" s="20"/>
      <c r="V34" s="20"/>
      <c r="W34" s="20"/>
      <c r="X34" s="20"/>
      <c r="Y34" s="20"/>
      <c r="Z34" s="20"/>
      <c r="AA34" s="20"/>
    </row>
    <row r="35">
      <c r="A35" s="17" t="s">
        <v>55</v>
      </c>
      <c r="B35" s="18" t="str">
        <f>IFERROR(__xludf.DUMMYFUNCTION("""COMPUTED_VALUE"""),"Home")</f>
        <v>Home</v>
      </c>
      <c r="C35" s="18" t="str">
        <f>IFERROR(__xludf.DUMMYFUNCTION("""COMPUTED_VALUE"""),"Footer")</f>
        <v>Footer</v>
      </c>
      <c r="D35" s="18" t="str">
        <f>IFERROR(__xludf.DUMMYFUNCTION("""COMPUTED_VALUE"""),"Change the email address in the email body when attempting to contact.")</f>
        <v>Change the email address in the email body when attempting to contact.</v>
      </c>
      <c r="E35" s="18" t="str">
        <f>IFERROR(__xludf.DUMMYFUNCTION("""COMPUTED_VALUE"""),"User need to use a browser like Chrome, Firefox, Brave, etc.")</f>
        <v>User need to use a browser like Chrome, Firefox, Brave, etc.</v>
      </c>
      <c r="F35" s="18" t="str">
        <f>IFERROR(__xludf.DUMMYFUNCTION("""COMPUTED_VALUE"""),"1. Open link 
2. Goto footer section
3. Click on email in footer section")</f>
        <v>1. Open link 
2. Goto footer section
3. Click on email in footer section</v>
      </c>
      <c r="G35" s="18" t="str">
        <f>IFERROR(__xludf.DUMMYFUNCTION("""COMPUTED_VALUE"""),"N/A")</f>
        <v>N/A</v>
      </c>
      <c r="H35" s="18" t="str">
        <f>IFERROR(__xludf.DUMMYFUNCTION("""COMPUTED_VALUE"""),"The email received should match exactly what is displayed on the webpage.")</f>
        <v>The email received should match exactly what is displayed on the webpage.</v>
      </c>
      <c r="I35" s="18" t="str">
        <f>IFERROR(__xludf.DUMMYFUNCTION("""COMPUTED_VALUE"""),"A different email was noticed; the one on the webpage is not the same as the one in the email body.")</f>
        <v>A different email was noticed; the one on the webpage is not the same as the one in the email body.</v>
      </c>
      <c r="J35" s="18" t="str">
        <f>IFERROR(__xludf.DUMMYFUNCTION("""COMPUTED_VALUE"""),"Fail")</f>
        <v>Fail</v>
      </c>
      <c r="K35" s="18" t="str">
        <f>IFERROR(__xludf.DUMMYFUNCTION("""COMPUTED_VALUE"""),"High")</f>
        <v>High</v>
      </c>
      <c r="L35" s="19" t="str">
        <f>IFERROR(__xludf.DUMMYFUNCTION("""COMPUTED_VALUE"""),"https://drive.google.com/file/d/1u4YxhIKjXixH5C58NW4UXd1Kv3FMAAov/view?usp=drive_link")</f>
        <v>https://drive.google.com/file/d/1u4YxhIKjXixH5C58NW4UXd1Kv3FMAAov/view?usp=drive_link</v>
      </c>
      <c r="M35" s="18"/>
      <c r="N35" s="18" t="str">
        <f>IFERROR(__xludf.DUMMYFUNCTION("""COMPUTED_VALUE"""),"Fahad")</f>
        <v>Fahad</v>
      </c>
      <c r="O35" s="18"/>
      <c r="P35" s="20"/>
      <c r="Q35" s="20"/>
      <c r="R35" s="20"/>
      <c r="S35" s="20"/>
      <c r="T35" s="20"/>
      <c r="U35" s="20"/>
      <c r="V35" s="20"/>
      <c r="W35" s="20"/>
      <c r="X35" s="20"/>
      <c r="Y35" s="20"/>
      <c r="Z35" s="20"/>
      <c r="AA35" s="20"/>
    </row>
    <row r="36">
      <c r="A36" s="17" t="s">
        <v>56</v>
      </c>
      <c r="B36" s="18" t="str">
        <f>IFERROR(__xludf.DUMMYFUNCTION("""COMPUTED_VALUE"""),"Home")</f>
        <v>Home</v>
      </c>
      <c r="C36" s="18" t="str">
        <f>IFERROR(__xludf.DUMMYFUNCTION("""COMPUTED_VALUE"""),"Footer")</f>
        <v>Footer</v>
      </c>
      <c r="D36" s="18" t="str">
        <f>IFERROR(__xludf.DUMMYFUNCTION("""COMPUTED_VALUE"""),"Privacy Notice, Terms of Service, Cookies Policy, and Settings are not properly linked.")</f>
        <v>Privacy Notice, Terms of Service, Cookies Policy, and Settings are not properly linked.</v>
      </c>
      <c r="E36" s="18" t="str">
        <f>IFERROR(__xludf.DUMMYFUNCTION("""COMPUTED_VALUE"""),"User need to use a browser like Chrome, Firefox, Brave, etc.")</f>
        <v>User need to use a browser like Chrome, Firefox, Brave, etc.</v>
      </c>
      <c r="F36" s="18" t="str">
        <f>IFERROR(__xludf.DUMMYFUNCTION("""COMPUTED_VALUE"""),"1. Open link 
2. Goto footer section")</f>
        <v>1. Open link 
2. Goto footer section</v>
      </c>
      <c r="G36" s="18" t="str">
        <f>IFERROR(__xludf.DUMMYFUNCTION("""COMPUTED_VALUE"""),"N/A")</f>
        <v>N/A</v>
      </c>
      <c r="H36" s="18" t="str">
        <f>IFERROR(__xludf.DUMMYFUNCTION("""COMPUTED_VALUE"""),"The page link should be properly linked in the footer section.")</f>
        <v>The page link should be properly linked in the footer section.</v>
      </c>
      <c r="I36" s="18" t="str">
        <f>IFERROR(__xludf.DUMMYFUNCTION("""COMPUTED_VALUE"""),"A missing linked page has been identified in the footer section.")</f>
        <v>A missing linked page has been identified in the footer section.</v>
      </c>
      <c r="J36" s="18" t="str">
        <f>IFERROR(__xludf.DUMMYFUNCTION("""COMPUTED_VALUE"""),"Fail")</f>
        <v>Fail</v>
      </c>
      <c r="K36" s="18" t="str">
        <f>IFERROR(__xludf.DUMMYFUNCTION("""COMPUTED_VALUE"""),"High")</f>
        <v>High</v>
      </c>
      <c r="L36" s="19" t="str">
        <f>IFERROR(__xludf.DUMMYFUNCTION("""COMPUTED_VALUE"""),"https://drive.google.com/file/d/1VXkuMGBHtodnou63HikF0nVBjMF18M-L/view?usp=drive_link")</f>
        <v>https://drive.google.com/file/d/1VXkuMGBHtodnou63HikF0nVBjMF18M-L/view?usp=drive_link</v>
      </c>
      <c r="M36" s="18"/>
      <c r="N36" s="18" t="str">
        <f>IFERROR(__xludf.DUMMYFUNCTION("""COMPUTED_VALUE"""),"Fahad")</f>
        <v>Fahad</v>
      </c>
      <c r="O36" s="18"/>
      <c r="P36" s="20"/>
      <c r="Q36" s="20"/>
      <c r="R36" s="20"/>
      <c r="S36" s="20"/>
      <c r="T36" s="20"/>
      <c r="U36" s="20"/>
      <c r="V36" s="20"/>
      <c r="W36" s="20"/>
      <c r="X36" s="20"/>
      <c r="Y36" s="20"/>
      <c r="Z36" s="20"/>
      <c r="AA36" s="20"/>
    </row>
    <row r="37">
      <c r="A37" s="17" t="s">
        <v>57</v>
      </c>
      <c r="B37" s="18" t="str">
        <f>IFERROR(__xludf.DUMMYFUNCTION("""COMPUTED_VALUE"""),"Home")</f>
        <v>Home</v>
      </c>
      <c r="C37" s="18" t="str">
        <f>IFERROR(__xludf.DUMMYFUNCTION("""COMPUTED_VALUE"""),"Header")</f>
        <v>Header</v>
      </c>
      <c r="D37" s="18" t="str">
        <f>IFERROR(__xludf.DUMMYFUNCTION("""COMPUTED_VALUE"""),"The company logo is not clearly visible; a blurry image has been noticed.")</f>
        <v>The company logo is not clearly visible; a blurry image has been noticed.</v>
      </c>
      <c r="E37" s="18" t="str">
        <f>IFERROR(__xludf.DUMMYFUNCTION("""COMPUTED_VALUE"""),"User need to use a browser like Chrome, Firefox, Brave, etc.")</f>
        <v>User need to use a browser like Chrome, Firefox, Brave, etc.</v>
      </c>
      <c r="F37" s="18" t="str">
        <f>IFERROR(__xludf.DUMMYFUNCTION("""COMPUTED_VALUE"""),"1. Open link ")</f>
        <v>1. Open link </v>
      </c>
      <c r="G37" s="18" t="str">
        <f>IFERROR(__xludf.DUMMYFUNCTION("""COMPUTED_VALUE"""),"N/A")</f>
        <v>N/A</v>
      </c>
      <c r="H37" s="18" t="str">
        <f>IFERROR(__xludf.DUMMYFUNCTION("""COMPUTED_VALUE"""),"The logo needs to be easily visible.")</f>
        <v>The logo needs to be easily visible.</v>
      </c>
      <c r="I37" s="18" t="str">
        <f>IFERROR(__xludf.DUMMYFUNCTION("""COMPUTED_VALUE"""),"A blurred logo has been noticed.")</f>
        <v>A blurred logo has been noticed.</v>
      </c>
      <c r="J37" s="18" t="str">
        <f>IFERROR(__xludf.DUMMYFUNCTION("""COMPUTED_VALUE"""),"Fail")</f>
        <v>Fail</v>
      </c>
      <c r="K37" s="18" t="str">
        <f>IFERROR(__xludf.DUMMYFUNCTION("""COMPUTED_VALUE"""),"Low")</f>
        <v>Low</v>
      </c>
      <c r="L37" s="19" t="str">
        <f>IFERROR(__xludf.DUMMYFUNCTION("""COMPUTED_VALUE"""),"https://drive.google.com/file/d/1IKXeg2Ik3mrfnI2FQqMgV4FmzKN8f4Nt/view?usp=drive_link")</f>
        <v>https://drive.google.com/file/d/1IKXeg2Ik3mrfnI2FQqMgV4FmzKN8f4Nt/view?usp=drive_link</v>
      </c>
      <c r="M37" s="18"/>
      <c r="N37" s="18" t="str">
        <f>IFERROR(__xludf.DUMMYFUNCTION("""COMPUTED_VALUE"""),"Fahad")</f>
        <v>Fahad</v>
      </c>
      <c r="O37" s="18"/>
      <c r="P37" s="20"/>
      <c r="Q37" s="20"/>
      <c r="R37" s="20"/>
      <c r="S37" s="20"/>
      <c r="T37" s="20"/>
      <c r="U37" s="20"/>
      <c r="V37" s="20"/>
      <c r="W37" s="20"/>
      <c r="X37" s="20"/>
      <c r="Y37" s="20"/>
      <c r="Z37" s="20"/>
      <c r="AA37" s="20"/>
    </row>
    <row r="38">
      <c r="A38" s="17" t="s">
        <v>58</v>
      </c>
      <c r="B38" s="18" t="str">
        <f>IFERROR(__xludf.DUMMYFUNCTION("""COMPUTED_VALUE"""),"Home")</f>
        <v>Home</v>
      </c>
      <c r="C38" s="18" t="str">
        <f>IFERROR(__xludf.DUMMYFUNCTION("""COMPUTED_VALUE"""),"Header")</f>
        <v>Header</v>
      </c>
      <c r="D38" s="18" t="str">
        <f>IFERROR(__xludf.DUMMYFUNCTION("""COMPUTED_VALUE"""),"The module effect is not visible when dark mode is enabled.")</f>
        <v>The module effect is not visible when dark mode is enabled.</v>
      </c>
      <c r="E38" s="18" t="str">
        <f>IFERROR(__xludf.DUMMYFUNCTION("""COMPUTED_VALUE"""),"User need to use a browser like Chrome, Firefox, Brave, etc.")</f>
        <v>User need to use a browser like Chrome, Firefox, Brave, etc.</v>
      </c>
      <c r="F38" s="18" t="str">
        <f>IFERROR(__xludf.DUMMYFUNCTION("""COMPUTED_VALUE"""),"1. Open link ")</f>
        <v>1. Open link </v>
      </c>
      <c r="G38" s="18" t="str">
        <f>IFERROR(__xludf.DUMMYFUNCTION("""COMPUTED_VALUE"""),"N/A")</f>
        <v>N/A</v>
      </c>
      <c r="H38" s="18" t="str">
        <f>IFERROR(__xludf.DUMMYFUNCTION("""COMPUTED_VALUE"""),"The effect should be clearly visible.")</f>
        <v>The effect should be clearly visible.</v>
      </c>
      <c r="I38" s="18" t="str">
        <f>IFERROR(__xludf.DUMMYFUNCTION("""COMPUTED_VALUE"""),"Missing effect has been noticed")</f>
        <v>Missing effect has been noticed</v>
      </c>
      <c r="J38" s="18" t="str">
        <f>IFERROR(__xludf.DUMMYFUNCTION("""COMPUTED_VALUE"""),"Fail")</f>
        <v>Fail</v>
      </c>
      <c r="K38" s="18" t="str">
        <f>IFERROR(__xludf.DUMMYFUNCTION("""COMPUTED_VALUE"""),"Low")</f>
        <v>Low</v>
      </c>
      <c r="L38" s="19" t="str">
        <f>IFERROR(__xludf.DUMMYFUNCTION("""COMPUTED_VALUE"""),"https://drive.google.com/file/d/1qSUzLixGsGe7OtH9H6Ce-naNWPtXlMU3/view?usp=drive_link")</f>
        <v>https://drive.google.com/file/d/1qSUzLixGsGe7OtH9H6Ce-naNWPtXlMU3/view?usp=drive_link</v>
      </c>
      <c r="M38" s="18"/>
      <c r="N38" s="18" t="str">
        <f>IFERROR(__xludf.DUMMYFUNCTION("""COMPUTED_VALUE"""),"Fahad")</f>
        <v>Fahad</v>
      </c>
      <c r="O38" s="18"/>
      <c r="P38" s="20"/>
      <c r="Q38" s="20"/>
      <c r="R38" s="20"/>
      <c r="S38" s="20"/>
      <c r="T38" s="20"/>
      <c r="U38" s="20"/>
      <c r="V38" s="20"/>
      <c r="W38" s="20"/>
      <c r="X38" s="20"/>
      <c r="Y38" s="20"/>
      <c r="Z38" s="20"/>
      <c r="AA38" s="20"/>
    </row>
    <row r="39">
      <c r="A39" s="17" t="s">
        <v>59</v>
      </c>
      <c r="B39" s="18" t="str">
        <f>IFERROR(__xludf.DUMMYFUNCTION("""COMPUTED_VALUE"""),"Home")</f>
        <v>Home</v>
      </c>
      <c r="C39" s="18" t="str">
        <f>IFERROR(__xludf.DUMMYFUNCTION("""COMPUTED_VALUE"""),"Home")</f>
        <v>Home</v>
      </c>
      <c r="D39" s="18" t="str">
        <f>IFERROR(__xludf.DUMMYFUNCTION("""COMPUTED_VALUE"""),"The image border and effect border appear visible in dark mode across different browsers.")</f>
        <v>The image border and effect border appear visible in dark mode across different browsers.</v>
      </c>
      <c r="E39" s="18" t="str">
        <f>IFERROR(__xludf.DUMMYFUNCTION("""COMPUTED_VALUE"""),"User need to use a browser like Chrome, Firefox, Brave, etc.")</f>
        <v>User need to use a browser like Chrome, Firefox, Brave, etc.</v>
      </c>
      <c r="F39" s="18" t="str">
        <f>IFERROR(__xludf.DUMMYFUNCTION("""COMPUTED_VALUE"""),"1. Open link ")</f>
        <v>1. Open link </v>
      </c>
      <c r="G39" s="18" t="str">
        <f>IFERROR(__xludf.DUMMYFUNCTION("""COMPUTED_VALUE"""),"N/A")</f>
        <v>N/A</v>
      </c>
      <c r="H39" s="18" t="str">
        <f>IFERROR(__xludf.DUMMYFUNCTION("""COMPUTED_VALUE"""),"The image border should remain invisible in all modes.")</f>
        <v>The image border should remain invisible in all modes.</v>
      </c>
      <c r="I39" s="18" t="str">
        <f>IFERROR(__xludf.DUMMYFUNCTION("""COMPUTED_VALUE"""),"The image and its effect border have been noticed.")</f>
        <v>The image and its effect border have been noticed.</v>
      </c>
      <c r="J39" s="18" t="str">
        <f>IFERROR(__xludf.DUMMYFUNCTION("""COMPUTED_VALUE"""),"Fail")</f>
        <v>Fail</v>
      </c>
      <c r="K39" s="18" t="str">
        <f>IFERROR(__xludf.DUMMYFUNCTION("""COMPUTED_VALUE"""),"Low")</f>
        <v>Low</v>
      </c>
      <c r="L39" s="19" t="str">
        <f>IFERROR(__xludf.DUMMYFUNCTION("""COMPUTED_VALUE"""),"https://drive.google.com/file/d/1CZfs8AVjsK2KIVligB3IAHej2v_got3v/view?usp=drive_link")</f>
        <v>https://drive.google.com/file/d/1CZfs8AVjsK2KIVligB3IAHej2v_got3v/view?usp=drive_link</v>
      </c>
      <c r="M39" s="18"/>
      <c r="N39" s="18" t="str">
        <f>IFERROR(__xludf.DUMMYFUNCTION("""COMPUTED_VALUE"""),"Fahad")</f>
        <v>Fahad</v>
      </c>
      <c r="O39" s="18"/>
      <c r="P39" s="20"/>
      <c r="Q39" s="20"/>
      <c r="R39" s="20"/>
      <c r="S39" s="20"/>
      <c r="T39" s="20"/>
      <c r="U39" s="20"/>
      <c r="V39" s="20"/>
      <c r="W39" s="20"/>
      <c r="X39" s="20"/>
      <c r="Y39" s="20"/>
      <c r="Z39" s="20"/>
      <c r="AA39" s="20"/>
    </row>
    <row r="40">
      <c r="A40" s="17" t="s">
        <v>60</v>
      </c>
      <c r="B40" s="18" t="str">
        <f>IFERROR(__xludf.DUMMYFUNCTION("""COMPUTED_VALUE"""),"Home")</f>
        <v>Home</v>
      </c>
      <c r="C40" s="18" t="str">
        <f>IFERROR(__xludf.DUMMYFUNCTION("""COMPUTED_VALUE"""),"Home")</f>
        <v>Home</v>
      </c>
      <c r="D40" s="18" t="str">
        <f>IFERROR(__xludf.DUMMYFUNCTION("""COMPUTED_VALUE"""),"The title name gets cut off when switching to dark mode in different browsers like Chrome, Firefox, and Brave.")</f>
        <v>The title name gets cut off when switching to dark mode in different browsers like Chrome, Firefox, and Brave.</v>
      </c>
      <c r="E40" s="18" t="str">
        <f>IFERROR(__xludf.DUMMYFUNCTION("""COMPUTED_VALUE"""),"User need to use a browser like Chrome, Firefox, Brave, etc.")</f>
        <v>User need to use a browser like Chrome, Firefox, Brave, etc.</v>
      </c>
      <c r="F40" s="18" t="str">
        <f>IFERROR(__xludf.DUMMYFUNCTION("""COMPUTED_VALUE"""),"1. Open link ")</f>
        <v>1. Open link </v>
      </c>
      <c r="G40" s="18" t="str">
        <f>IFERROR(__xludf.DUMMYFUNCTION("""COMPUTED_VALUE"""),"N/A")</f>
        <v>N/A</v>
      </c>
      <c r="H40" s="18" t="str">
        <f>IFERROR(__xludf.DUMMYFUNCTION("""COMPUTED_VALUE"""),"The title and alignment should remain consistent across different states.")</f>
        <v>The title and alignment should remain consistent across different states.</v>
      </c>
      <c r="I40" s="18" t="str">
        <f>IFERROR(__xludf.DUMMYFUNCTION("""COMPUTED_VALUE"""),"Title shortens when switching modes.")</f>
        <v>Title shortens when switching modes.</v>
      </c>
      <c r="J40" s="18" t="str">
        <f>IFERROR(__xludf.DUMMYFUNCTION("""COMPUTED_VALUE"""),"Fail")</f>
        <v>Fail</v>
      </c>
      <c r="K40" s="18" t="str">
        <f>IFERROR(__xludf.DUMMYFUNCTION("""COMPUTED_VALUE"""),"Medium")</f>
        <v>Medium</v>
      </c>
      <c r="L40" s="19" t="str">
        <f>IFERROR(__xludf.DUMMYFUNCTION("""COMPUTED_VALUE"""),"https://drive.google.com/file/d/1Ey4v4iC33EyuioR4Ss6WBSBjQ6tlB8NI/view?usp=drive_link")</f>
        <v>https://drive.google.com/file/d/1Ey4v4iC33EyuioR4Ss6WBSBjQ6tlB8NI/view?usp=drive_link</v>
      </c>
      <c r="M40" s="18"/>
      <c r="N40" s="18" t="str">
        <f>IFERROR(__xludf.DUMMYFUNCTION("""COMPUTED_VALUE"""),"Fahad")</f>
        <v>Fahad</v>
      </c>
      <c r="O40" s="18"/>
      <c r="P40" s="20"/>
      <c r="Q40" s="20"/>
      <c r="R40" s="20"/>
      <c r="S40" s="20"/>
      <c r="T40" s="20"/>
      <c r="U40" s="20"/>
      <c r="V40" s="20"/>
      <c r="W40" s="20"/>
      <c r="X40" s="20"/>
      <c r="Y40" s="20"/>
      <c r="Z40" s="20"/>
      <c r="AA40" s="20"/>
    </row>
    <row r="41">
      <c r="A41" s="17" t="s">
        <v>61</v>
      </c>
      <c r="B41" s="18" t="str">
        <f>IFERROR(__xludf.DUMMYFUNCTION("""COMPUTED_VALUE"""),"Home")</f>
        <v>Home</v>
      </c>
      <c r="C41" s="18" t="str">
        <f>IFERROR(__xludf.DUMMYFUNCTION("""COMPUTED_VALUE"""),"Home")</f>
        <v>Home</v>
      </c>
      <c r="D41" s="18" t="str">
        <f>IFERROR(__xludf.DUMMYFUNCTION("""COMPUTED_VALUE"""),"Subscription packages, tire borders, and price cards are conflicting in dark mode across different browsers.")</f>
        <v>Subscription packages, tire borders, and price cards are conflicting in dark mode across different browsers.</v>
      </c>
      <c r="E41" s="18" t="str">
        <f>IFERROR(__xludf.DUMMYFUNCTION("""COMPUTED_VALUE"""),"User need to use a browser like Chrome, Firefox, Brave, etc.")</f>
        <v>User need to use a browser like Chrome, Firefox, Brave, etc.</v>
      </c>
      <c r="F41" s="18" t="str">
        <f>IFERROR(__xludf.DUMMYFUNCTION("""COMPUTED_VALUE"""),"1. Open link 
2. Goto subscription section")</f>
        <v>1. Open link 
2. Goto subscription section</v>
      </c>
      <c r="G41" s="18" t="str">
        <f>IFERROR(__xludf.DUMMYFUNCTION("""COMPUTED_VALUE"""),"N/A")</f>
        <v>N/A</v>
      </c>
      <c r="H41" s="18" t="str">
        <f>IFERROR(__xludf.DUMMYFUNCTION("""COMPUTED_VALUE"""),"The title and alignment should remain consistent across different states.")</f>
        <v>The title and alignment should remain consistent across different states.</v>
      </c>
      <c r="I41" s="18" t="str">
        <f>IFERROR(__xludf.DUMMYFUNCTION("""COMPUTED_VALUE"""),"The subscription tier borders are visible in dark mode and are clashing with the price card.")</f>
        <v>The subscription tier borders are visible in dark mode and are clashing with the price card.</v>
      </c>
      <c r="J41" s="18" t="str">
        <f>IFERROR(__xludf.DUMMYFUNCTION("""COMPUTED_VALUE"""),"Fail")</f>
        <v>Fail</v>
      </c>
      <c r="K41" s="18" t="str">
        <f>IFERROR(__xludf.DUMMYFUNCTION("""COMPUTED_VALUE"""),"Medium")</f>
        <v>Medium</v>
      </c>
      <c r="L41" s="19" t="str">
        <f>IFERROR(__xludf.DUMMYFUNCTION("""COMPUTED_VALUE"""),"https://drive.google.com/file/d/1kGDsHKUcdvS2xePRxpWVs63YGZXiPv1f/view?usp=drive_link")</f>
        <v>https://drive.google.com/file/d/1kGDsHKUcdvS2xePRxpWVs63YGZXiPv1f/view?usp=drive_link</v>
      </c>
      <c r="M41" s="18"/>
      <c r="N41" s="18" t="str">
        <f>IFERROR(__xludf.DUMMYFUNCTION("""COMPUTED_VALUE"""),"Fahad")</f>
        <v>Fahad</v>
      </c>
      <c r="O41" s="18"/>
      <c r="P41" s="20"/>
      <c r="Q41" s="20"/>
      <c r="R41" s="20"/>
      <c r="S41" s="20"/>
      <c r="T41" s="20"/>
      <c r="U41" s="20"/>
      <c r="V41" s="20"/>
      <c r="W41" s="20"/>
      <c r="X41" s="20"/>
      <c r="Y41" s="20"/>
      <c r="Z41" s="20"/>
      <c r="AA41" s="20"/>
    </row>
    <row r="42">
      <c r="A42" s="17" t="s">
        <v>62</v>
      </c>
      <c r="B42" s="18" t="str">
        <f>IFERROR(__xludf.DUMMYFUNCTION("""COMPUTED_VALUE"""),"Home")</f>
        <v>Home</v>
      </c>
      <c r="C42" s="18" t="str">
        <f>IFERROR(__xludf.DUMMYFUNCTION("""COMPUTED_VALUE"""),"Home")</f>
        <v>Home</v>
      </c>
      <c r="D42" s="18" t="str">
        <f>IFERROR(__xludf.DUMMYFUNCTION("""COMPUTED_VALUE"""),"The new page doesn't start from the top.")</f>
        <v>The new page doesn't start from the top.</v>
      </c>
      <c r="E42" s="18" t="str">
        <f>IFERROR(__xludf.DUMMYFUNCTION("""COMPUTED_VALUE"""),"User need to use a browser like Chrome, Firefox, Brave, etc.")</f>
        <v>User need to use a browser like Chrome, Firefox, Brave, etc.</v>
      </c>
      <c r="F42" s="18" t="str">
        <f>IFERROR(__xludf.DUMMYFUNCTION("""COMPUTED_VALUE"""),"1. Open link ")</f>
        <v>1. Open link </v>
      </c>
      <c r="G42" s="18" t="str">
        <f>IFERROR(__xludf.DUMMYFUNCTION("""COMPUTED_VALUE"""),"N/A")</f>
        <v>N/A</v>
      </c>
      <c r="H42" s="18" t="str">
        <f>IFERROR(__xludf.DUMMYFUNCTION("""COMPUTED_VALUE"""),"All pages should begin at the top.")</f>
        <v>All pages should begin at the top.</v>
      </c>
      <c r="I42" s="18" t="str">
        <f>IFERROR(__xludf.DUMMYFUNCTION("""COMPUTED_VALUE"""),"When a user is in the middle of a page, the next page they visit starts from the middle as well.")</f>
        <v>When a user is in the middle of a page, the next page they visit starts from the middle as well.</v>
      </c>
      <c r="J42" s="18" t="str">
        <f>IFERROR(__xludf.DUMMYFUNCTION("""COMPUTED_VALUE"""),"Fail")</f>
        <v>Fail</v>
      </c>
      <c r="K42" s="18" t="str">
        <f>IFERROR(__xludf.DUMMYFUNCTION("""COMPUTED_VALUE"""),"Medium")</f>
        <v>Medium</v>
      </c>
      <c r="L42" s="19" t="str">
        <f>IFERROR(__xludf.DUMMYFUNCTION("""COMPUTED_VALUE"""),"https://drive.google.com/file/d/1VroDLf55Xos-h4D6PbTSY2bhHZwW-Ls-/view?usp=drive_link")</f>
        <v>https://drive.google.com/file/d/1VroDLf55Xos-h4D6PbTSY2bhHZwW-Ls-/view?usp=drive_link</v>
      </c>
      <c r="M42" s="18"/>
      <c r="N42" s="18" t="str">
        <f>IFERROR(__xludf.DUMMYFUNCTION("""COMPUTED_VALUE"""),"Fahad")</f>
        <v>Fahad</v>
      </c>
      <c r="O42" s="18"/>
      <c r="P42" s="20"/>
      <c r="Q42" s="20"/>
      <c r="R42" s="20"/>
      <c r="S42" s="20"/>
      <c r="T42" s="20"/>
      <c r="U42" s="20"/>
      <c r="V42" s="20"/>
      <c r="W42" s="20"/>
      <c r="X42" s="20"/>
      <c r="Y42" s="20"/>
      <c r="Z42" s="20"/>
      <c r="AA42" s="20"/>
    </row>
    <row r="43">
      <c r="A43" s="17" t="s">
        <v>63</v>
      </c>
      <c r="B43" s="18" t="str">
        <f>IFERROR(__xludf.DUMMYFUNCTION("""COMPUTED_VALUE"""),"Home")</f>
        <v>Home</v>
      </c>
      <c r="C43" s="18" t="str">
        <f>IFERROR(__xludf.DUMMYFUNCTION("""COMPUTED_VALUE"""),"Packages")</f>
        <v>Packages</v>
      </c>
      <c r="D43" s="18" t="str">
        <f>IFERROR(__xludf.DUMMYFUNCTION("""COMPUTED_VALUE"""),"Unable to load packages.")</f>
        <v>Unable to load packages.</v>
      </c>
      <c r="E43" s="18" t="str">
        <f>IFERROR(__xludf.DUMMYFUNCTION("""COMPUTED_VALUE"""),"User need to use a browser like Chrome, Firefox, Brave, etc.")</f>
        <v>User need to use a browser like Chrome, Firefox, Brave, etc.</v>
      </c>
      <c r="F43" s="18" t="str">
        <f>IFERROR(__xludf.DUMMYFUNCTION("""COMPUTED_VALUE"""),"1. Open the link.  
2. Log in with valid credentials.  
3. Go to the packages.  ")</f>
        <v>1. Open the link.  
2. Log in with valid credentials.  
3. Go to the packages.  </v>
      </c>
      <c r="G43" s="18" t="str">
        <f>IFERROR(__xludf.DUMMYFUNCTION("""COMPUTED_VALUE"""),"email: laxali4063@fursee.com
pass: 112244557788")</f>
        <v>email: laxali4063@fursee.com
pass: 112244557788</v>
      </c>
      <c r="H43" s="18" t="str">
        <f>IFERROR(__xludf.DUMMYFUNCTION("""COMPUTED_VALUE"""),"Packages need to load correctly.")</f>
        <v>Packages need to load correctly.</v>
      </c>
      <c r="I43" s="18" t="str">
        <f>IFERROR(__xludf.DUMMYFUNCTION("""COMPUTED_VALUE"""),"Missing package data after profile update")</f>
        <v>Missing package data after profile update</v>
      </c>
      <c r="J43" s="18" t="str">
        <f>IFERROR(__xludf.DUMMYFUNCTION("""COMPUTED_VALUE"""),"Fail")</f>
        <v>Fail</v>
      </c>
      <c r="K43" s="18" t="str">
        <f>IFERROR(__xludf.DUMMYFUNCTION("""COMPUTED_VALUE"""),"High")</f>
        <v>High</v>
      </c>
      <c r="L43" s="19" t="str">
        <f>IFERROR(__xludf.DUMMYFUNCTION("""COMPUTED_VALUE"""),"https://drive.google.com/file/d/114X1PWrqJvrW8SMb-XqwMLQUh52KTW2J/view?usp=drive_link")</f>
        <v>https://drive.google.com/file/d/114X1PWrqJvrW8SMb-XqwMLQUh52KTW2J/view?usp=drive_link</v>
      </c>
      <c r="M43" s="18"/>
      <c r="N43" s="18" t="str">
        <f>IFERROR(__xludf.DUMMYFUNCTION("""COMPUTED_VALUE"""),"Fahad")</f>
        <v>Fahad</v>
      </c>
      <c r="O43" s="18"/>
      <c r="P43" s="20"/>
      <c r="Q43" s="20"/>
      <c r="R43" s="20"/>
      <c r="S43" s="20"/>
      <c r="T43" s="20"/>
      <c r="U43" s="20"/>
      <c r="V43" s="20"/>
      <c r="W43" s="20"/>
      <c r="X43" s="20"/>
      <c r="Y43" s="20"/>
      <c r="Z43" s="20"/>
      <c r="AA43" s="20"/>
    </row>
    <row r="44">
      <c r="A44" s="17" t="s">
        <v>64</v>
      </c>
      <c r="B44" s="18" t="str">
        <f>IFERROR(__xludf.DUMMYFUNCTION("""COMPUTED_VALUE"""),"Home")</f>
        <v>Home</v>
      </c>
      <c r="C44" s="18" t="str">
        <f>IFERROR(__xludf.DUMMYFUNCTION("""COMPUTED_VALUE"""),"Packages")</f>
        <v>Packages</v>
      </c>
      <c r="D44" s="18" t="str">
        <f>IFERROR(__xludf.DUMMYFUNCTION("""COMPUTED_VALUE"""),"Unable to buy packages while logged in.")</f>
        <v>Unable to buy packages while logged in.</v>
      </c>
      <c r="E44" s="18" t="str">
        <f>IFERROR(__xludf.DUMMYFUNCTION("""COMPUTED_VALUE"""),"User need to use a browser like Chrome, Firefox, Brave, etc.")</f>
        <v>User need to use a browser like Chrome, Firefox, Brave, etc.</v>
      </c>
      <c r="F44" s="18" t="str">
        <f>IFERROR(__xludf.DUMMYFUNCTION("""COMPUTED_VALUE"""),"1. Open the link.  
2. Log in with valid credentials.  
3. Go to the Home &gt; Packages")</f>
        <v>1. Open the link.  
2. Log in with valid credentials.  
3. Go to the Home &gt; Packages</v>
      </c>
      <c r="G44" s="18" t="str">
        <f>IFERROR(__xludf.DUMMYFUNCTION("""COMPUTED_VALUE"""),"email: laxali4063@fursee.com
pass: 112244557788")</f>
        <v>email: laxali4063@fursee.com
pass: 112244557788</v>
      </c>
      <c r="H44" s="18" t="str">
        <f>IFERROR(__xludf.DUMMYFUNCTION("""COMPUTED_VALUE"""),"Users should be able to upgrade their packages whenever they need.")</f>
        <v>Users should be able to upgrade their packages whenever they need.</v>
      </c>
      <c r="I44" s="18" t="str">
        <f>IFERROR(__xludf.DUMMYFUNCTION("""COMPUTED_VALUE"""),"Failed to upgrade packages")</f>
        <v>Failed to upgrade packages</v>
      </c>
      <c r="J44" s="18" t="str">
        <f>IFERROR(__xludf.DUMMYFUNCTION("""COMPUTED_VALUE"""),"Fail")</f>
        <v>Fail</v>
      </c>
      <c r="K44" s="18" t="str">
        <f>IFERROR(__xludf.DUMMYFUNCTION("""COMPUTED_VALUE"""),"High")</f>
        <v>High</v>
      </c>
      <c r="L44" s="19" t="str">
        <f>IFERROR(__xludf.DUMMYFUNCTION("""COMPUTED_VALUE"""),"https://drive.google.com/file/d/138lORsTzMH2ExswZfn_mP0gPLgmjbnko/view?usp=drive_link")</f>
        <v>https://drive.google.com/file/d/138lORsTzMH2ExswZfn_mP0gPLgmjbnko/view?usp=drive_link</v>
      </c>
      <c r="M44" s="18"/>
      <c r="N44" s="18" t="str">
        <f>IFERROR(__xludf.DUMMYFUNCTION("""COMPUTED_VALUE"""),"Fahad")</f>
        <v>Fahad</v>
      </c>
      <c r="O44" s="18"/>
      <c r="P44" s="20"/>
      <c r="Q44" s="20"/>
      <c r="R44" s="20"/>
      <c r="S44" s="20"/>
      <c r="T44" s="20"/>
      <c r="U44" s="20"/>
      <c r="V44" s="20"/>
      <c r="W44" s="20"/>
      <c r="X44" s="20"/>
      <c r="Y44" s="20"/>
      <c r="Z44" s="20"/>
      <c r="AA44" s="20"/>
    </row>
    <row r="45">
      <c r="A45" s="21"/>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c r="A46" s="21"/>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c r="A47" s="21"/>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c r="A48" s="21"/>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c r="A49" s="21"/>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c r="A50" s="21"/>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c r="A51" s="21"/>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21"/>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21"/>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21"/>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c r="A55" s="21"/>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c r="A56" s="21"/>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c r="A57" s="21"/>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c r="A58" s="21"/>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c r="A59" s="21"/>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c r="A60" s="21"/>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c r="A61" s="21"/>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21"/>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21"/>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21"/>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21"/>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21"/>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c r="A67" s="21"/>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21"/>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21"/>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21"/>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21"/>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21"/>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1"/>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1"/>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1"/>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1"/>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1"/>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1"/>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1"/>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1"/>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1"/>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1"/>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1"/>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1"/>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1"/>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1"/>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1"/>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1"/>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1"/>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1"/>
    </row>
    <row r="91">
      <c r="A91" s="21"/>
    </row>
    <row r="92">
      <c r="A92" s="21"/>
    </row>
    <row r="93">
      <c r="A93" s="21"/>
    </row>
    <row r="94">
      <c r="A94" s="21"/>
    </row>
    <row r="95">
      <c r="A95" s="21"/>
    </row>
    <row r="96">
      <c r="A96" s="21"/>
    </row>
    <row r="97">
      <c r="A97" s="21"/>
    </row>
    <row r="98">
      <c r="A98" s="21"/>
    </row>
    <row r="99">
      <c r="A99" s="21"/>
    </row>
  </sheetData>
  <dataValidations>
    <dataValidation type="list" allowBlank="1" showErrorMessage="1" sqref="J11:J44">
      <formula1>"Fail,Pass"</formula1>
    </dataValidation>
    <dataValidation type="list" allowBlank="1" showErrorMessage="1" sqref="O11:O44">
      <formula1>"Solved,Unsolved"</formula1>
    </dataValidation>
    <dataValidation type="list" allowBlank="1" showErrorMessage="1" sqref="K11:K44">
      <formula1>"Low,Medium,High"</formula1>
    </dataValidation>
  </dataValidations>
  <hyperlinks>
    <hyperlink r:id="rId1" ref="B4"/>
    <hyperlink r:id="rId2" ref="L11"/>
    <hyperlink r:id="rId3" ref="L12"/>
    <hyperlink r:id="rId4" ref="L13"/>
    <hyperlink r:id="rId5" ref="L14"/>
    <hyperlink r:id="rId6" ref="L15"/>
    <hyperlink r:id="rId7" ref="L18"/>
    <hyperlink r:id="rId8" ref="L19"/>
    <hyperlink r:id="rId9" ref="L20"/>
    <hyperlink r:id="rId10" ref="L21"/>
    <hyperlink r:id="rId11" ref="L22"/>
    <hyperlink r:id="rId12" ref="L23"/>
    <hyperlink r:id="rId13" ref="L24"/>
    <hyperlink r:id="rId14" ref="L25"/>
    <hyperlink r:id="rId15" ref="L26"/>
    <hyperlink r:id="rId16" ref="L27"/>
    <hyperlink r:id="rId17" ref="L28"/>
    <hyperlink r:id="rId18" ref="L29"/>
    <hyperlink r:id="rId19" ref="L30"/>
    <hyperlink r:id="rId20" ref="L31"/>
    <hyperlink r:id="rId21" ref="L32"/>
    <hyperlink r:id="rId22" ref="L33"/>
    <hyperlink r:id="rId23" ref="L34"/>
    <hyperlink r:id="rId24" ref="L35"/>
    <hyperlink r:id="rId25" ref="L36"/>
    <hyperlink r:id="rId26" ref="L37"/>
    <hyperlink r:id="rId27" ref="L38"/>
    <hyperlink r:id="rId28" ref="L39"/>
    <hyperlink r:id="rId29" ref="L40"/>
    <hyperlink r:id="rId30" ref="L41"/>
    <hyperlink r:id="rId31" ref="L42"/>
    <hyperlink r:id="rId32" ref="L43"/>
    <hyperlink r:id="rId33" ref="L44"/>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28.25"/>
    <col customWidth="1" min="3" max="3" width="16.38"/>
    <col customWidth="1" min="4" max="4" width="19.0"/>
    <col customWidth="1" min="5" max="5" width="15.38"/>
    <col customWidth="1" min="6" max="6" width="16.88"/>
    <col customWidth="1" min="7" max="7" width="20.13"/>
    <col customWidth="1" min="8" max="8" width="19.63"/>
    <col customWidth="1" min="9" max="9" width="19.5"/>
    <col customWidth="1" min="10" max="10" width="11.13"/>
    <col customWidth="1" min="11" max="11" width="13.25"/>
    <col customWidth="1" min="12" max="12" width="14.63"/>
    <col customWidth="1" min="13" max="13" width="12.25"/>
    <col customWidth="1" min="14" max="14" width="14.38"/>
  </cols>
  <sheetData>
    <row r="1">
      <c r="A1" s="22" t="s">
        <v>0</v>
      </c>
      <c r="B1" s="23" t="s">
        <v>65</v>
      </c>
      <c r="C1" s="24"/>
      <c r="D1" s="24"/>
      <c r="E1" s="24"/>
      <c r="F1" s="24"/>
      <c r="G1" s="24"/>
      <c r="H1" s="24"/>
      <c r="I1" s="24"/>
      <c r="J1" s="24"/>
      <c r="K1" s="24"/>
      <c r="L1" s="24"/>
      <c r="M1" s="24"/>
      <c r="N1" s="24"/>
      <c r="O1" s="24"/>
      <c r="P1" s="24"/>
      <c r="Q1" s="24"/>
      <c r="R1" s="24"/>
      <c r="S1" s="24"/>
      <c r="T1" s="24"/>
      <c r="U1" s="24"/>
      <c r="V1" s="24"/>
      <c r="W1" s="24"/>
      <c r="X1" s="24"/>
      <c r="Y1" s="24"/>
      <c r="Z1" s="24"/>
    </row>
    <row r="2">
      <c r="A2" s="22" t="s">
        <v>4</v>
      </c>
      <c r="B2" s="25" t="s">
        <v>5</v>
      </c>
      <c r="C2" s="24"/>
      <c r="D2" s="24"/>
      <c r="E2" s="24"/>
      <c r="F2" s="24"/>
      <c r="G2" s="24"/>
      <c r="H2" s="24"/>
      <c r="I2" s="24"/>
      <c r="J2" s="24"/>
      <c r="K2" s="24"/>
      <c r="L2" s="24"/>
      <c r="M2" s="24"/>
      <c r="N2" s="24"/>
      <c r="O2" s="24"/>
      <c r="P2" s="24"/>
      <c r="Q2" s="24"/>
      <c r="R2" s="24"/>
      <c r="S2" s="24"/>
      <c r="T2" s="24"/>
      <c r="U2" s="24"/>
      <c r="V2" s="24"/>
      <c r="W2" s="24"/>
      <c r="X2" s="24"/>
      <c r="Y2" s="24"/>
      <c r="Z2" s="24"/>
    </row>
    <row r="3">
      <c r="A3" s="22" t="s">
        <v>10</v>
      </c>
      <c r="B3" s="23" t="s">
        <v>66</v>
      </c>
      <c r="C3" s="24"/>
      <c r="D3" s="24"/>
      <c r="E3" s="24"/>
      <c r="F3" s="24"/>
      <c r="G3" s="24"/>
      <c r="H3" s="24"/>
      <c r="I3" s="24"/>
      <c r="J3" s="24"/>
      <c r="K3" s="24"/>
      <c r="L3" s="24"/>
      <c r="M3" s="24"/>
      <c r="N3" s="24"/>
      <c r="O3" s="24"/>
      <c r="P3" s="24"/>
      <c r="Q3" s="24"/>
      <c r="R3" s="24"/>
      <c r="S3" s="24"/>
      <c r="T3" s="24"/>
      <c r="U3" s="24"/>
      <c r="V3" s="24"/>
      <c r="W3" s="24"/>
      <c r="X3" s="24"/>
      <c r="Y3" s="24"/>
      <c r="Z3" s="24"/>
    </row>
    <row r="4">
      <c r="A4" s="22" t="s">
        <v>13</v>
      </c>
      <c r="B4" s="26" t="s">
        <v>67</v>
      </c>
      <c r="C4" s="24"/>
      <c r="D4" s="24"/>
      <c r="E4" s="24"/>
      <c r="F4" s="24"/>
      <c r="G4" s="24"/>
      <c r="H4" s="24"/>
      <c r="I4" s="24"/>
      <c r="J4" s="24"/>
      <c r="K4" s="24"/>
      <c r="L4" s="24"/>
      <c r="M4" s="24"/>
      <c r="N4" s="24"/>
      <c r="O4" s="24"/>
      <c r="P4" s="24"/>
      <c r="Q4" s="24"/>
      <c r="R4" s="24"/>
      <c r="S4" s="24"/>
      <c r="T4" s="24"/>
      <c r="U4" s="24"/>
      <c r="V4" s="24"/>
      <c r="W4" s="24"/>
      <c r="X4" s="24"/>
      <c r="Y4" s="24"/>
      <c r="Z4" s="24"/>
    </row>
    <row r="5">
      <c r="A5" s="27" t="s">
        <v>68</v>
      </c>
      <c r="B5" s="26" t="s">
        <v>69</v>
      </c>
      <c r="C5" s="24"/>
      <c r="D5" s="24"/>
      <c r="E5" s="24"/>
      <c r="F5" s="24"/>
      <c r="G5" s="24"/>
      <c r="H5" s="24"/>
      <c r="I5" s="24"/>
      <c r="J5" s="24"/>
      <c r="K5" s="24"/>
      <c r="L5" s="24"/>
      <c r="M5" s="24"/>
      <c r="N5" s="24"/>
      <c r="O5" s="24"/>
      <c r="P5" s="24"/>
      <c r="Q5" s="24"/>
      <c r="R5" s="24"/>
      <c r="S5" s="24"/>
      <c r="T5" s="24"/>
      <c r="U5" s="24"/>
      <c r="V5" s="24"/>
      <c r="W5" s="24"/>
      <c r="X5" s="24"/>
      <c r="Y5" s="24"/>
      <c r="Z5" s="24"/>
    </row>
    <row r="6">
      <c r="A6" s="24"/>
      <c r="B6" s="24"/>
      <c r="C6" s="24"/>
      <c r="D6" s="24"/>
      <c r="E6" s="24"/>
      <c r="F6" s="24"/>
      <c r="G6" s="24"/>
      <c r="H6" s="24"/>
      <c r="I6" s="24"/>
      <c r="J6" s="24"/>
      <c r="K6" s="24"/>
      <c r="L6" s="24"/>
      <c r="M6" s="24"/>
      <c r="N6" s="24"/>
      <c r="O6" s="24"/>
      <c r="P6" s="24"/>
      <c r="Q6" s="24"/>
      <c r="R6" s="24"/>
      <c r="S6" s="24"/>
      <c r="T6" s="24"/>
      <c r="U6" s="24"/>
      <c r="V6" s="24"/>
      <c r="W6" s="24"/>
      <c r="X6" s="24"/>
      <c r="Y6" s="24"/>
      <c r="Z6" s="24"/>
    </row>
    <row r="7">
      <c r="A7" s="28" t="s">
        <v>70</v>
      </c>
      <c r="B7" s="28" t="s">
        <v>18</v>
      </c>
      <c r="C7" s="28" t="s">
        <v>19</v>
      </c>
      <c r="D7" s="28" t="s">
        <v>20</v>
      </c>
      <c r="E7" s="28" t="s">
        <v>21</v>
      </c>
      <c r="F7" s="28" t="s">
        <v>22</v>
      </c>
      <c r="G7" s="28" t="s">
        <v>23</v>
      </c>
      <c r="H7" s="28" t="s">
        <v>24</v>
      </c>
      <c r="I7" s="28" t="s">
        <v>25</v>
      </c>
      <c r="J7" s="28" t="s">
        <v>26</v>
      </c>
      <c r="K7" s="28" t="s">
        <v>2</v>
      </c>
      <c r="L7" s="28" t="s">
        <v>27</v>
      </c>
      <c r="M7" s="28" t="s">
        <v>28</v>
      </c>
      <c r="N7" s="28" t="s">
        <v>30</v>
      </c>
      <c r="O7" s="29"/>
      <c r="P7" s="29"/>
      <c r="Q7" s="29"/>
      <c r="R7" s="29"/>
      <c r="S7" s="29"/>
      <c r="T7" s="29"/>
      <c r="U7" s="29"/>
      <c r="V7" s="29"/>
      <c r="W7" s="29"/>
      <c r="X7" s="29"/>
      <c r="Y7" s="29"/>
      <c r="Z7" s="29"/>
    </row>
    <row r="8">
      <c r="A8" s="30" t="s">
        <v>71</v>
      </c>
      <c r="B8" s="31" t="s">
        <v>72</v>
      </c>
      <c r="C8" s="31" t="s">
        <v>73</v>
      </c>
      <c r="D8" s="30" t="s">
        <v>74</v>
      </c>
      <c r="E8" s="30" t="s">
        <v>75</v>
      </c>
      <c r="F8" s="32" t="s">
        <v>76</v>
      </c>
      <c r="G8" s="30" t="s">
        <v>77</v>
      </c>
      <c r="H8" s="30" t="s">
        <v>78</v>
      </c>
      <c r="I8" s="30" t="s">
        <v>79</v>
      </c>
      <c r="J8" s="30" t="s">
        <v>80</v>
      </c>
      <c r="K8" s="30" t="s">
        <v>12</v>
      </c>
      <c r="L8" s="33" t="s">
        <v>81</v>
      </c>
      <c r="M8" s="30"/>
      <c r="N8" s="30"/>
      <c r="O8" s="34"/>
      <c r="P8" s="34"/>
      <c r="Q8" s="34"/>
      <c r="R8" s="34"/>
      <c r="S8" s="34"/>
      <c r="T8" s="34"/>
      <c r="U8" s="34"/>
      <c r="V8" s="34"/>
      <c r="W8" s="34"/>
      <c r="X8" s="34"/>
      <c r="Y8" s="34"/>
      <c r="Z8" s="34"/>
    </row>
    <row r="9">
      <c r="A9" s="34"/>
      <c r="B9" s="34"/>
      <c r="C9" s="34"/>
      <c r="D9" s="34"/>
      <c r="E9" s="34"/>
      <c r="F9" s="35"/>
      <c r="G9" s="34"/>
      <c r="H9" s="34"/>
      <c r="I9" s="34"/>
      <c r="J9" s="34"/>
      <c r="K9" s="34"/>
      <c r="L9" s="34"/>
      <c r="M9" s="34"/>
      <c r="N9" s="34"/>
      <c r="O9" s="34"/>
      <c r="P9" s="34"/>
      <c r="Q9" s="34"/>
      <c r="R9" s="34"/>
      <c r="S9" s="34"/>
      <c r="T9" s="34"/>
      <c r="U9" s="34"/>
      <c r="V9" s="34"/>
      <c r="W9" s="34"/>
      <c r="X9" s="34"/>
      <c r="Y9" s="34"/>
      <c r="Z9" s="34"/>
    </row>
    <row r="10">
      <c r="A10" s="31" t="s">
        <v>82</v>
      </c>
      <c r="B10" s="31" t="s">
        <v>72</v>
      </c>
      <c r="C10" s="31" t="s">
        <v>73</v>
      </c>
      <c r="D10" s="31" t="s">
        <v>83</v>
      </c>
      <c r="E10" s="31" t="s">
        <v>75</v>
      </c>
      <c r="F10" s="36" t="s">
        <v>84</v>
      </c>
      <c r="G10" s="31" t="s">
        <v>77</v>
      </c>
      <c r="H10" s="31" t="s">
        <v>85</v>
      </c>
      <c r="I10" s="31" t="s">
        <v>86</v>
      </c>
      <c r="J10" s="31" t="s">
        <v>80</v>
      </c>
      <c r="K10" s="31" t="s">
        <v>12</v>
      </c>
      <c r="L10" s="37" t="s">
        <v>87</v>
      </c>
      <c r="M10" s="31"/>
      <c r="N10" s="31"/>
      <c r="O10" s="34"/>
      <c r="P10" s="34"/>
      <c r="Q10" s="34"/>
      <c r="R10" s="34"/>
      <c r="S10" s="34"/>
      <c r="T10" s="34"/>
      <c r="U10" s="34"/>
      <c r="V10" s="34"/>
      <c r="W10" s="34"/>
      <c r="X10" s="34"/>
      <c r="Y10" s="34"/>
      <c r="Z10" s="34"/>
    </row>
    <row r="11">
      <c r="A11" s="34"/>
      <c r="B11" s="34"/>
      <c r="C11" s="34"/>
      <c r="D11" s="34"/>
      <c r="E11" s="34"/>
      <c r="F11" s="35"/>
      <c r="G11" s="34"/>
      <c r="H11" s="34"/>
      <c r="I11" s="34"/>
      <c r="J11" s="34"/>
      <c r="K11" s="34"/>
      <c r="L11" s="34"/>
      <c r="M11" s="34"/>
      <c r="N11" s="34"/>
      <c r="O11" s="34"/>
      <c r="P11" s="34"/>
      <c r="Q11" s="34"/>
      <c r="R11" s="34"/>
      <c r="S11" s="34"/>
      <c r="T11" s="34"/>
      <c r="U11" s="34"/>
      <c r="V11" s="34"/>
      <c r="W11" s="34"/>
      <c r="X11" s="34"/>
      <c r="Y11" s="34"/>
      <c r="Z11" s="34"/>
    </row>
    <row r="12">
      <c r="A12" s="31" t="s">
        <v>88</v>
      </c>
      <c r="B12" s="31" t="s">
        <v>72</v>
      </c>
      <c r="C12" s="31" t="s">
        <v>72</v>
      </c>
      <c r="D12" s="31" t="s">
        <v>89</v>
      </c>
      <c r="E12" s="31" t="s">
        <v>75</v>
      </c>
      <c r="F12" s="36" t="s">
        <v>90</v>
      </c>
      <c r="G12" s="31" t="s">
        <v>77</v>
      </c>
      <c r="H12" s="31" t="s">
        <v>91</v>
      </c>
      <c r="I12" s="31" t="s">
        <v>92</v>
      </c>
      <c r="J12" s="31" t="s">
        <v>80</v>
      </c>
      <c r="K12" s="31" t="s">
        <v>12</v>
      </c>
      <c r="L12" s="38" t="s">
        <v>93</v>
      </c>
      <c r="M12" s="39"/>
      <c r="N12" s="31"/>
      <c r="O12" s="34"/>
      <c r="P12" s="34"/>
      <c r="Q12" s="34"/>
      <c r="R12" s="34"/>
      <c r="S12" s="34"/>
      <c r="T12" s="34"/>
      <c r="U12" s="34"/>
      <c r="V12" s="34"/>
      <c r="W12" s="34"/>
      <c r="X12" s="34"/>
      <c r="Y12" s="34"/>
      <c r="Z12" s="34"/>
    </row>
    <row r="13">
      <c r="A13" s="34"/>
      <c r="B13" s="34"/>
      <c r="C13" s="34"/>
      <c r="D13" s="34"/>
      <c r="E13" s="34"/>
      <c r="F13" s="35"/>
      <c r="G13" s="34"/>
      <c r="H13" s="34"/>
      <c r="I13" s="34"/>
      <c r="J13" s="34"/>
      <c r="K13" s="34"/>
      <c r="L13" s="34"/>
      <c r="M13" s="34"/>
      <c r="N13" s="34"/>
      <c r="O13" s="34"/>
      <c r="P13" s="34"/>
      <c r="Q13" s="34"/>
      <c r="R13" s="34"/>
      <c r="S13" s="34"/>
      <c r="T13" s="34"/>
      <c r="U13" s="34"/>
      <c r="V13" s="34"/>
      <c r="W13" s="34"/>
      <c r="X13" s="34"/>
      <c r="Y13" s="34"/>
      <c r="Z13" s="34"/>
    </row>
    <row r="14">
      <c r="A14" s="31" t="s">
        <v>94</v>
      </c>
      <c r="B14" s="31" t="s">
        <v>72</v>
      </c>
      <c r="C14" s="31" t="s">
        <v>72</v>
      </c>
      <c r="D14" s="31" t="s">
        <v>95</v>
      </c>
      <c r="E14" s="31" t="s">
        <v>75</v>
      </c>
      <c r="F14" s="36" t="s">
        <v>96</v>
      </c>
      <c r="G14" s="31" t="s">
        <v>77</v>
      </c>
      <c r="H14" s="31" t="s">
        <v>97</v>
      </c>
      <c r="I14" s="31" t="s">
        <v>98</v>
      </c>
      <c r="J14" s="31" t="s">
        <v>80</v>
      </c>
      <c r="K14" s="31" t="s">
        <v>9</v>
      </c>
      <c r="L14" s="37" t="s">
        <v>99</v>
      </c>
      <c r="M14" s="40"/>
      <c r="N14" s="31"/>
      <c r="O14" s="34"/>
      <c r="P14" s="34"/>
      <c r="Q14" s="34"/>
      <c r="R14" s="34"/>
      <c r="S14" s="34"/>
      <c r="T14" s="34"/>
      <c r="U14" s="34"/>
      <c r="V14" s="34"/>
      <c r="W14" s="34"/>
      <c r="X14" s="34"/>
      <c r="Y14" s="34"/>
      <c r="Z14" s="34"/>
    </row>
    <row r="15">
      <c r="A15" s="34"/>
      <c r="B15" s="34"/>
      <c r="C15" s="34"/>
      <c r="D15" s="34"/>
      <c r="E15" s="34"/>
      <c r="F15" s="35"/>
      <c r="G15" s="34"/>
      <c r="H15" s="34"/>
      <c r="I15" s="34"/>
      <c r="J15" s="34"/>
      <c r="K15" s="34"/>
      <c r="L15" s="34"/>
      <c r="M15" s="34"/>
      <c r="N15" s="34"/>
      <c r="O15" s="34"/>
      <c r="P15" s="34"/>
      <c r="Q15" s="34"/>
      <c r="R15" s="34"/>
      <c r="S15" s="34"/>
      <c r="T15" s="34"/>
      <c r="U15" s="34"/>
      <c r="V15" s="34"/>
      <c r="W15" s="34"/>
      <c r="X15" s="34"/>
      <c r="Y15" s="34"/>
      <c r="Z15" s="34"/>
    </row>
    <row r="16">
      <c r="A16" s="31" t="s">
        <v>100</v>
      </c>
      <c r="B16" s="31" t="s">
        <v>72</v>
      </c>
      <c r="C16" s="31" t="s">
        <v>72</v>
      </c>
      <c r="D16" s="31" t="s">
        <v>101</v>
      </c>
      <c r="E16" s="31" t="s">
        <v>75</v>
      </c>
      <c r="F16" s="36" t="s">
        <v>102</v>
      </c>
      <c r="G16" s="31" t="s">
        <v>77</v>
      </c>
      <c r="H16" s="31" t="s">
        <v>97</v>
      </c>
      <c r="I16" s="31" t="s">
        <v>103</v>
      </c>
      <c r="J16" s="31" t="s">
        <v>80</v>
      </c>
      <c r="K16" s="31" t="s">
        <v>9</v>
      </c>
      <c r="L16" s="37" t="s">
        <v>104</v>
      </c>
      <c r="M16" s="39"/>
      <c r="N16" s="31"/>
      <c r="O16" s="34"/>
      <c r="P16" s="34"/>
      <c r="Q16" s="34"/>
      <c r="R16" s="34"/>
      <c r="S16" s="34"/>
      <c r="T16" s="34"/>
      <c r="U16" s="34"/>
      <c r="V16" s="34"/>
      <c r="W16" s="34"/>
      <c r="X16" s="34"/>
      <c r="Y16" s="34"/>
      <c r="Z16" s="34"/>
    </row>
    <row r="17">
      <c r="A17" s="34"/>
      <c r="B17" s="34"/>
      <c r="C17" s="34"/>
      <c r="D17" s="34"/>
      <c r="E17" s="34"/>
      <c r="F17" s="35"/>
      <c r="G17" s="34"/>
      <c r="H17" s="34"/>
      <c r="I17" s="34"/>
      <c r="J17" s="34"/>
      <c r="K17" s="34"/>
      <c r="L17" s="34"/>
      <c r="M17" s="34"/>
      <c r="N17" s="34"/>
      <c r="O17" s="34"/>
      <c r="P17" s="34"/>
      <c r="Q17" s="34"/>
      <c r="R17" s="34"/>
      <c r="S17" s="34"/>
      <c r="T17" s="34"/>
      <c r="U17" s="34"/>
      <c r="V17" s="34"/>
      <c r="W17" s="34"/>
      <c r="X17" s="34"/>
      <c r="Y17" s="34"/>
      <c r="Z17" s="34"/>
    </row>
    <row r="18">
      <c r="A18" s="31" t="s">
        <v>105</v>
      </c>
      <c r="B18" s="31" t="s">
        <v>72</v>
      </c>
      <c r="C18" s="31" t="s">
        <v>106</v>
      </c>
      <c r="D18" s="31" t="s">
        <v>107</v>
      </c>
      <c r="E18" s="31" t="s">
        <v>75</v>
      </c>
      <c r="F18" s="36" t="s">
        <v>108</v>
      </c>
      <c r="G18" s="31" t="s">
        <v>77</v>
      </c>
      <c r="H18" s="31" t="s">
        <v>109</v>
      </c>
      <c r="I18" s="31" t="s">
        <v>110</v>
      </c>
      <c r="J18" s="31" t="s">
        <v>80</v>
      </c>
      <c r="K18" s="31" t="s">
        <v>9</v>
      </c>
      <c r="L18" s="37" t="s">
        <v>111</v>
      </c>
      <c r="M18" s="39"/>
      <c r="N18" s="31"/>
      <c r="O18" s="34"/>
      <c r="P18" s="34"/>
      <c r="Q18" s="34"/>
      <c r="R18" s="34"/>
      <c r="S18" s="34"/>
      <c r="T18" s="34"/>
      <c r="U18" s="34"/>
      <c r="V18" s="34"/>
      <c r="W18" s="34"/>
      <c r="X18" s="34"/>
      <c r="Y18" s="34"/>
      <c r="Z18" s="34"/>
    </row>
    <row r="19">
      <c r="A19" s="34"/>
      <c r="B19" s="34"/>
      <c r="C19" s="34"/>
      <c r="D19" s="34"/>
      <c r="E19" s="34"/>
      <c r="F19" s="35"/>
      <c r="G19" s="34"/>
      <c r="H19" s="34"/>
      <c r="I19" s="34"/>
      <c r="J19" s="34"/>
      <c r="K19" s="34"/>
      <c r="L19" s="34"/>
      <c r="M19" s="34"/>
      <c r="N19" s="34"/>
      <c r="O19" s="34"/>
      <c r="P19" s="34"/>
      <c r="Q19" s="34"/>
      <c r="R19" s="34"/>
      <c r="S19" s="34"/>
      <c r="T19" s="34"/>
      <c r="U19" s="34"/>
      <c r="V19" s="34"/>
      <c r="W19" s="34"/>
      <c r="X19" s="34"/>
      <c r="Y19" s="34"/>
      <c r="Z19" s="34"/>
    </row>
    <row r="20">
      <c r="A20" s="31" t="s">
        <v>112</v>
      </c>
      <c r="B20" s="31" t="s">
        <v>72</v>
      </c>
      <c r="C20" s="31" t="s">
        <v>106</v>
      </c>
      <c r="D20" s="31" t="s">
        <v>113</v>
      </c>
      <c r="E20" s="31" t="s">
        <v>75</v>
      </c>
      <c r="F20" s="36" t="s">
        <v>114</v>
      </c>
      <c r="G20" s="31" t="s">
        <v>77</v>
      </c>
      <c r="H20" s="31" t="s">
        <v>115</v>
      </c>
      <c r="I20" s="31" t="s">
        <v>116</v>
      </c>
      <c r="J20" s="31" t="s">
        <v>80</v>
      </c>
      <c r="K20" s="31" t="s">
        <v>6</v>
      </c>
      <c r="L20" s="37" t="s">
        <v>117</v>
      </c>
      <c r="M20" s="39"/>
      <c r="N20" s="31"/>
      <c r="O20" s="34"/>
      <c r="P20" s="34"/>
      <c r="Q20" s="34"/>
      <c r="R20" s="34"/>
      <c r="S20" s="34"/>
      <c r="T20" s="34"/>
      <c r="U20" s="34"/>
      <c r="V20" s="34"/>
      <c r="W20" s="34"/>
      <c r="X20" s="34"/>
      <c r="Y20" s="34"/>
      <c r="Z20" s="34"/>
    </row>
    <row r="21">
      <c r="A21" s="34"/>
      <c r="B21" s="34"/>
      <c r="C21" s="34"/>
      <c r="D21" s="34"/>
      <c r="E21" s="34"/>
      <c r="F21" s="35"/>
      <c r="G21" s="34"/>
      <c r="H21" s="34"/>
      <c r="I21" s="34"/>
      <c r="J21" s="34"/>
      <c r="K21" s="34"/>
      <c r="L21" s="34"/>
      <c r="M21" s="34"/>
      <c r="N21" s="34"/>
      <c r="O21" s="34"/>
      <c r="P21" s="34"/>
      <c r="Q21" s="34"/>
      <c r="R21" s="34"/>
      <c r="S21" s="34"/>
      <c r="T21" s="34"/>
      <c r="U21" s="34"/>
      <c r="V21" s="34"/>
      <c r="W21" s="34"/>
      <c r="X21" s="34"/>
      <c r="Y21" s="34"/>
      <c r="Z21" s="34"/>
    </row>
    <row r="22">
      <c r="A22" s="31" t="s">
        <v>118</v>
      </c>
      <c r="B22" s="31" t="s">
        <v>72</v>
      </c>
      <c r="C22" s="31" t="s">
        <v>106</v>
      </c>
      <c r="D22" s="31" t="s">
        <v>119</v>
      </c>
      <c r="E22" s="31" t="s">
        <v>75</v>
      </c>
      <c r="F22" s="36" t="s">
        <v>120</v>
      </c>
      <c r="G22" s="31" t="s">
        <v>77</v>
      </c>
      <c r="H22" s="31" t="s">
        <v>121</v>
      </c>
      <c r="I22" s="31" t="s">
        <v>122</v>
      </c>
      <c r="J22" s="31" t="s">
        <v>80</v>
      </c>
      <c r="K22" s="31" t="s">
        <v>6</v>
      </c>
      <c r="L22" s="37" t="s">
        <v>123</v>
      </c>
      <c r="M22" s="39"/>
      <c r="N22" s="31"/>
      <c r="O22" s="34"/>
      <c r="P22" s="34"/>
      <c r="Q22" s="34"/>
      <c r="R22" s="34"/>
      <c r="S22" s="34"/>
      <c r="T22" s="34"/>
      <c r="U22" s="34"/>
      <c r="V22" s="34"/>
      <c r="W22" s="34"/>
      <c r="X22" s="34"/>
      <c r="Y22" s="34"/>
      <c r="Z22" s="34"/>
    </row>
    <row r="23">
      <c r="A23" s="34"/>
      <c r="B23" s="34"/>
      <c r="C23" s="34"/>
      <c r="D23" s="34"/>
      <c r="E23" s="34"/>
      <c r="F23" s="35"/>
      <c r="G23" s="34"/>
      <c r="H23" s="34"/>
      <c r="I23" s="34"/>
      <c r="J23" s="34"/>
      <c r="K23" s="34"/>
      <c r="L23" s="34"/>
      <c r="M23" s="34"/>
      <c r="N23" s="34"/>
      <c r="O23" s="34"/>
      <c r="P23" s="34"/>
      <c r="Q23" s="34"/>
      <c r="R23" s="34"/>
      <c r="S23" s="34"/>
      <c r="T23" s="34"/>
      <c r="U23" s="34"/>
      <c r="V23" s="34"/>
      <c r="W23" s="34"/>
      <c r="X23" s="34"/>
      <c r="Y23" s="34"/>
      <c r="Z23" s="34"/>
    </row>
    <row r="24">
      <c r="A24" s="31" t="s">
        <v>124</v>
      </c>
      <c r="B24" s="31" t="s">
        <v>72</v>
      </c>
      <c r="C24" s="31" t="s">
        <v>106</v>
      </c>
      <c r="D24" s="31" t="s">
        <v>125</v>
      </c>
      <c r="E24" s="31" t="s">
        <v>75</v>
      </c>
      <c r="F24" s="36" t="s">
        <v>126</v>
      </c>
      <c r="G24" s="31" t="s">
        <v>77</v>
      </c>
      <c r="H24" s="31" t="s">
        <v>115</v>
      </c>
      <c r="I24" s="31" t="s">
        <v>116</v>
      </c>
      <c r="J24" s="31" t="s">
        <v>80</v>
      </c>
      <c r="K24" s="31" t="s">
        <v>6</v>
      </c>
      <c r="L24" s="37" t="s">
        <v>127</v>
      </c>
      <c r="M24" s="39"/>
      <c r="N24" s="39"/>
      <c r="O24" s="34"/>
      <c r="P24" s="34"/>
      <c r="Q24" s="34"/>
      <c r="R24" s="34"/>
      <c r="S24" s="34"/>
      <c r="T24" s="34"/>
      <c r="U24" s="34"/>
      <c r="V24" s="34"/>
      <c r="W24" s="34"/>
      <c r="X24" s="34"/>
      <c r="Y24" s="34"/>
      <c r="Z24" s="34"/>
    </row>
    <row r="25">
      <c r="A25" s="34"/>
      <c r="B25" s="34"/>
      <c r="C25" s="34"/>
      <c r="D25" s="34"/>
      <c r="E25" s="34"/>
      <c r="F25" s="35"/>
      <c r="G25" s="34"/>
      <c r="H25" s="34"/>
      <c r="I25" s="34"/>
      <c r="J25" s="34"/>
      <c r="K25" s="34"/>
      <c r="L25" s="34"/>
      <c r="M25" s="34"/>
      <c r="N25" s="34"/>
      <c r="O25" s="34"/>
      <c r="P25" s="34"/>
      <c r="Q25" s="34"/>
      <c r="R25" s="34"/>
      <c r="S25" s="34"/>
      <c r="T25" s="34"/>
      <c r="U25" s="34"/>
      <c r="V25" s="34"/>
      <c r="W25" s="34"/>
      <c r="X25" s="34"/>
      <c r="Y25" s="34"/>
      <c r="Z25" s="34"/>
    </row>
    <row r="26">
      <c r="A26" s="31" t="s">
        <v>128</v>
      </c>
      <c r="B26" s="31" t="s">
        <v>72</v>
      </c>
      <c r="C26" s="31" t="s">
        <v>72</v>
      </c>
      <c r="D26" s="31" t="s">
        <v>129</v>
      </c>
      <c r="E26" s="31" t="s">
        <v>75</v>
      </c>
      <c r="F26" s="36" t="s">
        <v>130</v>
      </c>
      <c r="G26" s="31" t="s">
        <v>77</v>
      </c>
      <c r="H26" s="31" t="s">
        <v>131</v>
      </c>
      <c r="I26" s="31" t="s">
        <v>132</v>
      </c>
      <c r="J26" s="31" t="s">
        <v>80</v>
      </c>
      <c r="K26" s="31" t="s">
        <v>9</v>
      </c>
      <c r="L26" s="38" t="s">
        <v>133</v>
      </c>
      <c r="M26" s="39"/>
      <c r="N26" s="39"/>
      <c r="O26" s="34"/>
      <c r="P26" s="34"/>
      <c r="Q26" s="34"/>
      <c r="R26" s="34"/>
      <c r="S26" s="34"/>
      <c r="T26" s="34"/>
      <c r="U26" s="34"/>
      <c r="V26" s="34"/>
      <c r="W26" s="34"/>
      <c r="X26" s="34"/>
      <c r="Y26" s="34"/>
      <c r="Z26" s="34"/>
    </row>
    <row r="27">
      <c r="A27" s="34"/>
      <c r="B27" s="34"/>
      <c r="C27" s="34"/>
      <c r="D27" s="34"/>
      <c r="E27" s="34"/>
      <c r="F27" s="35"/>
      <c r="G27" s="34"/>
      <c r="H27" s="34"/>
      <c r="I27" s="34"/>
      <c r="J27" s="34"/>
      <c r="K27" s="34"/>
      <c r="L27" s="34"/>
      <c r="M27" s="34"/>
      <c r="N27" s="34"/>
      <c r="O27" s="34"/>
      <c r="P27" s="34"/>
      <c r="Q27" s="34"/>
      <c r="R27" s="34"/>
      <c r="S27" s="34"/>
      <c r="T27" s="34"/>
      <c r="U27" s="34"/>
      <c r="V27" s="34"/>
      <c r="W27" s="34"/>
      <c r="X27" s="34"/>
      <c r="Y27" s="34"/>
      <c r="Z27" s="34"/>
    </row>
    <row r="28">
      <c r="A28" s="31" t="s">
        <v>134</v>
      </c>
      <c r="B28" s="31" t="s">
        <v>135</v>
      </c>
      <c r="C28" s="31" t="s">
        <v>136</v>
      </c>
      <c r="D28" s="31" t="s">
        <v>137</v>
      </c>
      <c r="E28" s="31" t="s">
        <v>75</v>
      </c>
      <c r="F28" s="36" t="s">
        <v>138</v>
      </c>
      <c r="G28" s="31" t="s">
        <v>139</v>
      </c>
      <c r="H28" s="31" t="s">
        <v>97</v>
      </c>
      <c r="I28" s="31" t="s">
        <v>140</v>
      </c>
      <c r="J28" s="31" t="s">
        <v>80</v>
      </c>
      <c r="K28" s="31" t="s">
        <v>9</v>
      </c>
      <c r="L28" s="37" t="s">
        <v>141</v>
      </c>
      <c r="M28" s="39"/>
      <c r="N28" s="39"/>
      <c r="O28" s="34"/>
      <c r="P28" s="34"/>
      <c r="Q28" s="34"/>
      <c r="R28" s="34"/>
      <c r="S28" s="34"/>
      <c r="T28" s="34"/>
      <c r="U28" s="34"/>
      <c r="V28" s="34"/>
      <c r="W28" s="34"/>
      <c r="X28" s="34"/>
      <c r="Y28" s="34"/>
      <c r="Z28" s="34"/>
    </row>
    <row r="29">
      <c r="A29" s="34"/>
      <c r="B29" s="34"/>
      <c r="C29" s="34"/>
      <c r="D29" s="34"/>
      <c r="E29" s="34"/>
      <c r="F29" s="35"/>
      <c r="G29" s="34"/>
      <c r="H29" s="34"/>
      <c r="I29" s="34"/>
      <c r="J29" s="34"/>
      <c r="K29" s="34"/>
      <c r="L29" s="34"/>
      <c r="M29" s="34"/>
      <c r="N29" s="34"/>
      <c r="O29" s="34"/>
      <c r="P29" s="34"/>
      <c r="Q29" s="34"/>
      <c r="R29" s="34"/>
      <c r="S29" s="34"/>
      <c r="T29" s="34"/>
      <c r="U29" s="34"/>
      <c r="V29" s="34"/>
      <c r="W29" s="34"/>
      <c r="X29" s="34"/>
      <c r="Y29" s="34"/>
      <c r="Z29" s="34"/>
    </row>
    <row r="30">
      <c r="A30" s="31" t="s">
        <v>142</v>
      </c>
      <c r="B30" s="31" t="s">
        <v>135</v>
      </c>
      <c r="C30" s="31" t="s">
        <v>143</v>
      </c>
      <c r="D30" s="31" t="s">
        <v>144</v>
      </c>
      <c r="E30" s="31" t="s">
        <v>75</v>
      </c>
      <c r="F30" s="36" t="s">
        <v>145</v>
      </c>
      <c r="G30" s="31" t="s">
        <v>139</v>
      </c>
      <c r="H30" s="31" t="s">
        <v>146</v>
      </c>
      <c r="I30" s="31" t="s">
        <v>147</v>
      </c>
      <c r="J30" s="31" t="s">
        <v>80</v>
      </c>
      <c r="K30" s="31" t="s">
        <v>9</v>
      </c>
      <c r="L30" s="37" t="s">
        <v>148</v>
      </c>
      <c r="M30" s="39"/>
      <c r="N30" s="39"/>
      <c r="O30" s="34"/>
      <c r="P30" s="34"/>
      <c r="Q30" s="34"/>
      <c r="R30" s="34"/>
      <c r="S30" s="34"/>
      <c r="T30" s="34"/>
      <c r="U30" s="34"/>
      <c r="V30" s="34"/>
      <c r="W30" s="34"/>
      <c r="X30" s="34"/>
      <c r="Y30" s="34"/>
      <c r="Z30" s="34"/>
    </row>
    <row r="31">
      <c r="A31" s="34"/>
      <c r="B31" s="34"/>
      <c r="C31" s="34"/>
      <c r="D31" s="34"/>
      <c r="E31" s="34"/>
      <c r="F31" s="35"/>
      <c r="G31" s="34"/>
      <c r="H31" s="34"/>
      <c r="I31" s="34"/>
      <c r="J31" s="34"/>
      <c r="K31" s="34"/>
      <c r="L31" s="34"/>
      <c r="M31" s="34"/>
      <c r="N31" s="34"/>
      <c r="O31" s="34"/>
      <c r="P31" s="34"/>
      <c r="Q31" s="34"/>
      <c r="R31" s="34"/>
      <c r="S31" s="34"/>
      <c r="T31" s="34"/>
      <c r="U31" s="34"/>
      <c r="V31" s="34"/>
      <c r="W31" s="34"/>
      <c r="X31" s="34"/>
      <c r="Y31" s="34"/>
      <c r="Z31" s="34"/>
    </row>
    <row r="32">
      <c r="A32" s="31" t="s">
        <v>149</v>
      </c>
      <c r="B32" s="31" t="s">
        <v>135</v>
      </c>
      <c r="C32" s="31" t="s">
        <v>150</v>
      </c>
      <c r="D32" s="31" t="s">
        <v>151</v>
      </c>
      <c r="E32" s="31" t="s">
        <v>75</v>
      </c>
      <c r="F32" s="36" t="s">
        <v>152</v>
      </c>
      <c r="G32" s="31" t="s">
        <v>139</v>
      </c>
      <c r="H32" s="31" t="s">
        <v>153</v>
      </c>
      <c r="I32" s="31" t="s">
        <v>154</v>
      </c>
      <c r="J32" s="31" t="s">
        <v>80</v>
      </c>
      <c r="K32" s="31" t="s">
        <v>6</v>
      </c>
      <c r="L32" s="37" t="s">
        <v>155</v>
      </c>
      <c r="M32" s="39"/>
      <c r="N32" s="39"/>
      <c r="O32" s="34"/>
      <c r="P32" s="34"/>
      <c r="Q32" s="34"/>
      <c r="R32" s="34"/>
      <c r="S32" s="34"/>
      <c r="T32" s="34"/>
      <c r="U32" s="34"/>
      <c r="V32" s="34"/>
      <c r="W32" s="34"/>
      <c r="X32" s="34"/>
      <c r="Y32" s="34"/>
      <c r="Z32" s="34"/>
    </row>
    <row r="33">
      <c r="A33" s="34"/>
      <c r="B33" s="34"/>
      <c r="C33" s="34"/>
      <c r="D33" s="34"/>
      <c r="E33" s="34"/>
      <c r="F33" s="35"/>
      <c r="G33" s="34"/>
      <c r="H33" s="34"/>
      <c r="I33" s="34"/>
      <c r="J33" s="34"/>
      <c r="K33" s="34"/>
      <c r="L33" s="34"/>
      <c r="M33" s="34"/>
      <c r="N33" s="34"/>
      <c r="O33" s="34"/>
      <c r="P33" s="34"/>
      <c r="Q33" s="34"/>
      <c r="R33" s="34"/>
      <c r="S33" s="34"/>
      <c r="T33" s="34"/>
      <c r="U33" s="34"/>
      <c r="V33" s="34"/>
      <c r="W33" s="34"/>
      <c r="X33" s="34"/>
      <c r="Y33" s="34"/>
      <c r="Z33" s="34"/>
    </row>
    <row r="34">
      <c r="A34" s="31" t="s">
        <v>156</v>
      </c>
      <c r="B34" s="31" t="s">
        <v>72</v>
      </c>
      <c r="C34" s="31" t="s">
        <v>157</v>
      </c>
      <c r="D34" s="31" t="s">
        <v>158</v>
      </c>
      <c r="E34" s="31" t="s">
        <v>75</v>
      </c>
      <c r="F34" s="36" t="s">
        <v>159</v>
      </c>
      <c r="G34" s="31" t="s">
        <v>139</v>
      </c>
      <c r="H34" s="31" t="s">
        <v>160</v>
      </c>
      <c r="I34" s="31" t="s">
        <v>161</v>
      </c>
      <c r="J34" s="31" t="s">
        <v>80</v>
      </c>
      <c r="K34" s="31" t="s">
        <v>6</v>
      </c>
      <c r="L34" s="37" t="s">
        <v>162</v>
      </c>
      <c r="M34" s="39"/>
      <c r="N34" s="39"/>
      <c r="O34" s="34"/>
      <c r="P34" s="34"/>
      <c r="Q34" s="34"/>
      <c r="R34" s="34"/>
      <c r="S34" s="34"/>
      <c r="T34" s="34"/>
      <c r="U34" s="34"/>
      <c r="V34" s="34"/>
      <c r="W34" s="34"/>
      <c r="X34" s="34"/>
      <c r="Y34" s="34"/>
      <c r="Z34" s="34"/>
    </row>
    <row r="35">
      <c r="A35" s="34"/>
      <c r="B35" s="34"/>
      <c r="C35" s="34"/>
      <c r="D35" s="34"/>
      <c r="E35" s="34"/>
      <c r="F35" s="35"/>
      <c r="G35" s="34"/>
      <c r="H35" s="34"/>
      <c r="I35" s="34"/>
      <c r="J35" s="34"/>
      <c r="K35" s="34"/>
      <c r="L35" s="34"/>
      <c r="M35" s="34"/>
      <c r="N35" s="34"/>
      <c r="O35" s="34"/>
      <c r="P35" s="34"/>
      <c r="Q35" s="34"/>
      <c r="R35" s="34"/>
      <c r="S35" s="34"/>
      <c r="T35" s="34"/>
      <c r="U35" s="34"/>
      <c r="V35" s="34"/>
      <c r="W35" s="34"/>
      <c r="X35" s="34"/>
      <c r="Y35" s="34"/>
      <c r="Z35" s="34"/>
    </row>
    <row r="36">
      <c r="A36" s="31" t="s">
        <v>163</v>
      </c>
      <c r="B36" s="31" t="s">
        <v>135</v>
      </c>
      <c r="C36" s="31" t="s">
        <v>150</v>
      </c>
      <c r="D36" s="31" t="s">
        <v>164</v>
      </c>
      <c r="E36" s="31" t="s">
        <v>75</v>
      </c>
      <c r="F36" s="36" t="s">
        <v>165</v>
      </c>
      <c r="G36" s="31" t="s">
        <v>139</v>
      </c>
      <c r="H36" s="31" t="s">
        <v>166</v>
      </c>
      <c r="I36" s="31" t="s">
        <v>167</v>
      </c>
      <c r="J36" s="31" t="s">
        <v>80</v>
      </c>
      <c r="K36" s="31" t="s">
        <v>6</v>
      </c>
      <c r="L36" s="37" t="s">
        <v>168</v>
      </c>
      <c r="M36" s="39"/>
      <c r="N36" s="39"/>
      <c r="O36" s="34"/>
      <c r="P36" s="34"/>
      <c r="Q36" s="34"/>
      <c r="R36" s="34"/>
      <c r="S36" s="34"/>
      <c r="T36" s="34"/>
      <c r="U36" s="34"/>
      <c r="V36" s="34"/>
      <c r="W36" s="34"/>
      <c r="X36" s="34"/>
      <c r="Y36" s="34"/>
      <c r="Z36" s="34"/>
    </row>
    <row r="37">
      <c r="A37" s="34"/>
      <c r="B37" s="34"/>
      <c r="C37" s="34"/>
      <c r="D37" s="34"/>
      <c r="E37" s="34"/>
      <c r="F37" s="35"/>
      <c r="G37" s="34"/>
      <c r="H37" s="34"/>
      <c r="I37" s="34"/>
      <c r="J37" s="34"/>
      <c r="K37" s="34"/>
      <c r="L37" s="34"/>
      <c r="M37" s="34"/>
      <c r="N37" s="34"/>
      <c r="O37" s="34"/>
      <c r="P37" s="34"/>
      <c r="Q37" s="34"/>
      <c r="R37" s="34"/>
      <c r="S37" s="34"/>
      <c r="T37" s="34"/>
      <c r="U37" s="34"/>
      <c r="V37" s="34"/>
      <c r="W37" s="34"/>
      <c r="X37" s="34"/>
      <c r="Y37" s="34"/>
      <c r="Z37" s="34"/>
    </row>
    <row r="38">
      <c r="A38" s="31" t="s">
        <v>169</v>
      </c>
      <c r="B38" s="31" t="s">
        <v>135</v>
      </c>
      <c r="C38" s="31" t="s">
        <v>170</v>
      </c>
      <c r="D38" s="31" t="s">
        <v>171</v>
      </c>
      <c r="E38" s="31" t="s">
        <v>75</v>
      </c>
      <c r="F38" s="36" t="s">
        <v>172</v>
      </c>
      <c r="G38" s="31" t="s">
        <v>139</v>
      </c>
      <c r="H38" s="31" t="s">
        <v>173</v>
      </c>
      <c r="I38" s="31" t="s">
        <v>174</v>
      </c>
      <c r="J38" s="31" t="s">
        <v>80</v>
      </c>
      <c r="K38" s="31" t="s">
        <v>9</v>
      </c>
      <c r="L38" s="37" t="s">
        <v>175</v>
      </c>
      <c r="M38" s="39"/>
      <c r="N38" s="39"/>
      <c r="O38" s="34"/>
      <c r="P38" s="34"/>
      <c r="Q38" s="34"/>
      <c r="R38" s="34"/>
      <c r="S38" s="34"/>
      <c r="T38" s="34"/>
      <c r="U38" s="34"/>
      <c r="V38" s="34"/>
      <c r="W38" s="34"/>
      <c r="X38" s="34"/>
      <c r="Y38" s="34"/>
      <c r="Z38" s="34"/>
    </row>
    <row r="39">
      <c r="A39" s="34"/>
      <c r="B39" s="34"/>
      <c r="C39" s="34"/>
      <c r="D39" s="34"/>
      <c r="E39" s="34"/>
      <c r="F39" s="35"/>
      <c r="G39" s="34"/>
      <c r="H39" s="34"/>
      <c r="I39" s="34"/>
      <c r="J39" s="34"/>
      <c r="K39" s="34"/>
      <c r="L39" s="34"/>
      <c r="M39" s="34"/>
      <c r="N39" s="34"/>
      <c r="O39" s="34"/>
      <c r="P39" s="34"/>
      <c r="Q39" s="34"/>
      <c r="R39" s="34"/>
      <c r="S39" s="34"/>
      <c r="T39" s="34"/>
      <c r="U39" s="34"/>
      <c r="V39" s="34"/>
      <c r="W39" s="34"/>
      <c r="X39" s="34"/>
      <c r="Y39" s="34"/>
      <c r="Z39" s="34"/>
    </row>
    <row r="40">
      <c r="A40" s="31" t="s">
        <v>176</v>
      </c>
      <c r="B40" s="31" t="s">
        <v>135</v>
      </c>
      <c r="C40" s="31" t="s">
        <v>150</v>
      </c>
      <c r="D40" s="31" t="s">
        <v>177</v>
      </c>
      <c r="E40" s="31" t="s">
        <v>75</v>
      </c>
      <c r="F40" s="36" t="s">
        <v>178</v>
      </c>
      <c r="G40" s="31" t="s">
        <v>139</v>
      </c>
      <c r="H40" s="31" t="s">
        <v>179</v>
      </c>
      <c r="I40" s="31" t="s">
        <v>180</v>
      </c>
      <c r="J40" s="31" t="s">
        <v>80</v>
      </c>
      <c r="K40" s="31" t="s">
        <v>6</v>
      </c>
      <c r="L40" s="37" t="s">
        <v>181</v>
      </c>
      <c r="M40" s="39"/>
      <c r="N40" s="39"/>
      <c r="O40" s="34"/>
      <c r="P40" s="34"/>
      <c r="Q40" s="34"/>
      <c r="R40" s="34"/>
      <c r="S40" s="34"/>
      <c r="T40" s="34"/>
      <c r="U40" s="34"/>
      <c r="V40" s="34"/>
      <c r="W40" s="34"/>
      <c r="X40" s="34"/>
      <c r="Y40" s="34"/>
      <c r="Z40" s="34"/>
    </row>
    <row r="41">
      <c r="A41" s="34"/>
      <c r="B41" s="34"/>
      <c r="C41" s="34"/>
      <c r="D41" s="34"/>
      <c r="E41" s="34"/>
      <c r="F41" s="35"/>
      <c r="G41" s="34"/>
      <c r="H41" s="34"/>
      <c r="I41" s="34"/>
      <c r="J41" s="34"/>
      <c r="K41" s="34"/>
      <c r="L41" s="34"/>
      <c r="M41" s="34"/>
      <c r="N41" s="34"/>
      <c r="O41" s="34"/>
      <c r="P41" s="34"/>
      <c r="Q41" s="34"/>
      <c r="R41" s="34"/>
      <c r="S41" s="34"/>
      <c r="T41" s="34"/>
      <c r="U41" s="34"/>
      <c r="V41" s="34"/>
      <c r="W41" s="34"/>
      <c r="X41" s="34"/>
      <c r="Y41" s="34"/>
      <c r="Z41" s="34"/>
    </row>
    <row r="42">
      <c r="A42" s="31" t="s">
        <v>182</v>
      </c>
      <c r="B42" s="31" t="s">
        <v>135</v>
      </c>
      <c r="C42" s="31" t="s">
        <v>150</v>
      </c>
      <c r="D42" s="31" t="s">
        <v>183</v>
      </c>
      <c r="E42" s="31" t="s">
        <v>75</v>
      </c>
      <c r="F42" s="36" t="s">
        <v>184</v>
      </c>
      <c r="G42" s="31" t="s">
        <v>139</v>
      </c>
      <c r="H42" s="31" t="s">
        <v>185</v>
      </c>
      <c r="I42" s="31" t="s">
        <v>186</v>
      </c>
      <c r="J42" s="31" t="s">
        <v>80</v>
      </c>
      <c r="K42" s="31" t="s">
        <v>9</v>
      </c>
      <c r="L42" s="37" t="s">
        <v>187</v>
      </c>
      <c r="M42" s="39"/>
      <c r="N42" s="39"/>
      <c r="O42" s="34"/>
      <c r="P42" s="34"/>
      <c r="Q42" s="34"/>
      <c r="R42" s="34"/>
      <c r="S42" s="34"/>
      <c r="T42" s="34"/>
      <c r="U42" s="34"/>
      <c r="V42" s="34"/>
      <c r="W42" s="34"/>
      <c r="X42" s="34"/>
      <c r="Y42" s="34"/>
      <c r="Z42" s="34"/>
    </row>
    <row r="43">
      <c r="A43" s="34"/>
      <c r="B43" s="34"/>
      <c r="C43" s="34"/>
      <c r="D43" s="34"/>
      <c r="E43" s="34"/>
      <c r="F43" s="35"/>
      <c r="G43" s="34"/>
      <c r="H43" s="34"/>
      <c r="I43" s="34"/>
      <c r="J43" s="34"/>
      <c r="K43" s="34"/>
      <c r="L43" s="34"/>
      <c r="M43" s="34"/>
      <c r="N43" s="34"/>
      <c r="O43" s="34"/>
      <c r="P43" s="34"/>
      <c r="Q43" s="34"/>
      <c r="R43" s="34"/>
      <c r="S43" s="34"/>
      <c r="T43" s="34"/>
      <c r="U43" s="34"/>
      <c r="V43" s="34"/>
      <c r="W43" s="34"/>
      <c r="X43" s="34"/>
      <c r="Y43" s="34"/>
      <c r="Z43" s="34"/>
    </row>
    <row r="44">
      <c r="A44" s="31" t="s">
        <v>188</v>
      </c>
      <c r="B44" s="31" t="s">
        <v>135</v>
      </c>
      <c r="C44" s="31" t="s">
        <v>150</v>
      </c>
      <c r="D44" s="31" t="s">
        <v>189</v>
      </c>
      <c r="E44" s="31" t="s">
        <v>75</v>
      </c>
      <c r="F44" s="36" t="s">
        <v>190</v>
      </c>
      <c r="G44" s="31" t="s">
        <v>139</v>
      </c>
      <c r="H44" s="31" t="s">
        <v>191</v>
      </c>
      <c r="I44" s="31" t="s">
        <v>192</v>
      </c>
      <c r="J44" s="31" t="s">
        <v>80</v>
      </c>
      <c r="K44" s="31" t="s">
        <v>6</v>
      </c>
      <c r="L44" s="37" t="s">
        <v>193</v>
      </c>
      <c r="M44" s="39"/>
      <c r="N44" s="39"/>
      <c r="O44" s="34"/>
      <c r="P44" s="34"/>
      <c r="Q44" s="34"/>
      <c r="R44" s="34"/>
      <c r="S44" s="34"/>
      <c r="T44" s="34"/>
      <c r="U44" s="34"/>
      <c r="V44" s="34"/>
      <c r="W44" s="34"/>
      <c r="X44" s="34"/>
      <c r="Y44" s="34"/>
      <c r="Z44" s="34"/>
    </row>
    <row r="45">
      <c r="A45" s="34"/>
      <c r="B45" s="34"/>
      <c r="C45" s="34"/>
      <c r="D45" s="34"/>
      <c r="E45" s="34"/>
      <c r="F45" s="35"/>
      <c r="G45" s="34"/>
      <c r="H45" s="34"/>
      <c r="I45" s="34"/>
      <c r="J45" s="34"/>
      <c r="K45" s="34"/>
      <c r="L45" s="34"/>
      <c r="M45" s="34"/>
      <c r="N45" s="34"/>
      <c r="O45" s="34"/>
      <c r="P45" s="34"/>
      <c r="Q45" s="34"/>
      <c r="R45" s="34"/>
      <c r="S45" s="34"/>
      <c r="T45" s="34"/>
      <c r="U45" s="34"/>
      <c r="V45" s="34"/>
      <c r="W45" s="34"/>
      <c r="X45" s="34"/>
      <c r="Y45" s="34"/>
      <c r="Z45" s="34"/>
    </row>
    <row r="46">
      <c r="A46" s="31" t="s">
        <v>194</v>
      </c>
      <c r="B46" s="31" t="s">
        <v>72</v>
      </c>
      <c r="C46" s="31" t="s">
        <v>157</v>
      </c>
      <c r="D46" s="31" t="s">
        <v>195</v>
      </c>
      <c r="E46" s="31" t="s">
        <v>75</v>
      </c>
      <c r="F46" s="36" t="s">
        <v>196</v>
      </c>
      <c r="G46" s="31" t="s">
        <v>139</v>
      </c>
      <c r="H46" s="31" t="s">
        <v>197</v>
      </c>
      <c r="I46" s="31" t="s">
        <v>198</v>
      </c>
      <c r="J46" s="31" t="s">
        <v>80</v>
      </c>
      <c r="K46" s="31" t="s">
        <v>6</v>
      </c>
      <c r="L46" s="37" t="s">
        <v>199</v>
      </c>
      <c r="M46" s="39"/>
      <c r="N46" s="39"/>
      <c r="O46" s="34"/>
      <c r="P46" s="34"/>
      <c r="Q46" s="34"/>
      <c r="R46" s="34"/>
      <c r="S46" s="34"/>
      <c r="T46" s="34"/>
      <c r="U46" s="34"/>
      <c r="V46" s="34"/>
      <c r="W46" s="34"/>
      <c r="X46" s="34"/>
      <c r="Y46" s="34"/>
      <c r="Z46" s="34"/>
    </row>
    <row r="47">
      <c r="A47" s="34"/>
      <c r="B47" s="34"/>
      <c r="C47" s="34"/>
      <c r="D47" s="34"/>
      <c r="E47" s="34"/>
      <c r="F47" s="35"/>
      <c r="G47" s="34"/>
      <c r="H47" s="34"/>
      <c r="I47" s="34"/>
      <c r="J47" s="34"/>
      <c r="K47" s="34"/>
      <c r="L47" s="34"/>
      <c r="M47" s="34"/>
      <c r="N47" s="34"/>
      <c r="O47" s="34"/>
      <c r="P47" s="34"/>
      <c r="Q47" s="34"/>
      <c r="R47" s="34"/>
      <c r="S47" s="34"/>
      <c r="T47" s="34"/>
      <c r="U47" s="34"/>
      <c r="V47" s="34"/>
      <c r="W47" s="34"/>
      <c r="X47" s="34"/>
      <c r="Y47" s="34"/>
      <c r="Z47" s="34"/>
    </row>
    <row r="48">
      <c r="A48" s="31" t="s">
        <v>200</v>
      </c>
      <c r="B48" s="31" t="s">
        <v>72</v>
      </c>
      <c r="C48" s="31" t="s">
        <v>201</v>
      </c>
      <c r="D48" s="31" t="s">
        <v>202</v>
      </c>
      <c r="E48" s="31" t="s">
        <v>75</v>
      </c>
      <c r="F48" s="36" t="s">
        <v>203</v>
      </c>
      <c r="G48" s="31" t="s">
        <v>139</v>
      </c>
      <c r="H48" s="31" t="s">
        <v>204</v>
      </c>
      <c r="I48" s="31" t="s">
        <v>205</v>
      </c>
      <c r="J48" s="31" t="s">
        <v>80</v>
      </c>
      <c r="K48" s="31" t="s">
        <v>6</v>
      </c>
      <c r="L48" s="37" t="s">
        <v>206</v>
      </c>
      <c r="M48" s="39"/>
      <c r="N48" s="39"/>
      <c r="O48" s="34"/>
      <c r="P48" s="34"/>
      <c r="Q48" s="34"/>
      <c r="R48" s="34"/>
      <c r="S48" s="34"/>
      <c r="T48" s="34"/>
      <c r="U48" s="34"/>
      <c r="V48" s="34"/>
      <c r="W48" s="34"/>
      <c r="X48" s="34"/>
      <c r="Y48" s="34"/>
      <c r="Z48" s="34"/>
    </row>
    <row r="49">
      <c r="A49" s="34"/>
      <c r="B49" s="34"/>
      <c r="C49" s="34"/>
      <c r="D49" s="34"/>
      <c r="E49" s="34"/>
      <c r="F49" s="35"/>
      <c r="G49" s="34"/>
      <c r="H49" s="34"/>
      <c r="I49" s="34"/>
      <c r="J49" s="34"/>
      <c r="K49" s="34"/>
      <c r="L49" s="34"/>
      <c r="M49" s="34"/>
      <c r="N49" s="34"/>
      <c r="O49" s="34"/>
      <c r="P49" s="34"/>
      <c r="Q49" s="34"/>
      <c r="R49" s="34"/>
      <c r="S49" s="34"/>
      <c r="T49" s="34"/>
      <c r="U49" s="34"/>
      <c r="V49" s="34"/>
      <c r="W49" s="34"/>
      <c r="X49" s="34"/>
      <c r="Y49" s="34"/>
      <c r="Z49" s="34"/>
    </row>
    <row r="50">
      <c r="A50" s="31" t="s">
        <v>207</v>
      </c>
      <c r="B50" s="31" t="s">
        <v>135</v>
      </c>
      <c r="C50" s="31" t="s">
        <v>150</v>
      </c>
      <c r="D50" s="31" t="s">
        <v>208</v>
      </c>
      <c r="E50" s="31" t="s">
        <v>75</v>
      </c>
      <c r="F50" s="36" t="s">
        <v>209</v>
      </c>
      <c r="G50" s="31" t="s">
        <v>139</v>
      </c>
      <c r="H50" s="31" t="s">
        <v>210</v>
      </c>
      <c r="I50" s="31" t="s">
        <v>211</v>
      </c>
      <c r="J50" s="31" t="s">
        <v>80</v>
      </c>
      <c r="K50" s="31" t="s">
        <v>6</v>
      </c>
      <c r="L50" s="37" t="s">
        <v>212</v>
      </c>
      <c r="M50" s="39"/>
      <c r="N50" s="39"/>
      <c r="O50" s="34"/>
      <c r="P50" s="34"/>
      <c r="Q50" s="34"/>
      <c r="R50" s="34"/>
      <c r="S50" s="34"/>
      <c r="T50" s="34"/>
      <c r="U50" s="34"/>
      <c r="V50" s="34"/>
      <c r="W50" s="34"/>
      <c r="X50" s="34"/>
      <c r="Y50" s="34"/>
      <c r="Z50" s="34"/>
    </row>
    <row r="51">
      <c r="A51" s="34"/>
      <c r="B51" s="34"/>
      <c r="C51" s="34"/>
      <c r="D51" s="34"/>
      <c r="E51" s="34"/>
      <c r="F51" s="35"/>
      <c r="G51" s="34"/>
      <c r="H51" s="34"/>
      <c r="I51" s="34"/>
      <c r="J51" s="34"/>
      <c r="K51" s="34"/>
      <c r="L51" s="34"/>
      <c r="M51" s="34"/>
      <c r="N51" s="34"/>
      <c r="O51" s="34"/>
      <c r="P51" s="34"/>
      <c r="Q51" s="34"/>
      <c r="R51" s="34"/>
      <c r="S51" s="34"/>
      <c r="T51" s="34"/>
      <c r="U51" s="34"/>
      <c r="V51" s="34"/>
      <c r="W51" s="34"/>
      <c r="X51" s="34"/>
      <c r="Y51" s="34"/>
      <c r="Z51" s="34"/>
    </row>
    <row r="52">
      <c r="A52" s="31" t="s">
        <v>213</v>
      </c>
      <c r="B52" s="31" t="s">
        <v>135</v>
      </c>
      <c r="C52" s="31" t="s">
        <v>214</v>
      </c>
      <c r="D52" s="31" t="s">
        <v>215</v>
      </c>
      <c r="E52" s="31" t="s">
        <v>75</v>
      </c>
      <c r="F52" s="36" t="s">
        <v>216</v>
      </c>
      <c r="G52" s="31" t="s">
        <v>139</v>
      </c>
      <c r="H52" s="31" t="s">
        <v>217</v>
      </c>
      <c r="I52" s="31" t="s">
        <v>218</v>
      </c>
      <c r="J52" s="31" t="s">
        <v>80</v>
      </c>
      <c r="K52" s="31" t="s">
        <v>6</v>
      </c>
      <c r="L52" s="37" t="s">
        <v>219</v>
      </c>
      <c r="M52" s="39"/>
      <c r="N52" s="39"/>
      <c r="O52" s="34"/>
      <c r="P52" s="34"/>
      <c r="Q52" s="34"/>
      <c r="R52" s="34"/>
      <c r="S52" s="34"/>
      <c r="T52" s="34"/>
      <c r="U52" s="34"/>
      <c r="V52" s="34"/>
      <c r="W52" s="34"/>
      <c r="X52" s="34"/>
      <c r="Y52" s="34"/>
      <c r="Z52" s="34"/>
    </row>
    <row r="53">
      <c r="A53" s="34"/>
      <c r="B53" s="34"/>
      <c r="C53" s="34"/>
      <c r="D53" s="34"/>
      <c r="E53" s="34"/>
      <c r="F53" s="35"/>
      <c r="G53" s="34"/>
      <c r="H53" s="34"/>
      <c r="I53" s="34"/>
      <c r="J53" s="34"/>
      <c r="K53" s="34"/>
      <c r="L53" s="34"/>
      <c r="M53" s="34"/>
      <c r="N53" s="34"/>
      <c r="O53" s="34"/>
      <c r="P53" s="34"/>
      <c r="Q53" s="34"/>
      <c r="R53" s="34"/>
      <c r="S53" s="34"/>
      <c r="T53" s="34"/>
      <c r="U53" s="34"/>
      <c r="V53" s="34"/>
      <c r="W53" s="34"/>
      <c r="X53" s="34"/>
      <c r="Y53" s="34"/>
      <c r="Z53" s="34"/>
    </row>
    <row r="54">
      <c r="A54" s="31" t="s">
        <v>220</v>
      </c>
      <c r="B54" s="39"/>
      <c r="C54" s="39"/>
      <c r="D54" s="39"/>
      <c r="E54" s="39"/>
      <c r="F54" s="41"/>
      <c r="G54" s="39"/>
      <c r="H54" s="39"/>
      <c r="I54" s="39"/>
      <c r="J54" s="39"/>
      <c r="K54" s="39"/>
      <c r="L54" s="42"/>
      <c r="M54" s="39"/>
      <c r="N54" s="39"/>
      <c r="O54" s="34"/>
      <c r="P54" s="34"/>
      <c r="Q54" s="34"/>
      <c r="R54" s="34"/>
      <c r="S54" s="34"/>
      <c r="T54" s="34"/>
      <c r="U54" s="34"/>
      <c r="V54" s="34"/>
      <c r="W54" s="34"/>
      <c r="X54" s="34"/>
      <c r="Y54" s="34"/>
      <c r="Z54" s="34"/>
    </row>
    <row r="55">
      <c r="A55" s="34"/>
      <c r="B55" s="34"/>
      <c r="C55" s="34"/>
      <c r="D55" s="34"/>
      <c r="E55" s="34"/>
      <c r="F55" s="35"/>
      <c r="G55" s="34"/>
      <c r="H55" s="34"/>
      <c r="I55" s="34"/>
      <c r="J55" s="34"/>
      <c r="K55" s="34"/>
      <c r="L55" s="34"/>
      <c r="M55" s="34"/>
      <c r="N55" s="34"/>
      <c r="O55" s="34"/>
      <c r="P55" s="34"/>
      <c r="Q55" s="34"/>
      <c r="R55" s="34"/>
      <c r="S55" s="34"/>
      <c r="T55" s="34"/>
      <c r="U55" s="34"/>
      <c r="V55" s="34"/>
      <c r="W55" s="34"/>
      <c r="X55" s="34"/>
      <c r="Y55" s="34"/>
      <c r="Z55" s="34"/>
    </row>
    <row r="56">
      <c r="A56" s="31" t="s">
        <v>221</v>
      </c>
      <c r="B56" s="39"/>
      <c r="C56" s="39"/>
      <c r="D56" s="39"/>
      <c r="E56" s="39"/>
      <c r="F56" s="41"/>
      <c r="G56" s="39"/>
      <c r="H56" s="39"/>
      <c r="I56" s="39"/>
      <c r="J56" s="39"/>
      <c r="K56" s="39"/>
      <c r="L56" s="42"/>
      <c r="M56" s="39"/>
      <c r="N56" s="39"/>
      <c r="O56" s="34"/>
      <c r="P56" s="34"/>
      <c r="Q56" s="34"/>
      <c r="R56" s="34"/>
      <c r="S56" s="34"/>
      <c r="T56" s="34"/>
      <c r="U56" s="34"/>
      <c r="V56" s="34"/>
      <c r="W56" s="34"/>
      <c r="X56" s="34"/>
      <c r="Y56" s="34"/>
      <c r="Z56" s="34"/>
    </row>
    <row r="57">
      <c r="A57" s="34"/>
      <c r="B57" s="34"/>
      <c r="C57" s="34"/>
      <c r="D57" s="34"/>
      <c r="E57" s="34"/>
      <c r="F57" s="35"/>
      <c r="G57" s="34"/>
      <c r="H57" s="34"/>
      <c r="I57" s="34"/>
      <c r="J57" s="34"/>
      <c r="K57" s="34"/>
      <c r="L57" s="34"/>
      <c r="M57" s="34"/>
      <c r="N57" s="34"/>
      <c r="O57" s="34"/>
      <c r="P57" s="34"/>
      <c r="Q57" s="34"/>
      <c r="R57" s="34"/>
      <c r="S57" s="34"/>
      <c r="T57" s="34"/>
      <c r="U57" s="34"/>
      <c r="V57" s="34"/>
      <c r="W57" s="34"/>
      <c r="X57" s="34"/>
      <c r="Y57" s="34"/>
      <c r="Z57" s="34"/>
    </row>
    <row r="58">
      <c r="A58" s="31" t="s">
        <v>222</v>
      </c>
      <c r="B58" s="39"/>
      <c r="C58" s="39"/>
      <c r="D58" s="39"/>
      <c r="E58" s="39"/>
      <c r="F58" s="41"/>
      <c r="G58" s="39"/>
      <c r="H58" s="39"/>
      <c r="I58" s="39"/>
      <c r="J58" s="39"/>
      <c r="K58" s="39"/>
      <c r="L58" s="42"/>
      <c r="M58" s="39"/>
      <c r="N58" s="39"/>
      <c r="O58" s="34"/>
      <c r="P58" s="34"/>
      <c r="Q58" s="34"/>
      <c r="R58" s="34"/>
      <c r="S58" s="34"/>
      <c r="T58" s="34"/>
      <c r="U58" s="34"/>
      <c r="V58" s="34"/>
      <c r="W58" s="34"/>
      <c r="X58" s="34"/>
      <c r="Y58" s="34"/>
      <c r="Z58" s="34"/>
    </row>
    <row r="59">
      <c r="A59" s="34"/>
      <c r="B59" s="34"/>
      <c r="C59" s="34"/>
      <c r="D59" s="34"/>
      <c r="E59" s="34"/>
      <c r="F59" s="35"/>
      <c r="G59" s="34"/>
      <c r="H59" s="34"/>
      <c r="I59" s="34"/>
      <c r="J59" s="34"/>
      <c r="K59" s="34"/>
      <c r="L59" s="34"/>
      <c r="M59" s="34"/>
      <c r="N59" s="34"/>
      <c r="O59" s="34"/>
      <c r="P59" s="34"/>
      <c r="Q59" s="34"/>
      <c r="R59" s="34"/>
      <c r="S59" s="34"/>
      <c r="T59" s="34"/>
      <c r="U59" s="34"/>
      <c r="V59" s="34"/>
      <c r="W59" s="34"/>
      <c r="X59" s="34"/>
      <c r="Y59" s="34"/>
      <c r="Z59" s="34"/>
    </row>
    <row r="60">
      <c r="A60" s="31"/>
      <c r="B60" s="39"/>
      <c r="C60" s="39"/>
      <c r="D60" s="39"/>
      <c r="E60" s="39"/>
      <c r="F60" s="41"/>
      <c r="G60" s="39"/>
      <c r="H60" s="39"/>
      <c r="I60" s="39"/>
      <c r="J60" s="39"/>
      <c r="K60" s="39"/>
      <c r="L60" s="42"/>
      <c r="M60" s="39"/>
      <c r="N60" s="39"/>
      <c r="O60" s="34"/>
      <c r="P60" s="34"/>
      <c r="Q60" s="34"/>
      <c r="R60" s="34"/>
      <c r="S60" s="34"/>
      <c r="T60" s="34"/>
      <c r="U60" s="34"/>
      <c r="V60" s="34"/>
      <c r="W60" s="34"/>
      <c r="X60" s="34"/>
      <c r="Y60" s="34"/>
      <c r="Z60" s="34"/>
    </row>
    <row r="61">
      <c r="A61" s="34"/>
      <c r="B61" s="34"/>
      <c r="C61" s="34"/>
      <c r="D61" s="34"/>
      <c r="E61" s="34"/>
      <c r="F61" s="35"/>
      <c r="G61" s="34"/>
      <c r="H61" s="34"/>
      <c r="I61" s="34"/>
      <c r="J61" s="34"/>
      <c r="K61" s="34"/>
      <c r="L61" s="34"/>
      <c r="M61" s="34"/>
      <c r="N61" s="34"/>
      <c r="O61" s="34"/>
      <c r="P61" s="34"/>
      <c r="Q61" s="34"/>
      <c r="R61" s="34"/>
      <c r="S61" s="34"/>
      <c r="T61" s="34"/>
      <c r="U61" s="34"/>
      <c r="V61" s="34"/>
      <c r="W61" s="34"/>
      <c r="X61" s="34"/>
      <c r="Y61" s="34"/>
      <c r="Z61" s="34"/>
    </row>
    <row r="62">
      <c r="A62" s="31"/>
      <c r="B62" s="39"/>
      <c r="C62" s="39"/>
      <c r="D62" s="39"/>
      <c r="E62" s="39"/>
      <c r="F62" s="41"/>
      <c r="G62" s="39"/>
      <c r="H62" s="39"/>
      <c r="I62" s="39"/>
      <c r="J62" s="39"/>
      <c r="K62" s="39"/>
      <c r="L62" s="42"/>
      <c r="M62" s="39"/>
      <c r="N62" s="39"/>
      <c r="O62" s="34"/>
      <c r="P62" s="34"/>
      <c r="Q62" s="34"/>
      <c r="R62" s="34"/>
      <c r="S62" s="34"/>
      <c r="T62" s="34"/>
      <c r="U62" s="34"/>
      <c r="V62" s="34"/>
      <c r="W62" s="34"/>
      <c r="X62" s="34"/>
      <c r="Y62" s="34"/>
      <c r="Z62" s="34"/>
    </row>
    <row r="63">
      <c r="A63" s="34"/>
      <c r="B63" s="34"/>
      <c r="C63" s="34"/>
      <c r="D63" s="34"/>
      <c r="E63" s="34"/>
      <c r="F63" s="35"/>
      <c r="G63" s="34"/>
      <c r="H63" s="34"/>
      <c r="I63" s="34"/>
      <c r="J63" s="34"/>
      <c r="K63" s="34"/>
      <c r="L63" s="34"/>
      <c r="M63" s="34"/>
      <c r="N63" s="34"/>
      <c r="O63" s="34"/>
      <c r="P63" s="34"/>
      <c r="Q63" s="34"/>
      <c r="R63" s="34"/>
      <c r="S63" s="34"/>
      <c r="T63" s="34"/>
      <c r="U63" s="34"/>
      <c r="V63" s="34"/>
      <c r="W63" s="34"/>
      <c r="X63" s="34"/>
      <c r="Y63" s="34"/>
      <c r="Z63" s="34"/>
    </row>
    <row r="64">
      <c r="A64" s="31"/>
      <c r="B64" s="39"/>
      <c r="C64" s="39"/>
      <c r="D64" s="39"/>
      <c r="E64" s="39"/>
      <c r="F64" s="41"/>
      <c r="G64" s="39"/>
      <c r="H64" s="39"/>
      <c r="I64" s="39"/>
      <c r="J64" s="39"/>
      <c r="K64" s="39"/>
      <c r="L64" s="42"/>
      <c r="M64" s="39"/>
      <c r="N64" s="39"/>
      <c r="O64" s="34"/>
      <c r="P64" s="34"/>
      <c r="Q64" s="34"/>
      <c r="R64" s="34"/>
      <c r="S64" s="34"/>
      <c r="T64" s="34"/>
      <c r="U64" s="34"/>
      <c r="V64" s="34"/>
      <c r="W64" s="34"/>
      <c r="X64" s="34"/>
      <c r="Y64" s="34"/>
      <c r="Z64" s="34"/>
    </row>
    <row r="65">
      <c r="A65" s="34"/>
      <c r="B65" s="34"/>
      <c r="C65" s="34"/>
      <c r="D65" s="34"/>
      <c r="E65" s="34"/>
      <c r="F65" s="35"/>
      <c r="G65" s="34"/>
      <c r="H65" s="34"/>
      <c r="I65" s="34"/>
      <c r="J65" s="34"/>
      <c r="K65" s="34"/>
      <c r="L65" s="34"/>
      <c r="M65" s="34"/>
      <c r="N65" s="34"/>
      <c r="O65" s="34"/>
      <c r="P65" s="34"/>
      <c r="Q65" s="34"/>
      <c r="R65" s="34"/>
      <c r="S65" s="34"/>
      <c r="T65" s="34"/>
      <c r="U65" s="34"/>
      <c r="V65" s="34"/>
      <c r="W65" s="34"/>
      <c r="X65" s="34"/>
      <c r="Y65" s="34"/>
      <c r="Z65" s="34"/>
    </row>
    <row r="66">
      <c r="A66" s="31"/>
      <c r="B66" s="39"/>
      <c r="C66" s="39"/>
      <c r="D66" s="39"/>
      <c r="E66" s="39"/>
      <c r="F66" s="41"/>
      <c r="G66" s="39"/>
      <c r="H66" s="39"/>
      <c r="I66" s="39"/>
      <c r="J66" s="39"/>
      <c r="K66" s="39"/>
      <c r="L66" s="42"/>
      <c r="M66" s="39"/>
      <c r="N66" s="39"/>
      <c r="O66" s="34"/>
      <c r="P66" s="34"/>
      <c r="Q66" s="34"/>
      <c r="R66" s="34"/>
      <c r="S66" s="34"/>
      <c r="T66" s="34"/>
      <c r="U66" s="34"/>
      <c r="V66" s="34"/>
      <c r="W66" s="34"/>
      <c r="X66" s="34"/>
      <c r="Y66" s="34"/>
      <c r="Z66" s="34"/>
    </row>
    <row r="67">
      <c r="A67" s="34"/>
      <c r="B67" s="34"/>
      <c r="C67" s="34"/>
      <c r="D67" s="34"/>
      <c r="E67" s="34"/>
      <c r="F67" s="35"/>
      <c r="G67" s="34"/>
      <c r="H67" s="34"/>
      <c r="I67" s="34"/>
      <c r="J67" s="34"/>
      <c r="K67" s="34"/>
      <c r="L67" s="34"/>
      <c r="M67" s="34"/>
      <c r="N67" s="34"/>
      <c r="O67" s="34"/>
      <c r="P67" s="34"/>
      <c r="Q67" s="34"/>
      <c r="R67" s="34"/>
      <c r="S67" s="34"/>
      <c r="T67" s="34"/>
      <c r="U67" s="34"/>
      <c r="V67" s="34"/>
      <c r="W67" s="34"/>
      <c r="X67" s="34"/>
      <c r="Y67" s="34"/>
      <c r="Z67" s="34"/>
    </row>
    <row r="68">
      <c r="A68" s="31"/>
      <c r="B68" s="39"/>
      <c r="C68" s="39"/>
      <c r="D68" s="39"/>
      <c r="E68" s="39"/>
      <c r="F68" s="41"/>
      <c r="G68" s="39"/>
      <c r="H68" s="39"/>
      <c r="I68" s="39"/>
      <c r="J68" s="39"/>
      <c r="K68" s="39"/>
      <c r="L68" s="42"/>
      <c r="M68" s="39"/>
      <c r="N68" s="39"/>
      <c r="O68" s="34"/>
      <c r="P68" s="34"/>
      <c r="Q68" s="34"/>
      <c r="R68" s="34"/>
      <c r="S68" s="34"/>
      <c r="T68" s="34"/>
      <c r="U68" s="34"/>
      <c r="V68" s="34"/>
      <c r="W68" s="34"/>
      <c r="X68" s="34"/>
      <c r="Y68" s="34"/>
      <c r="Z68" s="34"/>
    </row>
    <row r="69">
      <c r="A69" s="34"/>
      <c r="B69" s="34"/>
      <c r="C69" s="34"/>
      <c r="D69" s="34"/>
      <c r="E69" s="34"/>
      <c r="F69" s="35"/>
      <c r="G69" s="34"/>
      <c r="H69" s="34"/>
      <c r="I69" s="34"/>
      <c r="J69" s="34"/>
      <c r="K69" s="34"/>
      <c r="L69" s="34"/>
      <c r="M69" s="34"/>
      <c r="N69" s="34"/>
      <c r="O69" s="34"/>
      <c r="P69" s="34"/>
      <c r="Q69" s="34"/>
      <c r="R69" s="34"/>
      <c r="S69" s="34"/>
      <c r="T69" s="34"/>
      <c r="U69" s="34"/>
      <c r="V69" s="34"/>
      <c r="W69" s="34"/>
      <c r="X69" s="34"/>
      <c r="Y69" s="34"/>
      <c r="Z69" s="34"/>
    </row>
    <row r="70">
      <c r="A70" s="31"/>
      <c r="B70" s="39"/>
      <c r="C70" s="39"/>
      <c r="D70" s="39"/>
      <c r="E70" s="39"/>
      <c r="F70" s="41"/>
      <c r="G70" s="39"/>
      <c r="H70" s="39"/>
      <c r="I70" s="39"/>
      <c r="J70" s="39"/>
      <c r="K70" s="39"/>
      <c r="L70" s="42"/>
      <c r="M70" s="39"/>
      <c r="N70" s="39"/>
      <c r="O70" s="34"/>
      <c r="P70" s="34"/>
      <c r="Q70" s="34"/>
      <c r="R70" s="34"/>
      <c r="S70" s="34"/>
      <c r="T70" s="34"/>
      <c r="U70" s="34"/>
      <c r="V70" s="34"/>
      <c r="W70" s="34"/>
      <c r="X70" s="34"/>
      <c r="Y70" s="34"/>
      <c r="Z70" s="34"/>
    </row>
    <row r="71">
      <c r="A71" s="34"/>
      <c r="B71" s="34"/>
      <c r="C71" s="34"/>
      <c r="D71" s="34"/>
      <c r="E71" s="34"/>
      <c r="F71" s="35"/>
      <c r="G71" s="34"/>
      <c r="H71" s="34"/>
      <c r="I71" s="34"/>
      <c r="J71" s="34"/>
      <c r="K71" s="34"/>
      <c r="L71" s="34"/>
      <c r="M71" s="34"/>
      <c r="N71" s="34"/>
      <c r="O71" s="34"/>
      <c r="P71" s="34"/>
      <c r="Q71" s="34"/>
      <c r="R71" s="34"/>
      <c r="S71" s="34"/>
      <c r="T71" s="34"/>
      <c r="U71" s="34"/>
      <c r="V71" s="34"/>
      <c r="W71" s="34"/>
      <c r="X71" s="34"/>
      <c r="Y71" s="34"/>
      <c r="Z71" s="34"/>
    </row>
    <row r="72">
      <c r="A72" s="31"/>
      <c r="B72" s="39"/>
      <c r="C72" s="39"/>
      <c r="D72" s="39"/>
      <c r="E72" s="39"/>
      <c r="F72" s="41"/>
      <c r="G72" s="39"/>
      <c r="H72" s="39"/>
      <c r="I72" s="39"/>
      <c r="J72" s="39"/>
      <c r="K72" s="39"/>
      <c r="L72" s="42"/>
      <c r="M72" s="39"/>
      <c r="N72" s="39"/>
      <c r="O72" s="34"/>
      <c r="P72" s="34"/>
      <c r="Q72" s="34"/>
      <c r="R72" s="34"/>
      <c r="S72" s="34"/>
      <c r="T72" s="34"/>
      <c r="U72" s="34"/>
      <c r="V72" s="34"/>
      <c r="W72" s="34"/>
      <c r="X72" s="34"/>
      <c r="Y72" s="34"/>
      <c r="Z72" s="34"/>
    </row>
    <row r="73">
      <c r="A73" s="34"/>
      <c r="B73" s="34"/>
      <c r="C73" s="34"/>
      <c r="D73" s="34"/>
      <c r="E73" s="34"/>
      <c r="F73" s="35"/>
      <c r="G73" s="34"/>
      <c r="H73" s="34"/>
      <c r="I73" s="34"/>
      <c r="J73" s="34"/>
      <c r="K73" s="34"/>
      <c r="L73" s="34"/>
      <c r="M73" s="34"/>
      <c r="N73" s="34"/>
      <c r="O73" s="34"/>
      <c r="P73" s="34"/>
      <c r="Q73" s="34"/>
      <c r="R73" s="34"/>
      <c r="S73" s="34"/>
      <c r="T73" s="34"/>
      <c r="U73" s="34"/>
      <c r="V73" s="34"/>
      <c r="W73" s="34"/>
      <c r="X73" s="34"/>
      <c r="Y73" s="34"/>
      <c r="Z73" s="34"/>
    </row>
    <row r="74">
      <c r="A74" s="31"/>
      <c r="B74" s="39"/>
      <c r="C74" s="39"/>
      <c r="D74" s="39"/>
      <c r="E74" s="39"/>
      <c r="F74" s="41"/>
      <c r="G74" s="39"/>
      <c r="H74" s="39"/>
      <c r="I74" s="39"/>
      <c r="J74" s="39"/>
      <c r="K74" s="39"/>
      <c r="L74" s="42"/>
      <c r="M74" s="39"/>
      <c r="N74" s="39"/>
      <c r="O74" s="34"/>
      <c r="P74" s="34"/>
      <c r="Q74" s="34"/>
      <c r="R74" s="34"/>
      <c r="S74" s="34"/>
      <c r="T74" s="34"/>
      <c r="U74" s="34"/>
      <c r="V74" s="34"/>
      <c r="W74" s="34"/>
      <c r="X74" s="34"/>
      <c r="Y74" s="34"/>
      <c r="Z74" s="34"/>
    </row>
    <row r="75">
      <c r="A75" s="34"/>
      <c r="B75" s="34"/>
      <c r="C75" s="34"/>
      <c r="D75" s="34"/>
      <c r="E75" s="34"/>
      <c r="F75" s="35"/>
      <c r="G75" s="34"/>
      <c r="H75" s="34"/>
      <c r="I75" s="34"/>
      <c r="J75" s="34"/>
      <c r="K75" s="34"/>
      <c r="L75" s="34"/>
      <c r="M75" s="34"/>
      <c r="N75" s="34"/>
      <c r="O75" s="34"/>
      <c r="P75" s="34"/>
      <c r="Q75" s="34"/>
      <c r="R75" s="34"/>
      <c r="S75" s="34"/>
      <c r="T75" s="34"/>
      <c r="U75" s="34"/>
      <c r="V75" s="34"/>
      <c r="W75" s="34"/>
      <c r="X75" s="34"/>
      <c r="Y75" s="34"/>
      <c r="Z75" s="34"/>
    </row>
    <row r="76">
      <c r="A76" s="31"/>
      <c r="B76" s="39"/>
      <c r="C76" s="39"/>
      <c r="D76" s="39"/>
      <c r="E76" s="39"/>
      <c r="F76" s="41"/>
      <c r="G76" s="39"/>
      <c r="H76" s="39"/>
      <c r="I76" s="39"/>
      <c r="J76" s="39"/>
      <c r="K76" s="39"/>
      <c r="L76" s="42"/>
      <c r="M76" s="39"/>
      <c r="N76" s="39"/>
      <c r="O76" s="34"/>
      <c r="P76" s="34"/>
      <c r="Q76" s="34"/>
      <c r="R76" s="34"/>
      <c r="S76" s="34"/>
      <c r="T76" s="34"/>
      <c r="U76" s="34"/>
      <c r="V76" s="34"/>
      <c r="W76" s="34"/>
      <c r="X76" s="34"/>
      <c r="Y76" s="34"/>
      <c r="Z76" s="34"/>
    </row>
    <row r="77">
      <c r="A77" s="34"/>
      <c r="B77" s="34"/>
      <c r="C77" s="34"/>
      <c r="D77" s="34"/>
      <c r="E77" s="34"/>
      <c r="F77" s="35"/>
      <c r="G77" s="34"/>
      <c r="H77" s="34"/>
      <c r="I77" s="34"/>
      <c r="J77" s="34"/>
      <c r="K77" s="34"/>
      <c r="L77" s="34"/>
      <c r="M77" s="34"/>
      <c r="N77" s="34"/>
      <c r="O77" s="34"/>
      <c r="P77" s="34"/>
      <c r="Q77" s="34"/>
      <c r="R77" s="34"/>
      <c r="S77" s="34"/>
      <c r="T77" s="34"/>
      <c r="U77" s="34"/>
      <c r="V77" s="34"/>
      <c r="W77" s="34"/>
      <c r="X77" s="34"/>
      <c r="Y77" s="34"/>
      <c r="Z77" s="34"/>
    </row>
    <row r="78">
      <c r="A78" s="31"/>
      <c r="B78" s="39"/>
      <c r="C78" s="39"/>
      <c r="D78" s="39"/>
      <c r="E78" s="39"/>
      <c r="F78" s="41"/>
      <c r="G78" s="39"/>
      <c r="H78" s="39"/>
      <c r="I78" s="39"/>
      <c r="J78" s="39"/>
      <c r="K78" s="39"/>
      <c r="L78" s="42"/>
      <c r="M78" s="39"/>
      <c r="N78" s="39"/>
      <c r="O78" s="34"/>
      <c r="P78" s="34"/>
      <c r="Q78" s="34"/>
      <c r="R78" s="34"/>
      <c r="S78" s="34"/>
      <c r="T78" s="34"/>
      <c r="U78" s="34"/>
      <c r="V78" s="34"/>
      <c r="W78" s="34"/>
      <c r="X78" s="34"/>
      <c r="Y78" s="34"/>
      <c r="Z78" s="34"/>
    </row>
    <row r="79">
      <c r="A79" s="34"/>
      <c r="B79" s="34"/>
      <c r="C79" s="34"/>
      <c r="D79" s="34"/>
      <c r="E79" s="34"/>
      <c r="F79" s="35"/>
      <c r="G79" s="34"/>
      <c r="H79" s="34"/>
      <c r="I79" s="34"/>
      <c r="J79" s="34"/>
      <c r="K79" s="34"/>
      <c r="L79" s="34"/>
      <c r="M79" s="34"/>
      <c r="N79" s="34"/>
      <c r="O79" s="34"/>
      <c r="P79" s="34"/>
      <c r="Q79" s="34"/>
      <c r="R79" s="34"/>
      <c r="S79" s="34"/>
      <c r="T79" s="34"/>
      <c r="U79" s="34"/>
      <c r="V79" s="34"/>
      <c r="W79" s="34"/>
      <c r="X79" s="34"/>
      <c r="Y79" s="34"/>
      <c r="Z79" s="34"/>
    </row>
    <row r="80">
      <c r="A80" s="31"/>
      <c r="B80" s="39"/>
      <c r="C80" s="39"/>
      <c r="D80" s="39"/>
      <c r="E80" s="39"/>
      <c r="F80" s="41"/>
      <c r="G80" s="39"/>
      <c r="H80" s="39"/>
      <c r="I80" s="39"/>
      <c r="J80" s="39"/>
      <c r="K80" s="39"/>
      <c r="L80" s="42"/>
      <c r="M80" s="39"/>
      <c r="N80" s="39"/>
      <c r="O80" s="34"/>
      <c r="P80" s="34"/>
      <c r="Q80" s="34"/>
      <c r="R80" s="34"/>
      <c r="S80" s="34"/>
      <c r="T80" s="34"/>
      <c r="U80" s="34"/>
      <c r="V80" s="34"/>
      <c r="W80" s="34"/>
      <c r="X80" s="34"/>
      <c r="Y80" s="34"/>
      <c r="Z80" s="34"/>
    </row>
    <row r="81">
      <c r="A81" s="34"/>
      <c r="B81" s="34"/>
      <c r="C81" s="34"/>
      <c r="D81" s="34"/>
      <c r="E81" s="34"/>
      <c r="F81" s="35"/>
      <c r="G81" s="34"/>
      <c r="H81" s="34"/>
      <c r="I81" s="34"/>
      <c r="J81" s="34"/>
      <c r="K81" s="34"/>
      <c r="L81" s="34"/>
      <c r="M81" s="34"/>
      <c r="N81" s="34"/>
      <c r="O81" s="34"/>
      <c r="P81" s="34"/>
      <c r="Q81" s="34"/>
      <c r="R81" s="34"/>
      <c r="S81" s="34"/>
      <c r="T81" s="34"/>
      <c r="U81" s="34"/>
      <c r="V81" s="34"/>
      <c r="W81" s="34"/>
      <c r="X81" s="34"/>
      <c r="Y81" s="34"/>
      <c r="Z81" s="34"/>
    </row>
    <row r="82">
      <c r="A82" s="31"/>
      <c r="B82" s="39"/>
      <c r="C82" s="39"/>
      <c r="D82" s="39"/>
      <c r="E82" s="39"/>
      <c r="F82" s="39"/>
      <c r="G82" s="39"/>
      <c r="H82" s="39"/>
      <c r="I82" s="39"/>
      <c r="J82" s="39"/>
      <c r="K82" s="39"/>
      <c r="L82" s="42"/>
      <c r="M82" s="39"/>
      <c r="N82" s="39"/>
      <c r="O82" s="34"/>
      <c r="P82" s="34"/>
      <c r="Q82" s="34"/>
      <c r="R82" s="34"/>
      <c r="S82" s="34"/>
      <c r="T82" s="34"/>
      <c r="U82" s="34"/>
      <c r="V82" s="34"/>
      <c r="W82" s="34"/>
      <c r="X82" s="34"/>
      <c r="Y82" s="34"/>
      <c r="Z82" s="3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row>
  </sheetData>
  <dataValidations>
    <dataValidation type="list" allowBlank="1" showErrorMessage="1" sqref="N8 N10 N12 N14 N16 N18 N20 N22 N24 N26 N28 N30 N32 N34 N36 N38 N40 N42 N44 N46 N48 N50 N52 N54 N56 N58 N60 N62 N64 N66 N68 N70 N72 N74 N76 N78 N80 N82">
      <formula1>"Solved,Unsolve"</formula1>
    </dataValidation>
    <dataValidation type="list" allowBlank="1" showErrorMessage="1" sqref="J8 J10 J12 J14 J16 J18 J20 J22 J24 J26 J28 J30 J32 J34 J36 J38 J40 J42 J44 J46 J48 J50 J52 J54 J56 J58 J60 J62 J64 J66 J68 J70 J72 J74 J76 J78 J80 J82">
      <formula1>"Pass,Fail"</formula1>
    </dataValidation>
    <dataValidation type="list" allowBlank="1" showErrorMessage="1" sqref="K8 K10 K12 K14 K16 K18 K20 K22 K24 K26 K28 K30 K32 K34 K36 K38 K40 K42 K44 K46 K48 K50 K52 K54 K56 K58 K60 K62 K64 K66 K68 K70 K72 K74 K76 K78 K80 K82">
      <formula1>"High,Medium,Low"</formula1>
    </dataValidation>
  </dataValidations>
  <hyperlinks>
    <hyperlink r:id="rId1" ref="F8"/>
    <hyperlink r:id="rId2" ref="L8"/>
    <hyperlink r:id="rId3" ref="F10"/>
    <hyperlink r:id="rId4" ref="L10"/>
    <hyperlink r:id="rId5" ref="F12"/>
    <hyperlink r:id="rId6" ref="L12"/>
    <hyperlink r:id="rId7" ref="F14"/>
    <hyperlink r:id="rId8" ref="L14"/>
    <hyperlink r:id="rId9" ref="F16"/>
    <hyperlink r:id="rId10" ref="L16"/>
    <hyperlink r:id="rId11" ref="F18"/>
    <hyperlink r:id="rId12" ref="L18"/>
    <hyperlink r:id="rId13" ref="F20"/>
    <hyperlink r:id="rId14" ref="L20"/>
    <hyperlink r:id="rId15" ref="F22"/>
    <hyperlink r:id="rId16" ref="L22"/>
    <hyperlink r:id="rId17" ref="F24"/>
    <hyperlink r:id="rId18" ref="L24"/>
    <hyperlink r:id="rId19" ref="F26"/>
    <hyperlink r:id="rId20" ref="L26"/>
    <hyperlink r:id="rId21" ref="F28"/>
    <hyperlink r:id="rId22" ref="L28"/>
    <hyperlink r:id="rId23" ref="F30"/>
    <hyperlink r:id="rId24" ref="L30"/>
    <hyperlink r:id="rId25" ref="F32"/>
    <hyperlink r:id="rId26" ref="L32"/>
    <hyperlink r:id="rId27" ref="F34"/>
    <hyperlink r:id="rId28" ref="L34"/>
    <hyperlink r:id="rId29" ref="F36"/>
    <hyperlink r:id="rId30" ref="L36"/>
    <hyperlink r:id="rId31" ref="F38"/>
    <hyperlink r:id="rId32" ref="L38"/>
    <hyperlink r:id="rId33" ref="F40"/>
    <hyperlink r:id="rId34" ref="L40"/>
    <hyperlink r:id="rId35" ref="F42"/>
    <hyperlink r:id="rId36" ref="L42"/>
    <hyperlink r:id="rId37" ref="F44"/>
    <hyperlink r:id="rId38" ref="L44"/>
    <hyperlink r:id="rId39" ref="F46"/>
    <hyperlink r:id="rId40" ref="L46"/>
    <hyperlink r:id="rId41" ref="F48"/>
    <hyperlink r:id="rId42" ref="L48"/>
    <hyperlink r:id="rId43" ref="F50"/>
    <hyperlink r:id="rId44" ref="L50"/>
    <hyperlink r:id="rId45" ref="F52"/>
    <hyperlink r:id="rId46" ref="L52"/>
  </hyperlinks>
  <drawing r:id="rId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9.5"/>
    <col customWidth="1" min="3" max="3" width="15.75"/>
    <col customWidth="1" min="4" max="4" width="21.63"/>
    <col customWidth="1" min="5" max="5" width="17.13"/>
    <col customWidth="1" min="6" max="6" width="23.13"/>
    <col customWidth="1" min="8" max="8" width="19.63"/>
    <col customWidth="1" min="9" max="9" width="15.88"/>
    <col customWidth="1" min="11" max="11" width="16.0"/>
    <col customWidth="1" min="12" max="12" width="16.5"/>
    <col customWidth="1" min="13" max="13" width="17.13"/>
    <col customWidth="1" min="14" max="14" width="14.13"/>
  </cols>
  <sheetData>
    <row r="1">
      <c r="A1" s="43"/>
      <c r="B1" s="43"/>
      <c r="C1" s="43"/>
      <c r="D1" s="43"/>
      <c r="E1" s="1"/>
      <c r="F1" s="1"/>
      <c r="G1" s="43"/>
      <c r="H1" s="43"/>
      <c r="I1" s="43"/>
      <c r="J1" s="43"/>
      <c r="K1" s="43"/>
      <c r="L1" s="43"/>
      <c r="M1" s="43"/>
      <c r="N1" s="43"/>
      <c r="O1" s="43"/>
      <c r="P1" s="43"/>
    </row>
    <row r="2">
      <c r="A2" s="44" t="s">
        <v>0</v>
      </c>
      <c r="B2" s="45"/>
      <c r="C2" s="43"/>
      <c r="D2" s="46" t="s">
        <v>2</v>
      </c>
      <c r="E2" s="46" t="s">
        <v>3</v>
      </c>
      <c r="F2" s="43"/>
      <c r="G2" s="43"/>
      <c r="H2" s="43"/>
      <c r="I2" s="43"/>
      <c r="J2" s="43"/>
      <c r="K2" s="43"/>
      <c r="L2" s="43"/>
      <c r="M2" s="43"/>
      <c r="N2" s="43"/>
      <c r="O2" s="43"/>
      <c r="P2" s="43"/>
    </row>
    <row r="3">
      <c r="A3" s="44" t="s">
        <v>4</v>
      </c>
      <c r="B3" s="47"/>
      <c r="C3" s="43"/>
      <c r="D3" s="7" t="s">
        <v>6</v>
      </c>
      <c r="E3" s="48">
        <f>COUNTIF(K14:K1006, "High")</f>
        <v>6</v>
      </c>
      <c r="F3" s="43"/>
      <c r="G3" s="43"/>
      <c r="H3" s="43"/>
      <c r="I3" s="43"/>
      <c r="J3" s="43"/>
      <c r="K3" s="43"/>
      <c r="L3" s="43"/>
      <c r="M3" s="43"/>
      <c r="N3" s="43"/>
      <c r="O3" s="43"/>
      <c r="P3" s="43"/>
    </row>
    <row r="4">
      <c r="A4" s="44" t="s">
        <v>7</v>
      </c>
      <c r="B4" s="49"/>
      <c r="C4" s="43"/>
      <c r="D4" s="7" t="s">
        <v>9</v>
      </c>
      <c r="E4" s="48">
        <f>COUNTIF(K14:K1007, "Medium")</f>
        <v>5</v>
      </c>
      <c r="F4" s="43"/>
      <c r="G4" s="43"/>
      <c r="H4" s="43"/>
      <c r="I4" s="43"/>
      <c r="J4" s="43"/>
      <c r="K4" s="43"/>
      <c r="L4" s="43"/>
      <c r="M4" s="43"/>
      <c r="N4" s="43"/>
      <c r="O4" s="43"/>
      <c r="P4" s="43"/>
    </row>
    <row r="5">
      <c r="A5" s="44" t="s">
        <v>10</v>
      </c>
      <c r="B5" s="50"/>
      <c r="C5" s="43"/>
      <c r="D5" s="7" t="s">
        <v>12</v>
      </c>
      <c r="E5" s="48">
        <f>COUNTIF(K14:K1008, "Low") </f>
        <v>0</v>
      </c>
      <c r="F5" s="43"/>
      <c r="G5" s="43"/>
      <c r="H5" s="43"/>
      <c r="I5" s="43"/>
      <c r="J5" s="43"/>
      <c r="K5" s="43"/>
      <c r="L5" s="43"/>
      <c r="M5" s="43"/>
      <c r="N5" s="43"/>
      <c r="O5" s="43"/>
      <c r="P5" s="43"/>
    </row>
    <row r="6">
      <c r="A6" s="44" t="s">
        <v>13</v>
      </c>
      <c r="B6" s="50"/>
      <c r="C6" s="43"/>
      <c r="D6" s="43"/>
      <c r="E6" s="43"/>
      <c r="F6" s="43"/>
      <c r="G6" s="43"/>
      <c r="H6" s="43"/>
      <c r="I6" s="43"/>
      <c r="J6" s="43"/>
      <c r="K6" s="43"/>
      <c r="L6" s="43"/>
      <c r="M6" s="43"/>
      <c r="N6" s="43"/>
      <c r="O6" s="43"/>
      <c r="P6" s="43"/>
    </row>
    <row r="7">
      <c r="A7" s="51" t="s">
        <v>68</v>
      </c>
      <c r="B7" s="50"/>
      <c r="C7" s="43"/>
      <c r="D7" s="52" t="s">
        <v>15</v>
      </c>
      <c r="E7" s="53">
        <f>SUM(E3:E5)</f>
        <v>11</v>
      </c>
      <c r="F7" s="43"/>
      <c r="G7" s="43"/>
      <c r="H7" s="43"/>
      <c r="I7" s="43"/>
      <c r="J7" s="43"/>
      <c r="K7" s="43"/>
      <c r="L7" s="43"/>
      <c r="M7" s="43"/>
      <c r="N7" s="43"/>
      <c r="O7" s="43"/>
      <c r="P7" s="43"/>
    </row>
    <row r="8">
      <c r="A8" s="43"/>
      <c r="B8" s="43"/>
      <c r="C8" s="43"/>
      <c r="D8" s="52" t="s">
        <v>16</v>
      </c>
      <c r="E8" s="50"/>
      <c r="F8" s="43"/>
      <c r="G8" s="43"/>
      <c r="H8" s="43"/>
      <c r="I8" s="43"/>
      <c r="J8" s="43"/>
      <c r="K8" s="43"/>
      <c r="L8" s="43"/>
      <c r="M8" s="43"/>
      <c r="N8" s="43"/>
      <c r="O8" s="43"/>
      <c r="P8" s="43"/>
    </row>
    <row r="9">
      <c r="A9" s="43"/>
      <c r="B9" s="43"/>
      <c r="C9" s="43"/>
      <c r="D9" s="43"/>
      <c r="E9" s="43"/>
      <c r="F9" s="43"/>
      <c r="G9" s="43"/>
      <c r="H9" s="43"/>
      <c r="I9" s="43"/>
      <c r="J9" s="43"/>
      <c r="K9" s="43"/>
      <c r="L9" s="43"/>
      <c r="M9" s="43"/>
      <c r="N9" s="43"/>
      <c r="O9" s="43"/>
      <c r="P9" s="43"/>
    </row>
    <row r="10">
      <c r="A10" s="43"/>
      <c r="B10" s="43"/>
      <c r="C10" s="43"/>
      <c r="D10" s="43"/>
      <c r="E10" s="43"/>
      <c r="F10" s="43"/>
      <c r="G10" s="43"/>
      <c r="H10" s="43"/>
      <c r="I10" s="43"/>
      <c r="J10" s="43"/>
      <c r="K10" s="43"/>
      <c r="L10" s="43"/>
      <c r="M10" s="43"/>
      <c r="N10" s="43"/>
      <c r="O10" s="43"/>
      <c r="P10" s="43"/>
    </row>
    <row r="11">
      <c r="A11" s="43"/>
      <c r="B11" s="43"/>
      <c r="C11" s="43"/>
      <c r="D11" s="43"/>
      <c r="E11" s="43"/>
      <c r="F11" s="43"/>
      <c r="G11" s="43"/>
      <c r="H11" s="43"/>
      <c r="I11" s="43"/>
      <c r="J11" s="43"/>
      <c r="K11" s="43"/>
      <c r="L11" s="43"/>
      <c r="M11" s="43"/>
      <c r="N11" s="43"/>
      <c r="O11" s="43"/>
      <c r="P11" s="43"/>
    </row>
    <row r="12">
      <c r="A12" s="43"/>
      <c r="B12" s="43"/>
      <c r="C12" s="43"/>
      <c r="D12" s="43"/>
      <c r="E12" s="43"/>
      <c r="F12" s="43"/>
      <c r="G12" s="43"/>
      <c r="H12" s="43"/>
      <c r="I12" s="43"/>
      <c r="J12" s="43"/>
      <c r="K12" s="43"/>
      <c r="L12" s="43"/>
      <c r="M12" s="43"/>
      <c r="N12" s="43"/>
      <c r="O12" s="43"/>
      <c r="P12" s="43"/>
    </row>
    <row r="13">
      <c r="A13" s="43"/>
      <c r="B13" s="43"/>
      <c r="C13" s="43"/>
      <c r="D13" s="43"/>
      <c r="E13" s="43"/>
      <c r="F13" s="43"/>
      <c r="G13" s="43"/>
      <c r="H13" s="43"/>
      <c r="I13" s="43"/>
      <c r="J13" s="43"/>
      <c r="K13" s="43"/>
      <c r="L13" s="43"/>
      <c r="M13" s="43"/>
      <c r="N13" s="43"/>
      <c r="O13" s="43"/>
      <c r="P13" s="43"/>
    </row>
    <row r="14">
      <c r="A14" s="54" t="s">
        <v>17</v>
      </c>
      <c r="B14" s="54" t="s">
        <v>18</v>
      </c>
      <c r="C14" s="54" t="s">
        <v>19</v>
      </c>
      <c r="D14" s="54" t="s">
        <v>20</v>
      </c>
      <c r="E14" s="54" t="s">
        <v>21</v>
      </c>
      <c r="F14" s="54" t="s">
        <v>22</v>
      </c>
      <c r="G14" s="54" t="s">
        <v>23</v>
      </c>
      <c r="H14" s="54" t="s">
        <v>24</v>
      </c>
      <c r="I14" s="54" t="s">
        <v>25</v>
      </c>
      <c r="J14" s="54" t="s">
        <v>26</v>
      </c>
      <c r="K14" s="54" t="s">
        <v>2</v>
      </c>
      <c r="L14" s="54" t="s">
        <v>27</v>
      </c>
      <c r="M14" s="54" t="s">
        <v>28</v>
      </c>
      <c r="N14" s="54" t="s">
        <v>30</v>
      </c>
      <c r="O14" s="43"/>
      <c r="P14" s="43"/>
    </row>
    <row r="15">
      <c r="A15" s="55" t="s">
        <v>223</v>
      </c>
      <c r="B15" s="56" t="s">
        <v>224</v>
      </c>
      <c r="C15" s="56" t="s">
        <v>225</v>
      </c>
      <c r="D15" s="56" t="s">
        <v>226</v>
      </c>
      <c r="E15" s="56" t="s">
        <v>227</v>
      </c>
      <c r="F15" s="56" t="s">
        <v>228</v>
      </c>
      <c r="G15" s="56" t="s">
        <v>77</v>
      </c>
      <c r="H15" s="56" t="s">
        <v>229</v>
      </c>
      <c r="I15" s="56" t="s">
        <v>230</v>
      </c>
      <c r="J15" s="56" t="s">
        <v>80</v>
      </c>
      <c r="K15" s="56" t="s">
        <v>9</v>
      </c>
      <c r="L15" s="57" t="s">
        <v>231</v>
      </c>
      <c r="M15" s="58"/>
      <c r="N15" s="59"/>
      <c r="O15" s="43"/>
      <c r="P15" s="43"/>
    </row>
    <row r="16">
      <c r="A16" s="55" t="s">
        <v>232</v>
      </c>
      <c r="B16" s="56" t="s">
        <v>224</v>
      </c>
      <c r="C16" s="56" t="s">
        <v>225</v>
      </c>
      <c r="D16" s="56" t="s">
        <v>233</v>
      </c>
      <c r="E16" s="56" t="s">
        <v>227</v>
      </c>
      <c r="F16" s="56" t="s">
        <v>234</v>
      </c>
      <c r="G16" s="56" t="s">
        <v>235</v>
      </c>
      <c r="H16" s="56" t="s">
        <v>236</v>
      </c>
      <c r="I16" s="56" t="s">
        <v>237</v>
      </c>
      <c r="J16" s="56" t="s">
        <v>80</v>
      </c>
      <c r="K16" s="56" t="s">
        <v>6</v>
      </c>
      <c r="L16" s="57" t="s">
        <v>238</v>
      </c>
      <c r="M16" s="58"/>
      <c r="N16" s="50"/>
      <c r="O16" s="43"/>
      <c r="P16" s="43"/>
    </row>
    <row r="17">
      <c r="A17" s="55" t="s">
        <v>239</v>
      </c>
      <c r="B17" s="56" t="s">
        <v>224</v>
      </c>
      <c r="C17" s="56" t="s">
        <v>225</v>
      </c>
      <c r="D17" s="56" t="s">
        <v>240</v>
      </c>
      <c r="E17" s="56" t="s">
        <v>241</v>
      </c>
      <c r="F17" s="56" t="s">
        <v>242</v>
      </c>
      <c r="G17" s="56" t="s">
        <v>243</v>
      </c>
      <c r="H17" s="56" t="s">
        <v>244</v>
      </c>
      <c r="I17" s="56" t="s">
        <v>245</v>
      </c>
      <c r="J17" s="56" t="s">
        <v>80</v>
      </c>
      <c r="K17" s="56" t="s">
        <v>6</v>
      </c>
      <c r="L17" s="57" t="s">
        <v>238</v>
      </c>
      <c r="M17" s="58"/>
      <c r="N17" s="59"/>
      <c r="O17" s="43"/>
      <c r="P17" s="43"/>
    </row>
    <row r="18">
      <c r="A18" s="55" t="s">
        <v>246</v>
      </c>
      <c r="B18" s="56" t="s">
        <v>224</v>
      </c>
      <c r="C18" s="56" t="s">
        <v>225</v>
      </c>
      <c r="D18" s="56" t="s">
        <v>247</v>
      </c>
      <c r="E18" s="56" t="s">
        <v>227</v>
      </c>
      <c r="F18" s="56" t="s">
        <v>248</v>
      </c>
      <c r="G18" s="56" t="s">
        <v>249</v>
      </c>
      <c r="H18" s="56" t="s">
        <v>250</v>
      </c>
      <c r="I18" s="56" t="s">
        <v>251</v>
      </c>
      <c r="J18" s="56" t="s">
        <v>80</v>
      </c>
      <c r="K18" s="56" t="s">
        <v>6</v>
      </c>
      <c r="L18" s="57"/>
      <c r="M18" s="58"/>
      <c r="N18" s="50"/>
      <c r="O18" s="43"/>
      <c r="P18" s="43"/>
    </row>
    <row r="19">
      <c r="A19" s="55" t="s">
        <v>252</v>
      </c>
      <c r="B19" s="56" t="s">
        <v>224</v>
      </c>
      <c r="C19" s="56" t="s">
        <v>225</v>
      </c>
      <c r="D19" s="56" t="s">
        <v>253</v>
      </c>
      <c r="E19" s="56" t="s">
        <v>254</v>
      </c>
      <c r="F19" s="56" t="s">
        <v>255</v>
      </c>
      <c r="G19" s="56" t="s">
        <v>256</v>
      </c>
      <c r="H19" s="56" t="s">
        <v>257</v>
      </c>
      <c r="I19" s="56" t="s">
        <v>258</v>
      </c>
      <c r="J19" s="56" t="s">
        <v>80</v>
      </c>
      <c r="K19" s="56" t="s">
        <v>6</v>
      </c>
      <c r="L19" s="57"/>
      <c r="M19" s="58"/>
      <c r="N19" s="50"/>
      <c r="O19" s="43"/>
      <c r="P19" s="43"/>
    </row>
    <row r="20">
      <c r="A20" s="55" t="s">
        <v>259</v>
      </c>
      <c r="B20" s="56" t="s">
        <v>224</v>
      </c>
      <c r="C20" s="56" t="s">
        <v>260</v>
      </c>
      <c r="D20" s="56" t="s">
        <v>261</v>
      </c>
      <c r="E20" s="56" t="s">
        <v>262</v>
      </c>
      <c r="F20" s="56" t="s">
        <v>263</v>
      </c>
      <c r="G20" s="56" t="s">
        <v>264</v>
      </c>
      <c r="H20" s="56" t="s">
        <v>265</v>
      </c>
      <c r="I20" s="56" t="s">
        <v>266</v>
      </c>
      <c r="J20" s="56" t="s">
        <v>80</v>
      </c>
      <c r="K20" s="56" t="s">
        <v>6</v>
      </c>
      <c r="L20" s="57" t="s">
        <v>267</v>
      </c>
      <c r="M20" s="58"/>
      <c r="N20" s="59"/>
      <c r="O20" s="43"/>
      <c r="P20" s="43"/>
    </row>
    <row r="21">
      <c r="A21" s="55" t="s">
        <v>268</v>
      </c>
      <c r="B21" s="56" t="s">
        <v>224</v>
      </c>
      <c r="C21" s="56" t="s">
        <v>260</v>
      </c>
      <c r="D21" s="56" t="s">
        <v>269</v>
      </c>
      <c r="E21" s="56" t="s">
        <v>270</v>
      </c>
      <c r="F21" s="56" t="s">
        <v>271</v>
      </c>
      <c r="G21" s="56" t="s">
        <v>256</v>
      </c>
      <c r="H21" s="56" t="s">
        <v>272</v>
      </c>
      <c r="I21" s="56" t="s">
        <v>273</v>
      </c>
      <c r="J21" s="56" t="s">
        <v>80</v>
      </c>
      <c r="K21" s="56" t="s">
        <v>6</v>
      </c>
      <c r="L21" s="57" t="s">
        <v>274</v>
      </c>
      <c r="M21" s="58"/>
      <c r="N21" s="50"/>
      <c r="O21" s="43"/>
      <c r="P21" s="43"/>
    </row>
    <row r="22">
      <c r="A22" s="55" t="s">
        <v>275</v>
      </c>
      <c r="B22" s="56" t="s">
        <v>135</v>
      </c>
      <c r="C22" s="56" t="s">
        <v>136</v>
      </c>
      <c r="D22" s="56" t="s">
        <v>276</v>
      </c>
      <c r="E22" s="56" t="s">
        <v>277</v>
      </c>
      <c r="F22" s="56" t="s">
        <v>278</v>
      </c>
      <c r="G22" s="56" t="s">
        <v>256</v>
      </c>
      <c r="H22" s="56" t="s">
        <v>279</v>
      </c>
      <c r="I22" s="56" t="s">
        <v>280</v>
      </c>
      <c r="J22" s="56" t="s">
        <v>80</v>
      </c>
      <c r="K22" s="56" t="s">
        <v>9</v>
      </c>
      <c r="L22" s="57" t="s">
        <v>281</v>
      </c>
      <c r="M22" s="58"/>
      <c r="N22" s="59"/>
      <c r="O22" s="43"/>
      <c r="P22" s="43"/>
    </row>
    <row r="23">
      <c r="A23" s="55" t="s">
        <v>282</v>
      </c>
      <c r="B23" s="56" t="s">
        <v>135</v>
      </c>
      <c r="C23" s="56" t="s">
        <v>214</v>
      </c>
      <c r="D23" s="56" t="s">
        <v>283</v>
      </c>
      <c r="E23" s="56" t="s">
        <v>284</v>
      </c>
      <c r="F23" s="56" t="s">
        <v>285</v>
      </c>
      <c r="G23" s="56" t="s">
        <v>286</v>
      </c>
      <c r="H23" s="56" t="s">
        <v>287</v>
      </c>
      <c r="I23" s="56" t="s">
        <v>288</v>
      </c>
      <c r="J23" s="56" t="s">
        <v>80</v>
      </c>
      <c r="K23" s="56" t="s">
        <v>9</v>
      </c>
      <c r="L23" s="57" t="s">
        <v>289</v>
      </c>
      <c r="M23" s="58"/>
      <c r="N23" s="50"/>
      <c r="O23" s="43"/>
      <c r="P23" s="43"/>
    </row>
    <row r="24">
      <c r="A24" s="55" t="s">
        <v>290</v>
      </c>
      <c r="B24" s="56" t="s">
        <v>135</v>
      </c>
      <c r="C24" s="56" t="s">
        <v>214</v>
      </c>
      <c r="D24" s="56" t="s">
        <v>291</v>
      </c>
      <c r="E24" s="56" t="s">
        <v>284</v>
      </c>
      <c r="F24" s="56" t="s">
        <v>292</v>
      </c>
      <c r="G24" s="56" t="s">
        <v>293</v>
      </c>
      <c r="H24" s="56" t="s">
        <v>294</v>
      </c>
      <c r="I24" s="56" t="s">
        <v>295</v>
      </c>
      <c r="J24" s="56" t="s">
        <v>80</v>
      </c>
      <c r="K24" s="56" t="s">
        <v>9</v>
      </c>
      <c r="L24" s="57" t="s">
        <v>296</v>
      </c>
      <c r="M24" s="58"/>
      <c r="N24" s="59"/>
      <c r="O24" s="43"/>
      <c r="P24" s="43"/>
    </row>
    <row r="25">
      <c r="A25" s="55" t="s">
        <v>297</v>
      </c>
      <c r="B25" s="56" t="s">
        <v>135</v>
      </c>
      <c r="C25" s="56" t="s">
        <v>214</v>
      </c>
      <c r="D25" s="56" t="s">
        <v>298</v>
      </c>
      <c r="E25" s="56" t="s">
        <v>284</v>
      </c>
      <c r="F25" s="56" t="s">
        <v>299</v>
      </c>
      <c r="G25" s="56" t="s">
        <v>300</v>
      </c>
      <c r="H25" s="56" t="s">
        <v>301</v>
      </c>
      <c r="I25" s="56" t="s">
        <v>302</v>
      </c>
      <c r="J25" s="56" t="s">
        <v>80</v>
      </c>
      <c r="K25" s="56" t="s">
        <v>9</v>
      </c>
      <c r="L25" s="57" t="s">
        <v>303</v>
      </c>
      <c r="M25" s="58"/>
      <c r="N25" s="50"/>
      <c r="O25" s="43"/>
      <c r="P25" s="43"/>
    </row>
    <row r="26">
      <c r="A26" s="55" t="s">
        <v>304</v>
      </c>
      <c r="B26" s="60"/>
      <c r="C26" s="60"/>
      <c r="D26" s="60"/>
      <c r="E26" s="60"/>
      <c r="F26" s="60"/>
      <c r="G26" s="60"/>
      <c r="H26" s="60"/>
      <c r="I26" s="60"/>
      <c r="J26" s="60"/>
      <c r="K26" s="60"/>
      <c r="L26" s="61"/>
      <c r="M26" s="58"/>
      <c r="N26" s="59"/>
      <c r="O26" s="43"/>
      <c r="P26" s="43"/>
    </row>
    <row r="27">
      <c r="A27" s="55" t="s">
        <v>305</v>
      </c>
      <c r="B27" s="60"/>
      <c r="C27" s="60"/>
      <c r="D27" s="60"/>
      <c r="E27" s="60"/>
      <c r="F27" s="60"/>
      <c r="G27" s="60"/>
      <c r="H27" s="60"/>
      <c r="I27" s="60"/>
      <c r="J27" s="60"/>
      <c r="K27" s="60"/>
      <c r="L27" s="61"/>
      <c r="M27" s="58"/>
      <c r="N27" s="50"/>
      <c r="O27" s="43"/>
      <c r="P27" s="43"/>
    </row>
    <row r="28">
      <c r="A28" s="55" t="s">
        <v>306</v>
      </c>
      <c r="B28" s="60"/>
      <c r="C28" s="60"/>
      <c r="D28" s="60"/>
      <c r="E28" s="60"/>
      <c r="F28" s="60"/>
      <c r="G28" s="60"/>
      <c r="H28" s="60"/>
      <c r="I28" s="60"/>
      <c r="J28" s="60"/>
      <c r="K28" s="60"/>
      <c r="L28" s="61"/>
      <c r="M28" s="58"/>
      <c r="N28" s="59"/>
      <c r="O28" s="43"/>
      <c r="P28" s="43"/>
    </row>
    <row r="29">
      <c r="A29" s="55" t="s">
        <v>307</v>
      </c>
      <c r="B29" s="60"/>
      <c r="C29" s="60"/>
      <c r="D29" s="60"/>
      <c r="E29" s="60"/>
      <c r="F29" s="60"/>
      <c r="G29" s="60"/>
      <c r="H29" s="60"/>
      <c r="I29" s="60"/>
      <c r="J29" s="60"/>
      <c r="K29" s="60"/>
      <c r="L29" s="61"/>
      <c r="M29" s="58"/>
      <c r="N29" s="50"/>
      <c r="O29" s="43"/>
      <c r="P29" s="43"/>
    </row>
    <row r="30">
      <c r="A30" s="55" t="s">
        <v>308</v>
      </c>
      <c r="B30" s="60"/>
      <c r="C30" s="60"/>
      <c r="D30" s="60"/>
      <c r="E30" s="60"/>
      <c r="F30" s="60"/>
      <c r="G30" s="60"/>
      <c r="H30" s="60"/>
      <c r="I30" s="60"/>
      <c r="J30" s="60"/>
      <c r="K30" s="60"/>
      <c r="L30" s="61"/>
      <c r="M30" s="58"/>
      <c r="N30" s="59"/>
      <c r="O30" s="43"/>
      <c r="P30" s="43"/>
    </row>
    <row r="31">
      <c r="A31" s="55" t="s">
        <v>309</v>
      </c>
      <c r="B31" s="60"/>
      <c r="C31" s="60"/>
      <c r="D31" s="60"/>
      <c r="E31" s="60"/>
      <c r="F31" s="60"/>
      <c r="G31" s="60"/>
      <c r="H31" s="60"/>
      <c r="I31" s="60"/>
      <c r="J31" s="60"/>
      <c r="K31" s="60"/>
      <c r="L31" s="61"/>
      <c r="M31" s="58"/>
      <c r="N31" s="50"/>
      <c r="O31" s="43"/>
      <c r="P31" s="43"/>
    </row>
    <row r="32">
      <c r="A32" s="55" t="s">
        <v>310</v>
      </c>
      <c r="B32" s="60"/>
      <c r="C32" s="60"/>
      <c r="D32" s="60"/>
      <c r="E32" s="60"/>
      <c r="F32" s="60"/>
      <c r="G32" s="60"/>
      <c r="H32" s="60"/>
      <c r="I32" s="60"/>
      <c r="J32" s="60"/>
      <c r="K32" s="60"/>
      <c r="L32" s="61"/>
      <c r="M32" s="58"/>
      <c r="N32" s="59"/>
      <c r="O32" s="43"/>
      <c r="P32" s="43"/>
    </row>
    <row r="33">
      <c r="A33" s="55" t="s">
        <v>311</v>
      </c>
      <c r="B33" s="60"/>
      <c r="C33" s="60"/>
      <c r="D33" s="60"/>
      <c r="E33" s="60"/>
      <c r="F33" s="60"/>
      <c r="G33" s="60"/>
      <c r="H33" s="60"/>
      <c r="I33" s="60"/>
      <c r="J33" s="60"/>
      <c r="K33" s="60"/>
      <c r="L33" s="61"/>
      <c r="M33" s="58"/>
      <c r="N33" s="50"/>
      <c r="O33" s="43"/>
      <c r="P33" s="43"/>
    </row>
    <row r="34">
      <c r="A34" s="55" t="s">
        <v>312</v>
      </c>
      <c r="B34" s="60"/>
      <c r="C34" s="60"/>
      <c r="D34" s="60"/>
      <c r="E34" s="60"/>
      <c r="F34" s="60"/>
      <c r="G34" s="60"/>
      <c r="H34" s="60"/>
      <c r="I34" s="60"/>
      <c r="J34" s="60"/>
      <c r="K34" s="60"/>
      <c r="L34" s="61"/>
      <c r="M34" s="58"/>
      <c r="N34" s="59"/>
      <c r="O34" s="43"/>
      <c r="P34" s="43"/>
    </row>
    <row r="35">
      <c r="A35" s="55" t="s">
        <v>313</v>
      </c>
      <c r="B35" s="60"/>
      <c r="C35" s="60"/>
      <c r="D35" s="60"/>
      <c r="E35" s="60"/>
      <c r="F35" s="60"/>
      <c r="G35" s="60"/>
      <c r="H35" s="60"/>
      <c r="I35" s="60"/>
      <c r="J35" s="60"/>
      <c r="K35" s="60"/>
      <c r="L35" s="61"/>
      <c r="M35" s="58"/>
      <c r="N35" s="50"/>
      <c r="O35" s="43"/>
      <c r="P35" s="43"/>
    </row>
    <row r="36">
      <c r="A36" s="55" t="s">
        <v>314</v>
      </c>
      <c r="B36" s="58"/>
      <c r="C36" s="58"/>
      <c r="D36" s="58"/>
      <c r="E36" s="58"/>
      <c r="F36" s="58"/>
      <c r="G36" s="58"/>
      <c r="H36" s="58"/>
      <c r="I36" s="58"/>
      <c r="J36" s="58"/>
      <c r="K36" s="58"/>
      <c r="L36" s="60"/>
      <c r="M36" s="58"/>
      <c r="N36" s="59"/>
      <c r="O36" s="43"/>
      <c r="P36" s="43"/>
    </row>
    <row r="37">
      <c r="A37" s="55" t="s">
        <v>315</v>
      </c>
      <c r="B37" s="58"/>
      <c r="C37" s="58"/>
      <c r="D37" s="58"/>
      <c r="E37" s="58"/>
      <c r="F37" s="58"/>
      <c r="G37" s="58"/>
      <c r="H37" s="58"/>
      <c r="I37" s="58"/>
      <c r="J37" s="58"/>
      <c r="K37" s="58"/>
      <c r="L37" s="60"/>
      <c r="M37" s="58"/>
      <c r="N37" s="50"/>
      <c r="O37" s="43"/>
      <c r="P37" s="43"/>
    </row>
    <row r="38">
      <c r="A38" s="55" t="s">
        <v>316</v>
      </c>
      <c r="B38" s="58"/>
      <c r="C38" s="58"/>
      <c r="D38" s="58"/>
      <c r="E38" s="58"/>
      <c r="F38" s="58"/>
      <c r="G38" s="58"/>
      <c r="H38" s="58"/>
      <c r="I38" s="58"/>
      <c r="J38" s="58"/>
      <c r="K38" s="58"/>
      <c r="L38" s="60"/>
      <c r="M38" s="58"/>
      <c r="N38" s="59"/>
      <c r="O38" s="43"/>
      <c r="P38" s="43"/>
    </row>
    <row r="39">
      <c r="A39" s="55" t="s">
        <v>317</v>
      </c>
      <c r="B39" s="58"/>
      <c r="C39" s="58"/>
      <c r="D39" s="58"/>
      <c r="E39" s="58"/>
      <c r="F39" s="58"/>
      <c r="G39" s="58"/>
      <c r="H39" s="58"/>
      <c r="I39" s="58"/>
      <c r="J39" s="58"/>
      <c r="K39" s="58"/>
      <c r="L39" s="60"/>
      <c r="M39" s="58"/>
      <c r="N39" s="50"/>
      <c r="O39" s="43"/>
      <c r="P39" s="43"/>
    </row>
    <row r="40">
      <c r="A40" s="55" t="s">
        <v>318</v>
      </c>
      <c r="B40" s="58"/>
      <c r="C40" s="58"/>
      <c r="D40" s="58"/>
      <c r="E40" s="58"/>
      <c r="F40" s="58"/>
      <c r="G40" s="58"/>
      <c r="H40" s="58"/>
      <c r="I40" s="58"/>
      <c r="J40" s="58"/>
      <c r="K40" s="58"/>
      <c r="L40" s="60"/>
      <c r="M40" s="58"/>
      <c r="N40" s="59"/>
      <c r="O40" s="43"/>
      <c r="P40" s="43"/>
    </row>
    <row r="41">
      <c r="A41" s="55" t="s">
        <v>319</v>
      </c>
      <c r="B41" s="58"/>
      <c r="C41" s="58"/>
      <c r="D41" s="58"/>
      <c r="E41" s="58"/>
      <c r="F41" s="58"/>
      <c r="G41" s="58"/>
      <c r="H41" s="58"/>
      <c r="I41" s="58"/>
      <c r="J41" s="58"/>
      <c r="K41" s="58"/>
      <c r="L41" s="60"/>
      <c r="M41" s="58"/>
      <c r="N41" s="50"/>
      <c r="O41" s="43"/>
      <c r="P41" s="43"/>
    </row>
    <row r="42">
      <c r="A42" s="55" t="s">
        <v>320</v>
      </c>
      <c r="B42" s="58"/>
      <c r="C42" s="58"/>
      <c r="D42" s="58"/>
      <c r="E42" s="58"/>
      <c r="F42" s="58"/>
      <c r="G42" s="58"/>
      <c r="H42" s="58"/>
      <c r="I42" s="58"/>
      <c r="J42" s="58"/>
      <c r="K42" s="58"/>
      <c r="L42" s="60"/>
      <c r="M42" s="58"/>
      <c r="N42" s="59"/>
      <c r="O42" s="43"/>
      <c r="P42" s="43"/>
    </row>
    <row r="43">
      <c r="A43" s="55" t="s">
        <v>321</v>
      </c>
      <c r="B43" s="58"/>
      <c r="C43" s="58"/>
      <c r="D43" s="58"/>
      <c r="E43" s="58"/>
      <c r="F43" s="58"/>
      <c r="G43" s="58"/>
      <c r="H43" s="58"/>
      <c r="I43" s="58"/>
      <c r="J43" s="58"/>
      <c r="K43" s="58"/>
      <c r="L43" s="60"/>
      <c r="M43" s="58"/>
      <c r="N43" s="50"/>
      <c r="O43" s="43"/>
      <c r="P43" s="43"/>
    </row>
    <row r="44">
      <c r="A44" s="55" t="s">
        <v>322</v>
      </c>
      <c r="B44" s="58"/>
      <c r="C44" s="58"/>
      <c r="D44" s="58"/>
      <c r="E44" s="58"/>
      <c r="F44" s="58"/>
      <c r="G44" s="58"/>
      <c r="H44" s="58"/>
      <c r="I44" s="58"/>
      <c r="J44" s="58"/>
      <c r="K44" s="58"/>
      <c r="L44" s="60"/>
      <c r="M44" s="58"/>
      <c r="N44" s="59"/>
      <c r="O44" s="43"/>
      <c r="P44" s="43"/>
    </row>
    <row r="45">
      <c r="A45" s="55" t="s">
        <v>323</v>
      </c>
      <c r="B45" s="58"/>
      <c r="C45" s="58"/>
      <c r="D45" s="58"/>
      <c r="E45" s="58"/>
      <c r="F45" s="58"/>
      <c r="G45" s="58"/>
      <c r="H45" s="58"/>
      <c r="I45" s="58"/>
      <c r="J45" s="58"/>
      <c r="K45" s="58"/>
      <c r="L45" s="60"/>
      <c r="M45" s="58"/>
      <c r="N45" s="50"/>
      <c r="O45" s="43"/>
      <c r="P45" s="43"/>
    </row>
    <row r="46">
      <c r="A46" s="55" t="s">
        <v>324</v>
      </c>
      <c r="B46" s="58"/>
      <c r="C46" s="58"/>
      <c r="D46" s="58"/>
      <c r="E46" s="58"/>
      <c r="F46" s="58"/>
      <c r="G46" s="58"/>
      <c r="H46" s="58"/>
      <c r="I46" s="58"/>
      <c r="J46" s="58"/>
      <c r="K46" s="58"/>
      <c r="L46" s="60"/>
      <c r="M46" s="58"/>
      <c r="N46" s="59"/>
      <c r="O46" s="43"/>
      <c r="P46" s="43"/>
    </row>
    <row r="47">
      <c r="A47" s="55" t="s">
        <v>325</v>
      </c>
      <c r="B47" s="58"/>
      <c r="C47" s="58"/>
      <c r="D47" s="58"/>
      <c r="E47" s="58"/>
      <c r="F47" s="58"/>
      <c r="G47" s="58"/>
      <c r="H47" s="58"/>
      <c r="I47" s="58"/>
      <c r="J47" s="58"/>
      <c r="K47" s="58"/>
      <c r="L47" s="60"/>
      <c r="M47" s="58"/>
      <c r="N47" s="50"/>
      <c r="O47" s="43"/>
      <c r="P47" s="43"/>
    </row>
    <row r="48">
      <c r="A48" s="55" t="s">
        <v>326</v>
      </c>
      <c r="B48" s="58"/>
      <c r="C48" s="58"/>
      <c r="D48" s="58"/>
      <c r="E48" s="58"/>
      <c r="F48" s="58"/>
      <c r="G48" s="58"/>
      <c r="H48" s="58"/>
      <c r="I48" s="58"/>
      <c r="J48" s="58"/>
      <c r="K48" s="58"/>
      <c r="L48" s="60"/>
      <c r="M48" s="58"/>
      <c r="N48" s="59"/>
      <c r="O48" s="43"/>
      <c r="P48" s="43"/>
    </row>
    <row r="49">
      <c r="A49" s="55" t="s">
        <v>327</v>
      </c>
      <c r="B49" s="58"/>
      <c r="C49" s="58"/>
      <c r="D49" s="58"/>
      <c r="E49" s="58"/>
      <c r="F49" s="58"/>
      <c r="G49" s="58"/>
      <c r="H49" s="58"/>
      <c r="I49" s="58"/>
      <c r="J49" s="58"/>
      <c r="K49" s="58"/>
      <c r="L49" s="60"/>
      <c r="M49" s="58"/>
      <c r="N49" s="50"/>
      <c r="O49" s="43"/>
      <c r="P49" s="43"/>
    </row>
    <row r="50">
      <c r="A50" s="55" t="s">
        <v>328</v>
      </c>
      <c r="B50" s="58"/>
      <c r="C50" s="58"/>
      <c r="D50" s="58"/>
      <c r="E50" s="58"/>
      <c r="F50" s="58"/>
      <c r="G50" s="58"/>
      <c r="H50" s="58"/>
      <c r="I50" s="58"/>
      <c r="J50" s="58"/>
      <c r="K50" s="58"/>
      <c r="L50" s="60"/>
      <c r="M50" s="58"/>
      <c r="N50" s="59"/>
      <c r="O50" s="43"/>
      <c r="P50" s="43"/>
    </row>
    <row r="51">
      <c r="A51" s="55" t="s">
        <v>329</v>
      </c>
      <c r="B51" s="58"/>
      <c r="C51" s="58"/>
      <c r="D51" s="58"/>
      <c r="E51" s="58"/>
      <c r="F51" s="58"/>
      <c r="G51" s="58"/>
      <c r="H51" s="58"/>
      <c r="I51" s="58"/>
      <c r="J51" s="58"/>
      <c r="K51" s="58"/>
      <c r="L51" s="60"/>
      <c r="M51" s="58"/>
      <c r="N51" s="50"/>
      <c r="O51" s="43"/>
      <c r="P51" s="43"/>
    </row>
    <row r="52">
      <c r="A52" s="55" t="s">
        <v>330</v>
      </c>
      <c r="B52" s="58"/>
      <c r="C52" s="58"/>
      <c r="D52" s="58"/>
      <c r="E52" s="58"/>
      <c r="F52" s="58"/>
      <c r="G52" s="58"/>
      <c r="H52" s="58"/>
      <c r="I52" s="58"/>
      <c r="J52" s="58"/>
      <c r="K52" s="58"/>
      <c r="L52" s="60"/>
      <c r="M52" s="58"/>
      <c r="N52" s="59"/>
      <c r="O52" s="43"/>
      <c r="P52" s="43"/>
    </row>
    <row r="53">
      <c r="A53" s="55" t="s">
        <v>331</v>
      </c>
      <c r="B53" s="58"/>
      <c r="C53" s="58"/>
      <c r="D53" s="58"/>
      <c r="E53" s="58"/>
      <c r="F53" s="58"/>
      <c r="G53" s="58"/>
      <c r="H53" s="58"/>
      <c r="I53" s="58"/>
      <c r="J53" s="58"/>
      <c r="K53" s="58"/>
      <c r="L53" s="60"/>
      <c r="M53" s="58"/>
      <c r="N53" s="50"/>
      <c r="O53" s="43"/>
      <c r="P53" s="43"/>
    </row>
    <row r="54">
      <c r="A54" s="55" t="s">
        <v>332</v>
      </c>
      <c r="B54" s="58"/>
      <c r="C54" s="58"/>
      <c r="D54" s="58"/>
      <c r="E54" s="58"/>
      <c r="F54" s="58"/>
      <c r="G54" s="58"/>
      <c r="H54" s="58"/>
      <c r="I54" s="58"/>
      <c r="J54" s="58"/>
      <c r="K54" s="58"/>
      <c r="L54" s="60"/>
      <c r="M54" s="58"/>
      <c r="N54" s="59"/>
      <c r="O54" s="43"/>
      <c r="P54" s="43"/>
    </row>
    <row r="55">
      <c r="A55" s="55" t="s">
        <v>333</v>
      </c>
      <c r="B55" s="58"/>
      <c r="C55" s="58"/>
      <c r="D55" s="58"/>
      <c r="E55" s="58"/>
      <c r="F55" s="58"/>
      <c r="G55" s="58"/>
      <c r="H55" s="58"/>
      <c r="I55" s="58"/>
      <c r="J55" s="58"/>
      <c r="K55" s="58"/>
      <c r="L55" s="60"/>
      <c r="M55" s="58"/>
      <c r="N55" s="50"/>
      <c r="O55" s="43"/>
      <c r="P55" s="43"/>
    </row>
    <row r="56">
      <c r="A56" s="55" t="s">
        <v>334</v>
      </c>
      <c r="B56" s="58"/>
      <c r="C56" s="58"/>
      <c r="D56" s="58"/>
      <c r="E56" s="58"/>
      <c r="F56" s="58"/>
      <c r="G56" s="58"/>
      <c r="H56" s="58"/>
      <c r="I56" s="58"/>
      <c r="J56" s="58"/>
      <c r="K56" s="58"/>
      <c r="L56" s="58"/>
      <c r="M56" s="58"/>
      <c r="N56" s="59"/>
      <c r="O56" s="43"/>
      <c r="P56" s="43"/>
    </row>
    <row r="57">
      <c r="A57" s="55" t="s">
        <v>335</v>
      </c>
      <c r="B57" s="58"/>
      <c r="C57" s="58"/>
      <c r="D57" s="58"/>
      <c r="E57" s="58"/>
      <c r="F57" s="58"/>
      <c r="G57" s="58"/>
      <c r="H57" s="58"/>
      <c r="I57" s="58"/>
      <c r="J57" s="58"/>
      <c r="K57" s="58"/>
      <c r="L57" s="58"/>
      <c r="M57" s="58"/>
      <c r="N57" s="50"/>
      <c r="O57" s="43"/>
      <c r="P57" s="43"/>
    </row>
    <row r="58">
      <c r="A58" s="55" t="s">
        <v>336</v>
      </c>
      <c r="B58" s="58"/>
      <c r="C58" s="58"/>
      <c r="D58" s="58"/>
      <c r="E58" s="58"/>
      <c r="F58" s="58"/>
      <c r="G58" s="58"/>
      <c r="H58" s="58"/>
      <c r="I58" s="58"/>
      <c r="J58" s="58"/>
      <c r="K58" s="58"/>
      <c r="L58" s="58"/>
      <c r="M58" s="58"/>
      <c r="N58" s="59"/>
      <c r="O58" s="43"/>
      <c r="P58" s="43"/>
    </row>
    <row r="59">
      <c r="A59" s="55" t="s">
        <v>337</v>
      </c>
      <c r="B59" s="58"/>
      <c r="C59" s="58"/>
      <c r="D59" s="58"/>
      <c r="E59" s="58"/>
      <c r="F59" s="58"/>
      <c r="G59" s="58"/>
      <c r="H59" s="58"/>
      <c r="I59" s="58"/>
      <c r="J59" s="58"/>
      <c r="K59" s="58"/>
      <c r="L59" s="58"/>
      <c r="M59" s="58"/>
      <c r="N59" s="50"/>
      <c r="O59" s="43"/>
      <c r="P59" s="43"/>
    </row>
    <row r="60">
      <c r="A60" s="55" t="s">
        <v>338</v>
      </c>
      <c r="B60" s="58"/>
      <c r="C60" s="58"/>
      <c r="D60" s="58"/>
      <c r="E60" s="58"/>
      <c r="F60" s="58"/>
      <c r="G60" s="58"/>
      <c r="H60" s="58"/>
      <c r="I60" s="58"/>
      <c r="J60" s="58"/>
      <c r="K60" s="58"/>
      <c r="L60" s="58"/>
      <c r="M60" s="58"/>
      <c r="N60" s="59"/>
      <c r="O60" s="43"/>
      <c r="P60" s="43"/>
    </row>
    <row r="61">
      <c r="A61" s="55" t="s">
        <v>339</v>
      </c>
      <c r="B61" s="58"/>
      <c r="C61" s="58"/>
      <c r="D61" s="58"/>
      <c r="E61" s="58"/>
      <c r="F61" s="58"/>
      <c r="G61" s="58"/>
      <c r="H61" s="58"/>
      <c r="I61" s="58"/>
      <c r="J61" s="58"/>
      <c r="K61" s="58"/>
      <c r="L61" s="58"/>
      <c r="M61" s="58"/>
      <c r="N61" s="50"/>
      <c r="O61" s="43"/>
      <c r="P61" s="43"/>
    </row>
    <row r="62">
      <c r="A62" s="55" t="s">
        <v>340</v>
      </c>
      <c r="B62" s="58"/>
      <c r="C62" s="58"/>
      <c r="D62" s="58"/>
      <c r="E62" s="58"/>
      <c r="F62" s="58"/>
      <c r="G62" s="58"/>
      <c r="H62" s="58"/>
      <c r="I62" s="58"/>
      <c r="J62" s="58"/>
      <c r="K62" s="58"/>
      <c r="L62" s="58"/>
      <c r="M62" s="58"/>
      <c r="N62" s="59"/>
      <c r="O62" s="43"/>
      <c r="P62" s="43"/>
    </row>
    <row r="63">
      <c r="A63" s="55" t="s">
        <v>341</v>
      </c>
      <c r="B63" s="58"/>
      <c r="C63" s="58"/>
      <c r="D63" s="58"/>
      <c r="E63" s="58"/>
      <c r="F63" s="58"/>
      <c r="G63" s="58"/>
      <c r="H63" s="58"/>
      <c r="I63" s="58"/>
      <c r="J63" s="58"/>
      <c r="K63" s="58"/>
      <c r="L63" s="58"/>
      <c r="M63" s="58"/>
      <c r="N63" s="50"/>
      <c r="O63" s="43"/>
      <c r="P63" s="43"/>
    </row>
    <row r="64">
      <c r="A64" s="55" t="s">
        <v>342</v>
      </c>
      <c r="B64" s="58"/>
      <c r="C64" s="58"/>
      <c r="D64" s="58"/>
      <c r="E64" s="58"/>
      <c r="F64" s="58"/>
      <c r="G64" s="58"/>
      <c r="H64" s="58"/>
      <c r="I64" s="58"/>
      <c r="J64" s="58"/>
      <c r="K64" s="58"/>
      <c r="L64" s="58"/>
      <c r="M64" s="58"/>
      <c r="N64" s="59"/>
      <c r="O64" s="43"/>
      <c r="P64" s="43"/>
    </row>
    <row r="65">
      <c r="A65" s="55" t="s">
        <v>343</v>
      </c>
      <c r="B65" s="58"/>
      <c r="C65" s="58"/>
      <c r="D65" s="58"/>
      <c r="E65" s="58"/>
      <c r="F65" s="58"/>
      <c r="G65" s="58"/>
      <c r="H65" s="58"/>
      <c r="I65" s="58"/>
      <c r="J65" s="58"/>
      <c r="K65" s="58"/>
      <c r="L65" s="58"/>
      <c r="M65" s="58"/>
      <c r="N65" s="50"/>
      <c r="O65" s="43"/>
      <c r="P65" s="43"/>
    </row>
    <row r="66">
      <c r="A66" s="55" t="s">
        <v>344</v>
      </c>
      <c r="B66" s="58"/>
      <c r="C66" s="58"/>
      <c r="D66" s="58"/>
      <c r="E66" s="58"/>
      <c r="F66" s="58"/>
      <c r="G66" s="58"/>
      <c r="H66" s="58"/>
      <c r="I66" s="58"/>
      <c r="J66" s="58"/>
      <c r="K66" s="58"/>
      <c r="L66" s="58"/>
      <c r="M66" s="58"/>
      <c r="N66" s="59"/>
      <c r="O66" s="43"/>
      <c r="P66" s="43"/>
    </row>
    <row r="67">
      <c r="A67" s="55" t="s">
        <v>345</v>
      </c>
      <c r="B67" s="58"/>
      <c r="C67" s="58"/>
      <c r="D67" s="58"/>
      <c r="E67" s="58"/>
      <c r="F67" s="58"/>
      <c r="G67" s="58"/>
      <c r="H67" s="58"/>
      <c r="I67" s="58"/>
      <c r="J67" s="58"/>
      <c r="K67" s="58"/>
      <c r="L67" s="58"/>
      <c r="M67" s="58"/>
      <c r="N67" s="50"/>
      <c r="O67" s="43"/>
      <c r="P67" s="43"/>
    </row>
    <row r="68">
      <c r="A68" s="55" t="s">
        <v>346</v>
      </c>
      <c r="B68" s="58"/>
      <c r="C68" s="58"/>
      <c r="D68" s="58"/>
      <c r="E68" s="58"/>
      <c r="F68" s="58"/>
      <c r="G68" s="58"/>
      <c r="H68" s="58"/>
      <c r="I68" s="58"/>
      <c r="J68" s="58"/>
      <c r="K68" s="58"/>
      <c r="L68" s="58"/>
      <c r="M68" s="58"/>
      <c r="N68" s="59"/>
      <c r="O68" s="43"/>
      <c r="P68" s="43"/>
    </row>
    <row r="69">
      <c r="A69" s="55" t="s">
        <v>347</v>
      </c>
      <c r="B69" s="58"/>
      <c r="C69" s="58"/>
      <c r="D69" s="58"/>
      <c r="E69" s="58"/>
      <c r="F69" s="58"/>
      <c r="G69" s="58"/>
      <c r="H69" s="58"/>
      <c r="I69" s="58"/>
      <c r="J69" s="58"/>
      <c r="K69" s="58"/>
      <c r="L69" s="58"/>
      <c r="M69" s="58"/>
      <c r="N69" s="50"/>
      <c r="O69" s="43"/>
      <c r="P69" s="43"/>
    </row>
    <row r="70">
      <c r="A70" s="55" t="s">
        <v>348</v>
      </c>
      <c r="B70" s="58"/>
      <c r="C70" s="58"/>
      <c r="D70" s="58"/>
      <c r="E70" s="58"/>
      <c r="F70" s="58"/>
      <c r="G70" s="58"/>
      <c r="H70" s="58"/>
      <c r="I70" s="58"/>
      <c r="J70" s="58"/>
      <c r="K70" s="58"/>
      <c r="L70" s="58"/>
      <c r="M70" s="58"/>
      <c r="N70" s="59"/>
      <c r="O70" s="43"/>
      <c r="P70" s="43"/>
    </row>
    <row r="71">
      <c r="A71" s="55" t="s">
        <v>349</v>
      </c>
      <c r="B71" s="58"/>
      <c r="C71" s="58"/>
      <c r="D71" s="58"/>
      <c r="E71" s="58"/>
      <c r="F71" s="58"/>
      <c r="G71" s="58"/>
      <c r="H71" s="58"/>
      <c r="I71" s="58"/>
      <c r="J71" s="58"/>
      <c r="K71" s="58"/>
      <c r="L71" s="58"/>
      <c r="M71" s="58"/>
      <c r="N71" s="50"/>
      <c r="O71" s="43"/>
      <c r="P71" s="43"/>
    </row>
    <row r="72">
      <c r="A72" s="55" t="s">
        <v>350</v>
      </c>
      <c r="B72" s="58"/>
      <c r="C72" s="58"/>
      <c r="D72" s="58"/>
      <c r="E72" s="58"/>
      <c r="F72" s="58"/>
      <c r="G72" s="58"/>
      <c r="H72" s="58"/>
      <c r="I72" s="58"/>
      <c r="J72" s="58"/>
      <c r="K72" s="58"/>
      <c r="L72" s="58"/>
      <c r="M72" s="58"/>
      <c r="N72" s="59"/>
      <c r="O72" s="43"/>
      <c r="P72" s="43"/>
    </row>
    <row r="73">
      <c r="A73" s="55" t="s">
        <v>351</v>
      </c>
      <c r="B73" s="58"/>
      <c r="C73" s="58"/>
      <c r="D73" s="58"/>
      <c r="E73" s="58"/>
      <c r="F73" s="58"/>
      <c r="G73" s="58"/>
      <c r="H73" s="58"/>
      <c r="I73" s="58"/>
      <c r="J73" s="58"/>
      <c r="K73" s="58"/>
      <c r="L73" s="58"/>
      <c r="M73" s="58"/>
      <c r="N73" s="50"/>
      <c r="O73" s="43"/>
      <c r="P73" s="43"/>
    </row>
    <row r="74">
      <c r="A74" s="55" t="s">
        <v>352</v>
      </c>
      <c r="B74" s="58"/>
      <c r="C74" s="58"/>
      <c r="D74" s="58"/>
      <c r="E74" s="58"/>
      <c r="F74" s="58"/>
      <c r="G74" s="58"/>
      <c r="H74" s="58"/>
      <c r="I74" s="58"/>
      <c r="J74" s="58"/>
      <c r="K74" s="58"/>
      <c r="L74" s="58"/>
      <c r="M74" s="58"/>
      <c r="N74" s="59"/>
      <c r="O74" s="43"/>
      <c r="P74" s="43"/>
    </row>
    <row r="75">
      <c r="A75" s="55" t="s">
        <v>353</v>
      </c>
      <c r="B75" s="58"/>
      <c r="C75" s="58"/>
      <c r="D75" s="58"/>
      <c r="E75" s="58"/>
      <c r="F75" s="58"/>
      <c r="G75" s="58"/>
      <c r="H75" s="58"/>
      <c r="I75" s="58"/>
      <c r="J75" s="58"/>
      <c r="K75" s="58"/>
      <c r="L75" s="58"/>
      <c r="M75" s="58"/>
      <c r="N75" s="50"/>
      <c r="O75" s="43"/>
      <c r="P75" s="43"/>
    </row>
    <row r="76">
      <c r="A76" s="55" t="s">
        <v>354</v>
      </c>
      <c r="B76" s="58"/>
      <c r="C76" s="58"/>
      <c r="D76" s="58"/>
      <c r="E76" s="58"/>
      <c r="F76" s="58"/>
      <c r="G76" s="58"/>
      <c r="H76" s="58"/>
      <c r="I76" s="58"/>
      <c r="J76" s="58"/>
      <c r="K76" s="58"/>
      <c r="L76" s="58"/>
      <c r="M76" s="58"/>
      <c r="N76" s="59"/>
      <c r="O76" s="43"/>
      <c r="P76" s="43"/>
    </row>
    <row r="77">
      <c r="A77" s="55" t="s">
        <v>355</v>
      </c>
      <c r="B77" s="58"/>
      <c r="C77" s="58"/>
      <c r="D77" s="58"/>
      <c r="E77" s="58"/>
      <c r="F77" s="58"/>
      <c r="G77" s="58"/>
      <c r="H77" s="58"/>
      <c r="I77" s="58"/>
      <c r="J77" s="58"/>
      <c r="K77" s="58"/>
      <c r="L77" s="58"/>
      <c r="M77" s="58"/>
      <c r="N77" s="50"/>
      <c r="O77" s="43"/>
      <c r="P77" s="43"/>
    </row>
    <row r="78">
      <c r="A78" s="55" t="s">
        <v>356</v>
      </c>
      <c r="B78" s="58"/>
      <c r="C78" s="58"/>
      <c r="D78" s="58"/>
      <c r="E78" s="58"/>
      <c r="F78" s="58"/>
      <c r="G78" s="58"/>
      <c r="H78" s="58"/>
      <c r="I78" s="58"/>
      <c r="J78" s="58"/>
      <c r="K78" s="58"/>
      <c r="L78" s="58"/>
      <c r="M78" s="58"/>
      <c r="N78" s="59"/>
      <c r="O78" s="43"/>
      <c r="P78" s="43"/>
    </row>
    <row r="79">
      <c r="A79" s="55" t="s">
        <v>357</v>
      </c>
      <c r="B79" s="58"/>
      <c r="C79" s="58"/>
      <c r="D79" s="58"/>
      <c r="E79" s="58"/>
      <c r="F79" s="58"/>
      <c r="G79" s="58"/>
      <c r="H79" s="58"/>
      <c r="I79" s="58"/>
      <c r="J79" s="58"/>
      <c r="K79" s="58"/>
      <c r="L79" s="58"/>
      <c r="M79" s="58"/>
      <c r="N79" s="50"/>
      <c r="O79" s="43"/>
      <c r="P79" s="43"/>
    </row>
    <row r="80">
      <c r="A80" s="62"/>
      <c r="B80" s="58"/>
      <c r="C80" s="58"/>
      <c r="D80" s="58"/>
      <c r="E80" s="58"/>
      <c r="F80" s="58"/>
      <c r="G80" s="58"/>
      <c r="H80" s="58"/>
      <c r="I80" s="58"/>
      <c r="J80" s="58"/>
      <c r="K80" s="58"/>
      <c r="L80" s="58"/>
      <c r="M80" s="58"/>
      <c r="N80" s="59"/>
      <c r="O80" s="43"/>
      <c r="P80" s="43"/>
    </row>
    <row r="81">
      <c r="A81" s="62"/>
      <c r="B81" s="58"/>
      <c r="C81" s="58"/>
      <c r="D81" s="58"/>
      <c r="E81" s="58"/>
      <c r="F81" s="58"/>
      <c r="G81" s="58"/>
      <c r="H81" s="58"/>
      <c r="I81" s="58"/>
      <c r="J81" s="58"/>
      <c r="K81" s="58"/>
      <c r="L81" s="58"/>
      <c r="M81" s="58"/>
      <c r="N81" s="50"/>
      <c r="O81" s="43"/>
      <c r="P81" s="43"/>
    </row>
    <row r="82">
      <c r="A82" s="62"/>
      <c r="B82" s="58"/>
      <c r="C82" s="58"/>
      <c r="D82" s="58"/>
      <c r="E82" s="58"/>
      <c r="F82" s="58"/>
      <c r="G82" s="58"/>
      <c r="H82" s="58"/>
      <c r="I82" s="58"/>
      <c r="J82" s="58"/>
      <c r="K82" s="58"/>
      <c r="L82" s="58"/>
      <c r="M82" s="58"/>
      <c r="N82" s="59"/>
      <c r="O82" s="43"/>
      <c r="P82" s="43"/>
    </row>
    <row r="83">
      <c r="A83" s="62"/>
      <c r="B83" s="58"/>
      <c r="C83" s="58"/>
      <c r="D83" s="58"/>
      <c r="E83" s="58"/>
      <c r="F83" s="58"/>
      <c r="G83" s="58"/>
      <c r="H83" s="58"/>
      <c r="I83" s="58"/>
      <c r="J83" s="58"/>
      <c r="K83" s="58"/>
      <c r="L83" s="58"/>
      <c r="M83" s="58"/>
      <c r="N83" s="50"/>
      <c r="O83" s="43"/>
      <c r="P83" s="43"/>
    </row>
    <row r="84">
      <c r="A84" s="62"/>
      <c r="B84" s="58"/>
      <c r="C84" s="58"/>
      <c r="D84" s="58"/>
      <c r="E84" s="58"/>
      <c r="F84" s="58"/>
      <c r="G84" s="58"/>
      <c r="H84" s="58"/>
      <c r="I84" s="58"/>
      <c r="J84" s="58"/>
      <c r="K84" s="58"/>
      <c r="L84" s="58"/>
      <c r="M84" s="58"/>
      <c r="N84" s="59"/>
      <c r="O84" s="43"/>
      <c r="P84" s="43"/>
    </row>
    <row r="85">
      <c r="A85" s="62"/>
      <c r="B85" s="58"/>
      <c r="C85" s="58"/>
      <c r="D85" s="58"/>
      <c r="E85" s="58"/>
      <c r="F85" s="58"/>
      <c r="G85" s="58"/>
      <c r="H85" s="58"/>
      <c r="I85" s="58"/>
      <c r="J85" s="58"/>
      <c r="K85" s="58"/>
      <c r="L85" s="58"/>
      <c r="M85" s="58"/>
      <c r="N85" s="50"/>
      <c r="O85" s="43"/>
      <c r="P85" s="43"/>
    </row>
    <row r="86">
      <c r="A86" s="62"/>
      <c r="B86" s="58"/>
      <c r="C86" s="58"/>
      <c r="D86" s="58"/>
      <c r="E86" s="58"/>
      <c r="F86" s="58"/>
      <c r="G86" s="58"/>
      <c r="H86" s="58"/>
      <c r="I86" s="58"/>
      <c r="J86" s="58"/>
      <c r="K86" s="58"/>
      <c r="L86" s="58"/>
      <c r="M86" s="58"/>
      <c r="N86" s="59"/>
      <c r="O86" s="43"/>
      <c r="P86" s="43"/>
    </row>
    <row r="87">
      <c r="A87" s="62"/>
      <c r="B87" s="58"/>
      <c r="C87" s="58"/>
      <c r="D87" s="58"/>
      <c r="E87" s="58"/>
      <c r="F87" s="58"/>
      <c r="G87" s="58"/>
      <c r="H87" s="58"/>
      <c r="I87" s="58"/>
      <c r="J87" s="58"/>
      <c r="K87" s="58"/>
      <c r="L87" s="58"/>
      <c r="M87" s="58"/>
      <c r="N87" s="50"/>
      <c r="O87" s="43"/>
      <c r="P87" s="43"/>
    </row>
    <row r="88">
      <c r="A88" s="62"/>
      <c r="B88" s="58"/>
      <c r="C88" s="58"/>
      <c r="D88" s="58"/>
      <c r="E88" s="58"/>
      <c r="F88" s="58"/>
      <c r="G88" s="58"/>
      <c r="H88" s="58"/>
      <c r="I88" s="58"/>
      <c r="J88" s="58"/>
      <c r="K88" s="58"/>
      <c r="L88" s="58"/>
      <c r="M88" s="58"/>
      <c r="N88" s="59"/>
      <c r="O88" s="43"/>
      <c r="P88" s="43"/>
    </row>
    <row r="89">
      <c r="A89" s="62"/>
      <c r="B89" s="58"/>
      <c r="C89" s="58"/>
      <c r="D89" s="58"/>
      <c r="E89" s="58"/>
      <c r="F89" s="58"/>
      <c r="G89" s="58"/>
      <c r="H89" s="58"/>
      <c r="I89" s="58"/>
      <c r="J89" s="58"/>
      <c r="K89" s="58"/>
      <c r="L89" s="58"/>
      <c r="M89" s="58"/>
      <c r="N89" s="50"/>
      <c r="O89" s="43"/>
      <c r="P89" s="43"/>
    </row>
    <row r="90">
      <c r="A90" s="62"/>
      <c r="B90" s="58"/>
      <c r="C90" s="58"/>
      <c r="D90" s="58"/>
      <c r="E90" s="58"/>
      <c r="F90" s="58"/>
      <c r="G90" s="58"/>
      <c r="H90" s="58"/>
      <c r="I90" s="58"/>
      <c r="J90" s="58"/>
      <c r="K90" s="58"/>
      <c r="L90" s="58"/>
      <c r="M90" s="58"/>
      <c r="N90" s="59"/>
      <c r="O90" s="43"/>
      <c r="P90" s="43"/>
    </row>
    <row r="91">
      <c r="A91" s="62"/>
      <c r="B91" s="58"/>
      <c r="C91" s="58"/>
      <c r="D91" s="58"/>
      <c r="E91" s="58"/>
      <c r="F91" s="58"/>
      <c r="G91" s="58"/>
      <c r="H91" s="58"/>
      <c r="I91" s="58"/>
      <c r="J91" s="58"/>
      <c r="K91" s="58"/>
      <c r="L91" s="58"/>
      <c r="M91" s="58"/>
      <c r="N91" s="50"/>
      <c r="O91" s="43"/>
      <c r="P91" s="43"/>
    </row>
    <row r="92">
      <c r="A92" s="62"/>
      <c r="B92" s="58"/>
      <c r="C92" s="58"/>
      <c r="D92" s="58"/>
      <c r="E92" s="58"/>
      <c r="F92" s="58"/>
      <c r="G92" s="58"/>
      <c r="H92" s="58"/>
      <c r="I92" s="58"/>
      <c r="J92" s="58"/>
      <c r="K92" s="58"/>
      <c r="L92" s="58"/>
      <c r="M92" s="58"/>
      <c r="N92" s="59"/>
      <c r="O92" s="43"/>
      <c r="P92" s="43"/>
    </row>
    <row r="93">
      <c r="A93" s="62"/>
      <c r="B93" s="58"/>
      <c r="C93" s="58"/>
      <c r="D93" s="58"/>
      <c r="E93" s="58"/>
      <c r="F93" s="58"/>
      <c r="G93" s="58"/>
      <c r="H93" s="58"/>
      <c r="I93" s="58"/>
      <c r="J93" s="58"/>
      <c r="K93" s="58"/>
      <c r="L93" s="58"/>
      <c r="M93" s="58"/>
      <c r="N93" s="50"/>
      <c r="O93" s="43"/>
      <c r="P93" s="43"/>
    </row>
    <row r="94">
      <c r="A94" s="62"/>
      <c r="B94" s="58"/>
      <c r="C94" s="58"/>
      <c r="D94" s="58"/>
      <c r="E94" s="58"/>
      <c r="F94" s="58"/>
      <c r="G94" s="58"/>
      <c r="H94" s="58"/>
      <c r="I94" s="58"/>
      <c r="J94" s="58"/>
      <c r="K94" s="58"/>
      <c r="L94" s="58"/>
      <c r="M94" s="58"/>
      <c r="N94" s="59"/>
      <c r="O94" s="43"/>
      <c r="P94" s="43"/>
    </row>
    <row r="95">
      <c r="A95" s="62"/>
      <c r="B95" s="62"/>
      <c r="C95" s="62"/>
      <c r="D95" s="62"/>
      <c r="E95" s="62"/>
      <c r="F95" s="62"/>
      <c r="G95" s="62"/>
      <c r="H95" s="62"/>
      <c r="I95" s="62"/>
      <c r="J95" s="62"/>
      <c r="K95" s="62"/>
      <c r="L95" s="62"/>
      <c r="M95" s="62"/>
      <c r="N95" s="50"/>
      <c r="O95" s="43"/>
      <c r="P95" s="43"/>
    </row>
    <row r="96">
      <c r="A96" s="62"/>
      <c r="B96" s="62"/>
      <c r="C96" s="62"/>
      <c r="D96" s="62"/>
      <c r="E96" s="62"/>
      <c r="F96" s="62"/>
      <c r="G96" s="62"/>
      <c r="H96" s="62"/>
      <c r="I96" s="62"/>
      <c r="J96" s="62"/>
      <c r="K96" s="62"/>
      <c r="L96" s="62"/>
      <c r="M96" s="62"/>
      <c r="N96" s="59"/>
      <c r="O96" s="43"/>
      <c r="P96" s="43"/>
    </row>
    <row r="97">
      <c r="A97" s="62"/>
      <c r="B97" s="62"/>
      <c r="C97" s="62"/>
      <c r="D97" s="62"/>
      <c r="E97" s="62"/>
      <c r="F97" s="62"/>
      <c r="G97" s="62"/>
      <c r="H97" s="62"/>
      <c r="I97" s="62"/>
      <c r="J97" s="62"/>
      <c r="K97" s="62"/>
      <c r="L97" s="62"/>
      <c r="M97" s="62"/>
      <c r="N97" s="50"/>
      <c r="O97" s="43"/>
      <c r="P97" s="43"/>
    </row>
    <row r="98">
      <c r="A98" s="62"/>
      <c r="B98" s="62"/>
      <c r="C98" s="62"/>
      <c r="D98" s="62"/>
      <c r="E98" s="62"/>
      <c r="F98" s="62"/>
      <c r="G98" s="62"/>
      <c r="H98" s="62"/>
      <c r="I98" s="62"/>
      <c r="J98" s="62"/>
      <c r="K98" s="62"/>
      <c r="L98" s="62"/>
      <c r="M98" s="62"/>
      <c r="N98" s="59"/>
      <c r="O98" s="43"/>
      <c r="P98" s="43"/>
    </row>
    <row r="99">
      <c r="A99" s="62"/>
      <c r="B99" s="62"/>
      <c r="C99" s="62"/>
      <c r="D99" s="62"/>
      <c r="E99" s="62"/>
      <c r="F99" s="62"/>
      <c r="G99" s="62"/>
      <c r="H99" s="62"/>
      <c r="I99" s="62"/>
      <c r="J99" s="62"/>
      <c r="K99" s="62"/>
      <c r="L99" s="62"/>
      <c r="M99" s="62"/>
      <c r="N99" s="50"/>
      <c r="O99" s="43"/>
      <c r="P99" s="43"/>
    </row>
    <row r="100">
      <c r="A100" s="62"/>
      <c r="B100" s="62"/>
      <c r="C100" s="62"/>
      <c r="D100" s="62"/>
      <c r="E100" s="62"/>
      <c r="F100" s="62"/>
      <c r="G100" s="62"/>
      <c r="H100" s="62"/>
      <c r="I100" s="62"/>
      <c r="J100" s="62"/>
      <c r="K100" s="62"/>
      <c r="L100" s="62"/>
      <c r="M100" s="62"/>
      <c r="N100" s="59"/>
      <c r="O100" s="43"/>
      <c r="P100" s="43"/>
    </row>
    <row r="101">
      <c r="A101" s="63"/>
      <c r="B101" s="63"/>
      <c r="C101" s="63"/>
      <c r="D101" s="63"/>
      <c r="E101" s="63"/>
      <c r="F101" s="63"/>
      <c r="G101" s="63"/>
      <c r="H101" s="63"/>
      <c r="I101" s="63"/>
      <c r="J101" s="63"/>
      <c r="K101" s="63"/>
      <c r="L101" s="63"/>
      <c r="M101" s="63"/>
      <c r="N101" s="50"/>
      <c r="O101" s="43"/>
      <c r="P101" s="43"/>
    </row>
    <row r="102">
      <c r="A102" s="50"/>
      <c r="B102" s="50"/>
      <c r="C102" s="50"/>
      <c r="D102" s="50"/>
      <c r="E102" s="50"/>
      <c r="F102" s="50"/>
      <c r="G102" s="50"/>
      <c r="H102" s="50"/>
      <c r="I102" s="50"/>
      <c r="J102" s="50"/>
      <c r="K102" s="50"/>
      <c r="L102" s="50"/>
      <c r="M102" s="50"/>
      <c r="N102" s="50"/>
      <c r="O102" s="43"/>
      <c r="P102" s="43"/>
    </row>
    <row r="103">
      <c r="A103" s="43"/>
      <c r="B103" s="43"/>
      <c r="C103" s="43"/>
      <c r="D103" s="43"/>
      <c r="E103" s="43"/>
      <c r="F103" s="43"/>
      <c r="G103" s="43"/>
      <c r="H103" s="43"/>
      <c r="I103" s="43"/>
      <c r="J103" s="43"/>
      <c r="K103" s="43"/>
      <c r="L103" s="43"/>
      <c r="M103" s="43"/>
      <c r="N103" s="43"/>
      <c r="O103" s="43"/>
      <c r="P103" s="43"/>
    </row>
    <row r="104">
      <c r="A104" s="43"/>
      <c r="B104" s="43"/>
      <c r="C104" s="43"/>
      <c r="D104" s="43"/>
      <c r="E104" s="43"/>
      <c r="F104" s="43"/>
      <c r="G104" s="43"/>
      <c r="H104" s="43"/>
      <c r="I104" s="43"/>
      <c r="J104" s="43"/>
      <c r="K104" s="43"/>
      <c r="L104" s="43"/>
      <c r="M104" s="43"/>
      <c r="N104" s="43"/>
      <c r="O104" s="43"/>
      <c r="P104" s="43"/>
    </row>
    <row r="105">
      <c r="A105" s="43"/>
      <c r="B105" s="43"/>
      <c r="C105" s="43"/>
      <c r="D105" s="43"/>
      <c r="E105" s="43"/>
      <c r="F105" s="43"/>
      <c r="G105" s="43"/>
      <c r="H105" s="43"/>
      <c r="I105" s="43"/>
      <c r="J105" s="43"/>
      <c r="K105" s="43"/>
      <c r="L105" s="43"/>
      <c r="M105" s="43"/>
      <c r="N105" s="43"/>
      <c r="O105" s="43"/>
      <c r="P105" s="43"/>
    </row>
    <row r="106">
      <c r="A106" s="43"/>
      <c r="B106" s="43"/>
      <c r="C106" s="43"/>
      <c r="D106" s="43"/>
      <c r="E106" s="43"/>
      <c r="F106" s="43"/>
      <c r="G106" s="43"/>
      <c r="H106" s="43"/>
      <c r="I106" s="43"/>
      <c r="J106" s="43"/>
      <c r="K106" s="43"/>
      <c r="L106" s="43"/>
      <c r="M106" s="43"/>
      <c r="N106" s="43"/>
      <c r="O106" s="43"/>
      <c r="P106" s="43"/>
    </row>
    <row r="107">
      <c r="A107" s="43"/>
      <c r="B107" s="43"/>
      <c r="C107" s="43"/>
      <c r="D107" s="43"/>
      <c r="E107" s="43"/>
      <c r="F107" s="43"/>
      <c r="G107" s="43"/>
      <c r="H107" s="43"/>
      <c r="I107" s="43"/>
      <c r="J107" s="43"/>
      <c r="K107" s="43"/>
      <c r="L107" s="43"/>
      <c r="M107" s="43"/>
      <c r="N107" s="43"/>
    </row>
    <row r="108">
      <c r="A108" s="43"/>
      <c r="B108" s="43"/>
      <c r="C108" s="43"/>
      <c r="D108" s="43"/>
      <c r="E108" s="43"/>
      <c r="F108" s="43"/>
      <c r="G108" s="43"/>
      <c r="H108" s="43"/>
      <c r="I108" s="43"/>
      <c r="J108" s="43"/>
      <c r="K108" s="43"/>
      <c r="L108" s="43"/>
      <c r="M108" s="43"/>
      <c r="N108" s="43"/>
    </row>
    <row r="109">
      <c r="A109" s="43"/>
      <c r="B109" s="43"/>
      <c r="C109" s="43"/>
      <c r="D109" s="43"/>
      <c r="E109" s="43"/>
      <c r="F109" s="43"/>
      <c r="G109" s="43"/>
      <c r="H109" s="43"/>
      <c r="I109" s="43"/>
      <c r="J109" s="43"/>
      <c r="K109" s="43"/>
      <c r="L109" s="43"/>
      <c r="M109" s="43"/>
      <c r="N109" s="43"/>
    </row>
    <row r="110">
      <c r="A110" s="43"/>
      <c r="B110" s="43"/>
      <c r="C110" s="43"/>
      <c r="D110" s="43"/>
      <c r="E110" s="43"/>
      <c r="F110" s="43"/>
      <c r="G110" s="43"/>
      <c r="H110" s="43"/>
      <c r="I110" s="43"/>
      <c r="J110" s="43"/>
      <c r="K110" s="43"/>
      <c r="L110" s="43"/>
      <c r="M110" s="43"/>
      <c r="N110" s="43"/>
    </row>
    <row r="111">
      <c r="A111" s="43"/>
      <c r="B111" s="43"/>
      <c r="C111" s="43"/>
      <c r="D111" s="43"/>
      <c r="E111" s="43"/>
      <c r="F111" s="43"/>
      <c r="G111" s="43"/>
      <c r="H111" s="43"/>
      <c r="I111" s="43"/>
      <c r="J111" s="43"/>
      <c r="K111" s="43"/>
      <c r="L111" s="43"/>
      <c r="M111" s="43"/>
      <c r="N111" s="43"/>
    </row>
    <row r="112">
      <c r="A112" s="43"/>
      <c r="B112" s="43"/>
      <c r="C112" s="43"/>
      <c r="D112" s="43"/>
      <c r="E112" s="43"/>
      <c r="F112" s="43"/>
      <c r="G112" s="43"/>
      <c r="H112" s="43"/>
      <c r="I112" s="43"/>
      <c r="J112" s="43"/>
      <c r="K112" s="43"/>
      <c r="L112" s="43"/>
      <c r="M112" s="43"/>
      <c r="N112" s="43"/>
    </row>
    <row r="113">
      <c r="A113" s="43"/>
      <c r="B113" s="43"/>
      <c r="C113" s="43"/>
      <c r="D113" s="43"/>
      <c r="E113" s="43"/>
      <c r="F113" s="43"/>
      <c r="G113" s="43"/>
      <c r="H113" s="43"/>
      <c r="I113" s="43"/>
      <c r="J113" s="43"/>
      <c r="K113" s="43"/>
      <c r="L113" s="43"/>
      <c r="M113" s="43"/>
      <c r="N113" s="43"/>
    </row>
    <row r="114">
      <c r="A114" s="43"/>
      <c r="B114" s="43"/>
      <c r="C114" s="43"/>
      <c r="D114" s="43"/>
      <c r="E114" s="43"/>
      <c r="F114" s="43"/>
      <c r="G114" s="43"/>
      <c r="H114" s="43"/>
      <c r="I114" s="43"/>
      <c r="J114" s="43"/>
      <c r="K114" s="43"/>
      <c r="L114" s="43"/>
      <c r="M114" s="43"/>
      <c r="N114" s="43"/>
    </row>
    <row r="115">
      <c r="A115" s="43"/>
      <c r="B115" s="43"/>
      <c r="C115" s="43"/>
      <c r="D115" s="43"/>
      <c r="E115" s="43"/>
      <c r="F115" s="43"/>
      <c r="G115" s="43"/>
      <c r="H115" s="43"/>
      <c r="I115" s="43"/>
      <c r="J115" s="43"/>
      <c r="K115" s="43"/>
      <c r="L115" s="43"/>
      <c r="M115" s="43"/>
      <c r="N115" s="43"/>
    </row>
    <row r="116">
      <c r="A116" s="43"/>
      <c r="B116" s="43"/>
      <c r="C116" s="43"/>
      <c r="D116" s="43"/>
      <c r="E116" s="43"/>
      <c r="F116" s="43"/>
      <c r="G116" s="43"/>
      <c r="H116" s="43"/>
      <c r="I116" s="43"/>
      <c r="J116" s="43"/>
      <c r="K116" s="43"/>
      <c r="L116" s="43"/>
      <c r="M116" s="43"/>
      <c r="N116" s="43"/>
    </row>
    <row r="117">
      <c r="A117" s="43"/>
      <c r="B117" s="43"/>
      <c r="C117" s="43"/>
      <c r="D117" s="43"/>
      <c r="E117" s="43"/>
      <c r="F117" s="43"/>
      <c r="G117" s="43"/>
      <c r="H117" s="43"/>
      <c r="I117" s="43"/>
      <c r="J117" s="43"/>
      <c r="K117" s="43"/>
      <c r="L117" s="43"/>
      <c r="M117" s="43"/>
      <c r="N117" s="43"/>
    </row>
    <row r="118">
      <c r="A118" s="43"/>
      <c r="B118" s="43"/>
      <c r="C118" s="43"/>
      <c r="D118" s="43"/>
      <c r="E118" s="43"/>
      <c r="F118" s="43"/>
      <c r="G118" s="43"/>
      <c r="H118" s="43"/>
      <c r="I118" s="43"/>
      <c r="J118" s="43"/>
      <c r="K118" s="43"/>
      <c r="L118" s="43"/>
      <c r="M118" s="43"/>
      <c r="N118" s="43"/>
    </row>
    <row r="119">
      <c r="A119" s="43"/>
      <c r="B119" s="43"/>
      <c r="C119" s="43"/>
      <c r="D119" s="43"/>
      <c r="E119" s="43"/>
      <c r="F119" s="43"/>
      <c r="G119" s="43"/>
      <c r="H119" s="43"/>
      <c r="I119" s="43"/>
      <c r="J119" s="43"/>
      <c r="K119" s="43"/>
      <c r="L119" s="43"/>
      <c r="M119" s="43"/>
      <c r="N119" s="43"/>
    </row>
    <row r="120">
      <c r="A120" s="43"/>
      <c r="B120" s="43"/>
      <c r="C120" s="43"/>
      <c r="D120" s="43"/>
      <c r="E120" s="43"/>
      <c r="F120" s="43"/>
      <c r="G120" s="43"/>
      <c r="H120" s="43"/>
      <c r="I120" s="43"/>
      <c r="J120" s="43"/>
      <c r="K120" s="43"/>
      <c r="L120" s="43"/>
      <c r="M120" s="43"/>
      <c r="N120" s="43"/>
    </row>
    <row r="121">
      <c r="A121" s="43"/>
      <c r="B121" s="43"/>
      <c r="C121" s="43"/>
      <c r="D121" s="43"/>
      <c r="E121" s="43"/>
      <c r="F121" s="43"/>
      <c r="G121" s="43"/>
      <c r="H121" s="43"/>
      <c r="I121" s="43"/>
      <c r="J121" s="43"/>
      <c r="K121" s="43"/>
      <c r="L121" s="43"/>
      <c r="M121" s="43"/>
      <c r="N121" s="43"/>
    </row>
    <row r="122">
      <c r="A122" s="43"/>
      <c r="B122" s="43"/>
      <c r="C122" s="43"/>
      <c r="D122" s="43"/>
      <c r="E122" s="43"/>
      <c r="F122" s="43"/>
      <c r="G122" s="43"/>
      <c r="H122" s="43"/>
      <c r="I122" s="43"/>
      <c r="J122" s="43"/>
      <c r="K122" s="43"/>
      <c r="L122" s="43"/>
      <c r="M122" s="43"/>
      <c r="N122" s="43"/>
    </row>
    <row r="123">
      <c r="A123" s="43"/>
      <c r="B123" s="43"/>
      <c r="C123" s="43"/>
      <c r="D123" s="43"/>
      <c r="E123" s="43"/>
      <c r="F123" s="43"/>
      <c r="G123" s="43"/>
      <c r="H123" s="43"/>
      <c r="I123" s="43"/>
      <c r="J123" s="43"/>
      <c r="K123" s="43"/>
      <c r="L123" s="43"/>
      <c r="M123" s="43"/>
      <c r="N123" s="43"/>
    </row>
    <row r="124">
      <c r="A124" s="43"/>
      <c r="B124" s="43"/>
      <c r="C124" s="43"/>
      <c r="D124" s="43"/>
      <c r="E124" s="43"/>
      <c r="F124" s="43"/>
      <c r="G124" s="43"/>
      <c r="H124" s="43"/>
      <c r="I124" s="43"/>
      <c r="J124" s="43"/>
      <c r="K124" s="43"/>
      <c r="L124" s="43"/>
      <c r="M124" s="43"/>
      <c r="N124" s="43"/>
    </row>
    <row r="125">
      <c r="A125" s="43"/>
      <c r="B125" s="43"/>
      <c r="C125" s="43"/>
      <c r="D125" s="43"/>
      <c r="E125" s="43"/>
      <c r="F125" s="43"/>
      <c r="G125" s="43"/>
      <c r="H125" s="43"/>
      <c r="I125" s="43"/>
      <c r="J125" s="43"/>
      <c r="K125" s="43"/>
      <c r="L125" s="43"/>
      <c r="M125" s="43"/>
      <c r="N125" s="43"/>
    </row>
    <row r="126">
      <c r="A126" s="43"/>
      <c r="B126" s="43"/>
      <c r="C126" s="43"/>
      <c r="D126" s="43"/>
      <c r="E126" s="43"/>
      <c r="F126" s="43"/>
      <c r="G126" s="43"/>
      <c r="H126" s="43"/>
      <c r="I126" s="43"/>
      <c r="J126" s="43"/>
      <c r="K126" s="43"/>
      <c r="L126" s="43"/>
      <c r="M126" s="43"/>
      <c r="N126" s="43"/>
    </row>
    <row r="127">
      <c r="A127" s="43"/>
      <c r="B127" s="43"/>
      <c r="C127" s="43"/>
      <c r="D127" s="43"/>
      <c r="E127" s="43"/>
      <c r="F127" s="43"/>
      <c r="G127" s="43"/>
      <c r="H127" s="43"/>
      <c r="I127" s="43"/>
      <c r="J127" s="43"/>
      <c r="K127" s="43"/>
      <c r="L127" s="43"/>
      <c r="M127" s="43"/>
      <c r="N127" s="43"/>
    </row>
    <row r="128">
      <c r="A128" s="43"/>
      <c r="B128" s="43"/>
      <c r="C128" s="43"/>
      <c r="D128" s="43"/>
      <c r="E128" s="43"/>
      <c r="F128" s="43"/>
      <c r="G128" s="43"/>
      <c r="H128" s="43"/>
      <c r="I128" s="43"/>
      <c r="J128" s="43"/>
      <c r="K128" s="43"/>
      <c r="L128" s="43"/>
      <c r="M128" s="43"/>
      <c r="N128" s="43"/>
    </row>
    <row r="129">
      <c r="A129" s="43"/>
      <c r="B129" s="43"/>
      <c r="C129" s="43"/>
      <c r="D129" s="43"/>
      <c r="E129" s="43"/>
      <c r="F129" s="43"/>
      <c r="G129" s="43"/>
      <c r="H129" s="43"/>
      <c r="I129" s="43"/>
      <c r="J129" s="43"/>
      <c r="K129" s="43"/>
      <c r="L129" s="43"/>
      <c r="M129" s="43"/>
      <c r="N129" s="43"/>
    </row>
    <row r="130">
      <c r="A130" s="43"/>
      <c r="B130" s="43"/>
      <c r="C130" s="43"/>
      <c r="D130" s="43"/>
      <c r="E130" s="43"/>
      <c r="F130" s="43"/>
      <c r="G130" s="43"/>
      <c r="H130" s="43"/>
      <c r="I130" s="43"/>
      <c r="J130" s="43"/>
      <c r="K130" s="43"/>
      <c r="L130" s="43"/>
      <c r="M130" s="43"/>
      <c r="N130" s="43"/>
    </row>
    <row r="131">
      <c r="A131" s="43"/>
      <c r="B131" s="43"/>
      <c r="C131" s="43"/>
      <c r="D131" s="43"/>
      <c r="E131" s="43"/>
      <c r="F131" s="43"/>
      <c r="G131" s="43"/>
      <c r="H131" s="43"/>
      <c r="I131" s="43"/>
      <c r="J131" s="43"/>
      <c r="K131" s="43"/>
      <c r="L131" s="43"/>
      <c r="M131" s="43"/>
      <c r="N131" s="43"/>
    </row>
    <row r="132">
      <c r="A132" s="43"/>
      <c r="B132" s="43"/>
      <c r="C132" s="43"/>
      <c r="D132" s="43"/>
      <c r="E132" s="43"/>
      <c r="F132" s="43"/>
      <c r="G132" s="43"/>
      <c r="H132" s="43"/>
      <c r="I132" s="43"/>
      <c r="J132" s="43"/>
      <c r="K132" s="43"/>
      <c r="L132" s="43"/>
      <c r="M132" s="43"/>
      <c r="N132" s="43"/>
    </row>
    <row r="133">
      <c r="A133" s="43"/>
      <c r="B133" s="43"/>
      <c r="C133" s="43"/>
      <c r="D133" s="43"/>
      <c r="E133" s="43"/>
      <c r="F133" s="43"/>
      <c r="G133" s="43"/>
      <c r="H133" s="43"/>
      <c r="I133" s="43"/>
      <c r="J133" s="43"/>
      <c r="K133" s="43"/>
      <c r="L133" s="43"/>
      <c r="M133" s="43"/>
      <c r="N133" s="43"/>
    </row>
    <row r="134">
      <c r="A134" s="43"/>
      <c r="B134" s="43"/>
      <c r="C134" s="43"/>
      <c r="D134" s="43"/>
      <c r="E134" s="43"/>
      <c r="F134" s="43"/>
      <c r="G134" s="43"/>
      <c r="H134" s="43"/>
      <c r="I134" s="43"/>
      <c r="J134" s="43"/>
      <c r="K134" s="43"/>
      <c r="L134" s="43"/>
      <c r="M134" s="43"/>
      <c r="N134" s="43"/>
    </row>
    <row r="135">
      <c r="A135" s="43"/>
      <c r="B135" s="43"/>
      <c r="C135" s="43"/>
      <c r="D135" s="43"/>
      <c r="E135" s="43"/>
      <c r="F135" s="43"/>
      <c r="G135" s="43"/>
      <c r="H135" s="43"/>
      <c r="I135" s="43"/>
      <c r="J135" s="43"/>
      <c r="K135" s="43"/>
      <c r="L135" s="43"/>
      <c r="M135" s="43"/>
      <c r="N135" s="43"/>
    </row>
    <row r="136">
      <c r="A136" s="43"/>
      <c r="B136" s="43"/>
      <c r="C136" s="43"/>
      <c r="D136" s="43"/>
      <c r="E136" s="43"/>
      <c r="F136" s="43"/>
      <c r="G136" s="43"/>
      <c r="H136" s="43"/>
      <c r="I136" s="43"/>
      <c r="J136" s="43"/>
      <c r="K136" s="43"/>
      <c r="L136" s="43"/>
      <c r="M136" s="43"/>
      <c r="N136" s="43"/>
    </row>
    <row r="137">
      <c r="A137" s="43"/>
      <c r="B137" s="43"/>
      <c r="C137" s="43"/>
      <c r="D137" s="43"/>
      <c r="E137" s="43"/>
      <c r="F137" s="43"/>
      <c r="G137" s="43"/>
      <c r="H137" s="43"/>
      <c r="I137" s="43"/>
      <c r="J137" s="43"/>
      <c r="K137" s="43"/>
      <c r="L137" s="43"/>
      <c r="M137" s="43"/>
      <c r="N137" s="43"/>
    </row>
    <row r="138">
      <c r="A138" s="43"/>
      <c r="B138" s="43"/>
      <c r="C138" s="43"/>
      <c r="D138" s="43"/>
      <c r="E138" s="43"/>
      <c r="F138" s="43"/>
      <c r="G138" s="43"/>
      <c r="H138" s="43"/>
      <c r="I138" s="43"/>
      <c r="J138" s="43"/>
      <c r="K138" s="43"/>
      <c r="L138" s="43"/>
      <c r="M138" s="43"/>
      <c r="N138" s="43"/>
    </row>
    <row r="139">
      <c r="A139" s="43"/>
      <c r="B139" s="43"/>
      <c r="C139" s="43"/>
      <c r="D139" s="43"/>
      <c r="E139" s="43"/>
      <c r="F139" s="43"/>
      <c r="G139" s="43"/>
      <c r="H139" s="43"/>
      <c r="I139" s="43"/>
      <c r="J139" s="43"/>
      <c r="K139" s="43"/>
      <c r="L139" s="43"/>
      <c r="M139" s="43"/>
      <c r="N139" s="43"/>
    </row>
    <row r="140">
      <c r="A140" s="43"/>
      <c r="B140" s="43"/>
      <c r="C140" s="43"/>
      <c r="D140" s="43"/>
      <c r="E140" s="43"/>
      <c r="F140" s="43"/>
      <c r="G140" s="43"/>
      <c r="H140" s="43"/>
      <c r="I140" s="43"/>
      <c r="J140" s="43"/>
      <c r="K140" s="43"/>
      <c r="L140" s="43"/>
      <c r="M140" s="43"/>
      <c r="N140" s="43"/>
    </row>
    <row r="141">
      <c r="A141" s="43"/>
      <c r="B141" s="43"/>
      <c r="C141" s="43"/>
      <c r="D141" s="43"/>
      <c r="E141" s="43"/>
      <c r="F141" s="43"/>
      <c r="G141" s="43"/>
      <c r="H141" s="43"/>
      <c r="I141" s="43"/>
      <c r="J141" s="43"/>
      <c r="K141" s="43"/>
      <c r="L141" s="43"/>
      <c r="M141" s="43"/>
      <c r="N141" s="43"/>
    </row>
    <row r="142">
      <c r="A142" s="43"/>
      <c r="B142" s="43"/>
      <c r="C142" s="43"/>
      <c r="D142" s="43"/>
      <c r="E142" s="43"/>
      <c r="F142" s="43"/>
      <c r="G142" s="43"/>
      <c r="H142" s="43"/>
      <c r="I142" s="43"/>
      <c r="J142" s="43"/>
      <c r="K142" s="43"/>
      <c r="L142" s="43"/>
      <c r="M142" s="43"/>
      <c r="N142" s="43"/>
    </row>
  </sheetData>
  <dataValidations>
    <dataValidation type="list" allowBlank="1" showErrorMessage="1" sqref="K17">
      <formula1>"High,Medium,Low"</formula1>
    </dataValidation>
    <dataValidation type="list" allowBlank="1" showErrorMessage="1" sqref="N15:N72 N74 N76 N78 N80 N82 N84 N86 N88 N90 N92 N94 N96 N98 N100 N102">
      <formula1>"Solved,Unsolved"</formula1>
    </dataValidation>
    <dataValidation type="list" allowBlank="1" showErrorMessage="1" sqref="K15:K16 K18:K74 K76 K78 K80 K82 K84 K86 K88 K90 K92 K94 K96 K98 K100 K102">
      <formula1>"High,Medium,Low,Severity"</formula1>
    </dataValidation>
    <dataValidation type="list" allowBlank="1" showErrorMessage="1" sqref="J15:J74 J76 J78 J80 J82 J84 J86 J88 J90 J92 J94 J96 J98 J100 J102">
      <formula1>"Pass,Fail"</formula1>
    </dataValidation>
  </dataValidations>
  <hyperlinks>
    <hyperlink r:id="rId1" ref="L15"/>
    <hyperlink r:id="rId2" ref="L16"/>
    <hyperlink r:id="rId3" ref="L17"/>
    <hyperlink r:id="rId4" ref="L20"/>
    <hyperlink r:id="rId5" ref="L21"/>
    <hyperlink r:id="rId6" ref="L22"/>
    <hyperlink r:id="rId7" ref="L23"/>
    <hyperlink r:id="rId8" ref="L24"/>
    <hyperlink r:id="rId9" ref="L25"/>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5"/>
    <col customWidth="1" min="3" max="3" width="21.25"/>
    <col customWidth="1" min="4" max="4" width="14.75"/>
    <col customWidth="1" min="5" max="5" width="14.13"/>
    <col customWidth="1" min="6" max="6" width="23.13"/>
  </cols>
  <sheetData>
    <row r="1">
      <c r="A1" s="64" t="s">
        <v>18</v>
      </c>
      <c r="B1" s="64" t="s">
        <v>19</v>
      </c>
      <c r="C1" s="64" t="s">
        <v>358</v>
      </c>
      <c r="D1" s="64" t="s">
        <v>359</v>
      </c>
      <c r="E1" s="64" t="s">
        <v>360</v>
      </c>
      <c r="F1" s="65" t="s">
        <v>361</v>
      </c>
      <c r="G1" s="20"/>
      <c r="H1" s="20"/>
      <c r="I1" s="20"/>
      <c r="J1" s="20"/>
      <c r="K1" s="20"/>
      <c r="L1" s="20"/>
      <c r="M1" s="20"/>
      <c r="N1" s="20"/>
      <c r="O1" s="20"/>
      <c r="P1" s="20"/>
      <c r="Q1" s="20"/>
      <c r="R1" s="20"/>
      <c r="S1" s="20"/>
      <c r="T1" s="20"/>
      <c r="U1" s="20"/>
      <c r="V1" s="20"/>
      <c r="W1" s="20"/>
      <c r="X1" s="20"/>
      <c r="Y1" s="20"/>
      <c r="Z1" s="20"/>
    </row>
    <row r="2">
      <c r="A2" s="66" t="str">
        <f>IFERROR(__xludf.DUMMYFUNCTION("SORT(
  SPLIT(
    UNIQUE(
      FILTER('Main Report'!B11:B100 &amp; ""♦"" &amp; 'Main Report'!C11:C100, LEN('Main Report'!C11:C100))
    ),
    ""♦""
  ),
  1, TRUE, 2, TRUE
)
"),"Authentication")</f>
        <v>Authentication</v>
      </c>
      <c r="B2" s="67" t="str">
        <f>IFERROR(__xludf.DUMMYFUNCTION("""COMPUTED_VALUE"""),"Forgot Password")</f>
        <v>Forgot Password</v>
      </c>
      <c r="C2" s="67" t="str">
        <f>IFERROR(__xludf.DUMMYFUNCTION("TEXTJOIN("", "", TRUE, 
  FILTER('Main Report'!A11:A100, 
    ('Main Report'!B11:B100=A2) * ('Main Report'!C11:C100=B2)
  )
)
"),"BR-001, BR-002")</f>
        <v>BR-001, BR-002</v>
      </c>
      <c r="D2" s="67">
        <f>IFERROR(__xludf.DUMMYFUNCTION("COUNTA(UNIQUE(TRANSPOSE(SPLIT(C2, "", ""))))
"),2.0)</f>
        <v>2</v>
      </c>
      <c r="E2" s="67" t="str">
        <f>IF(D2="", "", TEXT((D2 / 'Main Report'!$E$7), "0.00%"))
</f>
        <v>5.88%</v>
      </c>
      <c r="F2" s="67" t="str">
        <f>IFERROR(__xludf.DUMMYFUNCTION("IF(C2="""", """", 
   TEXTJOIN("", "", TRUE, 
      ""High: "" &amp; COUNTIF(FILTER('Main Report'!K11:K100, ISNUMBER(MATCH('Main Report'!A11:A100, SPLIT(C2, "", ""), 0))), ""High"") &amp; CHAR(10) &amp;
      ""Medium: "" &amp; COUNTIF(FILTER('Main Report'!K11:K100, ISNU"&amp;"MBER(MATCH('Main Report'!A11:A100, SPLIT(C2, "", ""), 0))), ""Medium"") &amp; CHAR(10) &amp;
      ""Low: "" &amp; COUNTIF(FILTER('Main Report'!K11:K100, ISNUMBER(MATCH('Main Report'!A11:A100, SPLIT(C2, "", ""), 0))), ""Low"")
   )
)
"),"High: 2
Medium: 0
Low: 0")</f>
        <v>High: 2
Medium: 0
Low: 0</v>
      </c>
      <c r="G2" s="20"/>
      <c r="H2" s="20"/>
      <c r="I2" s="20"/>
      <c r="J2" s="20"/>
      <c r="K2" s="20"/>
      <c r="L2" s="20"/>
      <c r="M2" s="20"/>
      <c r="N2" s="20"/>
      <c r="O2" s="20"/>
      <c r="P2" s="20"/>
      <c r="Q2" s="20"/>
      <c r="R2" s="20"/>
      <c r="S2" s="20"/>
      <c r="T2" s="20"/>
      <c r="U2" s="20"/>
      <c r="V2" s="20"/>
      <c r="W2" s="20"/>
      <c r="X2" s="20"/>
      <c r="Y2" s="20"/>
      <c r="Z2" s="20"/>
    </row>
    <row r="3">
      <c r="A3" s="68"/>
      <c r="B3" s="18" t="str">
        <f>IFERROR(__xludf.DUMMYFUNCTION("""COMPUTED_VALUE"""),"Registration")</f>
        <v>Registration</v>
      </c>
      <c r="C3" s="18" t="str">
        <f>IFERROR(__xludf.DUMMYFUNCTION("TEXTJOIN("", "", TRUE, 
  FILTER('Main Report'!A12:A101, 
    ('Main Report'!B12:B101=A2) * ('Main Report'!C12:C101=B3)
  )
)
"),"BR-003, BR-004, BR-005, BR-006, BR-007")</f>
        <v>BR-003, BR-004, BR-005, BR-006, BR-007</v>
      </c>
      <c r="D3" s="18">
        <f>IFERROR(__xludf.DUMMYFUNCTION("COUNTA(UNIQUE(TRANSPOSE(SPLIT(C3, "", ""))))
"),5.0)</f>
        <v>5</v>
      </c>
      <c r="E3" s="18" t="str">
        <f>IF(D3="", "", TEXT((D3 / 'Main Report'!$E$7), "0.00%"))
</f>
        <v>14.71%</v>
      </c>
      <c r="F3" s="18" t="str">
        <f>IFERROR(__xludf.DUMMYFUNCTION("IF(C3="""", """", 
   TEXTJOIN("", "", TRUE, 
      ""High: "" &amp; COUNTIF(FILTER('Main Report'!K12:K101, ISNUMBER(MATCH('Main Report'!A12:A101, SPLIT(C3, "", ""), 0))), ""High"") &amp; CHAR(10) &amp;
      ""Medium: "" &amp; COUNTIF(FILTER('Main Report'!K12:K101, ISNU"&amp;"MBER(MATCH('Main Report'!A12:A101, SPLIT(C3, "", ""), 0))), ""Medium"") &amp; CHAR(10) &amp;
      ""Low: "" &amp; COUNTIF(FILTER('Main Report'!K12:K101, ISNUMBER(MATCH('Main Report'!A12:A101, SPLIT(C3, "", ""), 0))), ""Low"")
   )
)
"),"High: 4
Medium: 1
Low: 0")</f>
        <v>High: 4
Medium: 1
Low: 0</v>
      </c>
      <c r="G3" s="20"/>
      <c r="H3" s="20"/>
      <c r="I3" s="20"/>
      <c r="J3" s="20"/>
      <c r="K3" s="20"/>
      <c r="L3" s="20"/>
      <c r="M3" s="20"/>
      <c r="N3" s="20"/>
      <c r="O3" s="20"/>
      <c r="P3" s="20"/>
      <c r="Q3" s="20"/>
      <c r="R3" s="20"/>
      <c r="S3" s="20"/>
      <c r="T3" s="20"/>
      <c r="U3" s="20"/>
      <c r="V3" s="20"/>
      <c r="W3" s="20"/>
      <c r="X3" s="20"/>
      <c r="Y3" s="20"/>
      <c r="Z3" s="20"/>
    </row>
    <row r="4">
      <c r="A4" s="69" t="str">
        <f>IFERROR(__xludf.DUMMYFUNCTION("""COMPUTED_VALUE"""),"Dashboard")</f>
        <v>Dashboard</v>
      </c>
      <c r="B4" s="18" t="str">
        <f>IFERROR(__xludf.DUMMYFUNCTION("""COMPUTED_VALUE"""),"Company Profile")</f>
        <v>Company Profile</v>
      </c>
      <c r="C4" s="18" t="str">
        <f>IFERROR(__xludf.DUMMYFUNCTION("TEXTJOIN("", "", TRUE, 
  FILTER('Main Report'!A13:A102, 
    ('Main Report'!B13:B102=A4) * ('Main Report'!C13:C102=B4)
  )
)
"),"BR-008, BR-009, BR-010, BR-011")</f>
        <v>BR-008, BR-009, BR-010, BR-011</v>
      </c>
      <c r="D4" s="18">
        <f>IFERROR(__xludf.DUMMYFUNCTION("COUNTA(UNIQUE(TRANSPOSE(SPLIT(C4, "", ""))))
"),4.0)</f>
        <v>4</v>
      </c>
      <c r="E4" s="18" t="str">
        <f>IF(D4="", "", TEXT((D4 / 'Main Report'!$E$7), "0.00%"))
</f>
        <v>11.76%</v>
      </c>
      <c r="F4" s="18" t="str">
        <f>IFERROR(__xludf.DUMMYFUNCTION("IF(C4="""", """", 
   TEXTJOIN("", "", TRUE, 
      ""High: "" &amp; COUNTIF(FILTER('Main Report'!K13:K102, ISNUMBER(MATCH('Main Report'!A13:A102, SPLIT(C4, "", ""), 0))), ""High"") &amp; CHAR(10) &amp;
      ""Medium: "" &amp; COUNTIF(FILTER('Main Report'!K13:K102, ISNU"&amp;"MBER(MATCH('Main Report'!A13:A102, SPLIT(C4, "", ""), 0))), ""Medium"") &amp; CHAR(10) &amp;
      ""Low: "" &amp; COUNTIF(FILTER('Main Report'!K13:K102, ISNUMBER(MATCH('Main Report'!A13:A102, SPLIT(C4, "", ""), 0))), ""Low"")
   )
)
"),"High: 1
Medium: 3
Low: 0")</f>
        <v>High: 1
Medium: 3
Low: 0</v>
      </c>
      <c r="G4" s="20"/>
      <c r="H4" s="20"/>
      <c r="I4" s="20"/>
      <c r="J4" s="20"/>
      <c r="K4" s="20"/>
      <c r="L4" s="20"/>
      <c r="M4" s="20"/>
      <c r="N4" s="20"/>
      <c r="O4" s="20"/>
      <c r="P4" s="20"/>
      <c r="Q4" s="20"/>
      <c r="R4" s="20"/>
      <c r="S4" s="20"/>
      <c r="T4" s="20"/>
      <c r="U4" s="20"/>
      <c r="V4" s="20"/>
      <c r="W4" s="20"/>
      <c r="X4" s="20"/>
      <c r="Y4" s="20"/>
      <c r="Z4" s="20"/>
    </row>
    <row r="5">
      <c r="A5" s="70"/>
      <c r="B5" s="18" t="str">
        <f>IFERROR(__xludf.DUMMYFUNCTION("""COMPUTED_VALUE"""),"File Management")</f>
        <v>File Management</v>
      </c>
      <c r="C5" s="18" t="str">
        <f>IFERROR(__xludf.DUMMYFUNCTION("TEXTJOIN("", "", TRUE, 
  FILTER('Main Report'!A14:A103, 
    ('Main Report'!B14:B103=A4) * ('Main Report'!C14:C103=B5)
  )
)
"),"BR-012")</f>
        <v>BR-012</v>
      </c>
      <c r="D5" s="18">
        <f>IFERROR(__xludf.DUMMYFUNCTION("COUNTA(UNIQUE(TRANSPOSE(SPLIT(C5, "", ""))))
"),1.0)</f>
        <v>1</v>
      </c>
      <c r="E5" s="18" t="str">
        <f>IF(D5="", "", TEXT((D5 / 'Main Report'!$E$7), "0.00%"))
</f>
        <v>2.94%</v>
      </c>
      <c r="F5" s="18" t="str">
        <f>IFERROR(__xludf.DUMMYFUNCTION("IF(C5="""", """", 
   TEXTJOIN("", "", TRUE, 
      ""High: "" &amp; COUNTIF(FILTER('Main Report'!K14:K103, ISNUMBER(MATCH('Main Report'!A14:A103, SPLIT(C5, "", ""), 0))), ""High"") &amp; CHAR(10) &amp;
      ""Medium: "" &amp; COUNTIF(FILTER('Main Report'!K14:K103, ISNU"&amp;"MBER(MATCH('Main Report'!A14:A103, SPLIT(C5, "", ""), 0))), ""Medium"") &amp; CHAR(10) &amp;
      ""Low: "" &amp; COUNTIF(FILTER('Main Report'!K14:K103, ISNUMBER(MATCH('Main Report'!A14:A103, SPLIT(C5, "", ""), 0))), ""Low"")
   )
)
"),"High: 0
Medium: 1
Low: 0")</f>
        <v>High: 0
Medium: 1
Low: 0</v>
      </c>
      <c r="G5" s="20"/>
      <c r="H5" s="20"/>
      <c r="I5" s="20"/>
      <c r="J5" s="20"/>
      <c r="K5" s="20"/>
      <c r="L5" s="20"/>
      <c r="M5" s="20"/>
      <c r="N5" s="20"/>
      <c r="O5" s="20"/>
      <c r="P5" s="20"/>
      <c r="Q5" s="20"/>
      <c r="R5" s="20"/>
      <c r="S5" s="20"/>
      <c r="T5" s="20"/>
      <c r="U5" s="20"/>
      <c r="V5" s="20"/>
      <c r="W5" s="20"/>
      <c r="X5" s="20"/>
      <c r="Y5" s="20"/>
      <c r="Z5" s="20"/>
    </row>
    <row r="6">
      <c r="A6" s="70"/>
      <c r="B6" s="18" t="str">
        <f>IFERROR(__xludf.DUMMYFUNCTION("""COMPUTED_VALUE"""),"User Dashboard")</f>
        <v>User Dashboard</v>
      </c>
      <c r="C6" s="18" t="str">
        <f>IFERROR(__xludf.DUMMYFUNCTION("TEXTJOIN("", "", TRUE, 
  FILTER('Main Report'!A15:A104, 
    ('Main Report'!B15:B104=A4) * ('Main Report'!C15:C104=B6)
  )
)
"),"BR-013, BR-014")</f>
        <v>BR-013, BR-014</v>
      </c>
      <c r="D6" s="18">
        <f>IFERROR(__xludf.DUMMYFUNCTION("COUNTA(UNIQUE(TRANSPOSE(SPLIT(C6, "", ""))))
"),2.0)</f>
        <v>2</v>
      </c>
      <c r="E6" s="18" t="str">
        <f>IF(D6="", "", TEXT((D6 / 'Main Report'!$E$7), "0.00%"))
</f>
        <v>5.88%</v>
      </c>
      <c r="F6" s="18" t="str">
        <f>IFERROR(__xludf.DUMMYFUNCTION("IF(C6="""", """", 
   TEXTJOIN("", "", TRUE, 
      ""High: "" &amp; COUNTIF(FILTER('Main Report'!K15:K104, ISNUMBER(MATCH('Main Report'!A15:A104, SPLIT(C6, "", ""), 0))), ""High"") &amp; CHAR(10) &amp;
      ""Medium: "" &amp; COUNTIF(FILTER('Main Report'!K15:K104, ISNU"&amp;"MBER(MATCH('Main Report'!A15:A104, SPLIT(C6, "", ""), 0))), ""Medium"") &amp; CHAR(10) &amp;
      ""Low: "" &amp; COUNTIF(FILTER('Main Report'!K15:K104, ISNUMBER(MATCH('Main Report'!A15:A104, SPLIT(C6, "", ""), 0))), ""Low"")
   )
)
"),"High: 0
Medium: 2
Low: 0")</f>
        <v>High: 0
Medium: 2
Low: 0</v>
      </c>
      <c r="G6" s="20"/>
      <c r="H6" s="20"/>
      <c r="I6" s="20"/>
      <c r="J6" s="20"/>
      <c r="K6" s="20"/>
      <c r="L6" s="20"/>
      <c r="M6" s="20"/>
      <c r="N6" s="20"/>
      <c r="O6" s="20"/>
      <c r="P6" s="20"/>
      <c r="Q6" s="20"/>
      <c r="R6" s="20"/>
      <c r="S6" s="20"/>
      <c r="T6" s="20"/>
      <c r="U6" s="20"/>
      <c r="V6" s="20"/>
      <c r="W6" s="20"/>
      <c r="X6" s="20"/>
      <c r="Y6" s="20"/>
      <c r="Z6" s="20"/>
    </row>
    <row r="7">
      <c r="A7" s="70"/>
      <c r="B7" s="18" t="str">
        <f>IFERROR(__xludf.DUMMYFUNCTION("""COMPUTED_VALUE"""),"User Home")</f>
        <v>User Home</v>
      </c>
      <c r="C7" s="18" t="str">
        <f>IFERROR(__xludf.DUMMYFUNCTION("TEXTJOIN("", "", TRUE, 
  FILTER('Main Report'!A16:A105, 
    ('Main Report'!B16:B105=A4) * ('Main Report'!C16:C105=B7)
  )
)
"),"BR-015")</f>
        <v>BR-015</v>
      </c>
      <c r="D7" s="18">
        <f>IFERROR(__xludf.DUMMYFUNCTION("COUNTA(UNIQUE(TRANSPOSE(SPLIT(C7, "", ""))))
"),1.0)</f>
        <v>1</v>
      </c>
      <c r="E7" s="18" t="str">
        <f>IF(D7="", "", TEXT((D7 / 'Main Report'!$E$7), "0.00%"))
</f>
        <v>2.94%</v>
      </c>
      <c r="F7" s="18" t="str">
        <f>IFERROR(__xludf.DUMMYFUNCTION("IF(C7="""", """", 
   TEXTJOIN("", "", TRUE, 
      ""High: "" &amp; COUNTIF(FILTER('Main Report'!K16:K105, ISNUMBER(MATCH('Main Report'!A16:A105, SPLIT(C7, "", ""), 0))), ""High"") &amp; CHAR(10) &amp;
      ""Medium: "" &amp; COUNTIF(FILTER('Main Report'!K16:K105, ISNU"&amp;"MBER(MATCH('Main Report'!A16:A105, SPLIT(C7, "", ""), 0))), ""Medium"") &amp; CHAR(10) &amp;
      ""Low: "" &amp; COUNTIF(FILTER('Main Report'!K16:K105, ISNUMBER(MATCH('Main Report'!A16:A105, SPLIT(C7, "", ""), 0))), ""Low"")
   )
)
"),"High: 0
Medium: 1
Low: 0")</f>
        <v>High: 0
Medium: 1
Low: 0</v>
      </c>
      <c r="G7" s="20"/>
      <c r="H7" s="20"/>
      <c r="I7" s="20"/>
      <c r="J7" s="20"/>
      <c r="K7" s="20"/>
      <c r="L7" s="20"/>
      <c r="M7" s="20"/>
      <c r="N7" s="20"/>
      <c r="O7" s="20"/>
      <c r="P7" s="20"/>
      <c r="Q7" s="20"/>
      <c r="R7" s="20"/>
      <c r="S7" s="20"/>
      <c r="T7" s="20"/>
      <c r="U7" s="20"/>
      <c r="V7" s="20"/>
      <c r="W7" s="20"/>
      <c r="X7" s="20"/>
      <c r="Y7" s="20"/>
      <c r="Z7" s="20"/>
    </row>
    <row r="8">
      <c r="A8" s="68"/>
      <c r="B8" s="18" t="str">
        <f>IFERROR(__xludf.DUMMYFUNCTION("""COMPUTED_VALUE"""),"User Profile")</f>
        <v>User Profile</v>
      </c>
      <c r="C8" s="18" t="str">
        <f>IFERROR(__xludf.DUMMYFUNCTION("TEXTJOIN("", "", TRUE, 
  FILTER('Main Report'!A17:A106, 
    ('Main Report'!B17:B106=A4) * ('Main Report'!C17:C106=B8)
  )
)
"),"BR-016, BR-017, BR-018, BR-019, BR-020, BR-021")</f>
        <v>BR-016, BR-017, BR-018, BR-019, BR-020, BR-021</v>
      </c>
      <c r="D8" s="18">
        <f>IFERROR(__xludf.DUMMYFUNCTION("COUNTA(UNIQUE(TRANSPOSE(SPLIT(C8, "", ""))))
"),6.0)</f>
        <v>6</v>
      </c>
      <c r="E8" s="18" t="str">
        <f>IF(D8="", "", TEXT((D8 / 'Main Report'!$E$7), "0.00%"))
</f>
        <v>17.65%</v>
      </c>
      <c r="F8" s="18" t="str">
        <f>IFERROR(__xludf.DUMMYFUNCTION("IF(C8="""", """", 
   TEXTJOIN("", "", TRUE, 
      ""High: "" &amp; COUNTIF(FILTER('Main Report'!K17:K106, ISNUMBER(MATCH('Main Report'!A17:A106, SPLIT(C8, "", ""), 0))), ""High"") &amp; CHAR(10) &amp;
      ""Medium: "" &amp; COUNTIF(FILTER('Main Report'!K17:K106, ISNU"&amp;"MBER(MATCH('Main Report'!A17:A106, SPLIT(C8, "", ""), 0))), ""Medium"") &amp; CHAR(10) &amp;
      ""Low: "" &amp; COUNTIF(FILTER('Main Report'!K17:K106, ISNUMBER(MATCH('Main Report'!A17:A106, SPLIT(C8, "", ""), 0))), ""Low"")
   )
)
"),"High: 5
Medium: 1
Low: 0")</f>
        <v>High: 5
Medium: 1
Low: 0</v>
      </c>
      <c r="G8" s="20"/>
      <c r="H8" s="20"/>
      <c r="I8" s="20"/>
      <c r="J8" s="20"/>
      <c r="K8" s="20"/>
      <c r="L8" s="20"/>
      <c r="M8" s="20"/>
      <c r="N8" s="20"/>
      <c r="O8" s="20"/>
      <c r="P8" s="20"/>
      <c r="Q8" s="20"/>
      <c r="R8" s="20"/>
      <c r="S8" s="20"/>
      <c r="T8" s="20"/>
      <c r="U8" s="20"/>
      <c r="V8" s="20"/>
      <c r="W8" s="20"/>
      <c r="X8" s="20"/>
      <c r="Y8" s="20"/>
      <c r="Z8" s="20"/>
    </row>
    <row r="9">
      <c r="A9" s="69" t="str">
        <f>IFERROR(__xludf.DUMMYFUNCTION("""COMPUTED_VALUE"""),"Home")</f>
        <v>Home</v>
      </c>
      <c r="B9" s="18" t="str">
        <f>IFERROR(__xludf.DUMMYFUNCTION("""COMPUTED_VALUE"""),"Contact Us")</f>
        <v>Contact Us</v>
      </c>
      <c r="C9" s="18" t="str">
        <f>IFERROR(__xludf.DUMMYFUNCTION("TEXTJOIN("", "", TRUE, 
  FILTER('Main Report'!A18:A107, 
    ('Main Report'!B18:B107=A9) * ('Main Report'!C18:C107=B9)
  )
)
"),"BR-022")</f>
        <v>BR-022</v>
      </c>
      <c r="D9" s="18">
        <f>IFERROR(__xludf.DUMMYFUNCTION("COUNTA(UNIQUE(TRANSPOSE(SPLIT(C9, "", ""))))
"),1.0)</f>
        <v>1</v>
      </c>
      <c r="E9" s="18" t="str">
        <f>IF(D9="", "", TEXT((D9 / 'Main Report'!$E$7), "0.00%"))
</f>
        <v>2.94%</v>
      </c>
      <c r="F9" s="18" t="str">
        <f>IFERROR(__xludf.DUMMYFUNCTION("IF(C9="""", """", 
   TEXTJOIN("", "", TRUE, 
      ""High: "" &amp; COUNTIF(FILTER('Main Report'!K18:K107, ISNUMBER(MATCH('Main Report'!A18:A107, SPLIT(C9, "", ""), 0))), ""High"") &amp; CHAR(10) &amp;
      ""Medium: "" &amp; COUNTIF(FILTER('Main Report'!K18:K107, ISNU"&amp;"MBER(MATCH('Main Report'!A18:A107, SPLIT(C9, "", ""), 0))), ""Medium"") &amp; CHAR(10) &amp;
      ""Low: "" &amp; COUNTIF(FILTER('Main Report'!K18:K107, ISNUMBER(MATCH('Main Report'!A18:A107, SPLIT(C9, "", ""), 0))), ""Low"")
   )
)
"),"High: 1
Medium: 0
Low: 0")</f>
        <v>High: 1
Medium: 0
Low: 0</v>
      </c>
      <c r="G9" s="20"/>
      <c r="H9" s="20"/>
      <c r="I9" s="20"/>
      <c r="J9" s="20"/>
      <c r="K9" s="20"/>
      <c r="L9" s="20"/>
      <c r="M9" s="20"/>
      <c r="N9" s="20"/>
      <c r="O9" s="20"/>
      <c r="P9" s="20"/>
      <c r="Q9" s="20"/>
      <c r="R9" s="20"/>
      <c r="S9" s="20"/>
      <c r="T9" s="20"/>
      <c r="U9" s="20"/>
      <c r="V9" s="20"/>
      <c r="W9" s="20"/>
      <c r="X9" s="20"/>
      <c r="Y9" s="20"/>
      <c r="Z9" s="20"/>
    </row>
    <row r="10">
      <c r="A10" s="70"/>
      <c r="B10" s="18" t="str">
        <f>IFERROR(__xludf.DUMMYFUNCTION("""COMPUTED_VALUE"""),"Footer")</f>
        <v>Footer</v>
      </c>
      <c r="C10" s="18" t="str">
        <f>IFERROR(__xludf.DUMMYFUNCTION("TEXTJOIN("", "", TRUE, 
  FILTER('Main Report'!A19:A108, 
    ('Main Report'!B19:B108=A9) * ('Main Report'!C19:C108=B10)
  )
)
"),"BR-023, BR-024, BR-025, BR-026")</f>
        <v>BR-023, BR-024, BR-025, BR-026</v>
      </c>
      <c r="D10" s="18">
        <f>IFERROR(__xludf.DUMMYFUNCTION("COUNTA(UNIQUE(TRANSPOSE(SPLIT(C10, "", ""))))
"),4.0)</f>
        <v>4</v>
      </c>
      <c r="E10" s="18" t="str">
        <f>IF(D10="", "", TEXT((D10 / 'Main Report'!$E$7), "0.00%"))
</f>
        <v>11.76%</v>
      </c>
      <c r="F10" s="18" t="str">
        <f>IFERROR(__xludf.DUMMYFUNCTION("IF(C10="""", """", 
   TEXTJOIN("", "", TRUE, 
      ""High: "" &amp; COUNTIF(FILTER('Main Report'!K19:K108, ISNUMBER(MATCH('Main Report'!A19:A108, SPLIT(C10, "", ""), 0))), ""High"") &amp; CHAR(10) &amp;
      ""Medium: "" &amp; COUNTIF(FILTER('Main Report'!K19:K108, IS"&amp;"NUMBER(MATCH('Main Report'!A19:A108, SPLIT(C10, "", ""), 0))), ""Medium"") &amp; CHAR(10) &amp;
      ""Low: "" &amp; COUNTIF(FILTER('Main Report'!K19:K108, ISNUMBER(MATCH('Main Report'!A19:A108, SPLIT(C10, "", ""), 0))), ""Low"")
   )
)
"),"High: 3
Medium: 1
Low: 0")</f>
        <v>High: 3
Medium: 1
Low: 0</v>
      </c>
      <c r="G10" s="20"/>
      <c r="H10" s="20"/>
      <c r="I10" s="20"/>
      <c r="J10" s="20"/>
      <c r="K10" s="20"/>
      <c r="L10" s="20"/>
      <c r="M10" s="20"/>
      <c r="N10" s="20"/>
      <c r="O10" s="20"/>
      <c r="P10" s="20"/>
      <c r="Q10" s="20"/>
      <c r="R10" s="20"/>
      <c r="S10" s="20"/>
      <c r="T10" s="20"/>
      <c r="U10" s="20"/>
      <c r="V10" s="20"/>
      <c r="W10" s="20"/>
      <c r="X10" s="20"/>
      <c r="Y10" s="20"/>
      <c r="Z10" s="20"/>
    </row>
    <row r="11">
      <c r="A11" s="70"/>
      <c r="B11" s="18" t="str">
        <f>IFERROR(__xludf.DUMMYFUNCTION("""COMPUTED_VALUE"""),"Header")</f>
        <v>Header</v>
      </c>
      <c r="C11" s="18" t="str">
        <f>IFERROR(__xludf.DUMMYFUNCTION("TEXTJOIN("", "", TRUE, 
  FILTER('Main Report'!A20:A109, 
    ('Main Report'!B20:B109=A9) * ('Main Report'!C20:C109=B11)
  )
)
"),"BR-027, BR-028")</f>
        <v>BR-027, BR-028</v>
      </c>
      <c r="D11" s="18">
        <f>IFERROR(__xludf.DUMMYFUNCTION("COUNTA(UNIQUE(TRANSPOSE(SPLIT(C11, "", ""))))
"),2.0)</f>
        <v>2</v>
      </c>
      <c r="E11" s="18" t="str">
        <f>IF(D11="", "", TEXT((D11 / 'Main Report'!$E$7), "0.00%"))
</f>
        <v>5.88%</v>
      </c>
      <c r="F11" s="18" t="str">
        <f>IFERROR(__xludf.DUMMYFUNCTION("IF(C11="""", """", 
   TEXTJOIN("", "", TRUE, 
      ""High: "" &amp; COUNTIF(FILTER('Main Report'!K20:K109, ISNUMBER(MATCH('Main Report'!A20:A109, SPLIT(C11, "", ""), 0))), ""High"") &amp; CHAR(10) &amp;
      ""Medium: "" &amp; COUNTIF(FILTER('Main Report'!K20:K109, IS"&amp;"NUMBER(MATCH('Main Report'!A20:A109, SPLIT(C11, "", ""), 0))), ""Medium"") &amp; CHAR(10) &amp;
      ""Low: "" &amp; COUNTIF(FILTER('Main Report'!K20:K109, ISNUMBER(MATCH('Main Report'!A20:A109, SPLIT(C11, "", ""), 0))), ""Low"")
   )
)
"),"High: 0
Medium: 0
Low: 2")</f>
        <v>High: 0
Medium: 0
Low: 2</v>
      </c>
      <c r="G11" s="20"/>
      <c r="H11" s="20"/>
      <c r="I11" s="20"/>
      <c r="J11" s="20"/>
      <c r="K11" s="20"/>
      <c r="L11" s="20"/>
      <c r="M11" s="20"/>
      <c r="N11" s="20"/>
      <c r="O11" s="20"/>
      <c r="P11" s="20"/>
      <c r="Q11" s="20"/>
      <c r="R11" s="20"/>
      <c r="S11" s="20"/>
      <c r="T11" s="20"/>
      <c r="U11" s="20"/>
      <c r="V11" s="20"/>
      <c r="W11" s="20"/>
      <c r="X11" s="20"/>
      <c r="Y11" s="20"/>
      <c r="Z11" s="20"/>
    </row>
    <row r="12">
      <c r="A12" s="70"/>
      <c r="B12" s="18" t="str">
        <f>IFERROR(__xludf.DUMMYFUNCTION("""COMPUTED_VALUE"""),"Home")</f>
        <v>Home</v>
      </c>
      <c r="C12" s="18" t="str">
        <f>IFERROR(__xludf.DUMMYFUNCTION("TEXTJOIN("", "", TRUE, 
  FILTER('Main Report'!A21:A110, 
    ('Main Report'!B21:B110=A9) * ('Main Report'!C21:C110=B12)
  )
)
"),"BR-029, BR-030, BR-031, BR-032")</f>
        <v>BR-029, BR-030, BR-031, BR-032</v>
      </c>
      <c r="D12" s="18">
        <f>IFERROR(__xludf.DUMMYFUNCTION("COUNTA(UNIQUE(TRANSPOSE(SPLIT(C12, "", ""))))
"),4.0)</f>
        <v>4</v>
      </c>
      <c r="E12" s="18" t="str">
        <f>IF(D12="", "", TEXT((D12 / 'Main Report'!$E$7), "0.00%"))
</f>
        <v>11.76%</v>
      </c>
      <c r="F12" s="18" t="str">
        <f>IFERROR(__xludf.DUMMYFUNCTION("IF(C12="""", """", 
   TEXTJOIN("", "", TRUE, 
      ""High: "" &amp; COUNTIF(FILTER('Main Report'!K21:K110, ISNUMBER(MATCH('Main Report'!A21:A110, SPLIT(C12, "", ""), 0))), ""High"") &amp; CHAR(10) &amp;
      ""Medium: "" &amp; COUNTIF(FILTER('Main Report'!K21:K110, IS"&amp;"NUMBER(MATCH('Main Report'!A21:A110, SPLIT(C12, "", ""), 0))), ""Medium"") &amp; CHAR(10) &amp;
      ""Low: "" &amp; COUNTIF(FILTER('Main Report'!K21:K110, ISNUMBER(MATCH('Main Report'!A21:A110, SPLIT(C12, "", ""), 0))), ""Low"")
   )
)
"),"High: 0
Medium: 3
Low: 1")</f>
        <v>High: 0
Medium: 3
Low: 1</v>
      </c>
      <c r="G12" s="20"/>
      <c r="H12" s="20"/>
      <c r="I12" s="20"/>
      <c r="J12" s="20"/>
      <c r="K12" s="20"/>
      <c r="L12" s="20"/>
      <c r="M12" s="20"/>
      <c r="N12" s="20"/>
      <c r="O12" s="20"/>
      <c r="P12" s="20"/>
      <c r="Q12" s="20"/>
      <c r="R12" s="20"/>
      <c r="S12" s="20"/>
      <c r="T12" s="20"/>
      <c r="U12" s="20"/>
      <c r="V12" s="20"/>
      <c r="W12" s="20"/>
      <c r="X12" s="20"/>
      <c r="Y12" s="20"/>
      <c r="Z12" s="20"/>
    </row>
    <row r="13">
      <c r="A13" s="68"/>
      <c r="B13" s="18" t="str">
        <f>IFERROR(__xludf.DUMMYFUNCTION("""COMPUTED_VALUE"""),"Packages")</f>
        <v>Packages</v>
      </c>
      <c r="C13" s="18" t="str">
        <f>IFERROR(__xludf.DUMMYFUNCTION("TEXTJOIN("", "", TRUE, 
  FILTER('Main Report'!A22:A111, 
    ('Main Report'!B22:B111=A9) * ('Main Report'!C22:C111=B13)
  )
)
"),"BR-033, BR-034")</f>
        <v>BR-033, BR-034</v>
      </c>
      <c r="D13" s="18">
        <f>IFERROR(__xludf.DUMMYFUNCTION("COUNTA(UNIQUE(TRANSPOSE(SPLIT(C13, "", ""))))
"),2.0)</f>
        <v>2</v>
      </c>
      <c r="E13" s="18" t="str">
        <f>IF(D13="", "", TEXT((D13 / 'Main Report'!$E$7), "0.00%"))
</f>
        <v>5.88%</v>
      </c>
      <c r="F13" s="18" t="str">
        <f>IFERROR(__xludf.DUMMYFUNCTION("IF(C13="""", """", 
   TEXTJOIN("", "", TRUE, 
      ""High: "" &amp; COUNTIF(FILTER('Main Report'!K22:K111, ISNUMBER(MATCH('Main Report'!A22:A111, SPLIT(C13, "", ""), 0))), ""High"") &amp; CHAR(10) &amp;
      ""Medium: "" &amp; COUNTIF(FILTER('Main Report'!K22:K111, IS"&amp;"NUMBER(MATCH('Main Report'!A22:A111, SPLIT(C13, "", ""), 0))), ""Medium"") &amp; CHAR(10) &amp;
      ""Low: "" &amp; COUNTIF(FILTER('Main Report'!K22:K111, ISNUMBER(MATCH('Main Report'!A22:A111, SPLIT(C13, "", ""), 0))), ""Low"")
   )
)
"),"High: 2
Medium: 0
Low: 0")</f>
        <v>High: 2
Medium: 0
Low: 0</v>
      </c>
      <c r="G13" s="20"/>
      <c r="H13" s="20"/>
      <c r="I13" s="20"/>
      <c r="J13" s="20"/>
      <c r="K13" s="20"/>
      <c r="L13" s="20"/>
      <c r="M13" s="20"/>
      <c r="N13" s="20"/>
      <c r="O13" s="20"/>
      <c r="P13" s="20"/>
      <c r="Q13" s="20"/>
      <c r="R13" s="20"/>
      <c r="S13" s="20"/>
      <c r="T13" s="20"/>
      <c r="U13" s="20"/>
      <c r="V13" s="20"/>
      <c r="W13" s="20"/>
      <c r="X13" s="20"/>
      <c r="Y13" s="20"/>
      <c r="Z13" s="20"/>
    </row>
    <row r="14">
      <c r="A14" s="20"/>
      <c r="B14" s="20"/>
      <c r="C14" s="20" t="str">
        <f>IFERROR(__xludf.DUMMYFUNCTION("TEXTJOIN("", "", TRUE, 
  FILTER('Main Report'!A23:A112, 
    ('Main Report'!B23:B112=A14) * ('Main Report'!C23:C112=B14)
  )
)
"),"")</f>
        <v/>
      </c>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t="str">
        <f>IFERROR(__xludf.DUMMYFUNCTION("TEXTJOIN("", "", TRUE, 
  FILTER('Main Report'!A24:A113, 
    ('Main Report'!B24:B113=A15) * ('Main Report'!C24:C113=B15)
  )
)
"),"")</f>
        <v/>
      </c>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t="str">
        <f>IFERROR(__xludf.DUMMYFUNCTION("TEXTJOIN("", "", TRUE, 
  FILTER('Main Report'!A25:A114, 
    ('Main Report'!B25:B114=A16) * ('Main Report'!C25:C114=B16)
  )
)
"),"")</f>
        <v/>
      </c>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t="str">
        <f>IFERROR(__xludf.DUMMYFUNCTION("TEXTJOIN("", "", TRUE, 
  FILTER('Main Report'!A26:A115, 
    ('Main Report'!B26:B115=A17) * ('Main Report'!C26:C115=B17)
  )
)
"),"")</f>
        <v/>
      </c>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t="str">
        <f>IFERROR(__xludf.DUMMYFUNCTION("TEXTJOIN("", "", TRUE, 
  FILTER('Main Report'!A27:A116, 
    ('Main Report'!B27:B116=A18) * ('Main Report'!C27:C116=B18)
  )
)
"),"")</f>
        <v/>
      </c>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t="str">
        <f>IFERROR(__xludf.DUMMYFUNCTION("TEXTJOIN("", "", TRUE, 
  FILTER('Main Report'!A28:A117, 
    ('Main Report'!B28:B117=A19) * ('Main Report'!C28:C117=B19)
  )
)
"),"")</f>
        <v/>
      </c>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3">
    <mergeCell ref="A2:A3"/>
    <mergeCell ref="A4:A8"/>
    <mergeCell ref="A9:A1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18.5"/>
    <col customWidth="1" min="3" max="3" width="13.88"/>
    <col customWidth="1" min="4" max="4" width="14.13"/>
    <col customWidth="1" min="5" max="5" width="14.88"/>
  </cols>
  <sheetData>
    <row r="1">
      <c r="A1" s="71" t="s">
        <v>18</v>
      </c>
      <c r="B1" s="71" t="s">
        <v>19</v>
      </c>
      <c r="C1" s="71" t="s">
        <v>358</v>
      </c>
      <c r="D1" s="71" t="s">
        <v>359</v>
      </c>
      <c r="E1" s="71" t="s">
        <v>360</v>
      </c>
      <c r="F1" s="72" t="s">
        <v>361</v>
      </c>
      <c r="G1" s="73"/>
      <c r="H1" s="73"/>
      <c r="I1" s="73"/>
      <c r="J1" s="73"/>
      <c r="K1" s="73"/>
      <c r="L1" s="73"/>
      <c r="M1" s="73"/>
      <c r="N1" s="73"/>
      <c r="O1" s="73"/>
      <c r="P1" s="73"/>
      <c r="Q1" s="73"/>
      <c r="R1" s="73"/>
      <c r="S1" s="73"/>
      <c r="T1" s="73"/>
      <c r="U1" s="73"/>
      <c r="V1" s="73"/>
      <c r="W1" s="73"/>
      <c r="X1" s="73"/>
      <c r="Y1" s="73"/>
      <c r="Z1" s="73"/>
      <c r="AA1" s="73"/>
    </row>
    <row r="2" ht="140.25" customHeight="1">
      <c r="A2" s="74" t="str">
        <f>IFERROR(__xludf.DUMMYFUNCTION("UNIQUE(FILTER('Main Report'!B11:B1000, 'Main Report'!B11:B1000 &lt;&gt; """"))"),"#REF!")</f>
        <v>#REF!</v>
      </c>
      <c r="B2" s="10" t="str">
        <f>IFERROR(__xludf.DUMMYFUNCTION("UNIQUE(FILTER('Main Report'!C11:C1000, 'Main Report'!C11:C1000 &lt;&gt; """"))"),"Forgot Password")</f>
        <v>Forgot Password</v>
      </c>
      <c r="C2" s="10" t="str">
        <f>IFERROR(__xludf.DUMMYFUNCTION("IFERROR(TEXTJOIN("", "", TRUE, FILTER('Main Report'!$A$11:$A1000, 'Main Report'!$C$11:$C1000 = B2)), """")
"),"BR-001, BR-002")</f>
        <v>BR-001, BR-002</v>
      </c>
      <c r="D2" s="75" t="str">
        <f>IF(COUNTIFS('Main Report'!$B$11:$B1000, A2, 'Main Report'!$K$11:$K1000, "&lt;&gt;")=0, "", COUNTIFS('Main Report'!$B$11:$B1000, A2, 'Main Report'!$K$11:$K1000, "&lt;&gt;"))
</f>
        <v/>
      </c>
      <c r="E2" s="75" t="str">
        <f>IF(OR(D2=0, 'Main Report'!$E$7=0), "", TEXT(D2 / 'Main Report'!$E$7 * 100, "0.00") &amp; "%")
</f>
        <v>0.00%</v>
      </c>
      <c r="F2" s="76" t="str">
        <f>"High: " &amp; COUNTIFS('Main Report'!B11:B1000, A2, 'Main Report'!K11:K1000, "High") &amp; CHAR(10) &amp;
"Medium: " &amp; COUNTIFS('Main Report'!B11:B1000, A2, 'Main Report'!K11:K1000, "Medium") &amp; CHAR(10) &amp;
"Low: " &amp; COUNTIFS('Main Report'!B11:B1000, A2, 'Main Report'!K11:K1000, "Low")</f>
        <v>High: 0
Medium: 0
Low: 0</v>
      </c>
      <c r="G2" s="73" t="s">
        <v>362</v>
      </c>
      <c r="H2" s="73"/>
      <c r="I2" s="73"/>
      <c r="J2" s="73"/>
      <c r="K2" s="73"/>
      <c r="L2" s="73"/>
      <c r="M2" s="73"/>
      <c r="N2" s="73"/>
      <c r="O2" s="73"/>
      <c r="P2" s="73"/>
      <c r="Q2" s="73"/>
      <c r="R2" s="73"/>
      <c r="S2" s="73"/>
      <c r="T2" s="73"/>
      <c r="U2" s="73"/>
      <c r="V2" s="73"/>
      <c r="W2" s="73"/>
      <c r="X2" s="73"/>
      <c r="Y2" s="73"/>
      <c r="Z2" s="73"/>
      <c r="AA2" s="73"/>
    </row>
    <row r="3" ht="87.75" customHeight="1">
      <c r="A3" s="70"/>
      <c r="B3" s="10" t="str">
        <f>IFERROR(__xludf.DUMMYFUNCTION("""COMPUTED_VALUE"""),"Registration")</f>
        <v>Registration</v>
      </c>
      <c r="C3" s="10" t="str">
        <f>IFERROR(__xludf.DUMMYFUNCTION("IFERROR(TEXTJOIN("", "", TRUE, FILTER('Main Report'!$A$11:$A1000, 'Main Report'!$C$11:$C1000 = B3)), """")
"),"BR-003, BR-004, BR-005, BR-006, BR-007")</f>
        <v>BR-003, BR-004, BR-005, BR-006, BR-007</v>
      </c>
      <c r="D3" s="75">
        <f>IF(COUNTIFS('Main Report'!$B$11:$B1000, A4, 'Main Report'!$K$11:$K1000, "&lt;&gt;")=0, "", COUNTIFS('Main Report'!$B$11:$B1000, A4, 'Main Report'!$K$11:$K1000, "&lt;&gt;"))
</f>
        <v>13</v>
      </c>
      <c r="E3" s="75" t="str">
        <f>IF(OR(D3=0, 'Main Report'!$E$7=0), "", TEXT(D3 / 'Main Report'!$E$7 * 100, "0.00") &amp; "%")
</f>
        <v>38.24%</v>
      </c>
      <c r="F3" s="76" t="str">
        <f>"High: " &amp; COUNTIFS('Main Report'!B12:B1000, A4, 'Main Report'!K12:K1000, "High") &amp; CHAR(10) &amp;
"Medium: " &amp; COUNTIFS('Main Report'!B12:B1000, A4, 'Main Report'!K12:K1000, "Medium") &amp; CHAR(10) &amp;
"Low: " &amp; COUNTIFS('Main Report'!B12:B1000, A4, 'Main Report'!K12:K1000, "Low")</f>
        <v>High: 6
Medium: 4
Low: 3</v>
      </c>
      <c r="G3" s="73" t="str">
        <f>IFERROR(__xludf.DUMMYFUNCTION("TEXTJOIN("", "", TRUE, UNIQUE(FILTER('Main Report'!P12:P1000, 'Main Report'!B12:B1000 = A4)))
"),"")</f>
        <v/>
      </c>
      <c r="H3" s="73"/>
      <c r="I3" s="73"/>
      <c r="J3" s="73"/>
      <c r="K3" s="73"/>
      <c r="L3" s="73"/>
      <c r="M3" s="73"/>
      <c r="N3" s="73"/>
      <c r="O3" s="73"/>
      <c r="P3" s="73"/>
      <c r="Q3" s="73"/>
      <c r="R3" s="73"/>
      <c r="S3" s="73"/>
      <c r="T3" s="73"/>
      <c r="U3" s="73"/>
      <c r="V3" s="73"/>
      <c r="W3" s="73"/>
      <c r="X3" s="73"/>
      <c r="Y3" s="73"/>
      <c r="Z3" s="73"/>
      <c r="AA3" s="73"/>
    </row>
    <row r="4" ht="79.5" customHeight="1">
      <c r="A4" s="77" t="s">
        <v>72</v>
      </c>
      <c r="B4" s="10" t="str">
        <f>IFERROR(__xludf.DUMMYFUNCTION("""COMPUTED_VALUE"""),"Company Profile")</f>
        <v>Company Profile</v>
      </c>
      <c r="C4" s="10" t="str">
        <f>IFERROR(__xludf.DUMMYFUNCTION("IFERROR(TEXTJOIN("", "", TRUE, FILTER('Main Report'!$A$11:$A1000, 'Main Report'!$C$11:$C1000 = B4)), """")
"),"BR-008, BR-009, BR-010, BR-011")</f>
        <v>BR-008, BR-009, BR-010, BR-011</v>
      </c>
      <c r="D4" s="75">
        <f>IF(COUNTIFS('Main Report'!$B$11:$B1000, A4:A5, 'Main Report'!$K$11:$K1000, "&lt;&gt;")=0, "", COUNTIFS('Main Report'!$B$11:$B1000, A4:A5, 'Main Report'!$K$11:$K1000, "&lt;&gt;"))
</f>
        <v>13</v>
      </c>
      <c r="E4" s="75" t="str">
        <f>IF(OR(D4=0, 'Main Report'!$E$7=0), "", TEXT(D4 / 'Main Report'!$E$7 * 100, "0.00") &amp; "%")
</f>
        <v>38.24%</v>
      </c>
      <c r="F4" s="76" t="str">
        <f>"High: " &amp; COUNTIFS('Main Report'!B13:B1000, #REF!, 'Main Report'!K13:K1000, "High") &amp; CHAR(10) &amp;
"Medium: " &amp; COUNTIFS('Main Report'!B13:B1000, #REF!, 'Main Report'!K13:K1000, "Medium") &amp; CHAR(10) &amp;
"Low: " &amp; COUNTIFS('Main Report'!B13:B1000, #REF!, 'Main Report'!K13:K1000, "Low")</f>
        <v>High: 0
Medium: 0
Low: 0</v>
      </c>
      <c r="G4" s="73" t="str">
        <f>IFERROR(__xludf.DUMMYFUNCTION("TEXTJOIN("", "", TRUE, UNIQUE(FILTER('Main Report'!P13:P1000, 'Main Report'!B13:B1000 = #REF!)))
"),"#N/A")</f>
        <v>#N/A</v>
      </c>
      <c r="H4" s="73"/>
      <c r="I4" s="73"/>
      <c r="J4" s="73"/>
      <c r="K4" s="73"/>
      <c r="L4" s="73"/>
      <c r="M4" s="73"/>
      <c r="N4" s="73"/>
      <c r="O4" s="73"/>
      <c r="P4" s="73"/>
      <c r="Q4" s="73"/>
      <c r="R4" s="73"/>
      <c r="S4" s="73"/>
      <c r="T4" s="73"/>
      <c r="U4" s="73"/>
      <c r="V4" s="73"/>
      <c r="W4" s="73"/>
      <c r="X4" s="73"/>
      <c r="Y4" s="73"/>
      <c r="Z4" s="73"/>
      <c r="AA4" s="73"/>
    </row>
    <row r="5">
      <c r="A5" s="68"/>
      <c r="B5" s="10" t="str">
        <f>IFERROR(__xludf.DUMMYFUNCTION("""COMPUTED_VALUE"""),"File Management")</f>
        <v>File Management</v>
      </c>
      <c r="C5" s="10" t="str">
        <f>IFERROR(__xludf.DUMMYFUNCTION("IFERROR(TEXTJOIN("", "", TRUE, FILTER('Main Report'!$A$11:$A1000, 'Main Report'!$C$11:$C1000 = B5)), """")
"),"BR-012")</f>
        <v>BR-012</v>
      </c>
      <c r="D5" s="75" t="str">
        <f>IF(COUNTIFS('Main Report'!$B$11:$B1000, A5, 'Main Report'!$K$11:$K1000, "&lt;&gt;")=0, "", COUNTIFS('Main Report'!$B$11:$B1000, A4, 'Main Report'!$K$11:$K1000, "&lt;&gt;"))
</f>
        <v/>
      </c>
      <c r="E5" s="75" t="str">
        <f>IF(OR(D5=0, 'Main Report'!$E$7=0), "", TEXT(D5 / 'Main Report'!$E$7 * 100, "0.00") &amp; "%")
</f>
        <v>0.00%</v>
      </c>
      <c r="F5" s="78"/>
      <c r="G5" s="73"/>
      <c r="H5" s="73"/>
      <c r="I5" s="73"/>
      <c r="J5" s="73"/>
      <c r="K5" s="73"/>
      <c r="L5" s="73"/>
      <c r="M5" s="73"/>
      <c r="N5" s="73"/>
      <c r="O5" s="73"/>
      <c r="P5" s="73"/>
      <c r="Q5" s="73"/>
      <c r="R5" s="73"/>
      <c r="S5" s="73"/>
      <c r="T5" s="73"/>
      <c r="U5" s="73"/>
      <c r="V5" s="73"/>
      <c r="W5" s="73"/>
      <c r="X5" s="73"/>
      <c r="Y5" s="73"/>
      <c r="Z5" s="73"/>
      <c r="AA5" s="73"/>
    </row>
    <row r="6">
      <c r="A6" s="79"/>
      <c r="B6" s="10" t="str">
        <f>IFERROR(__xludf.DUMMYFUNCTION("""COMPUTED_VALUE"""),"User Dashboard")</f>
        <v>User Dashboard</v>
      </c>
      <c r="C6" s="10" t="str">
        <f>IFERROR(__xludf.DUMMYFUNCTION("IFERROR(TEXTJOIN("", "", TRUE, FILTER('Main Report'!$A$11:$A1000, 'Main Report'!$C$11:$C1000 = B6)), """")
"),"BR-013, BR-014")</f>
        <v>BR-013, BR-014</v>
      </c>
      <c r="D6" s="75" t="str">
        <f>IF(COUNTIFS('Main Report'!$B$11:$B1000, A6, 'Main Report'!$K$11:$K1000, "&lt;&gt;")=0, "", COUNTIFS('Main Report'!$B$11:$B1000, A6, 'Main Report'!$K$11:$K1000, "&lt;&gt;"))
</f>
        <v/>
      </c>
      <c r="E6" s="75" t="str">
        <f>IF(OR(D6=0, 'Main Report'!$E$7=0), "", TEXT(D6 / 'Main Report'!$E$7 * 100, "0.00") &amp; "%")
</f>
        <v>0.00%</v>
      </c>
      <c r="F6" s="78"/>
      <c r="G6" s="73"/>
      <c r="H6" s="73"/>
      <c r="I6" s="73"/>
      <c r="J6" s="73"/>
      <c r="K6" s="73"/>
      <c r="L6" s="73"/>
      <c r="M6" s="73"/>
      <c r="N6" s="73"/>
      <c r="O6" s="73"/>
      <c r="P6" s="73"/>
      <c r="Q6" s="73"/>
      <c r="R6" s="73"/>
      <c r="S6" s="73"/>
      <c r="T6" s="73"/>
      <c r="U6" s="73"/>
      <c r="V6" s="73"/>
      <c r="W6" s="73"/>
      <c r="X6" s="73"/>
      <c r="Y6" s="73"/>
      <c r="Z6" s="73"/>
      <c r="AA6" s="73"/>
    </row>
    <row r="7">
      <c r="A7" s="79"/>
      <c r="B7" s="10" t="str">
        <f>IFERROR(__xludf.DUMMYFUNCTION("""COMPUTED_VALUE"""),"User Home")</f>
        <v>User Home</v>
      </c>
      <c r="C7" s="10" t="str">
        <f>IFERROR(__xludf.DUMMYFUNCTION("IFERROR(TEXTJOIN("", "", TRUE, FILTER('Main Report'!$A$11:$A1000, 'Main Report'!$C$11:$C1000 = B7)), """")
"),"BR-015")</f>
        <v>BR-015</v>
      </c>
      <c r="D7" s="75" t="str">
        <f>IF(COUNTIFS('Main Report'!$B$11:$B1000, A7, 'Main Report'!$K$11:$K1000, "&lt;&gt;")=0, "", COUNTIFS('Main Report'!$B$11:$B1000, A7, 'Main Report'!$K$11:$K1000, "&lt;&gt;"))
</f>
        <v/>
      </c>
      <c r="E7" s="75" t="str">
        <f>IF(OR(D7=0, 'Main Report'!$E$7=0), "", TEXT(D7 / 'Main Report'!$E$7 * 100, "0.00") &amp; "%")
</f>
        <v>0.00%</v>
      </c>
      <c r="F7" s="78"/>
      <c r="G7" s="73"/>
      <c r="H7" s="73"/>
      <c r="I7" s="73"/>
      <c r="J7" s="73"/>
      <c r="K7" s="73"/>
      <c r="L7" s="73"/>
      <c r="M7" s="73"/>
      <c r="N7" s="73"/>
      <c r="O7" s="73"/>
      <c r="P7" s="73"/>
      <c r="Q7" s="73"/>
      <c r="R7" s="73"/>
      <c r="S7" s="73"/>
      <c r="T7" s="73"/>
      <c r="U7" s="73"/>
      <c r="V7" s="73"/>
      <c r="W7" s="73"/>
      <c r="X7" s="73"/>
      <c r="Y7" s="73"/>
      <c r="Z7" s="73"/>
      <c r="AA7" s="73"/>
    </row>
    <row r="8">
      <c r="A8" s="79"/>
      <c r="B8" s="10" t="str">
        <f>IFERROR(__xludf.DUMMYFUNCTION("""COMPUTED_VALUE"""),"User Profile")</f>
        <v>User Profile</v>
      </c>
      <c r="C8" s="10" t="str">
        <f>IFERROR(__xludf.DUMMYFUNCTION("IFERROR(TEXTJOIN("", "", TRUE, FILTER('Main Report'!$A$11:$A1000, 'Main Report'!$C$11:$C1000 = B8)), """")
"),"BR-016, BR-017, BR-018, BR-019, BR-020, BR-021")</f>
        <v>BR-016, BR-017, BR-018, BR-019, BR-020, BR-021</v>
      </c>
      <c r="D8" s="75" t="str">
        <f>IF(COUNTIFS('Main Report'!$B$11:$B1000, A8, 'Main Report'!$K$11:$K1000, "&lt;&gt;")=0, "", COUNTIFS('Main Report'!$B$11:$B1000, A8, 'Main Report'!$K$11:$K1000, "&lt;&gt;"))
</f>
        <v/>
      </c>
      <c r="E8" s="75" t="str">
        <f>IF(OR(D8=0, 'Main Report'!$E$7=0), "", TEXT(D8 / 'Main Report'!$E$7 * 100, "0.00") &amp; "%")
</f>
        <v>0.00%</v>
      </c>
      <c r="F8" s="78"/>
      <c r="G8" s="73"/>
      <c r="H8" s="73"/>
      <c r="I8" s="73"/>
      <c r="J8" s="73"/>
      <c r="K8" s="73"/>
      <c r="L8" s="73"/>
      <c r="M8" s="73"/>
      <c r="N8" s="73"/>
      <c r="O8" s="73"/>
      <c r="P8" s="73"/>
      <c r="Q8" s="73"/>
      <c r="R8" s="73"/>
      <c r="S8" s="73"/>
      <c r="T8" s="73"/>
      <c r="U8" s="73"/>
      <c r="V8" s="73"/>
      <c r="W8" s="73"/>
      <c r="X8" s="73"/>
      <c r="Y8" s="73"/>
      <c r="Z8" s="73"/>
      <c r="AA8" s="73"/>
    </row>
    <row r="9">
      <c r="A9" s="79"/>
      <c r="B9" s="10" t="str">
        <f>IFERROR(__xludf.DUMMYFUNCTION("""COMPUTED_VALUE"""),"Contact Us")</f>
        <v>Contact Us</v>
      </c>
      <c r="C9" s="10" t="str">
        <f>IFERROR(__xludf.DUMMYFUNCTION("IFERROR(TEXTJOIN("", "", TRUE, FILTER('Main Report'!$A$11:$A1000, 'Main Report'!$C$11:$C1000 = B9)), """")
"),"BR-022")</f>
        <v>BR-022</v>
      </c>
      <c r="D9" s="75" t="str">
        <f>IF(COUNTIFS('Main Report'!$B$11:$B1000, A9, 'Main Report'!$K$11:$K1000, "&lt;&gt;")=0, "", COUNTIFS('Main Report'!$B$11:$B1000, A9, 'Main Report'!$K$11:$K1000, "&lt;&gt;"))
</f>
        <v/>
      </c>
      <c r="E9" s="75" t="str">
        <f>IF(OR(D9=0, 'Main Report'!$E$7=0), "", TEXT(D9 / 'Main Report'!$E$7 * 100, "0.00") &amp; "%")
</f>
        <v>0.00%</v>
      </c>
      <c r="F9" s="78"/>
      <c r="G9" s="73"/>
      <c r="H9" s="73"/>
      <c r="I9" s="73"/>
      <c r="J9" s="73"/>
      <c r="K9" s="73"/>
      <c r="L9" s="73"/>
      <c r="M9" s="73"/>
      <c r="N9" s="73"/>
      <c r="O9" s="73"/>
      <c r="P9" s="73"/>
      <c r="Q9" s="73"/>
      <c r="R9" s="73"/>
      <c r="S9" s="73"/>
      <c r="T9" s="73"/>
      <c r="U9" s="73"/>
      <c r="V9" s="73"/>
      <c r="W9" s="73"/>
      <c r="X9" s="73"/>
      <c r="Y9" s="73"/>
      <c r="Z9" s="73"/>
      <c r="AA9" s="73"/>
    </row>
    <row r="10">
      <c r="A10" s="79"/>
      <c r="B10" s="10" t="str">
        <f>IFERROR(__xludf.DUMMYFUNCTION("""COMPUTED_VALUE"""),"Footer")</f>
        <v>Footer</v>
      </c>
      <c r="C10" s="10" t="str">
        <f>IFERROR(__xludf.DUMMYFUNCTION("IFERROR(TEXTJOIN("", "", TRUE, FILTER('Main Report'!$A$11:$A1000, 'Main Report'!$C$11:$C1000 = B10)), """")
"),"BR-023, BR-024, BR-025, BR-026")</f>
        <v>BR-023, BR-024, BR-025, BR-026</v>
      </c>
      <c r="D10" s="75" t="str">
        <f>IF(COUNTIFS('Main Report'!$B$11:$B1000, A10, 'Main Report'!$K$11:$K1000, "&lt;&gt;")=0, "", COUNTIFS('Main Report'!$B$11:$B1000, A10, 'Main Report'!$K$11:$K1000, "&lt;&gt;"))
</f>
        <v/>
      </c>
      <c r="E10" s="75" t="str">
        <f>IF(OR(D10=0, 'Main Report'!$E$7=0), "", TEXT(D10 / 'Main Report'!$E$7 * 100, "0.00") &amp; "%")
</f>
        <v>0.00%</v>
      </c>
      <c r="F10" s="78"/>
      <c r="G10" s="73"/>
      <c r="H10" s="73"/>
      <c r="I10" s="73"/>
      <c r="J10" s="73"/>
      <c r="K10" s="73"/>
      <c r="L10" s="73"/>
      <c r="M10" s="73"/>
      <c r="N10" s="73"/>
      <c r="O10" s="73"/>
      <c r="P10" s="73"/>
      <c r="Q10" s="73"/>
      <c r="R10" s="73"/>
      <c r="S10" s="73"/>
      <c r="T10" s="73"/>
      <c r="U10" s="73"/>
      <c r="V10" s="73"/>
      <c r="W10" s="73"/>
      <c r="X10" s="73"/>
      <c r="Y10" s="73"/>
      <c r="Z10" s="73"/>
      <c r="AA10" s="73"/>
    </row>
    <row r="11">
      <c r="A11" s="79"/>
      <c r="B11" s="10" t="str">
        <f>IFERROR(__xludf.DUMMYFUNCTION("""COMPUTED_VALUE"""),"Header")</f>
        <v>Header</v>
      </c>
      <c r="C11" s="10" t="str">
        <f>IFERROR(__xludf.DUMMYFUNCTION("IFERROR(TEXTJOIN("", "", TRUE, FILTER('Main Report'!$A$11:$A1000, 'Main Report'!$C$11:$C1000 = B11)), """")
"),"BR-027, BR-028")</f>
        <v>BR-027, BR-028</v>
      </c>
      <c r="D11" s="75" t="str">
        <f>IF(COUNTIFS('Main Report'!$B$11:$B1000, A11, 'Main Report'!$K$11:$K1000, "&lt;&gt;")=0, "", COUNTIFS('Main Report'!$B$11:$B1000, A11, 'Main Report'!$K$11:$K1000, "&lt;&gt;"))
</f>
        <v/>
      </c>
      <c r="E11" s="75" t="str">
        <f>IF(OR(D11=0, 'Main Report'!$E$7=0), "", TEXT(D11 / 'Main Report'!$E$7 * 100, "0.00") &amp; "%")
</f>
        <v>0.00%</v>
      </c>
      <c r="F11" s="78"/>
      <c r="G11" s="73"/>
      <c r="H11" s="73"/>
      <c r="I11" s="73"/>
      <c r="J11" s="73"/>
      <c r="K11" s="73"/>
      <c r="L11" s="73"/>
      <c r="M11" s="73"/>
      <c r="N11" s="73"/>
      <c r="O11" s="73"/>
      <c r="P11" s="73"/>
      <c r="Q11" s="73"/>
      <c r="R11" s="73"/>
      <c r="S11" s="73"/>
      <c r="T11" s="73"/>
      <c r="U11" s="73"/>
      <c r="V11" s="73"/>
      <c r="W11" s="73"/>
      <c r="X11" s="73"/>
      <c r="Y11" s="73"/>
      <c r="Z11" s="73"/>
      <c r="AA11" s="73"/>
    </row>
    <row r="12">
      <c r="A12" s="79"/>
      <c r="B12" s="10" t="str">
        <f>IFERROR(__xludf.DUMMYFUNCTION("""COMPUTED_VALUE"""),"Home")</f>
        <v>Home</v>
      </c>
      <c r="C12" s="10" t="str">
        <f>IFERROR(__xludf.DUMMYFUNCTION("IFERROR(TEXTJOIN("", "", TRUE, FILTER('Main Report'!$A$11:$A1000, 'Main Report'!$C$11:$C1000 = B12)), """")
"),"BR-029, BR-030, BR-031, BR-032")</f>
        <v>BR-029, BR-030, BR-031, BR-032</v>
      </c>
      <c r="D12" s="75" t="str">
        <f>IF(COUNTIFS('Main Report'!$B$11:$B1000, A12, 'Main Report'!$K$11:$K1000, "&lt;&gt;")=0, "", COUNTIFS('Main Report'!$B$11:$B1000, A12, 'Main Report'!$K$11:$K1000, "&lt;&gt;"))
</f>
        <v/>
      </c>
      <c r="E12" s="75" t="str">
        <f>IF(OR(D12=0, 'Main Report'!$E$7=0), "", TEXT(D12 / 'Main Report'!$E$7 * 100, "0.00") &amp; "%")
</f>
        <v>0.00%</v>
      </c>
      <c r="F12" s="78"/>
      <c r="G12" s="73"/>
      <c r="H12" s="73"/>
      <c r="I12" s="73"/>
      <c r="J12" s="73"/>
      <c r="K12" s="73"/>
      <c r="L12" s="73"/>
      <c r="M12" s="73"/>
      <c r="N12" s="73"/>
      <c r="O12" s="73"/>
      <c r="P12" s="73"/>
      <c r="Q12" s="73"/>
      <c r="R12" s="73"/>
      <c r="S12" s="73"/>
      <c r="T12" s="73"/>
      <c r="U12" s="73"/>
      <c r="V12" s="73"/>
      <c r="W12" s="73"/>
      <c r="X12" s="73"/>
      <c r="Y12" s="73"/>
      <c r="Z12" s="73"/>
      <c r="AA12" s="73"/>
    </row>
    <row r="13">
      <c r="A13" s="79"/>
      <c r="B13" s="10" t="str">
        <f>IFERROR(__xludf.DUMMYFUNCTION("""COMPUTED_VALUE"""),"Packages")</f>
        <v>Packages</v>
      </c>
      <c r="C13" s="10" t="str">
        <f>IFERROR(__xludf.DUMMYFUNCTION("IFERROR(TEXTJOIN("", "", TRUE, FILTER('Main Report'!$A$11:$A1000, 'Main Report'!$C$11:$C1000 = B13)), """")
"),"BR-033, BR-034")</f>
        <v>BR-033, BR-034</v>
      </c>
      <c r="D13" s="75" t="str">
        <f>IF(COUNTIFS('Main Report'!$B$11:$B1000, A13, 'Main Report'!$K$11:$K1000, "&lt;&gt;")=0, "", COUNTIFS('Main Report'!$B$11:$B1000, A13, 'Main Report'!$K$11:$K1000, "&lt;&gt;"))
</f>
        <v/>
      </c>
      <c r="E13" s="10" t="str">
        <f>IF(OR(D13=0, 'Main Report'!$E$7=0), "", TEXT(D13 / 'Main Report'!$E$7 * 100, "0.00") &amp; "%")
</f>
        <v>0.00%</v>
      </c>
      <c r="F13" s="78"/>
      <c r="G13" s="73"/>
      <c r="H13" s="73"/>
      <c r="I13" s="73"/>
      <c r="J13" s="73"/>
      <c r="K13" s="73"/>
      <c r="L13" s="73"/>
      <c r="M13" s="73"/>
      <c r="N13" s="73"/>
      <c r="O13" s="73"/>
      <c r="P13" s="73"/>
      <c r="Q13" s="73"/>
      <c r="R13" s="73"/>
      <c r="S13" s="73"/>
      <c r="T13" s="73"/>
      <c r="U13" s="73"/>
      <c r="V13" s="73"/>
      <c r="W13" s="73"/>
      <c r="X13" s="73"/>
      <c r="Y13" s="73"/>
      <c r="Z13" s="73"/>
      <c r="AA13" s="73"/>
    </row>
    <row r="14">
      <c r="A14" s="73"/>
      <c r="B14" s="73"/>
      <c r="C14" s="73"/>
      <c r="D14" s="73" t="str">
        <f>IF(COUNTIFS('Main Report'!$B$11:$B1000, A14, 'Main Report'!$K$11:$K1000, "&lt;&gt;")=0, "", COUNTIFS('Main Report'!$B$11:$B1000, A14, 'Main Report'!$K$11:$K1000, "&lt;&gt;"))
</f>
        <v/>
      </c>
      <c r="E14" s="73"/>
      <c r="F14" s="73"/>
      <c r="G14" s="73"/>
      <c r="H14" s="73"/>
      <c r="I14" s="73"/>
      <c r="J14" s="73"/>
      <c r="K14" s="73"/>
      <c r="L14" s="73"/>
      <c r="M14" s="73"/>
      <c r="N14" s="73"/>
      <c r="O14" s="73"/>
      <c r="P14" s="73"/>
      <c r="Q14" s="73"/>
      <c r="R14" s="73"/>
      <c r="S14" s="73"/>
      <c r="T14" s="73"/>
      <c r="U14" s="73"/>
      <c r="V14" s="73"/>
      <c r="W14" s="73"/>
      <c r="X14" s="73"/>
      <c r="Y14" s="73"/>
      <c r="Z14" s="73"/>
      <c r="AA14" s="73"/>
    </row>
    <row r="15">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c r="AA15" s="73"/>
    </row>
    <row r="16">
      <c r="A16" s="73"/>
      <c r="B16" s="73"/>
      <c r="C16" s="73"/>
      <c r="D16" s="73"/>
      <c r="E16" s="73" t="str">
        <f>IF(OR(D16=0, 'Main Report'!$E$7=0), "", TEXT(D16 / 'Main Report'!$E$7 * 100, "0.00") &amp; "%")
</f>
        <v/>
      </c>
      <c r="F16" s="73"/>
      <c r="G16" s="73"/>
      <c r="H16" s="73"/>
      <c r="I16" s="73"/>
      <c r="J16" s="73"/>
      <c r="K16" s="73"/>
      <c r="L16" s="73"/>
      <c r="M16" s="73"/>
      <c r="N16" s="73"/>
      <c r="O16" s="73"/>
      <c r="P16" s="73"/>
      <c r="Q16" s="73"/>
      <c r="R16" s="73"/>
      <c r="S16" s="73"/>
      <c r="T16" s="73"/>
      <c r="U16" s="73"/>
      <c r="V16" s="73"/>
      <c r="W16" s="73"/>
      <c r="X16" s="73"/>
      <c r="Y16" s="73"/>
      <c r="Z16" s="73"/>
      <c r="AA16" s="73"/>
    </row>
    <row r="17">
      <c r="A17" s="73"/>
      <c r="B17" s="73"/>
      <c r="C17" s="73"/>
      <c r="D17" s="73"/>
      <c r="E17" s="73" t="str">
        <f>IF(OR(D17=0, 'Main Report'!$E$7=0), "", TEXT(D17 / 'Main Report'!$E$7 * 100, "0.00") &amp; "%")
</f>
        <v/>
      </c>
      <c r="F17" s="73"/>
      <c r="G17" s="73"/>
      <c r="H17" s="73"/>
      <c r="I17" s="73"/>
      <c r="J17" s="73"/>
      <c r="K17" s="73"/>
      <c r="L17" s="73"/>
      <c r="M17" s="73"/>
      <c r="N17" s="73"/>
      <c r="O17" s="73"/>
      <c r="P17" s="73"/>
      <c r="Q17" s="73"/>
      <c r="R17" s="73"/>
      <c r="S17" s="73"/>
      <c r="T17" s="73"/>
      <c r="U17" s="73"/>
      <c r="V17" s="73"/>
      <c r="W17" s="73"/>
      <c r="X17" s="73"/>
      <c r="Y17" s="73"/>
      <c r="Z17" s="73"/>
      <c r="AA17" s="73"/>
    </row>
    <row r="18">
      <c r="A18" s="73"/>
      <c r="B18" s="73"/>
      <c r="C18" s="73"/>
      <c r="D18" s="73"/>
      <c r="E18" s="73" t="str">
        <f>IF(OR(D18=0, 'Main Report'!$E$7=0), "", TEXT(D18 / 'Main Report'!$E$7 * 100, "0.00") &amp; "%")
</f>
        <v/>
      </c>
      <c r="F18" s="73"/>
      <c r="G18" s="73"/>
      <c r="H18" s="73"/>
      <c r="I18" s="73"/>
      <c r="J18" s="73"/>
      <c r="K18" s="73"/>
      <c r="L18" s="73"/>
      <c r="M18" s="73"/>
      <c r="N18" s="73"/>
      <c r="O18" s="73"/>
      <c r="P18" s="73"/>
      <c r="Q18" s="73"/>
      <c r="R18" s="73"/>
      <c r="S18" s="73"/>
      <c r="T18" s="73"/>
      <c r="U18" s="73"/>
      <c r="V18" s="73"/>
      <c r="W18" s="73"/>
      <c r="X18" s="73"/>
      <c r="Y18" s="73"/>
      <c r="Z18" s="73"/>
      <c r="AA18" s="73"/>
    </row>
    <row r="19">
      <c r="A19" s="73"/>
      <c r="B19" s="73"/>
      <c r="C19" s="73"/>
      <c r="D19" s="73"/>
      <c r="E19" s="73" t="str">
        <f>IF(OR(D19=0, 'Main Report'!$E$7=0), "", TEXT(D19 / 'Main Report'!$E$7 * 100, "0.00") &amp; "%")
</f>
        <v/>
      </c>
      <c r="F19" s="73"/>
      <c r="G19" s="73"/>
      <c r="H19" s="73"/>
      <c r="I19" s="73"/>
      <c r="J19" s="73"/>
      <c r="K19" s="73"/>
      <c r="L19" s="73"/>
      <c r="M19" s="73"/>
      <c r="N19" s="73"/>
      <c r="O19" s="73"/>
      <c r="P19" s="73"/>
      <c r="Q19" s="73"/>
      <c r="R19" s="73"/>
      <c r="S19" s="73"/>
      <c r="T19" s="73"/>
      <c r="U19" s="73"/>
      <c r="V19" s="73"/>
      <c r="W19" s="73"/>
      <c r="X19" s="73"/>
      <c r="Y19" s="73"/>
      <c r="Z19" s="73"/>
      <c r="AA19" s="73"/>
    </row>
    <row r="20">
      <c r="A20" s="73"/>
      <c r="B20" s="73"/>
      <c r="C20" s="73"/>
      <c r="D20" s="73"/>
      <c r="E20" s="73" t="str">
        <f>IF(OR(D20=0, 'Main Report'!$E$7=0), "", TEXT(D20 / 'Main Report'!$E$7 * 100, "0.00") &amp; "%")
</f>
        <v/>
      </c>
      <c r="F20" s="73"/>
      <c r="G20" s="73"/>
      <c r="H20" s="73"/>
      <c r="I20" s="73"/>
      <c r="J20" s="73"/>
      <c r="K20" s="73"/>
      <c r="L20" s="73"/>
      <c r="M20" s="73"/>
      <c r="N20" s="73"/>
      <c r="O20" s="73"/>
      <c r="P20" s="73"/>
      <c r="Q20" s="73"/>
      <c r="R20" s="73"/>
      <c r="S20" s="73"/>
      <c r="T20" s="73"/>
      <c r="U20" s="73"/>
      <c r="V20" s="73"/>
      <c r="W20" s="73"/>
      <c r="X20" s="73"/>
      <c r="Y20" s="73"/>
      <c r="Z20" s="73"/>
      <c r="AA20" s="73"/>
    </row>
    <row r="21">
      <c r="A21" s="73"/>
      <c r="B21" s="73"/>
      <c r="C21" s="73"/>
      <c r="D21" s="73"/>
      <c r="E21" s="73" t="str">
        <f>IF(OR(D21=0, 'Main Report'!$E$7=0), "", TEXT(D21 / 'Main Report'!$E$7 * 100, "0.00") &amp; "%")
</f>
        <v/>
      </c>
      <c r="F21" s="73"/>
      <c r="G21" s="73"/>
      <c r="H21" s="73"/>
      <c r="I21" s="73"/>
      <c r="J21" s="73"/>
      <c r="K21" s="73"/>
      <c r="L21" s="73"/>
      <c r="M21" s="73"/>
      <c r="N21" s="73"/>
      <c r="O21" s="73"/>
      <c r="P21" s="73"/>
      <c r="Q21" s="73"/>
      <c r="R21" s="73"/>
      <c r="S21" s="73"/>
      <c r="T21" s="73"/>
      <c r="U21" s="73"/>
      <c r="V21" s="73"/>
      <c r="W21" s="73"/>
      <c r="X21" s="73"/>
      <c r="Y21" s="73"/>
      <c r="Z21" s="73"/>
      <c r="AA21" s="73"/>
    </row>
    <row r="22">
      <c r="A22" s="73"/>
      <c r="B22" s="73"/>
      <c r="C22" s="73"/>
      <c r="D22" s="73"/>
      <c r="E22" s="73" t="str">
        <f>IF(OR(D22=0, 'Main Report'!$E$7=0), "", TEXT(D22 / 'Main Report'!$E$7 * 100, "0.00") &amp; "%")
</f>
        <v/>
      </c>
      <c r="F22" s="73"/>
      <c r="G22" s="73"/>
      <c r="H22" s="73"/>
      <c r="I22" s="73"/>
      <c r="J22" s="73"/>
      <c r="K22" s="73"/>
      <c r="L22" s="73"/>
      <c r="M22" s="73"/>
      <c r="N22" s="73"/>
      <c r="O22" s="73"/>
      <c r="P22" s="73"/>
      <c r="Q22" s="73"/>
      <c r="R22" s="73"/>
      <c r="S22" s="73"/>
      <c r="T22" s="73"/>
      <c r="U22" s="73"/>
      <c r="V22" s="73"/>
      <c r="W22" s="73"/>
      <c r="X22" s="73"/>
      <c r="Y22" s="73"/>
      <c r="Z22" s="73"/>
      <c r="AA22" s="73"/>
    </row>
    <row r="23">
      <c r="A23" s="73"/>
      <c r="B23" s="73"/>
      <c r="C23" s="73"/>
      <c r="D23" s="73"/>
      <c r="E23" s="73" t="str">
        <f>IF(OR(D23=0, 'Main Report'!$E$7=0), "", TEXT(D23 / 'Main Report'!$E$7 * 100, "0.00") &amp; "%")
</f>
        <v/>
      </c>
      <c r="F23" s="73"/>
      <c r="G23" s="73"/>
      <c r="H23" s="73"/>
      <c r="I23" s="73"/>
      <c r="J23" s="73"/>
      <c r="K23" s="73"/>
      <c r="L23" s="73"/>
      <c r="M23" s="73"/>
      <c r="N23" s="73"/>
      <c r="O23" s="73"/>
      <c r="P23" s="73"/>
      <c r="Q23" s="73"/>
      <c r="R23" s="73"/>
      <c r="S23" s="73"/>
      <c r="T23" s="73"/>
      <c r="U23" s="73"/>
      <c r="V23" s="73"/>
      <c r="W23" s="73"/>
      <c r="X23" s="73"/>
      <c r="Y23" s="73"/>
      <c r="Z23" s="73"/>
      <c r="AA23" s="73"/>
    </row>
    <row r="24">
      <c r="A24" s="73"/>
      <c r="B24" s="73"/>
      <c r="C24" s="73"/>
      <c r="D24" s="73"/>
      <c r="E24" s="73" t="str">
        <f>IF(OR(D24=0, 'Main Report'!$E$7=0), "", TEXT(D24 / 'Main Report'!$E$7 * 100, "0.00") &amp; "%")
</f>
        <v/>
      </c>
      <c r="F24" s="73"/>
      <c r="G24" s="73"/>
      <c r="H24" s="73"/>
      <c r="I24" s="73"/>
      <c r="J24" s="73"/>
      <c r="K24" s="73"/>
      <c r="L24" s="73"/>
      <c r="M24" s="73"/>
      <c r="N24" s="73"/>
      <c r="O24" s="73"/>
      <c r="P24" s="73"/>
      <c r="Q24" s="73"/>
      <c r="R24" s="73"/>
      <c r="S24" s="73"/>
      <c r="T24" s="73"/>
      <c r="U24" s="73"/>
      <c r="V24" s="73"/>
      <c r="W24" s="73"/>
      <c r="X24" s="73"/>
      <c r="Y24" s="73"/>
      <c r="Z24" s="73"/>
      <c r="AA24" s="73"/>
    </row>
    <row r="25">
      <c r="A25" s="73"/>
      <c r="B25" s="73"/>
      <c r="C25" s="73"/>
      <c r="D25" s="73"/>
      <c r="E25" s="73" t="str">
        <f>IF(OR(D25=0, 'Main Report'!$E$7=0), "", TEXT(D25 / 'Main Report'!$E$7 * 100, "0.00") &amp; "%")
</f>
        <v/>
      </c>
      <c r="F25" s="73"/>
      <c r="G25" s="73"/>
      <c r="H25" s="73"/>
      <c r="I25" s="73"/>
      <c r="J25" s="73"/>
      <c r="K25" s="73"/>
      <c r="L25" s="73"/>
      <c r="M25" s="73"/>
      <c r="N25" s="73"/>
      <c r="O25" s="73"/>
      <c r="P25" s="73"/>
      <c r="Q25" s="73"/>
      <c r="R25" s="73"/>
      <c r="S25" s="73"/>
      <c r="T25" s="73"/>
      <c r="U25" s="73"/>
      <c r="V25" s="73"/>
      <c r="W25" s="73"/>
      <c r="X25" s="73"/>
      <c r="Y25" s="73"/>
      <c r="Z25" s="73"/>
      <c r="AA25" s="73"/>
    </row>
    <row r="26">
      <c r="A26" s="73"/>
      <c r="B26" s="73"/>
      <c r="C26" s="73"/>
      <c r="D26" s="73"/>
      <c r="E26" s="73" t="str">
        <f>IF(OR(D26=0, 'Main Report'!$E$7=0), "", TEXT(D26 / 'Main Report'!$E$7 * 100, "0.00") &amp; "%")
</f>
        <v/>
      </c>
      <c r="F26" s="73"/>
      <c r="G26" s="73"/>
      <c r="H26" s="73"/>
      <c r="I26" s="73"/>
      <c r="J26" s="73"/>
      <c r="K26" s="73"/>
      <c r="L26" s="73"/>
      <c r="M26" s="73"/>
      <c r="N26" s="73"/>
      <c r="O26" s="73"/>
      <c r="P26" s="73"/>
      <c r="Q26" s="73"/>
      <c r="R26" s="73"/>
      <c r="S26" s="73"/>
      <c r="T26" s="73"/>
      <c r="U26" s="73"/>
      <c r="V26" s="73"/>
      <c r="W26" s="73"/>
      <c r="X26" s="73"/>
      <c r="Y26" s="73"/>
      <c r="Z26" s="73"/>
      <c r="AA26" s="73"/>
    </row>
    <row r="27">
      <c r="A27" s="73"/>
      <c r="B27" s="73"/>
      <c r="C27" s="73"/>
      <c r="D27" s="73"/>
      <c r="E27" s="73" t="str">
        <f>IF(OR(D27=0, 'Main Report'!$E$7=0), "", TEXT(D27 / 'Main Report'!$E$7 * 100, "0.00") &amp; "%")
</f>
        <v/>
      </c>
      <c r="F27" s="73"/>
      <c r="G27" s="73"/>
      <c r="H27" s="73"/>
      <c r="I27" s="73"/>
      <c r="J27" s="73"/>
      <c r="K27" s="73"/>
      <c r="L27" s="73"/>
      <c r="M27" s="73"/>
      <c r="N27" s="73"/>
      <c r="O27" s="73"/>
      <c r="P27" s="73"/>
      <c r="Q27" s="73"/>
      <c r="R27" s="73"/>
      <c r="S27" s="73"/>
      <c r="T27" s="73"/>
      <c r="U27" s="73"/>
      <c r="V27" s="73"/>
      <c r="W27" s="73"/>
      <c r="X27" s="73"/>
      <c r="Y27" s="73"/>
      <c r="Z27" s="73"/>
      <c r="AA27" s="73"/>
    </row>
    <row r="28">
      <c r="A28" s="73"/>
      <c r="B28" s="73"/>
      <c r="C28" s="73"/>
      <c r="D28" s="73"/>
      <c r="E28" s="73" t="str">
        <f>IF(OR(D28=0, 'Main Report'!$E$7=0), "", TEXT(D28 / 'Main Report'!$E$7 * 100, "0.00") &amp; "%")
</f>
        <v/>
      </c>
      <c r="F28" s="73"/>
      <c r="G28" s="73"/>
      <c r="H28" s="73"/>
      <c r="I28" s="73"/>
      <c r="J28" s="73"/>
      <c r="K28" s="73"/>
      <c r="L28" s="73"/>
      <c r="M28" s="73"/>
      <c r="N28" s="73"/>
      <c r="O28" s="73"/>
      <c r="P28" s="73"/>
      <c r="Q28" s="73"/>
      <c r="R28" s="73"/>
      <c r="S28" s="73"/>
      <c r="T28" s="73"/>
      <c r="U28" s="73"/>
      <c r="V28" s="73"/>
      <c r="W28" s="73"/>
      <c r="X28" s="73"/>
      <c r="Y28" s="73"/>
      <c r="Z28" s="73"/>
      <c r="AA28" s="73"/>
    </row>
    <row r="29">
      <c r="A29" s="73"/>
      <c r="B29" s="73"/>
      <c r="C29" s="73"/>
      <c r="D29" s="73"/>
      <c r="E29" s="73" t="str">
        <f>IF(OR(D29=0, 'Main Report'!$E$7=0), "", TEXT(D29 / 'Main Report'!$E$7 * 100, "0.00") &amp; "%")
</f>
        <v/>
      </c>
      <c r="F29" s="73"/>
      <c r="G29" s="73"/>
      <c r="H29" s="73"/>
      <c r="I29" s="73"/>
      <c r="J29" s="73"/>
      <c r="K29" s="73"/>
      <c r="L29" s="73"/>
      <c r="M29" s="73"/>
      <c r="N29" s="73"/>
      <c r="O29" s="73"/>
      <c r="P29" s="73"/>
      <c r="Q29" s="73"/>
      <c r="R29" s="73"/>
      <c r="S29" s="73"/>
      <c r="T29" s="73"/>
      <c r="U29" s="73"/>
      <c r="V29" s="73"/>
      <c r="W29" s="73"/>
      <c r="X29" s="73"/>
      <c r="Y29" s="73"/>
      <c r="Z29" s="73"/>
      <c r="AA29" s="73"/>
    </row>
    <row r="30">
      <c r="A30" s="73"/>
      <c r="B30" s="73"/>
      <c r="C30" s="73"/>
      <c r="D30" s="73"/>
      <c r="E30" s="73" t="str">
        <f>IF(OR(D30=0, 'Main Report'!$E$7=0), "", TEXT(D30 / 'Main Report'!$E$7 * 100, "0.00") &amp; "%")
</f>
        <v/>
      </c>
      <c r="F30" s="73"/>
      <c r="G30" s="73"/>
      <c r="H30" s="73"/>
      <c r="I30" s="73"/>
      <c r="J30" s="73"/>
      <c r="K30" s="73"/>
      <c r="L30" s="73"/>
      <c r="M30" s="73"/>
      <c r="N30" s="73"/>
      <c r="O30" s="73"/>
      <c r="P30" s="73"/>
      <c r="Q30" s="73"/>
      <c r="R30" s="73"/>
      <c r="S30" s="73"/>
      <c r="T30" s="73"/>
      <c r="U30" s="73"/>
      <c r="V30" s="73"/>
      <c r="W30" s="73"/>
      <c r="X30" s="73"/>
      <c r="Y30" s="73"/>
      <c r="Z30" s="73"/>
      <c r="AA30" s="73"/>
    </row>
    <row r="31">
      <c r="A31" s="73"/>
      <c r="B31" s="73"/>
      <c r="C31" s="73"/>
      <c r="D31" s="73"/>
      <c r="E31" s="73" t="str">
        <f>IF(OR(D31=0, 'Main Report'!$E$7=0), "", TEXT(D31 / 'Main Report'!$E$7 * 100, "0.00") &amp; "%")
</f>
        <v/>
      </c>
      <c r="F31" s="73"/>
      <c r="G31" s="73"/>
      <c r="H31" s="73"/>
      <c r="I31" s="73"/>
      <c r="J31" s="73"/>
      <c r="K31" s="73"/>
      <c r="L31" s="73"/>
      <c r="M31" s="73"/>
      <c r="N31" s="73"/>
      <c r="O31" s="73"/>
      <c r="P31" s="73"/>
      <c r="Q31" s="73"/>
      <c r="R31" s="73"/>
      <c r="S31" s="73"/>
      <c r="T31" s="73"/>
      <c r="U31" s="73"/>
      <c r="V31" s="73"/>
      <c r="W31" s="73"/>
      <c r="X31" s="73"/>
      <c r="Y31" s="73"/>
      <c r="Z31" s="73"/>
      <c r="AA31" s="73"/>
    </row>
    <row r="32">
      <c r="A32" s="73"/>
      <c r="B32" s="73"/>
      <c r="C32" s="73"/>
      <c r="D32" s="73"/>
      <c r="E32" s="73" t="str">
        <f>IF(OR(D32=0, 'Main Report'!$E$7=0), "", TEXT(D32 / 'Main Report'!$E$7 * 100, "0.00") &amp; "%")
</f>
        <v/>
      </c>
      <c r="F32" s="73"/>
      <c r="G32" s="73"/>
      <c r="H32" s="73"/>
      <c r="I32" s="73"/>
      <c r="J32" s="73"/>
      <c r="K32" s="73"/>
      <c r="L32" s="73"/>
      <c r="M32" s="73"/>
      <c r="N32" s="73"/>
      <c r="O32" s="73"/>
      <c r="P32" s="73"/>
      <c r="Q32" s="73"/>
      <c r="R32" s="73"/>
      <c r="S32" s="73"/>
      <c r="T32" s="73"/>
      <c r="U32" s="73"/>
      <c r="V32" s="73"/>
      <c r="W32" s="73"/>
      <c r="X32" s="73"/>
      <c r="Y32" s="73"/>
      <c r="Z32" s="73"/>
      <c r="AA32" s="73"/>
    </row>
    <row r="33">
      <c r="A33" s="73"/>
      <c r="B33" s="73"/>
      <c r="C33" s="73"/>
      <c r="D33" s="73"/>
      <c r="E33" s="73" t="str">
        <f>IF(OR(D33=0, 'Main Report'!$E$7=0), "", TEXT(D33 / 'Main Report'!$E$7 * 100, "0.00") &amp; "%")
</f>
        <v/>
      </c>
      <c r="F33" s="73"/>
      <c r="G33" s="73"/>
      <c r="H33" s="73"/>
      <c r="I33" s="73"/>
      <c r="J33" s="73"/>
      <c r="K33" s="73"/>
      <c r="L33" s="73"/>
      <c r="M33" s="73"/>
      <c r="N33" s="73"/>
      <c r="O33" s="73"/>
      <c r="P33" s="73"/>
      <c r="Q33" s="73"/>
      <c r="R33" s="73"/>
      <c r="S33" s="73"/>
      <c r="T33" s="73"/>
      <c r="U33" s="73"/>
      <c r="V33" s="73"/>
      <c r="W33" s="73"/>
      <c r="X33" s="73"/>
      <c r="Y33" s="73"/>
      <c r="Z33" s="73"/>
      <c r="AA33" s="73"/>
    </row>
    <row r="34">
      <c r="A34" s="73"/>
      <c r="B34" s="73"/>
      <c r="C34" s="73"/>
      <c r="D34" s="73"/>
      <c r="E34" s="73" t="str">
        <f>IF(OR(D34=0, 'Main Report'!$E$7=0), "", TEXT(D34 / 'Main Report'!$E$7 * 100, "0.00") &amp; "%")
</f>
        <v/>
      </c>
      <c r="F34" s="73"/>
      <c r="G34" s="73"/>
      <c r="H34" s="73"/>
      <c r="I34" s="73"/>
      <c r="J34" s="73"/>
      <c r="K34" s="73"/>
      <c r="L34" s="73"/>
      <c r="M34" s="73"/>
      <c r="N34" s="73"/>
      <c r="O34" s="73"/>
      <c r="P34" s="73"/>
      <c r="Q34" s="73"/>
      <c r="R34" s="73"/>
      <c r="S34" s="73"/>
      <c r="T34" s="73"/>
      <c r="U34" s="73"/>
      <c r="V34" s="73"/>
      <c r="W34" s="73"/>
      <c r="X34" s="73"/>
      <c r="Y34" s="73"/>
      <c r="Z34" s="73"/>
      <c r="AA34" s="73"/>
    </row>
    <row r="35">
      <c r="A35" s="73"/>
      <c r="B35" s="73"/>
      <c r="C35" s="73"/>
      <c r="D35" s="73"/>
      <c r="E35" s="73" t="str">
        <f>IF(OR(D35=0, 'Main Report'!$E$7=0), "", TEXT(D35 / 'Main Report'!$E$7 * 100, "0.00") &amp; "%")
</f>
        <v/>
      </c>
      <c r="F35" s="73"/>
      <c r="G35" s="73"/>
      <c r="H35" s="73"/>
      <c r="I35" s="73"/>
      <c r="J35" s="73"/>
      <c r="K35" s="73"/>
      <c r="L35" s="73"/>
      <c r="M35" s="73"/>
      <c r="N35" s="73"/>
      <c r="O35" s="73"/>
      <c r="P35" s="73"/>
      <c r="Q35" s="73"/>
      <c r="R35" s="73"/>
      <c r="S35" s="73"/>
      <c r="T35" s="73"/>
      <c r="U35" s="73"/>
      <c r="V35" s="73"/>
      <c r="W35" s="73"/>
      <c r="X35" s="73"/>
      <c r="Y35" s="73"/>
      <c r="Z35" s="73"/>
      <c r="AA35" s="73"/>
    </row>
    <row r="36">
      <c r="A36" s="73"/>
      <c r="B36" s="73"/>
      <c r="C36" s="73"/>
      <c r="D36" s="73"/>
      <c r="E36" s="73" t="str">
        <f>IF(OR(D36=0, 'Main Report'!$E$7=0), "", TEXT(D36 / 'Main Report'!$E$7 * 100, "0.00") &amp; "%")
</f>
        <v/>
      </c>
      <c r="F36" s="73"/>
      <c r="G36" s="73"/>
      <c r="H36" s="73"/>
      <c r="I36" s="73"/>
      <c r="J36" s="73"/>
      <c r="K36" s="73"/>
      <c r="L36" s="73"/>
      <c r="M36" s="73"/>
      <c r="N36" s="73"/>
      <c r="O36" s="73"/>
      <c r="P36" s="73"/>
      <c r="Q36" s="73"/>
      <c r="R36" s="73"/>
      <c r="S36" s="73"/>
      <c r="T36" s="73"/>
      <c r="U36" s="73"/>
      <c r="V36" s="73"/>
      <c r="W36" s="73"/>
      <c r="X36" s="73"/>
      <c r="Y36" s="73"/>
      <c r="Z36" s="73"/>
      <c r="AA36" s="73"/>
    </row>
    <row r="37">
      <c r="A37" s="73"/>
      <c r="B37" s="73"/>
      <c r="C37" s="73"/>
      <c r="D37" s="73"/>
      <c r="E37" s="73" t="str">
        <f>IF(OR(D37=0, 'Main Report'!$E$7=0), "", TEXT(D37 / 'Main Report'!$E$7 * 100, "0.00") &amp; "%")
</f>
        <v/>
      </c>
      <c r="F37" s="73"/>
      <c r="G37" s="73"/>
      <c r="H37" s="73"/>
      <c r="I37" s="73"/>
      <c r="J37" s="73"/>
      <c r="K37" s="73"/>
      <c r="L37" s="73"/>
      <c r="M37" s="73"/>
      <c r="N37" s="73"/>
      <c r="O37" s="73"/>
      <c r="P37" s="73"/>
      <c r="Q37" s="73"/>
      <c r="R37" s="73"/>
      <c r="S37" s="73"/>
      <c r="T37" s="73"/>
      <c r="U37" s="73"/>
      <c r="V37" s="73"/>
      <c r="W37" s="73"/>
      <c r="X37" s="73"/>
      <c r="Y37" s="73"/>
      <c r="Z37" s="73"/>
      <c r="AA37" s="73"/>
    </row>
    <row r="38">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row>
    <row r="39">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c r="AA39" s="73"/>
    </row>
    <row r="40">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c r="AA40" s="73"/>
    </row>
    <row r="4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c r="AA41" s="73"/>
    </row>
    <row r="42">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row>
    <row r="43">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c r="AA43" s="73"/>
    </row>
    <row r="44">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row>
    <row r="45">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c r="AA45" s="73"/>
    </row>
    <row r="46">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c r="AA46" s="73"/>
    </row>
    <row r="47">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c r="AA47" s="73"/>
    </row>
    <row r="48">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row>
    <row r="49">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c r="AA49" s="73"/>
    </row>
    <row r="50">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c r="AA50" s="73"/>
    </row>
    <row r="5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row>
    <row r="52">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c r="AA52" s="73"/>
    </row>
    <row r="53">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row>
    <row r="54">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row>
    <row r="55">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row>
    <row r="56">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row>
    <row r="57">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row>
    <row r="58">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row>
    <row r="59">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row>
    <row r="60">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row>
    <row r="6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73"/>
    </row>
    <row r="62">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73"/>
    </row>
    <row r="63">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c r="AA63" s="73"/>
    </row>
    <row r="64">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row>
    <row r="65">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c r="AA65" s="73"/>
    </row>
    <row r="66">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c r="AA66" s="73"/>
    </row>
    <row r="67">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row>
    <row r="68">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c r="AA68" s="73"/>
    </row>
    <row r="69">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row>
    <row r="70">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c r="AA70" s="73"/>
    </row>
    <row r="7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row>
    <row r="72">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c r="AA72" s="73"/>
    </row>
    <row r="73">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c r="AA73" s="73"/>
    </row>
    <row r="74">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c r="AA74" s="73"/>
    </row>
    <row r="75">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row>
    <row r="76">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row>
    <row r="77">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row>
    <row r="78">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row>
    <row r="79">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row>
    <row r="80">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c r="AA80" s="73"/>
    </row>
    <row r="8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c r="AA81" s="73"/>
    </row>
    <row r="82">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c r="AA82" s="73"/>
    </row>
    <row r="83">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c r="AA83" s="73"/>
    </row>
    <row r="84">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c r="AA84" s="73"/>
    </row>
    <row r="85">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c r="AA85" s="73"/>
    </row>
    <row r="86">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c r="AA86" s="73"/>
    </row>
    <row r="87">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c r="AA87" s="73"/>
    </row>
    <row r="88">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c r="AA88" s="73"/>
    </row>
    <row r="89">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c r="AA89" s="73"/>
    </row>
    <row r="90">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c r="AA90" s="73"/>
    </row>
    <row r="9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c r="AA91" s="73"/>
    </row>
    <row r="92">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c r="AA92" s="73"/>
    </row>
    <row r="93">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c r="AA93" s="73"/>
    </row>
    <row r="94">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c r="AA94" s="73"/>
    </row>
    <row r="95">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c r="AA95" s="73"/>
    </row>
    <row r="96">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row>
    <row r="97">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c r="AA97" s="73"/>
    </row>
    <row r="98">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c r="AA98" s="73"/>
    </row>
    <row r="99">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row>
    <row r="100">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row>
    <row r="10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row>
    <row r="102">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row>
    <row r="103">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row>
    <row r="104">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row>
    <row r="105">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row>
    <row r="106">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row>
    <row r="107">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row>
    <row r="108">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row>
    <row r="109">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row>
    <row r="110">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row>
    <row r="11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row>
    <row r="112">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row>
    <row r="113">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row>
    <row r="114">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row>
    <row r="11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row>
    <row r="116">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row>
    <row r="117">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row>
    <row r="118">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row>
    <row r="119">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row>
    <row r="120">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row>
    <row r="12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row>
    <row r="12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row>
    <row r="123">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row>
    <row r="124">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row>
    <row r="12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row>
    <row r="126">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row>
    <row r="127">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row>
    <row r="128">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row>
    <row r="129">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row>
    <row r="130">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row>
    <row r="13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row>
    <row r="13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row>
    <row r="133">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row>
    <row r="134">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row>
    <row r="13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row>
    <row r="136">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row>
    <row r="137">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row>
    <row r="138">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row>
    <row r="139">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row>
    <row r="140">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row>
    <row r="14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row>
    <row r="14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row>
    <row r="143">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row>
    <row r="144">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row>
    <row r="14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row>
    <row r="146">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row>
    <row r="147">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row>
    <row r="148">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row>
    <row r="149">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row>
    <row r="150">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row>
    <row r="15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row>
    <row r="15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row>
    <row r="153">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row>
    <row r="154">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row>
    <row r="15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row>
    <row r="156">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row>
    <row r="157">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row>
    <row r="158">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row>
    <row r="159">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row>
    <row r="160">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row>
    <row r="16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row>
    <row r="16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row>
    <row r="163">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row>
    <row r="164">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row>
    <row r="165">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row>
    <row r="166">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row>
    <row r="167">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row>
    <row r="168">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row>
    <row r="169">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row>
    <row r="170">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row>
    <row r="17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row>
    <row r="17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row>
    <row r="173">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row>
    <row r="174">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row>
    <row r="175">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row>
    <row r="176">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row>
    <row r="177">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row>
    <row r="178">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row>
    <row r="179">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row>
    <row r="180">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row>
    <row r="18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row>
    <row r="18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row>
    <row r="183">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row>
    <row r="184">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row>
    <row r="185">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row>
    <row r="186">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row>
    <row r="187">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row>
    <row r="188">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row>
    <row r="189">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row>
    <row r="190">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row>
    <row r="19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row>
    <row r="19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row>
    <row r="193">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row>
    <row r="194">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c r="AA194" s="73"/>
    </row>
    <row r="195">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row>
    <row r="196">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row>
    <row r="197">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row>
    <row r="198">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row>
    <row r="199">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row>
    <row r="200">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row>
    <row r="20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row>
    <row r="2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row>
    <row r="203">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row>
    <row r="204">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row>
    <row r="205">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row>
    <row r="206">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row>
    <row r="207">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row>
    <row r="208">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row>
    <row r="209">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row>
    <row r="210">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row>
    <row r="21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row>
    <row r="21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row>
    <row r="213">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row>
    <row r="214">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row>
    <row r="215">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row>
    <row r="216">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row>
    <row r="217">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row>
    <row r="218">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row>
    <row r="219">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row>
    <row r="220">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row>
    <row r="22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row>
    <row r="22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row>
    <row r="223">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row>
    <row r="224">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row>
    <row r="225">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row>
    <row r="226">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row>
    <row r="227">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row>
    <row r="228">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row>
    <row r="229">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row>
    <row r="230">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row>
    <row r="23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row>
    <row r="23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row>
    <row r="233">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row>
    <row r="234">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row>
    <row r="235">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row>
    <row r="236">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row>
    <row r="237">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row>
    <row r="238">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row>
    <row r="239">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row>
    <row r="240">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row>
    <row r="24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row>
    <row r="24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row>
    <row r="243">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row>
    <row r="244">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row>
    <row r="24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row>
    <row r="246">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row>
    <row r="247">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row>
    <row r="248">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row>
    <row r="249">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row>
    <row r="250">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row>
    <row r="25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row>
    <row r="25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row>
    <row r="253">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row>
    <row r="254">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row>
    <row r="25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row>
    <row r="256">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row>
    <row r="257">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row>
    <row r="258">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row>
    <row r="259">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row>
    <row r="260">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row>
    <row r="26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row>
    <row r="26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row>
    <row r="263">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row>
    <row r="264">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row>
    <row r="265">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row>
    <row r="266">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row>
    <row r="267">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row>
    <row r="268">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row>
    <row r="269">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row>
    <row r="270">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row>
    <row r="27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row>
    <row r="27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row>
    <row r="273">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row>
    <row r="274">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row>
    <row r="275">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row>
    <row r="276">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row>
    <row r="277">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row>
    <row r="278">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row>
    <row r="279">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row>
    <row r="280">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row>
    <row r="28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row>
    <row r="28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row>
    <row r="283">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row>
    <row r="284">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row>
    <row r="285">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row>
    <row r="286">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row>
    <row r="287">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row>
    <row r="288">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row>
    <row r="289">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row>
    <row r="290">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row>
    <row r="29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row>
    <row r="29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row>
    <row r="293">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row>
    <row r="294">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row>
    <row r="295">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row>
    <row r="296">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row>
    <row r="297">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row>
    <row r="298">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row>
    <row r="299">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row>
    <row r="300">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row>
    <row r="30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row>
    <row r="3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row>
    <row r="303">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row>
    <row r="304">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row>
    <row r="305">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row>
    <row r="306">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row>
    <row r="307">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row>
    <row r="308">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row>
    <row r="309">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row>
    <row r="310">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row>
    <row r="31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row>
    <row r="31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c r="AA312" s="73"/>
    </row>
    <row r="313">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row>
    <row r="314">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c r="AA314" s="73"/>
    </row>
    <row r="315">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row>
    <row r="316">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c r="AA316" s="73"/>
    </row>
    <row r="317">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row>
    <row r="318">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c r="AA318" s="73"/>
    </row>
    <row r="319">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row>
    <row r="320">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c r="AA320" s="73"/>
    </row>
    <row r="32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row>
    <row r="32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c r="AA322" s="73"/>
    </row>
    <row r="323">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row>
    <row r="324">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c r="AA324" s="73"/>
    </row>
    <row r="325">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row>
    <row r="326">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c r="AA326" s="73"/>
    </row>
    <row r="327">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row>
    <row r="328">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c r="AA328" s="73"/>
    </row>
    <row r="329">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row>
    <row r="330">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c r="AA330" s="73"/>
    </row>
    <row r="33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row>
    <row r="33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c r="AA332" s="73"/>
    </row>
    <row r="333">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row>
    <row r="334">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c r="AA334" s="73"/>
    </row>
    <row r="33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row>
    <row r="336">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c r="AA336" s="73"/>
    </row>
    <row r="337">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row>
    <row r="338">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c r="AA338" s="73"/>
    </row>
    <row r="339">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row>
    <row r="340">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row>
    <row r="34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row>
    <row r="34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c r="AA342" s="73"/>
    </row>
    <row r="343">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row>
    <row r="344">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c r="AA344" s="73"/>
    </row>
    <row r="34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row>
    <row r="346">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c r="AA346" s="73"/>
    </row>
    <row r="347">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row>
    <row r="348">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c r="AA348" s="73"/>
    </row>
    <row r="349">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c r="AA349" s="73"/>
    </row>
    <row r="350">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c r="AA350" s="73"/>
    </row>
    <row r="35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c r="AA351" s="73"/>
    </row>
    <row r="35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c r="AA352" s="73"/>
    </row>
    <row r="353">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c r="AA353" s="73"/>
    </row>
    <row r="354">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c r="AA354" s="73"/>
    </row>
    <row r="35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c r="AA355" s="73"/>
    </row>
    <row r="356">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c r="AA356" s="73"/>
    </row>
    <row r="357">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c r="AA357" s="73"/>
    </row>
    <row r="358">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c r="AA358" s="73"/>
    </row>
    <row r="359">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c r="AA359" s="73"/>
    </row>
    <row r="360">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c r="AA360" s="73"/>
    </row>
    <row r="36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c r="AA361" s="73"/>
    </row>
    <row r="36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c r="AA362" s="73"/>
    </row>
    <row r="363">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c r="AA363" s="73"/>
    </row>
    <row r="364">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c r="AA364" s="73"/>
    </row>
    <row r="36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c r="AA365" s="73"/>
    </row>
    <row r="366">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c r="AA366" s="73"/>
    </row>
    <row r="367">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c r="AA367" s="73"/>
    </row>
    <row r="368">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c r="AA368" s="73"/>
    </row>
    <row r="369">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c r="AA369" s="73"/>
    </row>
    <row r="370">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c r="AA370" s="73"/>
    </row>
    <row r="37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c r="AA371" s="73"/>
    </row>
    <row r="37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c r="AA372" s="73"/>
    </row>
    <row r="373">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c r="AA373" s="73"/>
    </row>
    <row r="374">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c r="AA374" s="73"/>
    </row>
    <row r="37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c r="AA375" s="73"/>
    </row>
    <row r="376">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c r="AA376" s="73"/>
    </row>
    <row r="377">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c r="AA377" s="73"/>
    </row>
    <row r="378">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c r="AA378" s="73"/>
    </row>
    <row r="379">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c r="AA379" s="73"/>
    </row>
    <row r="380">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c r="AA380" s="73"/>
    </row>
    <row r="38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c r="AA381" s="73"/>
    </row>
    <row r="38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c r="AA382" s="73"/>
    </row>
    <row r="383">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c r="AA383" s="73"/>
    </row>
    <row r="384">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c r="AA384" s="73"/>
    </row>
    <row r="38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c r="AA385" s="73"/>
    </row>
    <row r="386">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c r="AA386" s="73"/>
    </row>
    <row r="387">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c r="AA387" s="73"/>
    </row>
    <row r="388">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c r="AA388" s="73"/>
    </row>
    <row r="389">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c r="AA389" s="73"/>
    </row>
    <row r="390">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c r="AA390" s="73"/>
    </row>
    <row r="39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c r="AA391" s="73"/>
    </row>
    <row r="39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c r="AA392" s="73"/>
    </row>
    <row r="393">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c r="AA393" s="73"/>
    </row>
    <row r="394">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c r="AA394" s="73"/>
    </row>
    <row r="39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c r="AA395" s="73"/>
    </row>
    <row r="396">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c r="AA396" s="73"/>
    </row>
    <row r="397">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c r="AA397" s="73"/>
    </row>
    <row r="398">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c r="AA398" s="73"/>
    </row>
    <row r="399">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c r="AA399" s="73"/>
    </row>
    <row r="400">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c r="AA400" s="73"/>
    </row>
    <row r="40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c r="AA401" s="73"/>
    </row>
    <row r="4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c r="AA402" s="73"/>
    </row>
    <row r="403">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c r="AA403" s="73"/>
    </row>
    <row r="404">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c r="AA404" s="73"/>
    </row>
    <row r="40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c r="AA405" s="73"/>
    </row>
    <row r="406">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c r="AA406" s="73"/>
    </row>
    <row r="407">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c r="AA407" s="73"/>
    </row>
    <row r="408">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c r="AA408" s="73"/>
    </row>
    <row r="409">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c r="AA409" s="73"/>
    </row>
    <row r="410">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c r="AA410" s="73"/>
    </row>
    <row r="41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c r="AA411" s="73"/>
    </row>
    <row r="41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c r="AA412" s="73"/>
    </row>
    <row r="413">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c r="AA413" s="73"/>
    </row>
    <row r="414">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c r="AA414" s="73"/>
    </row>
    <row r="4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c r="AA415" s="73"/>
    </row>
    <row r="416">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c r="AA416" s="73"/>
    </row>
    <row r="417">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c r="AA417" s="73"/>
    </row>
    <row r="418">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c r="AA418" s="73"/>
    </row>
    <row r="419">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c r="AA419" s="73"/>
    </row>
    <row r="420">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c r="AA420" s="73"/>
    </row>
    <row r="42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c r="AA421" s="73"/>
    </row>
    <row r="42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c r="AA422" s="73"/>
    </row>
    <row r="423">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c r="AA423" s="73"/>
    </row>
    <row r="424">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c r="AA424" s="73"/>
    </row>
    <row r="42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c r="AA425" s="73"/>
    </row>
    <row r="426">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c r="AA426" s="73"/>
    </row>
    <row r="427">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c r="AA427" s="73"/>
    </row>
    <row r="428">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c r="AA428" s="73"/>
    </row>
    <row r="429">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c r="AA429" s="73"/>
    </row>
    <row r="430">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c r="AA430" s="73"/>
    </row>
    <row r="43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c r="AA431" s="73"/>
    </row>
    <row r="43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c r="AA432" s="73"/>
    </row>
    <row r="433">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c r="AA433" s="73"/>
    </row>
    <row r="434">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c r="AA434" s="73"/>
    </row>
    <row r="43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c r="AA435" s="73"/>
    </row>
    <row r="436">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c r="AA436" s="73"/>
    </row>
    <row r="437">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c r="AA437" s="73"/>
    </row>
    <row r="438">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c r="AA438" s="73"/>
    </row>
    <row r="439">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c r="AA439" s="73"/>
    </row>
    <row r="440">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c r="AA440" s="73"/>
    </row>
    <row r="44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c r="AA441" s="73"/>
    </row>
    <row r="44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c r="AA442" s="73"/>
    </row>
    <row r="443">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c r="AA443" s="73"/>
    </row>
    <row r="444">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c r="AA444" s="73"/>
    </row>
    <row r="44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c r="AA445" s="73"/>
    </row>
    <row r="446">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c r="AA446" s="73"/>
    </row>
    <row r="447">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c r="AA447" s="73"/>
    </row>
    <row r="448">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c r="AA448" s="73"/>
    </row>
    <row r="449">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c r="AA449" s="73"/>
    </row>
    <row r="450">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c r="AA450" s="73"/>
    </row>
    <row r="45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c r="AA451" s="73"/>
    </row>
    <row r="45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c r="AA452" s="73"/>
    </row>
    <row r="453">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c r="AA453" s="73"/>
    </row>
    <row r="454">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c r="AA454" s="73"/>
    </row>
    <row r="45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c r="AA455" s="73"/>
    </row>
    <row r="456">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c r="AA456" s="73"/>
    </row>
    <row r="457">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c r="AA457" s="73"/>
    </row>
    <row r="458">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c r="AA458" s="73"/>
    </row>
    <row r="459">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c r="AA459" s="73"/>
    </row>
    <row r="460">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c r="AA460" s="73"/>
    </row>
    <row r="46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c r="AA461" s="73"/>
    </row>
    <row r="46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c r="AA462" s="73"/>
    </row>
    <row r="463">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c r="AA463" s="73"/>
    </row>
    <row r="464">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c r="AA464" s="73"/>
    </row>
    <row r="46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c r="AA465" s="73"/>
    </row>
    <row r="466">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c r="AA466" s="73"/>
    </row>
    <row r="467">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c r="AA467" s="73"/>
    </row>
    <row r="468">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c r="AA468" s="73"/>
    </row>
    <row r="469">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c r="AA469" s="73"/>
    </row>
    <row r="470">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c r="AA470" s="73"/>
    </row>
    <row r="47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c r="AA471" s="73"/>
    </row>
    <row r="47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c r="AA472" s="73"/>
    </row>
    <row r="473">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c r="AA473" s="73"/>
    </row>
    <row r="474">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c r="AA474" s="73"/>
    </row>
    <row r="47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c r="AA475" s="73"/>
    </row>
    <row r="476">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c r="AA476" s="73"/>
    </row>
    <row r="477">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c r="AA477" s="73"/>
    </row>
    <row r="478">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c r="AA478" s="73"/>
    </row>
    <row r="479">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c r="AA479" s="73"/>
    </row>
    <row r="480">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c r="AA480" s="73"/>
    </row>
    <row r="48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c r="AA481" s="73"/>
    </row>
    <row r="48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c r="AA482" s="73"/>
    </row>
    <row r="483">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c r="AA483" s="73"/>
    </row>
    <row r="484">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c r="AA484" s="73"/>
    </row>
    <row r="48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c r="AA485" s="73"/>
    </row>
    <row r="486">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c r="AA486" s="73"/>
    </row>
    <row r="487">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c r="AA487" s="73"/>
    </row>
    <row r="488">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c r="AA488" s="73"/>
    </row>
    <row r="489">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c r="AA489" s="73"/>
    </row>
    <row r="490">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c r="AA490" s="73"/>
    </row>
    <row r="49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c r="AA491" s="73"/>
    </row>
    <row r="49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c r="AA492" s="73"/>
    </row>
    <row r="493">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c r="AA493" s="73"/>
    </row>
    <row r="494">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c r="AA494" s="73"/>
    </row>
    <row r="49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c r="AA495" s="73"/>
    </row>
    <row r="496">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c r="AA496" s="73"/>
    </row>
    <row r="497">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c r="AA497" s="73"/>
    </row>
    <row r="498">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c r="AA498" s="73"/>
    </row>
    <row r="499">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c r="AA499" s="73"/>
    </row>
    <row r="500">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c r="AA500" s="73"/>
    </row>
    <row r="50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c r="AA501" s="73"/>
    </row>
    <row r="5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c r="AA502" s="73"/>
    </row>
    <row r="503">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c r="AA503" s="73"/>
    </row>
    <row r="504">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c r="AA504" s="73"/>
    </row>
    <row r="50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c r="AA505" s="73"/>
    </row>
    <row r="506">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c r="AA506" s="73"/>
    </row>
    <row r="507">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c r="AA507" s="73"/>
    </row>
    <row r="508">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c r="AA508" s="73"/>
    </row>
    <row r="509">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c r="AA509" s="73"/>
    </row>
    <row r="510">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c r="AA510" s="73"/>
    </row>
    <row r="51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c r="AA511" s="73"/>
    </row>
    <row r="51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c r="AA512" s="73"/>
    </row>
    <row r="513">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c r="AA513" s="73"/>
    </row>
    <row r="514">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c r="AA514" s="73"/>
    </row>
    <row r="5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c r="AA515" s="73"/>
    </row>
    <row r="516">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c r="AA516" s="73"/>
    </row>
    <row r="517">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c r="AA517" s="73"/>
    </row>
    <row r="518">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c r="AA518" s="73"/>
    </row>
    <row r="519">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c r="AA519" s="73"/>
    </row>
    <row r="520">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c r="AA520" s="73"/>
    </row>
    <row r="52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c r="AA521" s="73"/>
    </row>
    <row r="52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c r="AA522" s="73"/>
    </row>
    <row r="523">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c r="AA523" s="73"/>
    </row>
    <row r="524">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c r="AA524" s="73"/>
    </row>
    <row r="52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c r="AA525" s="73"/>
    </row>
    <row r="526">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c r="AA526" s="73"/>
    </row>
    <row r="527">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c r="AA527" s="73"/>
    </row>
    <row r="528">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c r="AA528" s="73"/>
    </row>
    <row r="529">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c r="AA529" s="73"/>
    </row>
    <row r="530">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c r="AA530" s="73"/>
    </row>
    <row r="53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c r="AA531" s="73"/>
    </row>
    <row r="53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c r="AA532" s="73"/>
    </row>
    <row r="533">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c r="AA533" s="73"/>
    </row>
    <row r="534">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c r="AA534" s="73"/>
    </row>
    <row r="53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c r="AA535" s="73"/>
    </row>
    <row r="536">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c r="AA536" s="73"/>
    </row>
    <row r="537">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c r="AA537" s="73"/>
    </row>
    <row r="538">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c r="AA538" s="73"/>
    </row>
    <row r="539">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c r="AA539" s="73"/>
    </row>
    <row r="540">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c r="AA540" s="73"/>
    </row>
    <row r="54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c r="AA541" s="73"/>
    </row>
    <row r="54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c r="AA542" s="73"/>
    </row>
    <row r="543">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c r="AA543" s="73"/>
    </row>
    <row r="544">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c r="AA544" s="73"/>
    </row>
    <row r="54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c r="AA545" s="73"/>
    </row>
    <row r="546">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c r="AA546" s="73"/>
    </row>
    <row r="547">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c r="AA547" s="73"/>
    </row>
    <row r="548">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c r="AA548" s="73"/>
    </row>
    <row r="549">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c r="AA549" s="73"/>
    </row>
    <row r="550">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c r="AA550" s="73"/>
    </row>
    <row r="55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c r="AA551" s="73"/>
    </row>
    <row r="55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c r="AA552" s="73"/>
    </row>
    <row r="553">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c r="AA553" s="73"/>
    </row>
    <row r="554">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c r="AA554" s="73"/>
    </row>
    <row r="55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c r="AA555" s="73"/>
    </row>
    <row r="556">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c r="AA556" s="73"/>
    </row>
    <row r="557">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c r="AA557" s="73"/>
    </row>
    <row r="558">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c r="AA558" s="73"/>
    </row>
    <row r="559">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c r="AA559" s="73"/>
    </row>
    <row r="560">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c r="AA560" s="73"/>
    </row>
    <row r="56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c r="AA561" s="73"/>
    </row>
    <row r="56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c r="AA562" s="73"/>
    </row>
    <row r="563">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c r="AA563" s="73"/>
    </row>
    <row r="564">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c r="AA564" s="73"/>
    </row>
    <row r="56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c r="AA565" s="73"/>
    </row>
    <row r="566">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c r="AA566" s="73"/>
    </row>
    <row r="567">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c r="AA567" s="73"/>
    </row>
    <row r="568">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c r="AA568" s="73"/>
    </row>
    <row r="569">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c r="AA569" s="73"/>
    </row>
    <row r="570">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c r="AA570" s="73"/>
    </row>
    <row r="57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c r="AA571" s="73"/>
    </row>
    <row r="57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c r="AA572" s="73"/>
    </row>
    <row r="573">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c r="AA573" s="73"/>
    </row>
    <row r="574">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c r="AA574" s="73"/>
    </row>
    <row r="57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c r="AA575" s="73"/>
    </row>
    <row r="576">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c r="AA576" s="73"/>
    </row>
    <row r="577">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c r="AA577" s="73"/>
    </row>
    <row r="578">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c r="AA578" s="73"/>
    </row>
    <row r="579">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c r="AA579" s="73"/>
    </row>
    <row r="580">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c r="AA580" s="73"/>
    </row>
    <row r="58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c r="AA581" s="73"/>
    </row>
    <row r="58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c r="AA582" s="73"/>
    </row>
    <row r="583">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c r="AA583" s="73"/>
    </row>
    <row r="584">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c r="AA584" s="73"/>
    </row>
    <row r="58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c r="AA585" s="73"/>
    </row>
    <row r="586">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c r="AA586" s="73"/>
    </row>
    <row r="587">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c r="AA587" s="73"/>
    </row>
    <row r="588">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c r="AA588" s="73"/>
    </row>
    <row r="589">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c r="AA589" s="73"/>
    </row>
    <row r="590">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c r="AA590" s="73"/>
    </row>
    <row r="59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c r="AA591" s="73"/>
    </row>
    <row r="59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c r="AA592" s="73"/>
    </row>
    <row r="593">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c r="AA593" s="73"/>
    </row>
    <row r="594">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c r="AA594" s="73"/>
    </row>
    <row r="59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c r="AA595" s="73"/>
    </row>
    <row r="596">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c r="AA596" s="73"/>
    </row>
    <row r="597">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c r="AA597" s="73"/>
    </row>
    <row r="598">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c r="AA598" s="73"/>
    </row>
    <row r="599">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c r="AA599" s="73"/>
    </row>
    <row r="600">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c r="AA600" s="73"/>
    </row>
    <row r="60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c r="AA601" s="73"/>
    </row>
    <row r="6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c r="AA602" s="73"/>
    </row>
    <row r="603">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c r="AA603" s="73"/>
    </row>
    <row r="604">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c r="AA604" s="73"/>
    </row>
    <row r="60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c r="AA605" s="73"/>
    </row>
    <row r="606">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c r="AA606" s="73"/>
    </row>
    <row r="607">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c r="AA607" s="73"/>
    </row>
    <row r="608">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c r="AA608" s="73"/>
    </row>
    <row r="609">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c r="AA609" s="73"/>
    </row>
    <row r="610">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c r="AA610" s="73"/>
    </row>
    <row r="61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c r="AA611" s="73"/>
    </row>
    <row r="61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c r="AA612" s="73"/>
    </row>
    <row r="613">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c r="AA613" s="73"/>
    </row>
    <row r="614">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c r="AA614" s="73"/>
    </row>
    <row r="6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c r="AA615" s="73"/>
    </row>
    <row r="616">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c r="AA616" s="73"/>
    </row>
    <row r="617">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c r="AA617" s="73"/>
    </row>
    <row r="618">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c r="AA618" s="73"/>
    </row>
    <row r="619">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c r="AA619" s="73"/>
    </row>
    <row r="620">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c r="AA620" s="73"/>
    </row>
    <row r="62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c r="AA621" s="73"/>
    </row>
    <row r="62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c r="AA622" s="73"/>
    </row>
    <row r="623">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c r="AA623" s="73"/>
    </row>
    <row r="624">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c r="AA624" s="73"/>
    </row>
    <row r="62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c r="AA625" s="73"/>
    </row>
    <row r="626">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c r="AA626" s="73"/>
    </row>
    <row r="627">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c r="AA627" s="73"/>
    </row>
    <row r="628">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c r="AA628" s="73"/>
    </row>
    <row r="629">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c r="AA629" s="73"/>
    </row>
    <row r="630">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c r="AA630" s="73"/>
    </row>
    <row r="63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c r="AA631" s="73"/>
    </row>
    <row r="63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c r="AA632" s="73"/>
    </row>
    <row r="633">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c r="AA633" s="73"/>
    </row>
    <row r="634">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c r="AA634" s="73"/>
    </row>
    <row r="63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c r="AA635" s="73"/>
    </row>
    <row r="636">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c r="AA636" s="73"/>
    </row>
    <row r="637">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c r="AA637" s="73"/>
    </row>
    <row r="638">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c r="AA638" s="73"/>
    </row>
    <row r="639">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c r="AA639" s="73"/>
    </row>
    <row r="640">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c r="AA640" s="73"/>
    </row>
    <row r="64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c r="AA641" s="73"/>
    </row>
    <row r="64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c r="AA642" s="73"/>
    </row>
    <row r="643">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c r="AA643" s="73"/>
    </row>
    <row r="644">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c r="AA644" s="73"/>
    </row>
    <row r="64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c r="AA645" s="73"/>
    </row>
    <row r="646">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c r="AA646" s="73"/>
    </row>
    <row r="647">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c r="AA647" s="73"/>
    </row>
    <row r="648">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c r="AA648" s="73"/>
    </row>
    <row r="649">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c r="AA649" s="73"/>
    </row>
    <row r="650">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c r="AA650" s="73"/>
    </row>
    <row r="65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c r="AA651" s="73"/>
    </row>
    <row r="65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c r="AA652" s="73"/>
    </row>
    <row r="653">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c r="AA653" s="73"/>
    </row>
    <row r="654">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c r="AA654" s="73"/>
    </row>
    <row r="65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c r="AA655" s="73"/>
    </row>
    <row r="656">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c r="AA656" s="73"/>
    </row>
    <row r="657">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c r="AA657" s="73"/>
    </row>
    <row r="658">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c r="AA658" s="73"/>
    </row>
    <row r="659">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c r="AA659" s="73"/>
    </row>
    <row r="660">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c r="AA660" s="73"/>
    </row>
    <row r="66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c r="AA661" s="73"/>
    </row>
    <row r="66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c r="AA662" s="73"/>
    </row>
    <row r="663">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c r="AA663" s="73"/>
    </row>
    <row r="664">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c r="AA664" s="73"/>
    </row>
    <row r="66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c r="AA665" s="73"/>
    </row>
    <row r="666">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c r="AA666" s="73"/>
    </row>
    <row r="667">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c r="AA667" s="73"/>
    </row>
    <row r="668">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c r="AA668" s="73"/>
    </row>
    <row r="669">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c r="AA669" s="73"/>
    </row>
    <row r="670">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c r="AA670" s="73"/>
    </row>
    <row r="67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c r="AA671" s="73"/>
    </row>
    <row r="67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c r="AA672" s="73"/>
    </row>
    <row r="673">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c r="AA673" s="73"/>
    </row>
    <row r="674">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c r="AA674" s="73"/>
    </row>
    <row r="67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c r="AA675" s="73"/>
    </row>
    <row r="676">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c r="AA676" s="73"/>
    </row>
    <row r="677">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c r="AA677" s="73"/>
    </row>
    <row r="678">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c r="AA678" s="73"/>
    </row>
    <row r="679">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c r="AA679" s="73"/>
    </row>
    <row r="680">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c r="AA680" s="73"/>
    </row>
    <row r="68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c r="AA681" s="73"/>
    </row>
    <row r="68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c r="AA682" s="73"/>
    </row>
    <row r="683">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c r="AA683" s="73"/>
    </row>
    <row r="684">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c r="AA684" s="73"/>
    </row>
    <row r="68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c r="AA685" s="73"/>
    </row>
    <row r="686">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c r="AA686" s="73"/>
    </row>
    <row r="687">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c r="AA687" s="73"/>
    </row>
    <row r="688">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c r="AA688" s="73"/>
    </row>
    <row r="689">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c r="AA689" s="73"/>
    </row>
    <row r="690">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c r="AA690" s="73"/>
    </row>
    <row r="69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c r="AA691" s="73"/>
    </row>
    <row r="69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c r="AA692" s="73"/>
    </row>
    <row r="693">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c r="AA693" s="73"/>
    </row>
    <row r="694">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c r="AA694" s="73"/>
    </row>
    <row r="69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c r="AA695" s="73"/>
    </row>
    <row r="696">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c r="AA696" s="73"/>
    </row>
    <row r="697">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c r="AA697" s="73"/>
    </row>
    <row r="698">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c r="AA698" s="73"/>
    </row>
    <row r="699">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c r="AA699" s="73"/>
    </row>
    <row r="700">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c r="AA700" s="73"/>
    </row>
    <row r="70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c r="AA701" s="73"/>
    </row>
    <row r="7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c r="AA702" s="73"/>
    </row>
    <row r="703">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c r="AA703" s="73"/>
    </row>
    <row r="704">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c r="AA704" s="73"/>
    </row>
    <row r="70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c r="AA705" s="73"/>
    </row>
    <row r="706">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c r="AA706" s="73"/>
    </row>
    <row r="707">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c r="AA707" s="73"/>
    </row>
    <row r="708">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c r="AA708" s="73"/>
    </row>
    <row r="709">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c r="AA709" s="73"/>
    </row>
    <row r="710">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c r="AA710" s="73"/>
    </row>
    <row r="71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c r="AA711" s="73"/>
    </row>
    <row r="71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c r="AA712" s="73"/>
    </row>
    <row r="713">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c r="AA713" s="73"/>
    </row>
    <row r="714">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c r="AA714" s="73"/>
    </row>
    <row r="7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c r="AA715" s="73"/>
    </row>
    <row r="716">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c r="AA716" s="73"/>
    </row>
    <row r="717">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c r="AA717" s="73"/>
    </row>
    <row r="718">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c r="AA718" s="73"/>
    </row>
    <row r="719">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c r="AA719" s="73"/>
    </row>
    <row r="720">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c r="AA720" s="73"/>
    </row>
    <row r="72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c r="AA721" s="73"/>
    </row>
    <row r="72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c r="AA722" s="73"/>
    </row>
    <row r="723">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c r="AA723" s="73"/>
    </row>
    <row r="724">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c r="AA724" s="73"/>
    </row>
    <row r="72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c r="AA725" s="73"/>
    </row>
    <row r="726">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c r="AA726" s="73"/>
    </row>
    <row r="727">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c r="AA727" s="73"/>
    </row>
    <row r="728">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c r="AA728" s="73"/>
    </row>
    <row r="729">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c r="AA729" s="73"/>
    </row>
    <row r="730">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c r="AA730" s="73"/>
    </row>
    <row r="73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c r="AA731" s="73"/>
    </row>
    <row r="73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c r="AA732" s="73"/>
    </row>
    <row r="733">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c r="AA733" s="73"/>
    </row>
    <row r="734">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c r="AA734" s="73"/>
    </row>
    <row r="73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c r="AA735" s="73"/>
    </row>
    <row r="736">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c r="AA736" s="73"/>
    </row>
    <row r="737">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c r="AA737" s="73"/>
    </row>
    <row r="738">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c r="AA738" s="73"/>
    </row>
    <row r="739">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c r="AA739" s="73"/>
    </row>
    <row r="740">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c r="AA740" s="73"/>
    </row>
    <row r="74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c r="AA741" s="73"/>
    </row>
    <row r="74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c r="AA742" s="73"/>
    </row>
    <row r="743">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c r="AA743" s="73"/>
    </row>
    <row r="744">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c r="AA744" s="73"/>
    </row>
    <row r="74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c r="AA745" s="73"/>
    </row>
    <row r="746">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c r="AA746" s="73"/>
    </row>
    <row r="747">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c r="AA747" s="73"/>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c r="AA748" s="73"/>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c r="AA749" s="73"/>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c r="AA750" s="73"/>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c r="AA751" s="73"/>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c r="AA752" s="73"/>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c r="AA753" s="73"/>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c r="AA754" s="73"/>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c r="AA755" s="73"/>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c r="AA756" s="73"/>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c r="AA757" s="73"/>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c r="AA758" s="73"/>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c r="AA759" s="73"/>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c r="AA760" s="73"/>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c r="AA761" s="73"/>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c r="AA762" s="73"/>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c r="AA763" s="73"/>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c r="AA764" s="73"/>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c r="AA765" s="73"/>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c r="AA766" s="73"/>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c r="AA767" s="73"/>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c r="AA768" s="73"/>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c r="AA769" s="73"/>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c r="AA770" s="73"/>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c r="AA771" s="73"/>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c r="AA772" s="73"/>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c r="AA773" s="73"/>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c r="AA774" s="73"/>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c r="AA775" s="73"/>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c r="AA776" s="73"/>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c r="AA777" s="73"/>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c r="AA778" s="73"/>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c r="AA779" s="73"/>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c r="AA780" s="73"/>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c r="AA781" s="73"/>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c r="AA782" s="73"/>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c r="AA783" s="73"/>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c r="AA784" s="73"/>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c r="AA785" s="73"/>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c r="AA786" s="73"/>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c r="AA787" s="73"/>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c r="AA788" s="73"/>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c r="AA789" s="73"/>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c r="AA790" s="73"/>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c r="AA791" s="73"/>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c r="AA792" s="73"/>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c r="AA793" s="73"/>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c r="AA794" s="73"/>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c r="AA795" s="73"/>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c r="AA796" s="73"/>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c r="AA797" s="73"/>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c r="AA798" s="73"/>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c r="AA799" s="73"/>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c r="AA800" s="73"/>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c r="AA801" s="73"/>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c r="AA802" s="73"/>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c r="AA803" s="73"/>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c r="AA804" s="73"/>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c r="AA805" s="73"/>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c r="AA806" s="73"/>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c r="AA807" s="73"/>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c r="AA808" s="73"/>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c r="AA809" s="73"/>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c r="AA810" s="73"/>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c r="AA811" s="73"/>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c r="AA812" s="73"/>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c r="AA813" s="73"/>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c r="AA814" s="73"/>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c r="AA815" s="73"/>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c r="AA816" s="73"/>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c r="AA817" s="73"/>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c r="AA818" s="73"/>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c r="AA819" s="73"/>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c r="AA820" s="73"/>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c r="AA821" s="73"/>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c r="AA822" s="73"/>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c r="AA823" s="73"/>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c r="AA824" s="73"/>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c r="AA825" s="73"/>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c r="AA826" s="73"/>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c r="AA827" s="73"/>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c r="AA828" s="73"/>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c r="AA829" s="73"/>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c r="AA830" s="73"/>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c r="AA831" s="73"/>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c r="AA832" s="73"/>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c r="AA833" s="73"/>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c r="AA834" s="73"/>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c r="AA835" s="73"/>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c r="AA836" s="73"/>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c r="AA837" s="73"/>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c r="AA838" s="73"/>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c r="AA839" s="73"/>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c r="AA840" s="73"/>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c r="AA841" s="73"/>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c r="AA842" s="73"/>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c r="AA843" s="73"/>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c r="AA844" s="73"/>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c r="AA845" s="73"/>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c r="AA846" s="73"/>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c r="AA847" s="73"/>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c r="AA848" s="73"/>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c r="AA849" s="73"/>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c r="AA850" s="73"/>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c r="AA851" s="73"/>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c r="AA852" s="73"/>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c r="AA853" s="73"/>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c r="AA854" s="73"/>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c r="AA855" s="73"/>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c r="AA856" s="73"/>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c r="AA857" s="73"/>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c r="AA858" s="73"/>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c r="AA859" s="73"/>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c r="AA860" s="73"/>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c r="AA861" s="73"/>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c r="AA862" s="73"/>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c r="AA863" s="73"/>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c r="AA864" s="73"/>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c r="AA865" s="73"/>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c r="AA866" s="73"/>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c r="AA867" s="73"/>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c r="AA868" s="73"/>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c r="AA869" s="73"/>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c r="AA870" s="73"/>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c r="AA871" s="73"/>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c r="AA872" s="73"/>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c r="AA873" s="73"/>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c r="AA874" s="73"/>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c r="AA875" s="73"/>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c r="AA876" s="73"/>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c r="AA877" s="73"/>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c r="AA878" s="73"/>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c r="AA879" s="73"/>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c r="AA880" s="73"/>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c r="AA881" s="73"/>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c r="AA882" s="73"/>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c r="AA883" s="73"/>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c r="AA884" s="73"/>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c r="AA885" s="73"/>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c r="AA886" s="73"/>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c r="AA887" s="73"/>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c r="AA888" s="73"/>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c r="AA889" s="73"/>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c r="AA890" s="73"/>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c r="AA891" s="73"/>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c r="AA892" s="73"/>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c r="AA893" s="73"/>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c r="AA894" s="73"/>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c r="AA895" s="73"/>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c r="AA896" s="73"/>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c r="AA897" s="73"/>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c r="AA898" s="73"/>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c r="AA899" s="73"/>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c r="AA900" s="73"/>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c r="AA901" s="73"/>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c r="AA902" s="73"/>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c r="AA903" s="73"/>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c r="AA904" s="73"/>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c r="AA905" s="73"/>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c r="AA906" s="73"/>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c r="AA907" s="73"/>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c r="AA908" s="73"/>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c r="AA909" s="73"/>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c r="AA910" s="73"/>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c r="AA911" s="73"/>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c r="AA912" s="73"/>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c r="AA913" s="73"/>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c r="AA914" s="73"/>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c r="AA915" s="73"/>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c r="AA916" s="73"/>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c r="AA917" s="73"/>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c r="AA918" s="73"/>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c r="AA919" s="73"/>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c r="AA920" s="73"/>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c r="AA921" s="73"/>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c r="AA922" s="73"/>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c r="AA923" s="73"/>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c r="AA924" s="73"/>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c r="AA925" s="73"/>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c r="AA926" s="73"/>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c r="AA927" s="73"/>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c r="AA928" s="73"/>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c r="AA929" s="73"/>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c r="AA930" s="73"/>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c r="AA931" s="73"/>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c r="AA932" s="73"/>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c r="AA933" s="73"/>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c r="AA934" s="73"/>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c r="AA935" s="73"/>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c r="AA936" s="73"/>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c r="AA937" s="73"/>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c r="AA938" s="73"/>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c r="AA939" s="73"/>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c r="AA940" s="73"/>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c r="AA941" s="73"/>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c r="AA942" s="73"/>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c r="AA943" s="73"/>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c r="AA944" s="73"/>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c r="AA945" s="73"/>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c r="AA946" s="73"/>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c r="AA947" s="73"/>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c r="AA948" s="73"/>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c r="AA949" s="73"/>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c r="AA950" s="73"/>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c r="AA951" s="73"/>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c r="AA952" s="73"/>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c r="AA953" s="73"/>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c r="AA954" s="73"/>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c r="AA955" s="73"/>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c r="AA956" s="73"/>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c r="AA957" s="73"/>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c r="AA958" s="73"/>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c r="AA959" s="73"/>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c r="AA960" s="73"/>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c r="AA961" s="73"/>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c r="AA962" s="73"/>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c r="AA963" s="73"/>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c r="AA964" s="73"/>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c r="AA965" s="73"/>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c r="AA966" s="73"/>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c r="AA967" s="73"/>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c r="AA968" s="73"/>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c r="AA969" s="73"/>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c r="AA970" s="73"/>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c r="AA971" s="73"/>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c r="AA972" s="73"/>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c r="AA973" s="73"/>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c r="AA974" s="73"/>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c r="AA975" s="73"/>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c r="AA976" s="73"/>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c r="AA977" s="73"/>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c r="AA978" s="73"/>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c r="AA979" s="73"/>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c r="AA980" s="73"/>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c r="AA981" s="73"/>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c r="AA982" s="73"/>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c r="AA983" s="73"/>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c r="AA984" s="73"/>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c r="AA985" s="73"/>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c r="AA986" s="73"/>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c r="AA987" s="73"/>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c r="AA988" s="73"/>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c r="AA989" s="73"/>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c r="AA990" s="73"/>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c r="AA991" s="73"/>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c r="AA992" s="73"/>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c r="AA993" s="73"/>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c r="AA994" s="73"/>
    </row>
    <row r="99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c r="AA995" s="73"/>
    </row>
    <row r="996">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c r="AA996" s="73"/>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c r="AA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c r="AA998" s="73"/>
    </row>
    <row r="999">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c r="AA999" s="73"/>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c r="AA1000" s="73"/>
    </row>
  </sheetData>
  <mergeCells count="2">
    <mergeCell ref="A2:A3"/>
    <mergeCell ref="A4:A5"/>
  </mergeCells>
  <drawing r:id="rId1"/>
</worksheet>
</file>