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Report" sheetId="1" r:id="rId4"/>
    <sheet state="visible" name="Tahsin" sheetId="2" r:id="rId5"/>
    <sheet state="visible" name="Fahad" sheetId="3" r:id="rId6"/>
    <sheet state="visible" name="Summary Report" sheetId="4" r:id="rId7"/>
  </sheets>
  <definedNames/>
  <calcPr/>
</workbook>
</file>

<file path=xl/sharedStrings.xml><?xml version="1.0" encoding="utf-8"?>
<sst xmlns="http://schemas.openxmlformats.org/spreadsheetml/2006/main" count="640" uniqueCount="328">
  <si>
    <t xml:space="preserve">Tester : </t>
  </si>
  <si>
    <t>Mohammed Fahad Faisal</t>
  </si>
  <si>
    <t>Severity</t>
  </si>
  <si>
    <t>Issues</t>
  </si>
  <si>
    <t>Project Name:</t>
  </si>
  <si>
    <t>AI TEXT HUMANIZATION</t>
  </si>
  <si>
    <t>High</t>
  </si>
  <si>
    <t>Project URL:</t>
  </si>
  <si>
    <t>Medium</t>
  </si>
  <si>
    <t>Developer:</t>
  </si>
  <si>
    <t>AI Hunters</t>
  </si>
  <si>
    <t>Low</t>
  </si>
  <si>
    <t xml:space="preserve">OS: </t>
  </si>
  <si>
    <t>Windows 11 Pro Version:24H2 
OS Build: 26100.4652</t>
  </si>
  <si>
    <t>Environment</t>
  </si>
  <si>
    <t>Microsoft Edge
Version 138.0.3351.121 
(Official build) (64-bit)</t>
  </si>
  <si>
    <t>Total Test Cases:</t>
  </si>
  <si>
    <t>Test Case Solved :</t>
  </si>
  <si>
    <t>Bug ID</t>
  </si>
  <si>
    <t>Module</t>
  </si>
  <si>
    <t>Sub Module</t>
  </si>
  <si>
    <t>Test Case Description</t>
  </si>
  <si>
    <t>Preconditions</t>
  </si>
  <si>
    <t>Test Steps</t>
  </si>
  <si>
    <t>Test Data</t>
  </si>
  <si>
    <t>Expected Result</t>
  </si>
  <si>
    <t>Actual Result</t>
  </si>
  <si>
    <t>Status</t>
  </si>
  <si>
    <t>Screen Shots</t>
  </si>
  <si>
    <t>Suggestion</t>
  </si>
  <si>
    <t>Tester</t>
  </si>
  <si>
    <t>Feedback</t>
  </si>
  <si>
    <t>BR-001</t>
  </si>
  <si>
    <t>BR-002</t>
  </si>
  <si>
    <t>BR-003</t>
  </si>
  <si>
    <t>BR-004</t>
  </si>
  <si>
    <t>BR-005</t>
  </si>
  <si>
    <t>BR-006</t>
  </si>
  <si>
    <t>BR-007</t>
  </si>
  <si>
    <t>BR-008</t>
  </si>
  <si>
    <t>BR-009</t>
  </si>
  <si>
    <t>BR-010</t>
  </si>
  <si>
    <t>BR-011</t>
  </si>
  <si>
    <t>BR-012</t>
  </si>
  <si>
    <t>BR-013</t>
  </si>
  <si>
    <t>BR-014</t>
  </si>
  <si>
    <t>BR-015</t>
  </si>
  <si>
    <t>BR-016</t>
  </si>
  <si>
    <t>BR-017</t>
  </si>
  <si>
    <t>BR-018</t>
  </si>
  <si>
    <t>BR-019</t>
  </si>
  <si>
    <t>BR-020</t>
  </si>
  <si>
    <t>BR-021</t>
  </si>
  <si>
    <t>BR-022</t>
  </si>
  <si>
    <t>BR-023</t>
  </si>
  <si>
    <t>BR-024</t>
  </si>
  <si>
    <t>BR-025</t>
  </si>
  <si>
    <t>BR-026</t>
  </si>
  <si>
    <t>BR-027</t>
  </si>
  <si>
    <t>BR-028</t>
  </si>
  <si>
    <t>BR-029</t>
  </si>
  <si>
    <t>BR-030</t>
  </si>
  <si>
    <t>BR-031</t>
  </si>
  <si>
    <t>BR-032</t>
  </si>
  <si>
    <t>BR-033</t>
  </si>
  <si>
    <t>BR-034</t>
  </si>
  <si>
    <t>BR-035</t>
  </si>
  <si>
    <t>BR-036</t>
  </si>
  <si>
    <t>BR-037</t>
  </si>
  <si>
    <t>BR-038</t>
  </si>
  <si>
    <t>BR-039</t>
  </si>
  <si>
    <t>BR-040</t>
  </si>
  <si>
    <t>BR-041</t>
  </si>
  <si>
    <t>BR-042</t>
  </si>
  <si>
    <t>Test Case ID</t>
  </si>
  <si>
    <t>Microsoft Edge
Version 138.0.3351.121 (Official build) (64-bit)</t>
  </si>
  <si>
    <t>Test ID</t>
  </si>
  <si>
    <t>TC-001</t>
  </si>
  <si>
    <t>Home</t>
  </si>
  <si>
    <t>Sign-in and user profile are both visible.</t>
  </si>
  <si>
    <t>Users need to be in a web browser.</t>
  </si>
  <si>
    <r>
      <rPr>
        <rFont val="Times New Roman"/>
        <sz val="12.0"/>
      </rPr>
      <t xml:space="preserve">1. Open web app - </t>
    </r>
    <r>
      <rPr>
        <rFont val="Times New Roman"/>
        <color rgb="FF1155CC"/>
        <sz val="12.0"/>
        <u/>
      </rPr>
      <t>Link</t>
    </r>
  </si>
  <si>
    <t>N/A</t>
  </si>
  <si>
    <t>When a user is not signed in to the webpage, only the sign-in button should be displayed. Once the user is logged in, the user profile should become visible instead.</t>
  </si>
  <si>
    <t>Both the user profile and sign-in options are displayed simultaneously.</t>
  </si>
  <si>
    <t>Fail</t>
  </si>
  <si>
    <t>https://jam.dev/c/23ee932c-8f28-4aea-a4f5-20a2dbd3ac9a</t>
  </si>
  <si>
    <t>TC-002</t>
  </si>
  <si>
    <t>The icons in the features appear to differ slightly from the client's requirements.</t>
  </si>
  <si>
    <r>
      <rPr>
        <rFont val="Times New Roman"/>
        <sz val="12.0"/>
      </rPr>
      <t xml:space="preserve">1. Open web app - </t>
    </r>
    <r>
      <rPr>
        <rFont val="Times New Roman"/>
        <color rgb="FF1155CC"/>
        <sz val="12.0"/>
        <u/>
      </rPr>
      <t>Link</t>
    </r>
  </si>
  <si>
    <t>The icon sizes and design should align accurately with the client's requirements.</t>
  </si>
  <si>
    <t>Notices in the feature section vary in size and design.</t>
  </si>
  <si>
    <t>https://jam.dev/c/26464a08-6fd5-4ea0-b3ca-f503c3aff69b</t>
  </si>
  <si>
    <t>TC-003</t>
  </si>
  <si>
    <t>The caption's color differs from the design.</t>
  </si>
  <si>
    <r>
      <rPr>
        <rFont val="Times New Roman"/>
        <sz val="12.0"/>
      </rPr>
      <t xml:space="preserve">1. Open web app - </t>
    </r>
    <r>
      <rPr>
        <rFont val="Times New Roman"/>
        <color rgb="FF1155CC"/>
        <sz val="12.0"/>
        <u/>
      </rPr>
      <t>Link</t>
    </r>
  </si>
  <si>
    <t>Caption colors and alignment should match the client's requirements.</t>
  </si>
  <si>
    <t>The change in color has been noted based on the clients' requirements.</t>
  </si>
  <si>
    <t>https://jam.dev/c/a0a864ea-e8cf-4d6f-a2af-91c754682221</t>
  </si>
  <si>
    <t>TC-004</t>
  </si>
  <si>
    <t>Content Creators</t>
  </si>
  <si>
    <t>Content creators' details do not match the client's requirements.</t>
  </si>
  <si>
    <r>
      <rPr>
        <rFont val="Times New Roman"/>
        <sz val="12.0"/>
      </rPr>
      <t xml:space="preserve">1. Open web app - </t>
    </r>
    <r>
      <rPr>
        <rFont val="Times New Roman"/>
        <color rgb="FF1155CC"/>
        <sz val="12.0"/>
        <u/>
      </rPr>
      <t>Link</t>
    </r>
  </si>
  <si>
    <t>Content details should align closely with the client's requirements.</t>
  </si>
  <si>
    <t>Different content details have been noticed, which can cause confusion for clients.</t>
  </si>
  <si>
    <t>https://jam.dev/c/799d083e-aacb-4aa6-95bf-4291ade1958b</t>
  </si>
  <si>
    <t>TC-005</t>
  </si>
  <si>
    <t xml:space="preserve">Content creators and student details are same </t>
  </si>
  <si>
    <r>
      <rPr>
        <rFont val="Times New Roman"/>
        <sz val="12.0"/>
      </rPr>
      <t xml:space="preserve">1. Open web app - </t>
    </r>
    <r>
      <rPr>
        <rFont val="Times New Roman"/>
        <color rgb="FF1155CC"/>
        <sz val="12.0"/>
        <u/>
      </rPr>
      <t>Link</t>
    </r>
  </si>
  <si>
    <t>https://jam.dev/c/207e803b-6905-48e8-91cc-ca3d21c9e6ca</t>
  </si>
  <si>
    <t>TC-006</t>
  </si>
  <si>
    <t>Marketers</t>
  </si>
  <si>
    <t>Details do not match the client's requirements.</t>
  </si>
  <si>
    <r>
      <rPr>
        <rFont val="Times New Roman"/>
        <sz val="12.0"/>
      </rPr>
      <t xml:space="preserve">1. Open web app - </t>
    </r>
    <r>
      <rPr>
        <rFont val="Times New Roman"/>
        <color rgb="FF1155CC"/>
        <sz val="12.0"/>
        <u/>
      </rPr>
      <t>Link</t>
    </r>
  </si>
  <si>
    <t>https://jam.dev/c/605a2d6f-6782-4aeb-ae37-d88b3cc5c6f3</t>
  </si>
  <si>
    <t>TC-007</t>
  </si>
  <si>
    <t>SEO Agencies</t>
  </si>
  <si>
    <r>
      <rPr>
        <rFont val="Times New Roman"/>
        <sz val="12.0"/>
      </rPr>
      <t xml:space="preserve">1. Open web app - </t>
    </r>
    <r>
      <rPr>
        <rFont val="Times New Roman"/>
        <color rgb="FF1155CC"/>
        <sz val="12.0"/>
        <u/>
      </rPr>
      <t>Link</t>
    </r>
  </si>
  <si>
    <t>https://jam.dev/c/e75183eb-184b-40e7-af64-1f07d2208e71</t>
  </si>
  <si>
    <t>TC-008</t>
  </si>
  <si>
    <t>Students</t>
  </si>
  <si>
    <r>
      <rPr>
        <rFont val="Times New Roman"/>
        <sz val="12.0"/>
      </rPr>
      <t xml:space="preserve">1. Open web app - </t>
    </r>
    <r>
      <rPr>
        <rFont val="Times New Roman"/>
        <color rgb="FF1155CC"/>
        <sz val="12.0"/>
        <u/>
      </rPr>
      <t>Link</t>
    </r>
  </si>
  <si>
    <r>
      <rPr>
        <color rgb="FF1155CC"/>
        <u/>
      </rPr>
      <t>https://jam.dev/c/bbca7769-b65b-45bf-b6db-8dfae74359c2</t>
    </r>
  </si>
  <si>
    <t>TC-009</t>
  </si>
  <si>
    <t>Alignment issues encountered in the mobile device view.</t>
  </si>
  <si>
    <r>
      <rPr>
        <rFont val="Times New Roman"/>
        <sz val="12.0"/>
      </rPr>
      <t xml:space="preserve">1. Open web app - </t>
    </r>
    <r>
      <rPr>
        <rFont val="Times New Roman"/>
        <color rgb="FF1155CC"/>
        <sz val="12.0"/>
        <u/>
      </rPr>
      <t>Link</t>
    </r>
  </si>
  <si>
    <t>The alignment should match the client's requirements, just like the Figma design.</t>
  </si>
  <si>
    <t>Alignment issues have been observed across multiple device web browsers.</t>
  </si>
  <si>
    <t>https://jam.dev/c/5bd258f7-ad72-4a8f-83ae-6ae0a53cb0d0</t>
  </si>
  <si>
    <t>TC-010</t>
  </si>
  <si>
    <t>Pricing</t>
  </si>
  <si>
    <t>Font size issue on pricing page caption.</t>
  </si>
  <si>
    <r>
      <rPr>
        <rFont val="Times New Roman"/>
        <sz val="12.0"/>
      </rPr>
      <t xml:space="preserve">1. Open web app - </t>
    </r>
    <r>
      <rPr>
        <rFont val="Times New Roman"/>
        <color rgb="FF1155CC"/>
        <sz val="12.0"/>
        <u/>
      </rPr>
      <t xml:space="preserve">Link
</t>
    </r>
    <r>
      <rPr>
        <rFont val="Times New Roman"/>
        <sz val="12.0"/>
      </rPr>
      <t xml:space="preserve">2. Goto price </t>
    </r>
  </si>
  <si>
    <t>Font size should be as same as design</t>
  </si>
  <si>
    <t>The font size is not consistent with the design.</t>
  </si>
  <si>
    <t>https://jam.dev/c/a09842b0-2c36-47d7-8f59-ebc1e9241450</t>
  </si>
  <si>
    <t>TC-011</t>
  </si>
  <si>
    <t>Popular pricing tag is missing in the web app.</t>
  </si>
  <si>
    <r>
      <rPr>
        <rFont val="Times New Roman"/>
        <sz val="12.0"/>
      </rPr>
      <t xml:space="preserve">1. Open web app - </t>
    </r>
    <r>
      <rPr>
        <rFont val="Times New Roman"/>
        <color rgb="FF1155CC"/>
        <sz val="12.0"/>
        <u/>
      </rPr>
      <t xml:space="preserve">Link
</t>
    </r>
    <r>
      <rPr>
        <rFont val="Times New Roman"/>
        <sz val="12.0"/>
      </rPr>
      <t xml:space="preserve">2. Goto price </t>
    </r>
  </si>
  <si>
    <t>The best price should be displayed to help users easily identify the best deal for them.</t>
  </si>
  <si>
    <t>Noticed a missing tag.</t>
  </si>
  <si>
    <t>https://jam.dev/c/b076a2fe-6668-4c37-8d58-c018dc47e057</t>
  </si>
  <si>
    <t>TC-012</t>
  </si>
  <si>
    <t>Dashboard</t>
  </si>
  <si>
    <t>Miscalculation of words.</t>
  </si>
  <si>
    <r>
      <rPr>
        <rFont val="Times New Roman"/>
        <sz val="12.0"/>
      </rPr>
      <t xml:space="preserve">1. Open web app - </t>
    </r>
    <r>
      <rPr>
        <rFont val="Times New Roman"/>
        <color rgb="FF1155CC"/>
        <sz val="12.0"/>
        <u/>
      </rPr>
      <t xml:space="preserve">Link
</t>
    </r>
    <r>
      <rPr>
        <rFont val="Times New Roman"/>
        <sz val="12.0"/>
      </rPr>
      <t>2. Goto Dashboard</t>
    </r>
  </si>
  <si>
    <t>The accurate result should be displayed. Inputted 95 words, so (2000 - 95) = 1905 words remaining.</t>
  </si>
  <si>
    <t>A miscalculation has been noticed. Instead of 1,905 words, it’s showing 694 words remaining.</t>
  </si>
  <si>
    <t>https://jam.dev/c/9b66f0af-a4f6-4cee-8d0b-17247d7ad04b</t>
  </si>
  <si>
    <t>TC-013</t>
  </si>
  <si>
    <t>Different button color has been noticed</t>
  </si>
  <si>
    <r>
      <rPr>
        <rFont val="Times New Roman"/>
        <sz val="12.0"/>
      </rPr>
      <t xml:space="preserve">1. Open web app - </t>
    </r>
    <r>
      <rPr>
        <rFont val="Times New Roman"/>
        <color rgb="FF1155CC"/>
        <sz val="12.0"/>
        <u/>
      </rPr>
      <t xml:space="preserve">Link
</t>
    </r>
    <r>
      <rPr>
        <rFont val="Times New Roman"/>
        <sz val="12.0"/>
      </rPr>
      <t>2. Goto Dashboard</t>
    </r>
  </si>
  <si>
    <t>Design shows cyan color has been used for dashboard</t>
  </si>
  <si>
    <t>An orange button was used instead of a cyan one.</t>
  </si>
  <si>
    <t>https://jam.dev/c/be7d8630-72a9-4489-8b91-e2da8e80a669</t>
  </si>
  <si>
    <t>TC-014</t>
  </si>
  <si>
    <t>Implementing a tick box indicator would be ideal.</t>
  </si>
  <si>
    <r>
      <rPr>
        <rFont val="Times New Roman"/>
        <sz val="12.0"/>
      </rPr>
      <t xml:space="preserve">1. Open web app - </t>
    </r>
    <r>
      <rPr>
        <rFont val="Times New Roman"/>
        <color rgb="FF1155CC"/>
        <sz val="12.0"/>
        <u/>
      </rPr>
      <t xml:space="preserve">Link
</t>
    </r>
    <r>
      <rPr>
        <rFont val="Times New Roman"/>
        <sz val="12.0"/>
      </rPr>
      <t>2. Goto Dashboard</t>
    </r>
  </si>
  <si>
    <t>A red indicator on the checkbox would help clients easily identify what they are missing.</t>
  </si>
  <si>
    <t>The absence of a red indicator could make users assume that the web app isn't functioning properly.</t>
  </si>
  <si>
    <t>https://jam.dev/c/9c009b46-1260-4e8f-8ed8-952a64919952</t>
  </si>
  <si>
    <t>TC-015</t>
  </si>
  <si>
    <t>AI Generation fail</t>
  </si>
  <si>
    <r>
      <rPr>
        <rFont val="Times New Roman"/>
        <sz val="12.0"/>
      </rPr>
      <t xml:space="preserve">1. Open web app - </t>
    </r>
    <r>
      <rPr>
        <rFont val="Times New Roman"/>
        <color rgb="FF1155CC"/>
        <sz val="12.0"/>
        <u/>
      </rPr>
      <t xml:space="preserve">Link
</t>
    </r>
    <r>
      <rPr>
        <rFont val="Times New Roman"/>
        <sz val="12.0"/>
      </rPr>
      <t>2. Goto Dashboard
3. Input text to input text field</t>
    </r>
  </si>
  <si>
    <t>Changes should be visible which was displayed ( Low (~60%) )</t>
  </si>
  <si>
    <t>Addition of 's' characters after some random words has been noticed</t>
  </si>
  <si>
    <t>https://jam.dev/c/0e7e1a88-66cc-4644-ac1a-5eb52d8679de
https://jam.dev/c/0030a267-7879-48cf-b9ca-64e10b6c0602</t>
  </si>
  <si>
    <t>Adding 's' to random words doesn't make AI-generated text seem more human-like.</t>
  </si>
  <si>
    <t>TC-016</t>
  </si>
  <si>
    <r>
      <rPr>
        <rFont val="Times New Roman"/>
        <sz val="12.0"/>
      </rPr>
      <t xml:space="preserve">1. Open web app - </t>
    </r>
    <r>
      <rPr>
        <rFont val="Times New Roman"/>
        <color rgb="FF1155CC"/>
        <sz val="12.0"/>
        <u/>
      </rPr>
      <t xml:space="preserve">Link
</t>
    </r>
    <r>
      <rPr>
        <rFont val="Times New Roman"/>
        <sz val="12.0"/>
      </rPr>
      <t>2. Goto Dashboard
3. Input text to input text field</t>
    </r>
  </si>
  <si>
    <t>Changes should be visible which was displayed ( Medium (~40%) )</t>
  </si>
  <si>
    <t>Addition of 'ly' word after some random words has been noticed</t>
  </si>
  <si>
    <t>https://jam.dev/c/033efe11-1e4c-46c6-be59-e0a9280fd6c8</t>
  </si>
  <si>
    <t>Adding 'ly' to random words doesn't make AI-generated text seem more human-like.</t>
  </si>
  <si>
    <t>TC-017</t>
  </si>
  <si>
    <t>AI Generation Fail</t>
  </si>
  <si>
    <r>
      <rPr>
        <rFont val="Times New Roman"/>
        <sz val="12.0"/>
      </rPr>
      <t xml:space="preserve">1. Open web app - </t>
    </r>
    <r>
      <rPr>
        <rFont val="Times New Roman"/>
        <color rgb="FF1155CC"/>
        <sz val="12.0"/>
        <u/>
      </rPr>
      <t xml:space="preserve">Link
</t>
    </r>
    <r>
      <rPr>
        <rFont val="Times New Roman"/>
        <sz val="12.0"/>
      </rPr>
      <t>2. Goto Dashboard
3. Input text to input text field</t>
    </r>
  </si>
  <si>
    <t>Changes should be visible which was displayed ( High (~20%) )</t>
  </si>
  <si>
    <t>Addition of 'ing' word after some random words has been noticed</t>
  </si>
  <si>
    <t>Adding 'ing' to random words doesn't make AI-generated text seem more human-like.</t>
  </si>
  <si>
    <t>TC-018</t>
  </si>
  <si>
    <t>Generate a random AI score.</t>
  </si>
  <si>
    <r>
      <rPr>
        <rFont val="Times New Roman"/>
        <sz val="12.0"/>
      </rPr>
      <t xml:space="preserve">1. Open web app - </t>
    </r>
    <r>
      <rPr>
        <rFont val="Times New Roman"/>
        <color rgb="FF1155CC"/>
        <sz val="12.0"/>
        <u/>
      </rPr>
      <t xml:space="preserve">Link
</t>
    </r>
    <r>
      <rPr>
        <rFont val="Times New Roman"/>
        <sz val="12.0"/>
      </rPr>
      <t>2. Goto Dashboard
3. Input text to input text field</t>
    </r>
  </si>
  <si>
    <t>AI detection should be based on the difference between the output and input text.</t>
  </si>
  <si>
    <t>A random AI score is observed.</t>
  </si>
  <si>
    <r>
      <rPr>
        <color rgb="FF1155CC"/>
        <u/>
      </rPr>
      <t>https://jam.dev/c/f1d45039-a5b8-4557-ad19-7b6dcc564d00</t>
    </r>
  </si>
  <si>
    <t>TC-019</t>
  </si>
  <si>
    <t>The UI does not match the client's requirements.</t>
  </si>
  <si>
    <r>
      <rPr>
        <rFont val="Times New Roman"/>
        <sz val="12.0"/>
      </rPr>
      <t xml:space="preserve">1. Open web app - </t>
    </r>
    <r>
      <rPr>
        <rFont val="Times New Roman"/>
        <color rgb="FF1155CC"/>
        <sz val="12.0"/>
        <u/>
      </rPr>
      <t xml:space="preserve">Link
</t>
    </r>
    <r>
      <rPr>
        <rFont val="Times New Roman"/>
        <sz val="12.0"/>
      </rPr>
      <t>2. Goto Dashboard
3. Input text to input text field</t>
    </r>
  </si>
  <si>
    <t>https://jam.dev/c/3dad79ae-7ec2-4256-bbd3-a77b695c0333</t>
  </si>
  <si>
    <t>TC-020</t>
  </si>
  <si>
    <t>Sign Up</t>
  </si>
  <si>
    <t>Signup</t>
  </si>
  <si>
    <t>Sign up without providing any information.</t>
  </si>
  <si>
    <r>
      <rPr>
        <rFont val="Times New Roman"/>
        <sz val="12.0"/>
      </rPr>
      <t xml:space="preserve">1. Open web app - </t>
    </r>
    <r>
      <rPr>
        <rFont val="Times New Roman"/>
        <color rgb="FF1155CC"/>
        <sz val="12.0"/>
        <u/>
      </rPr>
      <t xml:space="preserve">Link
</t>
    </r>
    <r>
      <rPr>
        <rFont val="Times New Roman"/>
        <sz val="12.0"/>
      </rPr>
      <t>2. Goto Signin
3. Click on Signup</t>
    </r>
  </si>
  <si>
    <t>A required field should be added to the signup page.</t>
  </si>
  <si>
    <t>A missing requirement on the signup page has been noticed.</t>
  </si>
  <si>
    <t>https://jam.dev/c/01c7b21f-bc09-420e-b6a0-71668387a652</t>
  </si>
  <si>
    <t>TC-021</t>
  </si>
  <si>
    <t>The logo appears to be small.</t>
  </si>
  <si>
    <r>
      <rPr>
        <rFont val="Times New Roman"/>
        <sz val="12.0"/>
      </rPr>
      <t xml:space="preserve">1. Open web app - </t>
    </r>
    <r>
      <rPr>
        <rFont val="Times New Roman"/>
        <color rgb="FF1155CC"/>
        <sz val="12.0"/>
        <u/>
      </rPr>
      <t xml:space="preserve">Link
</t>
    </r>
    <r>
      <rPr>
        <rFont val="Times New Roman"/>
        <sz val="12.0"/>
      </rPr>
      <t>2. Goto Signin
3. Click on Signup</t>
    </r>
  </si>
  <si>
    <t>The logo on the signup page should be larger to grab more attention.</t>
  </si>
  <si>
    <t>The logo appears small compared to the page outline.</t>
  </si>
  <si>
    <t>https://jam.dev/c/56321e80-60b9-44d6-8f93-64f389e74cc4</t>
  </si>
  <si>
    <t>TC-022</t>
  </si>
  <si>
    <t>The required field is not specified.</t>
  </si>
  <si>
    <r>
      <rPr>
        <rFont val="Times New Roman"/>
        <sz val="12.0"/>
      </rPr>
      <t xml:space="preserve">1. Open web app - </t>
    </r>
    <r>
      <rPr>
        <rFont val="Times New Roman"/>
        <color rgb="FF1155CC"/>
        <sz val="12.0"/>
        <u/>
      </rPr>
      <t xml:space="preserve">Link
</t>
    </r>
    <r>
      <rPr>
        <rFont val="Times New Roman"/>
        <sz val="12.0"/>
      </rPr>
      <t>2. Goto Signin
3. Click on Signup</t>
    </r>
  </si>
  <si>
    <t>The signup process should include well-implemented input fields.</t>
  </si>
  <si>
    <t>The required mark is missing.</t>
  </si>
  <si>
    <t>https://jam.dev/c/693239a3-7d8a-43ad-aef6-bf421ff703ec</t>
  </si>
  <si>
    <t>TC-023</t>
  </si>
  <si>
    <t>The input field and placeholder color are identical.</t>
  </si>
  <si>
    <r>
      <rPr>
        <rFont val="Times New Roman"/>
        <sz val="12.0"/>
      </rPr>
      <t xml:space="preserve">1. Open web app - </t>
    </r>
    <r>
      <rPr>
        <rFont val="Times New Roman"/>
        <color rgb="FF1155CC"/>
        <sz val="12.0"/>
        <u/>
      </rPr>
      <t xml:space="preserve">Link
</t>
    </r>
    <r>
      <rPr>
        <rFont val="Times New Roman"/>
        <sz val="12.0"/>
      </rPr>
      <t>2. Goto Signin
3. Click on Signup</t>
    </r>
  </si>
  <si>
    <t>The color of the input field name should be different from its placeholder.</t>
  </si>
  <si>
    <t>Using the same color for the input field name and placeholder can cause confusion, as users might not easily distinguish between the two.</t>
  </si>
  <si>
    <t>https://jam.dev/c/8dee9646-6de6-4de8-87fd-1d9ecbac5bef</t>
  </si>
  <si>
    <t>TC-024</t>
  </si>
  <si>
    <t>The Terms of Use and Privacy Policy have not been implemented.</t>
  </si>
  <si>
    <r>
      <rPr>
        <rFont val="Times New Roman"/>
        <sz val="12.0"/>
      </rPr>
      <t xml:space="preserve">1. Open web app - </t>
    </r>
    <r>
      <rPr>
        <rFont val="Times New Roman"/>
        <color rgb="FF1155CC"/>
        <sz val="12.0"/>
        <u/>
      </rPr>
      <t xml:space="preserve">Link
</t>
    </r>
    <r>
      <rPr>
        <rFont val="Times New Roman"/>
        <sz val="12.0"/>
      </rPr>
      <t>2. Goto Signin
3. Click on Signup</t>
    </r>
  </si>
  <si>
    <t>The terms of use and privacy policy need to be working correctly for the client review.</t>
  </si>
  <si>
    <t>The absence of terms of use and a privacy policy has been noted.</t>
  </si>
  <si>
    <t>https://jam.dev/c/0573d68f-77bf-477f-b34e-5e405769a23a</t>
  </si>
  <si>
    <t>TC-025</t>
  </si>
  <si>
    <t>Multiple password hide icons have been observed.</t>
  </si>
  <si>
    <r>
      <rPr>
        <rFont val="Times New Roman"/>
        <sz val="12.0"/>
      </rPr>
      <t xml:space="preserve">1. Open web app - </t>
    </r>
    <r>
      <rPr>
        <rFont val="Times New Roman"/>
        <color rgb="FF1155CC"/>
        <sz val="12.0"/>
        <u/>
      </rPr>
      <t xml:space="preserve">Link
</t>
    </r>
    <r>
      <rPr>
        <rFont val="Times New Roman"/>
        <sz val="12.0"/>
      </rPr>
      <t>2. Goto Signin
3. Click on Signup</t>
    </r>
  </si>
  <si>
    <t>The password hide button should appear only after the password has been entered in the field, and there should be a single icon to handle this functionality.</t>
  </si>
  <si>
    <t>Multiple buttons have been observed, and both are functioning properly.</t>
  </si>
  <si>
    <t>https://jam.dev/c/1f8f004b-babd-4c4b-be86-5ed8ef386bbc</t>
  </si>
  <si>
    <t>TC-026</t>
  </si>
  <si>
    <t>The suggested password field feels too cramped.</t>
  </si>
  <si>
    <r>
      <rPr>
        <rFont val="Times New Roman"/>
        <sz val="12.0"/>
      </rPr>
      <t xml:space="preserve">1. Open web app - </t>
    </r>
    <r>
      <rPr>
        <rFont val="Times New Roman"/>
        <color rgb="FF1155CC"/>
        <sz val="12.0"/>
        <u/>
      </rPr>
      <t xml:space="preserve">Link
</t>
    </r>
    <r>
      <rPr>
        <rFont val="Times New Roman"/>
        <sz val="12.0"/>
      </rPr>
      <t>2. Goto Signin
3. Click on Signup</t>
    </r>
  </si>
  <si>
    <t>The suggested password should be displayed clearly and positioned beneath the password field.</t>
  </si>
  <si>
    <t>The suggested passwords are positioned too closely, making the field feel cramped.</t>
  </si>
  <si>
    <t>https://jam.dev/c/144b94a2-2598-446d-b68d-33d501ac633e</t>
  </si>
  <si>
    <t>TC-027</t>
  </si>
  <si>
    <t>OTP</t>
  </si>
  <si>
    <r>
      <rPr>
        <rFont val="Times New Roman"/>
        <sz val="12.0"/>
      </rPr>
      <t xml:space="preserve">1. Open web app - </t>
    </r>
    <r>
      <rPr>
        <rFont val="Times New Roman"/>
        <color rgb="FF1155CC"/>
        <sz val="12.0"/>
        <u/>
      </rPr>
      <t xml:space="preserve">Link
</t>
    </r>
    <r>
      <rPr>
        <rFont val="Times New Roman"/>
        <sz val="12.0"/>
      </rPr>
      <t>2. Goto Signin
3. Click on Signup
4. Click on signup button</t>
    </r>
  </si>
  <si>
    <t>The logo on the OTP page should be larger to grab more attention.</t>
  </si>
  <si>
    <t>https://jam.dev/c/85875220-4441-4bdd-88af-5c9540935967</t>
  </si>
  <si>
    <t>TC-028</t>
  </si>
  <si>
    <t>The OTP field works similarly to the email field.</t>
  </si>
  <si>
    <r>
      <rPr>
        <rFont val="Times New Roman"/>
        <sz val="12.0"/>
      </rPr>
      <t xml:space="preserve">1. Open web app - </t>
    </r>
    <r>
      <rPr>
        <rFont val="Times New Roman"/>
        <color rgb="FF1155CC"/>
        <sz val="12.0"/>
        <u/>
      </rPr>
      <t xml:space="preserve">Link
</t>
    </r>
    <r>
      <rPr>
        <rFont val="Times New Roman"/>
        <sz val="12.0"/>
      </rPr>
      <t>2. Goto Signin
3. Click on Signup
4. Click on signup button</t>
    </r>
  </si>
  <si>
    <t>When a user receives an OTP via email, they should enter the OTP in the designated field, and it will be secured.</t>
  </si>
  <si>
    <t>The OTP field behaves like an email field, suggesting '@' and making the input visible.</t>
  </si>
  <si>
    <t>https://jam.dev/c/e1b17636-ddce-4309-8bce-6a64d22152e3</t>
  </si>
  <si>
    <t>TC-029</t>
  </si>
  <si>
    <t>Signin</t>
  </si>
  <si>
    <r>
      <rPr>
        <rFont val="Times New Roman"/>
        <sz val="12.0"/>
      </rPr>
      <t xml:space="preserve">1. Open web app - </t>
    </r>
    <r>
      <rPr>
        <rFont val="Times New Roman"/>
        <color rgb="FF1155CC"/>
        <sz val="12.0"/>
        <u/>
      </rPr>
      <t xml:space="preserve">Link
</t>
    </r>
    <r>
      <rPr>
        <rFont val="Times New Roman"/>
        <sz val="12.0"/>
      </rPr>
      <t>2. Goto Signin</t>
    </r>
  </si>
  <si>
    <t>The logo on the signin page should be larger to grab more attention.</t>
  </si>
  <si>
    <t>https://jam.dev/c/5c5281f2-c8cb-4c43-bb93-30777492e09a</t>
  </si>
  <si>
    <t>TC-030</t>
  </si>
  <si>
    <r>
      <rPr>
        <rFont val="Times New Roman"/>
        <sz val="12.0"/>
      </rPr>
      <t xml:space="preserve">1. Open web app - </t>
    </r>
    <r>
      <rPr>
        <rFont val="Times New Roman"/>
        <color rgb="FF1155CC"/>
        <sz val="12.0"/>
        <u/>
      </rPr>
      <t xml:space="preserve">Link
</t>
    </r>
    <r>
      <rPr>
        <rFont val="Times New Roman"/>
        <sz val="12.0"/>
      </rPr>
      <t>2. Goto Signin</t>
    </r>
  </si>
  <si>
    <t>https://jam.dev/c/a4622384-b617-41be-ad07-bf26b62923fc</t>
  </si>
  <si>
    <t>TC-031</t>
  </si>
  <si>
    <t>Password Reset</t>
  </si>
  <si>
    <r>
      <rPr>
        <rFont val="Times New Roman"/>
        <sz val="12.0"/>
      </rPr>
      <t xml:space="preserve">1. Open web app - </t>
    </r>
    <r>
      <rPr>
        <rFont val="Times New Roman"/>
        <color rgb="FF1155CC"/>
        <sz val="12.0"/>
        <u/>
      </rPr>
      <t xml:space="preserve">Link
</t>
    </r>
    <r>
      <rPr>
        <rFont val="Times New Roman"/>
        <sz val="12.0"/>
      </rPr>
      <t>2. Goto Signin</t>
    </r>
  </si>
  <si>
    <t>The logo on the reset page should be larger to grab more attention.</t>
  </si>
  <si>
    <t>https://jam.dev/c/a1b78211-fe4e-40a2-a5d7-72e09c36dc18</t>
  </si>
  <si>
    <t>TC-032</t>
  </si>
  <si>
    <t>Button name mismatch.</t>
  </si>
  <si>
    <r>
      <rPr>
        <rFont val="Times New Roman"/>
        <sz val="12.0"/>
      </rPr>
      <t xml:space="preserve">1. Open web app - </t>
    </r>
    <r>
      <rPr>
        <rFont val="Times New Roman"/>
        <color rgb="FF1155CC"/>
        <sz val="12.0"/>
        <u/>
      </rPr>
      <t xml:space="preserve">Link
</t>
    </r>
    <r>
      <rPr>
        <rFont val="Times New Roman"/>
        <sz val="12.0"/>
      </rPr>
      <t>2. Goto Signin
3. Click on Password reset</t>
    </r>
  </si>
  <si>
    <t>The button name should match the client's requirements.</t>
  </si>
  <si>
    <t>Noticed a different button name.</t>
  </si>
  <si>
    <t>https://jam.dev/c/f73ab1ad-d627-4cd7-bf63-4b2539adf056</t>
  </si>
  <si>
    <t>TC-033</t>
  </si>
  <si>
    <t>The password reset process is unavailable.</t>
  </si>
  <si>
    <r>
      <rPr>
        <rFont val="Times New Roman"/>
        <sz val="12.0"/>
      </rPr>
      <t xml:space="preserve">1. Open web app - </t>
    </r>
    <r>
      <rPr>
        <rFont val="Times New Roman"/>
        <color rgb="FF1155CC"/>
        <sz val="12.0"/>
        <u/>
      </rPr>
      <t xml:space="preserve">Link
</t>
    </r>
    <r>
      <rPr>
        <rFont val="Times New Roman"/>
        <sz val="12.0"/>
      </rPr>
      <t>2. Goto Signin
3. Click on Password reset</t>
    </r>
  </si>
  <si>
    <t>After the password reset email is entered, the user should be directed to a page where they can input and confirm their new password to complete the password change process.</t>
  </si>
  <si>
    <t>After entering their email for a password change, the user is redirected to the OTP page, suggesting that the password reset page flow is incomplete.</t>
  </si>
  <si>
    <t>https://jam.dev/c/30595acb-2b46-4ce8-b1ba-0b7f1b0d45cb</t>
  </si>
  <si>
    <t>TC-034</t>
  </si>
  <si>
    <t>The page blur effect didn't work when clicking on the profile.</t>
  </si>
  <si>
    <r>
      <rPr>
        <rFont val="Times New Roman"/>
        <sz val="12.0"/>
      </rPr>
      <t xml:space="preserve">1. Open web app - </t>
    </r>
    <r>
      <rPr>
        <rFont val="Times New Roman"/>
        <color rgb="FF1155CC"/>
        <sz val="12.0"/>
        <u/>
      </rPr>
      <t xml:space="preserve">Link
</t>
    </r>
    <r>
      <rPr>
        <rFont val="Times New Roman"/>
        <sz val="12.0"/>
      </rPr>
      <t>2. Goto Dashboard</t>
    </r>
  </si>
  <si>
    <t>The web app's response when clicking on the profile should display flawlessly upon interaction.</t>
  </si>
  <si>
    <t>The blur effect is missing from the client requirement.</t>
  </si>
  <si>
    <t>https://jam.dev/c/32ad2b6e-cf1d-46e5-8345-744b8f4b549f</t>
  </si>
  <si>
    <t>TC-035</t>
  </si>
  <si>
    <t>Profile</t>
  </si>
  <si>
    <t>The back button is missing in the account settings.</t>
  </si>
  <si>
    <r>
      <rPr>
        <rFont val="Times New Roman"/>
        <sz val="12.0"/>
      </rPr>
      <t xml:space="preserve">1. Open web app - </t>
    </r>
    <r>
      <rPr>
        <rFont val="Times New Roman"/>
        <color rgb="FF1155CC"/>
        <sz val="12.0"/>
        <u/>
      </rPr>
      <t xml:space="preserve">Link
</t>
    </r>
    <r>
      <rPr>
        <rFont val="Times New Roman"/>
        <sz val="12.0"/>
      </rPr>
      <t>2. Goto Dashboard
3. Click on profile</t>
    </r>
  </si>
  <si>
    <t>The button should be placed according to the client's requirements.</t>
  </si>
  <si>
    <t>The back button is missing on the profile page.</t>
  </si>
  <si>
    <t>https://jam.dev/c/739bad6f-a2cf-48e4-8c77-db32e8fff09e</t>
  </si>
  <si>
    <t>TC-036</t>
  </si>
  <si>
    <t>Profile form alignment issue</t>
  </si>
  <si>
    <r>
      <rPr>
        <rFont val="Times New Roman"/>
        <sz val="12.0"/>
      </rPr>
      <t xml:space="preserve">1. Open web app - </t>
    </r>
    <r>
      <rPr>
        <rFont val="Times New Roman"/>
        <color rgb="FF1155CC"/>
        <sz val="12.0"/>
        <u/>
      </rPr>
      <t xml:space="preserve">Link
</t>
    </r>
    <r>
      <rPr>
        <rFont val="Times New Roman"/>
        <sz val="12.0"/>
      </rPr>
      <t>2. Goto Dashboard
3. Click on profile</t>
    </r>
  </si>
  <si>
    <t>Alignment should match the client’s requirements.</t>
  </si>
  <si>
    <t>The form is aligned to the left side, which does not match the client's requirement of being aligned in the middle.</t>
  </si>
  <si>
    <t>https://jam.dev/c/6cfad581-3f4d-403b-ab0e-d5d068fc1ee9</t>
  </si>
  <si>
    <t>TC-037</t>
  </si>
  <si>
    <t>The partition of the area on the form is noticed.</t>
  </si>
  <si>
    <r>
      <rPr>
        <rFont val="Times New Roman"/>
        <sz val="12.0"/>
      </rPr>
      <t xml:space="preserve">1. Open web app - </t>
    </r>
    <r>
      <rPr>
        <rFont val="Times New Roman"/>
        <color rgb="FF1155CC"/>
        <sz val="12.0"/>
        <u/>
      </rPr>
      <t xml:space="preserve">Link
</t>
    </r>
    <r>
      <rPr>
        <rFont val="Times New Roman"/>
        <sz val="12.0"/>
      </rPr>
      <t>2. Goto Dashboard
3. Click on profile</t>
    </r>
  </si>
  <si>
    <t>Each form input should be separated from the others by a border or a line.</t>
  </si>
  <si>
    <t>No lines are visible from any input field in the form.</t>
  </si>
  <si>
    <t>https://jam.dev/c/7745c30e-f803-4285-898c-c1766754a95d</t>
  </si>
  <si>
    <t>TC-038</t>
  </si>
  <si>
    <t>Input filtration failed.</t>
  </si>
  <si>
    <r>
      <rPr>
        <rFont val="Times New Roman"/>
        <sz val="12.0"/>
      </rPr>
      <t xml:space="preserve">1. Open web app - </t>
    </r>
    <r>
      <rPr>
        <rFont val="Times New Roman"/>
        <color rgb="FF1155CC"/>
        <sz val="12.0"/>
        <u/>
      </rPr>
      <t xml:space="preserve">Link
</t>
    </r>
    <r>
      <rPr>
        <rFont val="Times New Roman"/>
        <sz val="12.0"/>
      </rPr>
      <t>2. Goto Dashboard
3. Click on profile</t>
    </r>
  </si>
  <si>
    <t>The name field should only contain characters, and the email field should follow a specific pattern for input validation.</t>
  </si>
  <si>
    <t>Input validation failed. The name field allows numeric values, and the email field accepts any input without requiring the '@' pattern.</t>
  </si>
  <si>
    <t>https://jam.dev/c/64203d76-9f38-4330-9040-6c370b4a80c9</t>
  </si>
  <si>
    <t>TC-039</t>
  </si>
  <si>
    <r>
      <rPr>
        <rFont val="Times New Roman"/>
        <sz val="12.0"/>
      </rPr>
      <t xml:space="preserve">1. Open web app - </t>
    </r>
    <r>
      <rPr>
        <rFont val="Times New Roman"/>
        <color rgb="FF1155CC"/>
        <sz val="12.0"/>
        <u/>
      </rPr>
      <t xml:space="preserve">Link
</t>
    </r>
    <r>
      <rPr>
        <rFont val="Times New Roman"/>
        <sz val="12.0"/>
      </rPr>
      <t>2. Goto Dashboard
3. Click on profile</t>
    </r>
  </si>
  <si>
    <t>https://jam.dev/c/d36e2dcb-f585-4870-a64d-048c02ffb4ae</t>
  </si>
  <si>
    <t>TC-040</t>
  </si>
  <si>
    <t>Details pattern mismatch.</t>
  </si>
  <si>
    <r>
      <rPr>
        <rFont val="Times New Roman"/>
        <sz val="12.0"/>
      </rPr>
      <t xml:space="preserve">1. Open web app - </t>
    </r>
    <r>
      <rPr>
        <rFont val="Times New Roman"/>
        <color rgb="FF1155CC"/>
        <sz val="12.0"/>
        <u/>
      </rPr>
      <t xml:space="preserve">Link
</t>
    </r>
    <r>
      <rPr>
        <rFont val="Times New Roman"/>
        <sz val="12.0"/>
      </rPr>
      <t>2. Goto Dashboard
3. Click on profile</t>
    </r>
  </si>
  <si>
    <t>Alignment on details should perfectly match the client's requirements.</t>
  </si>
  <si>
    <t>A different pattern has been noticed in client requirements.</t>
  </si>
  <si>
    <t>https://jam.dev/c/92a75c28-5156-4285-8ff1-a47a8c77f9ec</t>
  </si>
  <si>
    <t>TC-041</t>
  </si>
  <si>
    <t>Forgot password option in the password change field.</t>
  </si>
  <si>
    <r>
      <rPr>
        <rFont val="Times New Roman"/>
        <sz val="12.0"/>
      </rPr>
      <t xml:space="preserve">1. Open web app - </t>
    </r>
    <r>
      <rPr>
        <rFont val="Times New Roman"/>
        <color rgb="FF1155CC"/>
        <sz val="12.0"/>
        <u/>
      </rPr>
      <t xml:space="preserve">Link
</t>
    </r>
    <r>
      <rPr>
        <rFont val="Times New Roman"/>
        <sz val="12.0"/>
      </rPr>
      <t>2. Goto Dashboard
3. Click on profile</t>
    </r>
  </si>
  <si>
    <t>The password change section should include fields for the old password, the new password, and a confirmation of the new password.</t>
  </si>
  <si>
    <t>"Forget password" has been noticed under the confirm password field.</t>
  </si>
  <si>
    <t>https://jam.dev/c/910f3f85-39eb-4a5c-aa45-a46f7f708922</t>
  </si>
  <si>
    <t>TC-042</t>
  </si>
  <si>
    <t>The word count functionality is not working.</t>
  </si>
  <si>
    <r>
      <rPr>
        <rFont val="Times New Roman"/>
        <sz val="12.0"/>
      </rPr>
      <t xml:space="preserve">1. Open web app - </t>
    </r>
    <r>
      <rPr>
        <rFont val="Times New Roman"/>
        <color rgb="FF1155CC"/>
        <sz val="12.0"/>
        <u/>
      </rPr>
      <t xml:space="preserve">Link
</t>
    </r>
    <r>
      <rPr>
        <rFont val="Times New Roman"/>
        <sz val="12.0"/>
      </rPr>
      <t>2. Goto Dashboard
3. Click on profile</t>
    </r>
  </si>
  <si>
    <t>The words used previously by the user should be counted accurately without any issues.</t>
  </si>
  <si>
    <t>A miscalculation of the word count has been noticed.</t>
  </si>
  <si>
    <t>https://jam.dev/c/8c9419b6-9263-4bc8-a41d-17cd9519a9c6</t>
  </si>
  <si>
    <t>TC-043</t>
  </si>
  <si>
    <t>Test Cases</t>
  </si>
  <si>
    <t>Bug Count</t>
  </si>
  <si>
    <t>Bug Rate %</t>
  </si>
  <si>
    <t>Bug Severity</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</si>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</sst>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color theme="1"/>
      <name val="Arial"/>
    </font>
    <font>
      <b/>
      <sz val="12.0"/>
      <color theme="1"/>
      <name val="Calibri"/>
    </font>
    <font>
      <sz val="12.0"/>
      <color theme="1"/>
      <name val="Times New Roman"/>
    </font>
    <font>
      <b/>
      <sz val="12.0"/>
      <color theme="1"/>
      <name val="Arial"/>
    </font>
    <font>
      <b/>
      <color rgb="FF000000"/>
      <name val="Arial"/>
      <scheme val="minor"/>
    </font>
    <font>
      <sz val="11.0"/>
      <color theme="1"/>
      <name val="Times New Roman"/>
    </font>
    <font>
      <color theme="1"/>
      <name val="Arial"/>
      <scheme val="minor"/>
    </font>
    <font>
      <sz val="11.0"/>
      <color rgb="FF1E2624"/>
      <name val="Times New Roman"/>
    </font>
    <font>
      <b/>
      <sz val="11.0"/>
      <color theme="1"/>
      <name val="Calibri"/>
    </font>
    <font>
      <b/>
      <sz val="15.0"/>
      <color theme="1"/>
      <name val="Calibri"/>
    </font>
    <font>
      <sz val="15.0"/>
      <color theme="1"/>
      <name val="Arial"/>
      <scheme val="minor"/>
    </font>
    <font>
      <u/>
      <color rgb="FF0000FF"/>
    </font>
    <font>
      <u/>
      <color rgb="FF0000FF"/>
    </font>
    <font>
      <u/>
      <color rgb="FF1155CC"/>
      <name val="Arial"/>
    </font>
    <font>
      <b/>
      <sz val="16.0"/>
      <color theme="1"/>
      <name val="Calibri"/>
    </font>
    <font>
      <sz val="12.0"/>
      <color theme="1"/>
      <name val="Calibri"/>
    </font>
    <font>
      <b/>
      <sz val="12.0"/>
      <color theme="1"/>
      <name val="Times New Roman"/>
    </font>
    <font>
      <color theme="1"/>
      <name val="Times New Roman"/>
    </font>
    <font>
      <b/>
      <sz val="13.0"/>
      <color theme="1"/>
      <name val="Times New Roman"/>
    </font>
    <font>
      <sz val="13.0"/>
      <color theme="1"/>
      <name val="Times New Roman"/>
    </font>
    <font>
      <u/>
      <sz val="12.0"/>
      <color rgb="FF0000FF"/>
      <name val="Times New Roman"/>
    </font>
    <font>
      <u/>
      <sz val="12.0"/>
      <color rgb="FF1155CC"/>
      <name val="Times New Roman"/>
    </font>
    <font>
      <u/>
      <sz val="12.0"/>
      <color rgb="FF0000FF"/>
      <name val="Times New Roman"/>
    </font>
    <font>
      <u/>
      <sz val="12.0"/>
      <color rgb="FF1155CC"/>
      <name val="Times New Roman"/>
    </font>
    <font>
      <u/>
      <sz val="12.0"/>
      <color rgb="FF0000FF"/>
      <name val="Times New Roman"/>
    </font>
    <font>
      <u/>
      <color rgb="FF0000FF"/>
    </font>
  </fonts>
  <fills count="5">
    <fill>
      <patternFill patternType="none"/>
    </fill>
    <fill>
      <patternFill patternType="lightGray"/>
    </fill>
    <fill>
      <patternFill patternType="solid">
        <fgColor rgb="FFFFFFFF"/>
        <bgColor rgb="FFFFFFFF"/>
      </patternFill>
    </fill>
    <fill>
      <patternFill patternType="solid">
        <fgColor rgb="FF00FFFF"/>
        <bgColor rgb="FF00FFFF"/>
      </patternFill>
    </fill>
    <fill>
      <patternFill patternType="solid">
        <fgColor rgb="FF00FF00"/>
        <bgColor rgb="FF00FF00"/>
      </patternFill>
    </fill>
  </fills>
  <borders count="6">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ck">
        <color rgb="FF000000"/>
      </left>
      <right style="thick">
        <color rgb="FF000000"/>
      </right>
      <top style="thick">
        <color rgb="FF000000"/>
      </top>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right" shrinkToFit="0" vertical="center" wrapText="1"/>
    </xf>
    <xf borderId="1" fillId="0" fontId="3" numFmtId="0" xfId="0" applyAlignment="1" applyBorder="1" applyFont="1">
      <alignment horizontal="center" readingOrder="0" shrinkToFit="0" vertical="center" wrapText="1"/>
    </xf>
    <xf borderId="1" fillId="0" fontId="4" numFmtId="0" xfId="0" applyAlignment="1" applyBorder="1" applyFont="1">
      <alignment horizontal="center" shrinkToFit="0" wrapText="1"/>
    </xf>
    <xf borderId="0" fillId="0" fontId="5" numFmtId="0" xfId="0" applyAlignment="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0" fontId="1" numFmtId="0" xfId="0" applyAlignment="1" applyBorder="1" applyFont="1">
      <alignment horizontal="center" shrinkToFit="0" wrapText="1"/>
    </xf>
    <xf borderId="1" fillId="0" fontId="7" numFmtId="0" xfId="0" applyAlignment="1" applyBorder="1" applyFont="1">
      <alignment shrinkToFit="0" vertical="center" wrapText="1"/>
    </xf>
    <xf borderId="1" fillId="2" fontId="8" numFmtId="0" xfId="0" applyAlignment="1" applyBorder="1" applyFill="1" applyFont="1">
      <alignment horizontal="center" readingOrder="0" shrinkToFit="0" vertical="center" wrapText="1"/>
    </xf>
    <xf borderId="1" fillId="0" fontId="9" numFmtId="0" xfId="0" applyAlignment="1" applyBorder="1" applyFont="1">
      <alignment horizontal="center" shrinkToFit="0" wrapText="1"/>
    </xf>
    <xf borderId="2" fillId="3" fontId="10" numFmtId="0" xfId="0" applyAlignment="1" applyBorder="1" applyFill="1" applyFont="1">
      <alignment horizontal="center" readingOrder="0" shrinkToFit="0" vertical="center" wrapText="1"/>
    </xf>
    <xf borderId="2" fillId="3" fontId="10" numFmtId="0" xfId="0" applyAlignment="1" applyBorder="1" applyFont="1">
      <alignment horizontal="center" shrinkToFit="0" vertical="center" wrapText="1"/>
    </xf>
    <xf borderId="0" fillId="0" fontId="11" numFmtId="0" xfId="0" applyAlignment="1" applyFont="1">
      <alignment horizontal="center" shrinkToFit="0" vertical="center" wrapText="1"/>
    </xf>
    <xf borderId="3" fillId="0" fontId="7" numFmtId="0" xfId="0" applyAlignment="1" applyBorder="1" applyFont="1">
      <alignment horizontal="center" readingOrder="0" shrinkToFit="0" vertical="center" wrapText="1"/>
    </xf>
    <xf borderId="3" fillId="0" fontId="7" numFmtId="0" xfId="0" applyAlignment="1" applyBorder="1" applyFont="1">
      <alignment horizontal="center" shrinkToFit="0" vertical="center" wrapText="1"/>
    </xf>
    <xf borderId="3" fillId="0" fontId="12" numFmtId="0" xfId="0" applyAlignment="1" applyBorder="1" applyFont="1">
      <alignment horizontal="center" shrinkToFit="0" vertical="center" wrapText="1"/>
    </xf>
    <xf borderId="0" fillId="0" fontId="7" numFmtId="0" xfId="0" applyAlignment="1" applyFont="1">
      <alignment horizontal="center" shrinkToFit="0" vertical="center" wrapText="1"/>
    </xf>
    <xf borderId="1" fillId="0" fontId="7" numFmtId="0" xfId="0" applyAlignment="1" applyBorder="1" applyFont="1">
      <alignment horizontal="center" readingOrder="0" shrinkToFit="0" vertical="center" wrapText="1"/>
    </xf>
    <xf borderId="1" fillId="0" fontId="7"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0" fillId="0" fontId="7" numFmtId="0" xfId="0" applyAlignment="1" applyFont="1">
      <alignment horizontal="center" readingOrder="0" shrinkToFit="0" vertical="center" wrapText="1"/>
    </xf>
    <xf borderId="0" fillId="0" fontId="1" numFmtId="0" xfId="0" applyAlignment="1" applyFont="1">
      <alignment vertical="bottom"/>
    </xf>
    <xf borderId="1" fillId="0" fontId="2" numFmtId="0" xfId="0" applyAlignment="1" applyBorder="1" applyFont="1">
      <alignment horizontal="right" shrinkToFit="0" vertical="bottom" wrapText="1"/>
    </xf>
    <xf borderId="1" fillId="0" fontId="10" numFmtId="0" xfId="0" applyAlignment="1" applyBorder="1" applyFont="1">
      <alignment horizontal="center" vertical="bottom"/>
    </xf>
    <xf borderId="1" fillId="0" fontId="1" numFmtId="0" xfId="0" applyAlignment="1" applyBorder="1" applyFont="1">
      <alignment horizontal="center" readingOrder="0" vertical="bottom"/>
    </xf>
    <xf borderId="1" fillId="0" fontId="1" numFmtId="0" xfId="0" applyAlignment="1" applyBorder="1" applyFont="1">
      <alignment horizontal="center"/>
    </xf>
    <xf borderId="1" fillId="0" fontId="14" numFmtId="0" xfId="0" applyAlignment="1" applyBorder="1" applyFont="1">
      <alignment horizontal="center" readingOrder="0" shrinkToFit="0" vertical="bottom" wrapText="1"/>
    </xf>
    <xf borderId="1" fillId="0" fontId="1" numFmtId="0" xfId="0" applyAlignment="1" applyBorder="1" applyFont="1">
      <alignment vertical="bottom"/>
    </xf>
    <xf borderId="1" fillId="0" fontId="2" numFmtId="0" xfId="0" applyAlignment="1" applyBorder="1" applyFont="1">
      <alignment horizontal="right" vertical="bottom"/>
    </xf>
    <xf borderId="1" fillId="0" fontId="9" numFmtId="0" xfId="0" applyAlignment="1" applyBorder="1" applyFont="1">
      <alignment horizontal="right" vertical="bottom"/>
    </xf>
    <xf borderId="1" fillId="0" fontId="1" numFmtId="0" xfId="0" applyAlignment="1" applyBorder="1" applyFont="1">
      <alignment horizontal="center" vertical="bottom"/>
    </xf>
    <xf borderId="1" fillId="3" fontId="15" numFmtId="0" xfId="0" applyAlignment="1" applyBorder="1" applyFont="1">
      <alignment horizontal="center" shrinkToFit="0" vertical="center" wrapText="1"/>
    </xf>
    <xf borderId="1" fillId="0" fontId="16" numFmtId="0" xfId="0" applyAlignment="1" applyBorder="1" applyFont="1">
      <alignment readingOrder="0" shrinkToFit="0" vertical="center" wrapText="1"/>
    </xf>
    <xf borderId="1" fillId="0" fontId="16" numFmtId="0" xfId="0" applyAlignment="1" applyBorder="1" applyFont="1">
      <alignment readingOrder="0" shrinkToFit="0" vertical="center" wrapText="1"/>
    </xf>
    <xf borderId="0" fillId="0" fontId="16" numFmtId="0" xfId="0" applyAlignment="1" applyFont="1">
      <alignment readingOrder="0" shrinkToFit="0" vertical="center" wrapText="1"/>
    </xf>
    <xf borderId="0" fillId="0" fontId="16" numFmtId="0" xfId="0" applyAlignment="1" applyFont="1">
      <alignment readingOrder="0" shrinkToFit="0" vertical="center" wrapText="1"/>
    </xf>
    <xf borderId="0" fillId="0" fontId="16" numFmtId="0" xfId="0" applyAlignment="1" applyFont="1">
      <alignment shrinkToFit="0" vertical="center" wrapText="1"/>
    </xf>
    <xf borderId="4" fillId="0" fontId="16" numFmtId="0" xfId="0" applyAlignment="1" applyBorder="1" applyFont="1">
      <alignment readingOrder="0" shrinkToFit="0" vertical="center" wrapText="1"/>
    </xf>
    <xf borderId="1" fillId="0" fontId="17" numFmtId="0" xfId="0" applyAlignment="1" applyBorder="1" applyFont="1">
      <alignment horizontal="right" shrinkToFit="0" vertical="center" wrapText="1"/>
    </xf>
    <xf borderId="0" fillId="0" fontId="18" numFmtId="0" xfId="0" applyAlignment="1" applyFont="1">
      <alignment horizontal="center" shrinkToFit="0" vertical="center" wrapText="1"/>
    </xf>
    <xf borderId="1" fillId="0" fontId="6" numFmtId="0" xfId="0" applyAlignment="1" applyBorder="1" applyFont="1">
      <alignment horizontal="center" readingOrder="0" shrinkToFit="0" vertical="center" wrapText="1"/>
    </xf>
    <xf borderId="2" fillId="4" fontId="19" numFmtId="0" xfId="0" applyAlignment="1" applyBorder="1" applyFill="1" applyFont="1">
      <alignment horizontal="center" shrinkToFit="0" vertical="center" wrapText="1"/>
    </xf>
    <xf borderId="0" fillId="0" fontId="20" numFmtId="0" xfId="0" applyAlignment="1" applyFont="1">
      <alignment horizontal="center" shrinkToFit="0" vertical="center" wrapText="1"/>
    </xf>
    <xf borderId="3" fillId="0" fontId="3" numFmtId="0" xfId="0" applyAlignment="1" applyBorder="1" applyFont="1">
      <alignment horizontal="center" readingOrder="0" shrinkToFit="0" vertical="center" wrapText="1"/>
    </xf>
    <xf borderId="3" fillId="0" fontId="21" numFmtId="0" xfId="0" applyAlignment="1" applyBorder="1" applyFont="1">
      <alignment horizontal="left" readingOrder="0" shrinkToFit="0" vertical="center" wrapText="1"/>
    </xf>
    <xf borderId="3" fillId="0" fontId="22"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left" shrinkToFit="0" vertical="center" wrapText="1"/>
    </xf>
    <xf borderId="1" fillId="0" fontId="23" numFmtId="0" xfId="0" applyAlignment="1" applyBorder="1" applyFont="1">
      <alignment horizontal="left" readingOrder="0" shrinkToFit="0" vertical="center" wrapText="1"/>
    </xf>
    <xf borderId="1" fillId="0" fontId="24" numFmtId="0" xfId="0" applyAlignment="1" applyBorder="1" applyFont="1">
      <alignment horizontal="center" readingOrder="0" shrinkToFit="0" vertical="center" wrapText="1"/>
    </xf>
    <xf borderId="1" fillId="0" fontId="25"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0" fontId="3" numFmtId="0" xfId="0" applyAlignment="1" applyBorder="1" applyFont="1">
      <alignment horizontal="center" readingOrder="0" shrinkToFit="0" vertical="center" wrapText="1"/>
    </xf>
    <xf borderId="0" fillId="0" fontId="18" numFmtId="0" xfId="0" applyAlignment="1" applyFont="1">
      <alignment horizontal="left" shrinkToFit="0" vertical="center" wrapText="1"/>
    </xf>
    <xf borderId="1" fillId="0" fontId="18" numFmtId="0" xfId="0" applyAlignment="1" applyBorder="1" applyFont="1">
      <alignment horizontal="center" shrinkToFit="0" vertical="center" wrapText="1"/>
    </xf>
    <xf borderId="1" fillId="0" fontId="18" numFmtId="0" xfId="0" applyAlignment="1" applyBorder="1" applyFont="1">
      <alignment horizontal="center" readingOrder="0" shrinkToFit="0" vertical="center" wrapText="1"/>
    </xf>
    <xf borderId="0" fillId="0" fontId="18" numFmtId="0" xfId="0" applyAlignment="1" applyFont="1">
      <alignment horizontal="center" readingOrder="0" shrinkToFit="0" vertical="center" wrapText="1"/>
    </xf>
    <xf borderId="1" fillId="0" fontId="26" numFmtId="0" xfId="0" applyAlignment="1" applyBorder="1" applyFont="1">
      <alignment horizontal="center" readingOrder="0" shrinkToFit="0" vertical="center" wrapText="1"/>
    </xf>
    <xf borderId="1" fillId="0" fontId="7" numFmtId="0" xfId="0" applyBorder="1" applyFont="1"/>
    <xf borderId="1" fillId="0" fontId="3" numFmtId="0" xfId="0" applyAlignment="1" applyBorder="1" applyFont="1">
      <alignment horizontal="left" readingOrder="0" shrinkToFit="0" vertical="center" wrapText="1"/>
    </xf>
    <xf borderId="5" fillId="3" fontId="19"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doughnutChart>
        <c:varyColors val="1"/>
        <c:ser>
          <c:idx val="0"/>
          <c:order val="0"/>
          <c:dPt>
            <c:idx val="0"/>
            <c:spPr>
              <a:solidFill>
                <a:srgbClr val="FF0000"/>
              </a:solidFill>
            </c:spPr>
          </c:dPt>
          <c:dPt>
            <c:idx val="1"/>
            <c:spPr>
              <a:solidFill>
                <a:srgbClr val="FFFF00"/>
              </a:solidFill>
            </c:spPr>
          </c:dPt>
          <c:dPt>
            <c:idx val="2"/>
            <c:spPr>
              <a:solidFill>
                <a:srgbClr val="6AA84F"/>
              </a:solidFill>
            </c:spPr>
          </c:dPt>
          <c:dLbls>
            <c:showLegendKey val="0"/>
            <c:showVal val="1"/>
            <c:showCatName val="0"/>
            <c:showSerName val="0"/>
            <c:showPercent val="0"/>
            <c:showBubbleSize val="0"/>
            <c:showLeaderLines val="1"/>
          </c:dLbls>
          <c:cat>
            <c:strRef>
              <c:f>'Main Report'!$D$3:$D$5</c:f>
            </c:strRef>
          </c:cat>
          <c:val>
            <c:numRef>
              <c:f>'Main Report'!$E$3:$E$5</c:f>
              <c:numCache/>
            </c:numRef>
          </c:val>
        </c:ser>
        <c:dLbls>
          <c:showLegendKey val="0"/>
          <c:showVal val="0"/>
          <c:showCatName val="0"/>
          <c:showSerName val="0"/>
          <c:showPercent val="0"/>
          <c:showBubbleSize val="0"/>
        </c:dLbls>
        <c:holeSize val="25"/>
      </c:doughnutChart>
    </c:plotArea>
    <c:legend>
      <c:legendPos val="r"/>
      <c:overlay val="0"/>
      <c:txPr>
        <a:bodyPr/>
        <a:lstStyle/>
        <a:p>
          <a:pPr lvl="0">
            <a:defRPr b="0">
              <a:solidFill>
                <a:srgbClr val="1A1A1A"/>
              </a:solidFill>
              <a:latin typeface="Arial black"/>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1171575</xdr:colOff>
      <xdr:row>0</xdr:row>
      <xdr:rowOff>180975</xdr:rowOff>
    </xdr:from>
    <xdr:ext cx="3162300" cy="2085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jam.dev/c/f73ab1ad-d627-4cd7-bf63-4b2539adf056" TargetMode="External"/><Relationship Id="rId20" Type="http://schemas.openxmlformats.org/officeDocument/2006/relationships/hyperlink" Target="https://jam.dev/c/739bad6f-a2cf-48e4-8c77-db32e8fff09e" TargetMode="External"/><Relationship Id="rId42" Type="http://schemas.openxmlformats.org/officeDocument/2006/relationships/drawing" Target="../drawings/drawing1.xml"/><Relationship Id="rId41" Type="http://schemas.openxmlformats.org/officeDocument/2006/relationships/hyperlink" Target="https://jam.dev/c/30595acb-2b46-4ce8-b1ba-0b7f1b0d45cb" TargetMode="External"/><Relationship Id="rId22" Type="http://schemas.openxmlformats.org/officeDocument/2006/relationships/hyperlink" Target="https://jam.dev/c/7745c30e-f803-4285-898c-c1766754a95d" TargetMode="External"/><Relationship Id="rId21" Type="http://schemas.openxmlformats.org/officeDocument/2006/relationships/hyperlink" Target="https://jam.dev/c/6cfad581-3f4d-403b-ab0e-d5d068fc1ee9" TargetMode="External"/><Relationship Id="rId24" Type="http://schemas.openxmlformats.org/officeDocument/2006/relationships/hyperlink" Target="https://jam.dev/c/d36e2dcb-f585-4870-a64d-048c02ffb4ae" TargetMode="External"/><Relationship Id="rId23" Type="http://schemas.openxmlformats.org/officeDocument/2006/relationships/hyperlink" Target="https://jam.dev/c/64203d76-9f38-4330-9040-6c370b4a80c9" TargetMode="External"/><Relationship Id="rId1" Type="http://schemas.openxmlformats.org/officeDocument/2006/relationships/hyperlink" Target="https://jam.dev/c/9b66f0af-a4f6-4cee-8d0b-17247d7ad04b" TargetMode="External"/><Relationship Id="rId2" Type="http://schemas.openxmlformats.org/officeDocument/2006/relationships/hyperlink" Target="https://jam.dev/c/be7d8630-72a9-4489-8b91-e2da8e80a669" TargetMode="External"/><Relationship Id="rId3" Type="http://schemas.openxmlformats.org/officeDocument/2006/relationships/hyperlink" Target="https://jam.dev/c/9c009b46-1260-4e8f-8ed8-952a64919952" TargetMode="External"/><Relationship Id="rId4" Type="http://schemas.openxmlformats.org/officeDocument/2006/relationships/hyperlink" Target="https://jam.dev/c/033efe11-1e4c-46c6-be59-e0a9280fd6c8" TargetMode="External"/><Relationship Id="rId9" Type="http://schemas.openxmlformats.org/officeDocument/2006/relationships/hyperlink" Target="https://jam.dev/c/23ee932c-8f28-4aea-a4f5-20a2dbd3ac9a" TargetMode="External"/><Relationship Id="rId26" Type="http://schemas.openxmlformats.org/officeDocument/2006/relationships/hyperlink" Target="https://jam.dev/c/910f3f85-39eb-4a5c-aa45-a46f7f708922" TargetMode="External"/><Relationship Id="rId25" Type="http://schemas.openxmlformats.org/officeDocument/2006/relationships/hyperlink" Target="https://jam.dev/c/92a75c28-5156-4285-8ff1-a47a8c77f9ec" TargetMode="External"/><Relationship Id="rId28" Type="http://schemas.openxmlformats.org/officeDocument/2006/relationships/hyperlink" Target="https://jam.dev/c/01c7b21f-bc09-420e-b6a0-71668387a652" TargetMode="External"/><Relationship Id="rId27" Type="http://schemas.openxmlformats.org/officeDocument/2006/relationships/hyperlink" Target="https://jam.dev/c/8c9419b6-9263-4bc8-a41d-17cd9519a9c6" TargetMode="External"/><Relationship Id="rId5" Type="http://schemas.openxmlformats.org/officeDocument/2006/relationships/hyperlink" Target="https://jam.dev/c/033efe11-1e4c-46c6-be59-e0a9280fd6c8" TargetMode="External"/><Relationship Id="rId6" Type="http://schemas.openxmlformats.org/officeDocument/2006/relationships/hyperlink" Target="https://jam.dev/c/f1d45039-a5b8-4557-ad19-7b6dcc564d00" TargetMode="External"/><Relationship Id="rId29" Type="http://schemas.openxmlformats.org/officeDocument/2006/relationships/hyperlink" Target="https://jam.dev/c/56321e80-60b9-44d6-8f93-64f389e74cc4" TargetMode="External"/><Relationship Id="rId7" Type="http://schemas.openxmlformats.org/officeDocument/2006/relationships/hyperlink" Target="https://jam.dev/c/3dad79ae-7ec2-4256-bbd3-a77b695c0333" TargetMode="External"/><Relationship Id="rId8" Type="http://schemas.openxmlformats.org/officeDocument/2006/relationships/hyperlink" Target="https://jam.dev/c/32ad2b6e-cf1d-46e5-8345-744b8f4b549f" TargetMode="External"/><Relationship Id="rId31" Type="http://schemas.openxmlformats.org/officeDocument/2006/relationships/hyperlink" Target="https://jam.dev/c/8dee9646-6de6-4de8-87fd-1d9ecbac5bef" TargetMode="External"/><Relationship Id="rId30" Type="http://schemas.openxmlformats.org/officeDocument/2006/relationships/hyperlink" Target="https://jam.dev/c/693239a3-7d8a-43ad-aef6-bf421ff703ec" TargetMode="External"/><Relationship Id="rId11" Type="http://schemas.openxmlformats.org/officeDocument/2006/relationships/hyperlink" Target="https://jam.dev/c/a0a864ea-e8cf-4d6f-a2af-91c754682221" TargetMode="External"/><Relationship Id="rId33" Type="http://schemas.openxmlformats.org/officeDocument/2006/relationships/hyperlink" Target="https://jam.dev/c/1f8f004b-babd-4c4b-be86-5ed8ef386bbc" TargetMode="External"/><Relationship Id="rId10" Type="http://schemas.openxmlformats.org/officeDocument/2006/relationships/hyperlink" Target="https://jam.dev/c/26464a08-6fd5-4ea0-b3ca-f503c3aff69b" TargetMode="External"/><Relationship Id="rId32" Type="http://schemas.openxmlformats.org/officeDocument/2006/relationships/hyperlink" Target="https://jam.dev/c/0573d68f-77bf-477f-b34e-5e405769a23a" TargetMode="External"/><Relationship Id="rId13" Type="http://schemas.openxmlformats.org/officeDocument/2006/relationships/hyperlink" Target="https://jam.dev/c/207e803b-6905-48e8-91cc-ca3d21c9e6ca" TargetMode="External"/><Relationship Id="rId35" Type="http://schemas.openxmlformats.org/officeDocument/2006/relationships/hyperlink" Target="https://jam.dev/c/85875220-4441-4bdd-88af-5c9540935967" TargetMode="External"/><Relationship Id="rId12" Type="http://schemas.openxmlformats.org/officeDocument/2006/relationships/hyperlink" Target="https://jam.dev/c/799d083e-aacb-4aa6-95bf-4291ade1958b" TargetMode="External"/><Relationship Id="rId34" Type="http://schemas.openxmlformats.org/officeDocument/2006/relationships/hyperlink" Target="https://jam.dev/c/144b94a2-2598-446d-b68d-33d501ac633e" TargetMode="External"/><Relationship Id="rId15" Type="http://schemas.openxmlformats.org/officeDocument/2006/relationships/hyperlink" Target="https://jam.dev/c/e75183eb-184b-40e7-af64-1f07d2208e71" TargetMode="External"/><Relationship Id="rId37" Type="http://schemas.openxmlformats.org/officeDocument/2006/relationships/hyperlink" Target="https://jam.dev/c/5c5281f2-c8cb-4c43-bb93-30777492e09a" TargetMode="External"/><Relationship Id="rId14" Type="http://schemas.openxmlformats.org/officeDocument/2006/relationships/hyperlink" Target="https://jam.dev/c/605a2d6f-6782-4aeb-ae37-d88b3cc5c6f3" TargetMode="External"/><Relationship Id="rId36" Type="http://schemas.openxmlformats.org/officeDocument/2006/relationships/hyperlink" Target="https://jam.dev/c/e1b17636-ddce-4309-8bce-6a64d22152e3" TargetMode="External"/><Relationship Id="rId17" Type="http://schemas.openxmlformats.org/officeDocument/2006/relationships/hyperlink" Target="https://jam.dev/c/5bd258f7-ad72-4a8f-83ae-6ae0a53cb0d0" TargetMode="External"/><Relationship Id="rId39" Type="http://schemas.openxmlformats.org/officeDocument/2006/relationships/hyperlink" Target="https://jam.dev/c/a1b78211-fe4e-40a2-a5d7-72e09c36dc18" TargetMode="External"/><Relationship Id="rId16" Type="http://schemas.openxmlformats.org/officeDocument/2006/relationships/hyperlink" Target="https://jam.dev/c/bbca7769-b65b-45bf-b6db-8dfae74359c2" TargetMode="External"/><Relationship Id="rId38" Type="http://schemas.openxmlformats.org/officeDocument/2006/relationships/hyperlink" Target="https://jam.dev/c/a4622384-b617-41be-ad07-bf26b62923fc" TargetMode="External"/><Relationship Id="rId19" Type="http://schemas.openxmlformats.org/officeDocument/2006/relationships/hyperlink" Target="https://jam.dev/c/b076a2fe-6668-4c37-8d58-c018dc47e057" TargetMode="External"/><Relationship Id="rId18" Type="http://schemas.openxmlformats.org/officeDocument/2006/relationships/hyperlink" Target="https://jam.dev/c/a09842b0-2c36-47d7-8f59-ebc1e924145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luxury-kleicha-c8c530.netlify.app/" TargetMode="External"/><Relationship Id="rId84" Type="http://schemas.openxmlformats.org/officeDocument/2006/relationships/drawing" Target="../drawings/drawing3.xml"/><Relationship Id="rId83" Type="http://schemas.openxmlformats.org/officeDocument/2006/relationships/hyperlink" Target="https://jam.dev/c/8c9419b6-9263-4bc8-a41d-17cd9519a9c6" TargetMode="External"/><Relationship Id="rId42" Type="http://schemas.openxmlformats.org/officeDocument/2006/relationships/hyperlink" Target="https://luxury-kleicha-c8c530.netlify.app/" TargetMode="External"/><Relationship Id="rId41" Type="http://schemas.openxmlformats.org/officeDocument/2006/relationships/hyperlink" Target="https://jam.dev/c/56321e80-60b9-44d6-8f93-64f389e74cc4" TargetMode="External"/><Relationship Id="rId44" Type="http://schemas.openxmlformats.org/officeDocument/2006/relationships/hyperlink" Target="https://luxury-kleicha-c8c530.netlify.app/" TargetMode="External"/><Relationship Id="rId43" Type="http://schemas.openxmlformats.org/officeDocument/2006/relationships/hyperlink" Target="https://jam.dev/c/693239a3-7d8a-43ad-aef6-bf421ff703ec" TargetMode="External"/><Relationship Id="rId46" Type="http://schemas.openxmlformats.org/officeDocument/2006/relationships/hyperlink" Target="https://luxury-kleicha-c8c530.netlify.app/" TargetMode="External"/><Relationship Id="rId45" Type="http://schemas.openxmlformats.org/officeDocument/2006/relationships/hyperlink" Target="https://jam.dev/c/8dee9646-6de6-4de8-87fd-1d9ecbac5bef" TargetMode="External"/><Relationship Id="rId80" Type="http://schemas.openxmlformats.org/officeDocument/2006/relationships/hyperlink" Target="https://luxury-kleicha-c8c530.netlify.app/" TargetMode="External"/><Relationship Id="rId82" Type="http://schemas.openxmlformats.org/officeDocument/2006/relationships/hyperlink" Target="https://luxury-kleicha-c8c530.netlify.app/" TargetMode="External"/><Relationship Id="rId81" Type="http://schemas.openxmlformats.org/officeDocument/2006/relationships/hyperlink" Target="https://jam.dev/c/910f3f85-39eb-4a5c-aa45-a46f7f708922" TargetMode="External"/><Relationship Id="rId1" Type="http://schemas.openxmlformats.org/officeDocument/2006/relationships/hyperlink" Target="https://luxury-kleicha-c8c530.netlify.app/" TargetMode="External"/><Relationship Id="rId2" Type="http://schemas.openxmlformats.org/officeDocument/2006/relationships/hyperlink" Target="https://jam.dev/c/23ee932c-8f28-4aea-a4f5-20a2dbd3ac9a" TargetMode="External"/><Relationship Id="rId3" Type="http://schemas.openxmlformats.org/officeDocument/2006/relationships/hyperlink" Target="https://luxury-kleicha-c8c530.netlify.app/" TargetMode="External"/><Relationship Id="rId4" Type="http://schemas.openxmlformats.org/officeDocument/2006/relationships/hyperlink" Target="https://jam.dev/c/26464a08-6fd5-4ea0-b3ca-f503c3aff69b" TargetMode="External"/><Relationship Id="rId9" Type="http://schemas.openxmlformats.org/officeDocument/2006/relationships/hyperlink" Target="https://luxury-kleicha-c8c530.netlify.app/" TargetMode="External"/><Relationship Id="rId48" Type="http://schemas.openxmlformats.org/officeDocument/2006/relationships/hyperlink" Target="https://luxury-kleicha-c8c530.netlify.app/" TargetMode="External"/><Relationship Id="rId47" Type="http://schemas.openxmlformats.org/officeDocument/2006/relationships/hyperlink" Target="https://jam.dev/c/0573d68f-77bf-477f-b34e-5e405769a23a" TargetMode="External"/><Relationship Id="rId49" Type="http://schemas.openxmlformats.org/officeDocument/2006/relationships/hyperlink" Target="https://jam.dev/c/1f8f004b-babd-4c4b-be86-5ed8ef386bbc" TargetMode="External"/><Relationship Id="rId5" Type="http://schemas.openxmlformats.org/officeDocument/2006/relationships/hyperlink" Target="https://luxury-kleicha-c8c530.netlify.app/" TargetMode="External"/><Relationship Id="rId6" Type="http://schemas.openxmlformats.org/officeDocument/2006/relationships/hyperlink" Target="https://jam.dev/c/a0a864ea-e8cf-4d6f-a2af-91c754682221" TargetMode="External"/><Relationship Id="rId7" Type="http://schemas.openxmlformats.org/officeDocument/2006/relationships/hyperlink" Target="https://luxury-kleicha-c8c530.netlify.app/" TargetMode="External"/><Relationship Id="rId8" Type="http://schemas.openxmlformats.org/officeDocument/2006/relationships/hyperlink" Target="https://jam.dev/c/799d083e-aacb-4aa6-95bf-4291ade1958b" TargetMode="External"/><Relationship Id="rId73" Type="http://schemas.openxmlformats.org/officeDocument/2006/relationships/hyperlink" Target="https://jam.dev/c/7745c30e-f803-4285-898c-c1766754a95d" TargetMode="External"/><Relationship Id="rId72" Type="http://schemas.openxmlformats.org/officeDocument/2006/relationships/hyperlink" Target="https://luxury-kleicha-c8c530.netlify.app/" TargetMode="External"/><Relationship Id="rId31" Type="http://schemas.openxmlformats.org/officeDocument/2006/relationships/hyperlink" Target="https://jam.dev/c/033efe11-1e4c-46c6-be59-e0a9280fd6c8" TargetMode="External"/><Relationship Id="rId75" Type="http://schemas.openxmlformats.org/officeDocument/2006/relationships/hyperlink" Target="https://jam.dev/c/64203d76-9f38-4330-9040-6c370b4a80c9" TargetMode="External"/><Relationship Id="rId30" Type="http://schemas.openxmlformats.org/officeDocument/2006/relationships/hyperlink" Target="https://luxury-kleicha-c8c530.netlify.app/" TargetMode="External"/><Relationship Id="rId74" Type="http://schemas.openxmlformats.org/officeDocument/2006/relationships/hyperlink" Target="https://luxury-kleicha-c8c530.netlify.app/" TargetMode="External"/><Relationship Id="rId33" Type="http://schemas.openxmlformats.org/officeDocument/2006/relationships/hyperlink" Target="https://jam.dev/c/033efe11-1e4c-46c6-be59-e0a9280fd6c8" TargetMode="External"/><Relationship Id="rId77" Type="http://schemas.openxmlformats.org/officeDocument/2006/relationships/hyperlink" Target="https://jam.dev/c/d36e2dcb-f585-4870-a64d-048c02ffb4ae" TargetMode="External"/><Relationship Id="rId32" Type="http://schemas.openxmlformats.org/officeDocument/2006/relationships/hyperlink" Target="https://luxury-kleicha-c8c530.netlify.app/" TargetMode="External"/><Relationship Id="rId76" Type="http://schemas.openxmlformats.org/officeDocument/2006/relationships/hyperlink" Target="https://luxury-kleicha-c8c530.netlify.app/" TargetMode="External"/><Relationship Id="rId35" Type="http://schemas.openxmlformats.org/officeDocument/2006/relationships/hyperlink" Target="https://jam.dev/c/f1d45039-a5b8-4557-ad19-7b6dcc564d00" TargetMode="External"/><Relationship Id="rId79" Type="http://schemas.openxmlformats.org/officeDocument/2006/relationships/hyperlink" Target="https://jam.dev/c/92a75c28-5156-4285-8ff1-a47a8c77f9ec" TargetMode="External"/><Relationship Id="rId34" Type="http://schemas.openxmlformats.org/officeDocument/2006/relationships/hyperlink" Target="https://luxury-kleicha-c8c530.netlify.app/" TargetMode="External"/><Relationship Id="rId78" Type="http://schemas.openxmlformats.org/officeDocument/2006/relationships/hyperlink" Target="https://luxury-kleicha-c8c530.netlify.app/" TargetMode="External"/><Relationship Id="rId71" Type="http://schemas.openxmlformats.org/officeDocument/2006/relationships/hyperlink" Target="https://jam.dev/c/6cfad581-3f4d-403b-ab0e-d5d068fc1ee9" TargetMode="External"/><Relationship Id="rId70" Type="http://schemas.openxmlformats.org/officeDocument/2006/relationships/hyperlink" Target="https://luxury-kleicha-c8c530.netlify.app/" TargetMode="External"/><Relationship Id="rId37" Type="http://schemas.openxmlformats.org/officeDocument/2006/relationships/hyperlink" Target="https://jam.dev/c/3dad79ae-7ec2-4256-bbd3-a77b695c0333" TargetMode="External"/><Relationship Id="rId36" Type="http://schemas.openxmlformats.org/officeDocument/2006/relationships/hyperlink" Target="https://luxury-kleicha-c8c530.netlify.app/" TargetMode="External"/><Relationship Id="rId39" Type="http://schemas.openxmlformats.org/officeDocument/2006/relationships/hyperlink" Target="https://jam.dev/c/01c7b21f-bc09-420e-b6a0-71668387a652" TargetMode="External"/><Relationship Id="rId38" Type="http://schemas.openxmlformats.org/officeDocument/2006/relationships/hyperlink" Target="https://luxury-kleicha-c8c530.netlify.app/" TargetMode="External"/><Relationship Id="rId62" Type="http://schemas.openxmlformats.org/officeDocument/2006/relationships/hyperlink" Target="https://luxury-kleicha-c8c530.netlify.app/" TargetMode="External"/><Relationship Id="rId61" Type="http://schemas.openxmlformats.org/officeDocument/2006/relationships/hyperlink" Target="https://jam.dev/c/a1b78211-fe4e-40a2-a5d7-72e09c36dc18" TargetMode="External"/><Relationship Id="rId20" Type="http://schemas.openxmlformats.org/officeDocument/2006/relationships/hyperlink" Target="https://jam.dev/c/a09842b0-2c36-47d7-8f59-ebc1e9241450" TargetMode="External"/><Relationship Id="rId64" Type="http://schemas.openxmlformats.org/officeDocument/2006/relationships/hyperlink" Target="https://luxury-kleicha-c8c530.netlify.app/" TargetMode="External"/><Relationship Id="rId63" Type="http://schemas.openxmlformats.org/officeDocument/2006/relationships/hyperlink" Target="https://jam.dev/c/f73ab1ad-d627-4cd7-bf63-4b2539adf056" TargetMode="External"/><Relationship Id="rId22" Type="http://schemas.openxmlformats.org/officeDocument/2006/relationships/hyperlink" Target="https://jam.dev/c/b076a2fe-6668-4c37-8d58-c018dc47e057" TargetMode="External"/><Relationship Id="rId66" Type="http://schemas.openxmlformats.org/officeDocument/2006/relationships/hyperlink" Target="https://luxury-kleicha-c8c530.netlify.app/" TargetMode="External"/><Relationship Id="rId21" Type="http://schemas.openxmlformats.org/officeDocument/2006/relationships/hyperlink" Target="https://luxury-kleicha-c8c530.netlify.app/" TargetMode="External"/><Relationship Id="rId65" Type="http://schemas.openxmlformats.org/officeDocument/2006/relationships/hyperlink" Target="https://jam.dev/c/30595acb-2b46-4ce8-b1ba-0b7f1b0d45cb" TargetMode="External"/><Relationship Id="rId24" Type="http://schemas.openxmlformats.org/officeDocument/2006/relationships/hyperlink" Target="https://jam.dev/c/9b66f0af-a4f6-4cee-8d0b-17247d7ad04b" TargetMode="External"/><Relationship Id="rId68" Type="http://schemas.openxmlformats.org/officeDocument/2006/relationships/hyperlink" Target="https://luxury-kleicha-c8c530.netlify.app/" TargetMode="External"/><Relationship Id="rId23" Type="http://schemas.openxmlformats.org/officeDocument/2006/relationships/hyperlink" Target="https://luxury-kleicha-c8c530.netlify.app/" TargetMode="External"/><Relationship Id="rId67" Type="http://schemas.openxmlformats.org/officeDocument/2006/relationships/hyperlink" Target="https://jam.dev/c/32ad2b6e-cf1d-46e5-8345-744b8f4b549f" TargetMode="External"/><Relationship Id="rId60" Type="http://schemas.openxmlformats.org/officeDocument/2006/relationships/hyperlink" Target="https://luxury-kleicha-c8c530.netlify.app/" TargetMode="External"/><Relationship Id="rId26" Type="http://schemas.openxmlformats.org/officeDocument/2006/relationships/hyperlink" Target="https://jam.dev/c/be7d8630-72a9-4489-8b91-e2da8e80a669" TargetMode="External"/><Relationship Id="rId25" Type="http://schemas.openxmlformats.org/officeDocument/2006/relationships/hyperlink" Target="https://luxury-kleicha-c8c530.netlify.app/" TargetMode="External"/><Relationship Id="rId69" Type="http://schemas.openxmlformats.org/officeDocument/2006/relationships/hyperlink" Target="https://jam.dev/c/739bad6f-a2cf-48e4-8c77-db32e8fff09e" TargetMode="External"/><Relationship Id="rId28" Type="http://schemas.openxmlformats.org/officeDocument/2006/relationships/hyperlink" Target="https://jam.dev/c/9c009b46-1260-4e8f-8ed8-952a64919952" TargetMode="External"/><Relationship Id="rId27" Type="http://schemas.openxmlformats.org/officeDocument/2006/relationships/hyperlink" Target="https://luxury-kleicha-c8c530.netlify.app/" TargetMode="External"/><Relationship Id="rId29" Type="http://schemas.openxmlformats.org/officeDocument/2006/relationships/hyperlink" Target="https://luxury-kleicha-c8c530.netlify.app/" TargetMode="External"/><Relationship Id="rId51" Type="http://schemas.openxmlformats.org/officeDocument/2006/relationships/hyperlink" Target="https://jam.dev/c/144b94a2-2598-446d-b68d-33d501ac633e" TargetMode="External"/><Relationship Id="rId50" Type="http://schemas.openxmlformats.org/officeDocument/2006/relationships/hyperlink" Target="https://luxury-kleicha-c8c530.netlify.app/" TargetMode="External"/><Relationship Id="rId53" Type="http://schemas.openxmlformats.org/officeDocument/2006/relationships/hyperlink" Target="https://jam.dev/c/85875220-4441-4bdd-88af-5c9540935967" TargetMode="External"/><Relationship Id="rId52" Type="http://schemas.openxmlformats.org/officeDocument/2006/relationships/hyperlink" Target="https://luxury-kleicha-c8c530.netlify.app/" TargetMode="External"/><Relationship Id="rId11" Type="http://schemas.openxmlformats.org/officeDocument/2006/relationships/hyperlink" Target="https://luxury-kleicha-c8c530.netlify.app/" TargetMode="External"/><Relationship Id="rId55" Type="http://schemas.openxmlformats.org/officeDocument/2006/relationships/hyperlink" Target="https://jam.dev/c/e1b17636-ddce-4309-8bce-6a64d22152e3" TargetMode="External"/><Relationship Id="rId10" Type="http://schemas.openxmlformats.org/officeDocument/2006/relationships/hyperlink" Target="https://jam.dev/c/207e803b-6905-48e8-91cc-ca3d21c9e6ca" TargetMode="External"/><Relationship Id="rId54" Type="http://schemas.openxmlformats.org/officeDocument/2006/relationships/hyperlink" Target="https://luxury-kleicha-c8c530.netlify.app/" TargetMode="External"/><Relationship Id="rId13" Type="http://schemas.openxmlformats.org/officeDocument/2006/relationships/hyperlink" Target="https://luxury-kleicha-c8c530.netlify.app/" TargetMode="External"/><Relationship Id="rId57" Type="http://schemas.openxmlformats.org/officeDocument/2006/relationships/hyperlink" Target="https://jam.dev/c/5c5281f2-c8cb-4c43-bb93-30777492e09a" TargetMode="External"/><Relationship Id="rId12" Type="http://schemas.openxmlformats.org/officeDocument/2006/relationships/hyperlink" Target="https://jam.dev/c/605a2d6f-6782-4aeb-ae37-d88b3cc5c6f3" TargetMode="External"/><Relationship Id="rId56" Type="http://schemas.openxmlformats.org/officeDocument/2006/relationships/hyperlink" Target="https://luxury-kleicha-c8c530.netlify.app/" TargetMode="External"/><Relationship Id="rId15" Type="http://schemas.openxmlformats.org/officeDocument/2006/relationships/hyperlink" Target="https://luxury-kleicha-c8c530.netlify.app/" TargetMode="External"/><Relationship Id="rId59" Type="http://schemas.openxmlformats.org/officeDocument/2006/relationships/hyperlink" Target="https://jam.dev/c/a4622384-b617-41be-ad07-bf26b62923fc" TargetMode="External"/><Relationship Id="rId14" Type="http://schemas.openxmlformats.org/officeDocument/2006/relationships/hyperlink" Target="https://jam.dev/c/e75183eb-184b-40e7-af64-1f07d2208e71" TargetMode="External"/><Relationship Id="rId58" Type="http://schemas.openxmlformats.org/officeDocument/2006/relationships/hyperlink" Target="https://luxury-kleicha-c8c530.netlify.app/" TargetMode="External"/><Relationship Id="rId17" Type="http://schemas.openxmlformats.org/officeDocument/2006/relationships/hyperlink" Target="https://luxury-kleicha-c8c530.netlify.app/" TargetMode="External"/><Relationship Id="rId16" Type="http://schemas.openxmlformats.org/officeDocument/2006/relationships/hyperlink" Target="https://jam.dev/c/bbca7769-b65b-45bf-b6db-8dfae74359c2" TargetMode="External"/><Relationship Id="rId19" Type="http://schemas.openxmlformats.org/officeDocument/2006/relationships/hyperlink" Target="https://luxury-kleicha-c8c530.netlify.app/" TargetMode="External"/><Relationship Id="rId18" Type="http://schemas.openxmlformats.org/officeDocument/2006/relationships/hyperlink" Target="https://jam.dev/c/5bd258f7-ad72-4a8f-83ae-6ae0a53cb0d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75"/>
    <col customWidth="1" min="2" max="2" width="25.75"/>
    <col customWidth="1" min="3" max="3" width="12.5"/>
    <col customWidth="1" min="4" max="4" width="15.25"/>
    <col customWidth="1" min="5" max="5" width="15.5"/>
    <col customWidth="1" min="6" max="6" width="18.0"/>
    <col customWidth="1" min="8" max="8" width="18.13"/>
    <col customWidth="1" min="9" max="9" width="16.25"/>
    <col customWidth="1" min="10" max="10" width="14.13"/>
    <col customWidth="1" min="12" max="12" width="14.75"/>
    <col customWidth="1" min="13" max="13" width="14.38"/>
    <col customWidth="1" min="14" max="14" width="13.63"/>
    <col customWidth="1" min="15" max="15" width="15.25"/>
  </cols>
  <sheetData>
    <row r="1">
      <c r="A1" s="1"/>
      <c r="B1" s="1"/>
      <c r="C1" s="1"/>
      <c r="D1" s="1"/>
      <c r="E1" s="1"/>
      <c r="F1" s="1"/>
      <c r="G1" s="1"/>
      <c r="H1" s="1"/>
      <c r="I1" s="1"/>
      <c r="J1" s="1"/>
      <c r="K1" s="1"/>
      <c r="L1" s="1"/>
      <c r="M1" s="1"/>
      <c r="N1" s="1"/>
      <c r="O1" s="1"/>
    </row>
    <row r="2">
      <c r="A2" s="2" t="s">
        <v>0</v>
      </c>
      <c r="B2" s="3" t="s">
        <v>1</v>
      </c>
      <c r="C2" s="1"/>
      <c r="D2" s="4" t="s">
        <v>2</v>
      </c>
      <c r="E2" s="4" t="s">
        <v>3</v>
      </c>
      <c r="F2" s="1"/>
      <c r="G2" s="1"/>
      <c r="H2" s="5"/>
      <c r="I2" s="5"/>
      <c r="J2" s="5"/>
      <c r="K2" s="5"/>
      <c r="L2" s="5"/>
      <c r="M2" s="5"/>
      <c r="N2" s="1"/>
      <c r="O2" s="1"/>
    </row>
    <row r="3">
      <c r="A3" s="2" t="s">
        <v>4</v>
      </c>
      <c r="B3" s="6" t="s">
        <v>5</v>
      </c>
      <c r="C3" s="1"/>
      <c r="D3" s="7" t="s">
        <v>6</v>
      </c>
      <c r="E3" s="7">
        <f>COUNTIF(Tahsin!K14:K1005, "High") + COUNTIF(Fahad!K8:K1006, "High")</f>
        <v>10</v>
      </c>
      <c r="F3" s="1"/>
      <c r="G3" s="1"/>
      <c r="H3" s="1"/>
      <c r="I3" s="1"/>
      <c r="J3" s="1"/>
      <c r="K3" s="1"/>
      <c r="L3" s="1"/>
      <c r="M3" s="1"/>
      <c r="N3" s="1"/>
      <c r="O3" s="1"/>
    </row>
    <row r="4">
      <c r="A4" s="2" t="s">
        <v>7</v>
      </c>
      <c r="B4" s="8"/>
      <c r="C4" s="1"/>
      <c r="D4" s="7" t="s">
        <v>8</v>
      </c>
      <c r="E4" s="7">
        <f>COUNTIF(Tahsin!K14:K1006, "Medium") + COUNTIF(Fahad!K8:K1007, "Medium")</f>
        <v>18</v>
      </c>
      <c r="F4" s="1"/>
      <c r="G4" s="1"/>
      <c r="H4" s="1"/>
      <c r="I4" s="1"/>
      <c r="J4" s="1"/>
      <c r="K4" s="1"/>
      <c r="L4" s="1"/>
      <c r="M4" s="1"/>
      <c r="N4" s="1"/>
      <c r="O4" s="1"/>
    </row>
    <row r="5">
      <c r="A5" s="2" t="s">
        <v>9</v>
      </c>
      <c r="B5" s="3" t="s">
        <v>10</v>
      </c>
      <c r="C5" s="1"/>
      <c r="D5" s="7" t="s">
        <v>11</v>
      </c>
      <c r="E5" s="7">
        <f>COUNTIF(Fahad!K8:K1008, "Low") + COUNTIF(Tahsin!K14:K1009, "Low")</f>
        <v>14</v>
      </c>
      <c r="F5" s="1"/>
      <c r="G5" s="1"/>
      <c r="H5" s="1"/>
      <c r="I5" s="1"/>
      <c r="J5" s="1"/>
      <c r="K5" s="1"/>
      <c r="L5" s="1"/>
      <c r="M5" s="1"/>
      <c r="N5" s="1"/>
      <c r="O5" s="1"/>
    </row>
    <row r="6">
      <c r="A6" s="2" t="s">
        <v>12</v>
      </c>
      <c r="B6" s="9" t="s">
        <v>13</v>
      </c>
      <c r="C6" s="1"/>
      <c r="D6" s="1"/>
      <c r="E6" s="1"/>
      <c r="F6" s="1"/>
      <c r="G6" s="1"/>
      <c r="H6" s="1"/>
      <c r="I6" s="1"/>
      <c r="J6" s="1"/>
      <c r="K6" s="1"/>
      <c r="L6" s="1"/>
      <c r="M6" s="1"/>
      <c r="N6" s="1"/>
      <c r="O6" s="1"/>
    </row>
    <row r="7">
      <c r="A7" s="2" t="s">
        <v>14</v>
      </c>
      <c r="B7" s="9" t="s">
        <v>15</v>
      </c>
      <c r="C7" s="1"/>
      <c r="D7" s="10" t="s">
        <v>16</v>
      </c>
      <c r="E7" s="7">
        <f>SUM(E3:E5)</f>
        <v>42</v>
      </c>
      <c r="F7" s="1"/>
      <c r="G7" s="1"/>
      <c r="H7" s="1"/>
      <c r="I7" s="1"/>
      <c r="J7" s="1"/>
      <c r="K7" s="1"/>
      <c r="L7" s="1"/>
      <c r="M7" s="1"/>
      <c r="N7" s="1"/>
      <c r="O7" s="1"/>
    </row>
    <row r="8">
      <c r="A8" s="1"/>
      <c r="B8" s="1"/>
      <c r="C8" s="1"/>
      <c r="D8" s="10" t="s">
        <v>17</v>
      </c>
      <c r="E8" s="7">
        <f>COUNTIF(N11:N1003, "Solved")</f>
        <v>0</v>
      </c>
      <c r="F8" s="1"/>
      <c r="G8" s="1"/>
      <c r="H8" s="1"/>
      <c r="I8" s="1"/>
      <c r="J8" s="1"/>
      <c r="K8" s="1"/>
      <c r="L8" s="1"/>
      <c r="M8" s="1"/>
      <c r="N8" s="1"/>
      <c r="O8" s="1"/>
    </row>
    <row r="9">
      <c r="A9" s="1"/>
      <c r="B9" s="1"/>
      <c r="C9" s="1"/>
      <c r="D9" s="1"/>
      <c r="E9" s="1"/>
      <c r="F9" s="1"/>
      <c r="G9" s="1"/>
      <c r="H9" s="1"/>
      <c r="I9" s="1"/>
      <c r="J9" s="1"/>
      <c r="K9" s="1"/>
      <c r="L9" s="1"/>
      <c r="M9" s="1"/>
      <c r="N9" s="1"/>
      <c r="O9" s="1"/>
    </row>
    <row r="10">
      <c r="A10" s="11" t="s">
        <v>18</v>
      </c>
      <c r="B10" s="12" t="s">
        <v>19</v>
      </c>
      <c r="C10" s="12" t="s">
        <v>20</v>
      </c>
      <c r="D10" s="12" t="s">
        <v>21</v>
      </c>
      <c r="E10" s="12" t="s">
        <v>22</v>
      </c>
      <c r="F10" s="12" t="s">
        <v>23</v>
      </c>
      <c r="G10" s="12" t="s">
        <v>24</v>
      </c>
      <c r="H10" s="12" t="s">
        <v>25</v>
      </c>
      <c r="I10" s="12" t="s">
        <v>26</v>
      </c>
      <c r="J10" s="12" t="s">
        <v>27</v>
      </c>
      <c r="K10" s="12" t="s">
        <v>2</v>
      </c>
      <c r="L10" s="12" t="s">
        <v>28</v>
      </c>
      <c r="M10" s="12" t="s">
        <v>29</v>
      </c>
      <c r="N10" s="11" t="s">
        <v>30</v>
      </c>
      <c r="O10" s="11" t="s">
        <v>31</v>
      </c>
      <c r="P10" s="13"/>
      <c r="Q10" s="13"/>
      <c r="R10" s="13"/>
      <c r="S10" s="13"/>
      <c r="T10" s="13"/>
      <c r="U10" s="13"/>
      <c r="V10" s="13"/>
      <c r="W10" s="13"/>
      <c r="X10" s="13"/>
      <c r="Y10" s="13"/>
      <c r="Z10" s="13"/>
      <c r="AA10" s="13"/>
    </row>
    <row r="11">
      <c r="A11" s="14" t="s">
        <v>32</v>
      </c>
      <c r="B11" s="15" t="str">
        <f>IFERROR(__xludf.DUMMYFUNCTION("QUERY({ARRAYFORMULA({TRIM(Fahad!B8:B999), Fahad!C8:M999, IF(LEN(Fahad!B8:B999), ""Fahad"", """")});ARRAYFORMULA({TRIM(Tahsin!B15:B999), Tahsin!C15:M999, IF(LEN(Tahsin!B15:B999), ""Tahsin"", """")})},""SELECT * WHERE Col1 IS NOT NULL ORDER BY Col1 ASC"",0)"&amp;"
"),"Dashboard")</f>
        <v>Dashboard</v>
      </c>
      <c r="C11" s="15" t="str">
        <f>IFERROR(__xludf.DUMMYFUNCTION("""COMPUTED_VALUE"""),"Dashboard")</f>
        <v>Dashboard</v>
      </c>
      <c r="D11" s="15" t="str">
        <f>IFERROR(__xludf.DUMMYFUNCTION("""COMPUTED_VALUE"""),"Miscalculation of words.")</f>
        <v>Miscalculation of words.</v>
      </c>
      <c r="E11" s="15" t="str">
        <f>IFERROR(__xludf.DUMMYFUNCTION("""COMPUTED_VALUE"""),"Users need to be in a web browser.")</f>
        <v>Users need to be in a web browser.</v>
      </c>
      <c r="F11" s="15" t="str">
        <f>IFERROR(__xludf.DUMMYFUNCTION("""COMPUTED_VALUE"""),"1. Open web app - Link
2. Goto Dashboard")</f>
        <v>1. Open web app - Link
2. Goto Dashboard</v>
      </c>
      <c r="G11" s="15" t="str">
        <f>IFERROR(__xludf.DUMMYFUNCTION("""COMPUTED_VALUE"""),"N/A")</f>
        <v>N/A</v>
      </c>
      <c r="H11" s="15" t="str">
        <f>IFERROR(__xludf.DUMMYFUNCTION("""COMPUTED_VALUE"""),"The accurate result should be displayed. Inputted 95 words, so (2000 - 95) = 1905 words remaining.")</f>
        <v>The accurate result should be displayed. Inputted 95 words, so (2000 - 95) = 1905 words remaining.</v>
      </c>
      <c r="I11" s="15" t="str">
        <f>IFERROR(__xludf.DUMMYFUNCTION("""COMPUTED_VALUE"""),"A miscalculation has been noticed. Instead of 1,905 words, it’s showing 694 words remaining.")</f>
        <v>A miscalculation has been noticed. Instead of 1,905 words, it’s showing 694 words remaining.</v>
      </c>
      <c r="J11" s="15" t="str">
        <f>IFERROR(__xludf.DUMMYFUNCTION("""COMPUTED_VALUE"""),"Fail")</f>
        <v>Fail</v>
      </c>
      <c r="K11" s="15" t="str">
        <f>IFERROR(__xludf.DUMMYFUNCTION("""COMPUTED_VALUE"""),"High")</f>
        <v>High</v>
      </c>
      <c r="L11" s="16" t="str">
        <f>IFERROR(__xludf.DUMMYFUNCTION("""COMPUTED_VALUE"""),"https://jam.dev/c/9b66f0af-a4f6-4cee-8d0b-17247d7ad04b")</f>
        <v>https://jam.dev/c/9b66f0af-a4f6-4cee-8d0b-17247d7ad04b</v>
      </c>
      <c r="M11" s="15"/>
      <c r="N11" s="14" t="str">
        <f>IFERROR(__xludf.DUMMYFUNCTION("""COMPUTED_VALUE"""),"Fahad")</f>
        <v>Fahad</v>
      </c>
      <c r="O11" s="14"/>
      <c r="P11" s="17"/>
      <c r="Q11" s="17"/>
      <c r="R11" s="17"/>
      <c r="S11" s="17"/>
      <c r="T11" s="17"/>
      <c r="U11" s="17"/>
      <c r="V11" s="17"/>
      <c r="W11" s="17"/>
      <c r="X11" s="17"/>
      <c r="Y11" s="17"/>
      <c r="Z11" s="17"/>
      <c r="AA11" s="17"/>
    </row>
    <row r="12">
      <c r="A12" s="18" t="s">
        <v>33</v>
      </c>
      <c r="B12" s="19" t="str">
        <f>IFERROR(__xludf.DUMMYFUNCTION("""COMPUTED_VALUE"""),"Dashboard")</f>
        <v>Dashboard</v>
      </c>
      <c r="C12" s="19" t="str">
        <f>IFERROR(__xludf.DUMMYFUNCTION("""COMPUTED_VALUE"""),"Dashboard")</f>
        <v>Dashboard</v>
      </c>
      <c r="D12" s="19" t="str">
        <f>IFERROR(__xludf.DUMMYFUNCTION("""COMPUTED_VALUE"""),"Different button color has been noticed")</f>
        <v>Different button color has been noticed</v>
      </c>
      <c r="E12" s="19" t="str">
        <f>IFERROR(__xludf.DUMMYFUNCTION("""COMPUTED_VALUE"""),"Users need to be in a web browser.")</f>
        <v>Users need to be in a web browser.</v>
      </c>
      <c r="F12" s="19" t="str">
        <f>IFERROR(__xludf.DUMMYFUNCTION("""COMPUTED_VALUE"""),"1. Open web app - Link
2. Goto Dashboard")</f>
        <v>1. Open web app - Link
2. Goto Dashboard</v>
      </c>
      <c r="G12" s="19" t="str">
        <f>IFERROR(__xludf.DUMMYFUNCTION("""COMPUTED_VALUE"""),"N/A")</f>
        <v>N/A</v>
      </c>
      <c r="H12" s="19" t="str">
        <f>IFERROR(__xludf.DUMMYFUNCTION("""COMPUTED_VALUE"""),"Design shows cyan color has been used for dashboard")</f>
        <v>Design shows cyan color has been used for dashboard</v>
      </c>
      <c r="I12" s="19" t="str">
        <f>IFERROR(__xludf.DUMMYFUNCTION("""COMPUTED_VALUE"""),"An orange button was used instead of a cyan one.")</f>
        <v>An orange button was used instead of a cyan one.</v>
      </c>
      <c r="J12" s="19" t="str">
        <f>IFERROR(__xludf.DUMMYFUNCTION("""COMPUTED_VALUE"""),"Fail")</f>
        <v>Fail</v>
      </c>
      <c r="K12" s="19" t="str">
        <f>IFERROR(__xludf.DUMMYFUNCTION("""COMPUTED_VALUE"""),"Low")</f>
        <v>Low</v>
      </c>
      <c r="L12" s="20" t="str">
        <f>IFERROR(__xludf.DUMMYFUNCTION("""COMPUTED_VALUE"""),"https://jam.dev/c/be7d8630-72a9-4489-8b91-e2da8e80a669")</f>
        <v>https://jam.dev/c/be7d8630-72a9-4489-8b91-e2da8e80a669</v>
      </c>
      <c r="M12" s="19"/>
      <c r="N12" s="19" t="str">
        <f>IFERROR(__xludf.DUMMYFUNCTION("""COMPUTED_VALUE"""),"Fahad")</f>
        <v>Fahad</v>
      </c>
      <c r="O12" s="18"/>
      <c r="P12" s="17"/>
      <c r="Q12" s="17"/>
      <c r="R12" s="17"/>
      <c r="S12" s="17"/>
      <c r="T12" s="17"/>
      <c r="U12" s="17"/>
      <c r="V12" s="17"/>
      <c r="W12" s="17"/>
      <c r="X12" s="17"/>
      <c r="Y12" s="17"/>
      <c r="Z12" s="17"/>
      <c r="AA12" s="17"/>
    </row>
    <row r="13">
      <c r="A13" s="18" t="s">
        <v>34</v>
      </c>
      <c r="B13" s="19" t="str">
        <f>IFERROR(__xludf.DUMMYFUNCTION("""COMPUTED_VALUE"""),"Dashboard")</f>
        <v>Dashboard</v>
      </c>
      <c r="C13" s="19" t="str">
        <f>IFERROR(__xludf.DUMMYFUNCTION("""COMPUTED_VALUE"""),"Dashboard")</f>
        <v>Dashboard</v>
      </c>
      <c r="D13" s="19" t="str">
        <f>IFERROR(__xludf.DUMMYFUNCTION("""COMPUTED_VALUE"""),"Implementing a tick box indicator would be ideal.")</f>
        <v>Implementing a tick box indicator would be ideal.</v>
      </c>
      <c r="E13" s="19" t="str">
        <f>IFERROR(__xludf.DUMMYFUNCTION("""COMPUTED_VALUE"""),"Users need to be in a web browser.")</f>
        <v>Users need to be in a web browser.</v>
      </c>
      <c r="F13" s="19" t="str">
        <f>IFERROR(__xludf.DUMMYFUNCTION("""COMPUTED_VALUE"""),"1. Open web app - Link
2. Goto Dashboard")</f>
        <v>1. Open web app - Link
2. Goto Dashboard</v>
      </c>
      <c r="G13" s="19" t="str">
        <f>IFERROR(__xludf.DUMMYFUNCTION("""COMPUTED_VALUE"""),"N/A")</f>
        <v>N/A</v>
      </c>
      <c r="H13" s="19" t="str">
        <f>IFERROR(__xludf.DUMMYFUNCTION("""COMPUTED_VALUE"""),"A red indicator on the checkbox would help clients easily identify what they are missing.")</f>
        <v>A red indicator on the checkbox would help clients easily identify what they are missing.</v>
      </c>
      <c r="I13" s="19" t="str">
        <f>IFERROR(__xludf.DUMMYFUNCTION("""COMPUTED_VALUE"""),"The absence of a red indicator could make users assume that the web app isn't functioning properly.")</f>
        <v>The absence of a red indicator could make users assume that the web app isn't functioning properly.</v>
      </c>
      <c r="J13" s="19" t="str">
        <f>IFERROR(__xludf.DUMMYFUNCTION("""COMPUTED_VALUE"""),"Fail")</f>
        <v>Fail</v>
      </c>
      <c r="K13" s="19" t="str">
        <f>IFERROR(__xludf.DUMMYFUNCTION("""COMPUTED_VALUE"""),"Medium")</f>
        <v>Medium</v>
      </c>
      <c r="L13" s="20" t="str">
        <f>IFERROR(__xludf.DUMMYFUNCTION("""COMPUTED_VALUE"""),"https://jam.dev/c/9c009b46-1260-4e8f-8ed8-952a64919952")</f>
        <v>https://jam.dev/c/9c009b46-1260-4e8f-8ed8-952a64919952</v>
      </c>
      <c r="M13" s="19"/>
      <c r="N13" s="19" t="str">
        <f>IFERROR(__xludf.DUMMYFUNCTION("""COMPUTED_VALUE"""),"Fahad")</f>
        <v>Fahad</v>
      </c>
      <c r="O13" s="19"/>
      <c r="P13" s="17"/>
      <c r="Q13" s="17"/>
      <c r="R13" s="17"/>
      <c r="S13" s="17"/>
      <c r="T13" s="17"/>
      <c r="U13" s="17"/>
      <c r="V13" s="17"/>
      <c r="W13" s="17"/>
      <c r="X13" s="17"/>
      <c r="Y13" s="17"/>
      <c r="Z13" s="17"/>
      <c r="AA13" s="17"/>
    </row>
    <row r="14">
      <c r="A14" s="18" t="s">
        <v>35</v>
      </c>
      <c r="B14" s="19" t="str">
        <f>IFERROR(__xludf.DUMMYFUNCTION("""COMPUTED_VALUE"""),"Dashboard")</f>
        <v>Dashboard</v>
      </c>
      <c r="C14" s="19" t="str">
        <f>IFERROR(__xludf.DUMMYFUNCTION("""COMPUTED_VALUE"""),"Dashboard")</f>
        <v>Dashboard</v>
      </c>
      <c r="D14" s="19" t="str">
        <f>IFERROR(__xludf.DUMMYFUNCTION("""COMPUTED_VALUE"""),"AI Generation fail")</f>
        <v>AI Generation fail</v>
      </c>
      <c r="E14" s="19" t="str">
        <f>IFERROR(__xludf.DUMMYFUNCTION("""COMPUTED_VALUE"""),"Users need to be in a web browser.")</f>
        <v>Users need to be in a web browser.</v>
      </c>
      <c r="F14" s="19" t="str">
        <f>IFERROR(__xludf.DUMMYFUNCTION("""COMPUTED_VALUE"""),"1. Open web app - Link
2. Goto Dashboard
3. Input text to input text field")</f>
        <v>1. Open web app - Link
2. Goto Dashboard
3. Input text to input text field</v>
      </c>
      <c r="G14" s="19" t="str">
        <f>IFERROR(__xludf.DUMMYFUNCTION("""COMPUTED_VALUE"""),"N/A")</f>
        <v>N/A</v>
      </c>
      <c r="H14" s="19" t="str">
        <f>IFERROR(__xludf.DUMMYFUNCTION("""COMPUTED_VALUE"""),"Changes should be visible which was displayed ( Low (~60%) )")</f>
        <v>Changes should be visible which was displayed ( Low (~60%) )</v>
      </c>
      <c r="I14" s="19" t="str">
        <f>IFERROR(__xludf.DUMMYFUNCTION("""COMPUTED_VALUE"""),"Addition of 's' characters after some random words has been noticed")</f>
        <v>Addition of 's' characters after some random words has been noticed</v>
      </c>
      <c r="J14" s="19" t="str">
        <f>IFERROR(__xludf.DUMMYFUNCTION("""COMPUTED_VALUE"""),"Fail")</f>
        <v>Fail</v>
      </c>
      <c r="K14" s="19" t="str">
        <f>IFERROR(__xludf.DUMMYFUNCTION("""COMPUTED_VALUE"""),"High")</f>
        <v>High</v>
      </c>
      <c r="L14" s="19" t="str">
        <f>IFERROR(__xludf.DUMMYFUNCTION("""COMPUTED_VALUE"""),"https://jam.dev/c/0e7e1a88-66cc-4644-ac1a-5eb52d8679de
https://jam.dev/c/0030a267-7879-48cf-b9ca-64e10b6c0602")</f>
        <v>https://jam.dev/c/0e7e1a88-66cc-4644-ac1a-5eb52d8679de
https://jam.dev/c/0030a267-7879-48cf-b9ca-64e10b6c0602</v>
      </c>
      <c r="M14" s="19" t="str">
        <f>IFERROR(__xludf.DUMMYFUNCTION("""COMPUTED_VALUE"""),"Adding 's' to random words doesn't make AI-generated text seem more human-like.")</f>
        <v>Adding 's' to random words doesn't make AI-generated text seem more human-like.</v>
      </c>
      <c r="N14" s="19" t="str">
        <f>IFERROR(__xludf.DUMMYFUNCTION("""COMPUTED_VALUE"""),"Fahad")</f>
        <v>Fahad</v>
      </c>
      <c r="O14" s="19"/>
      <c r="P14" s="17"/>
      <c r="Q14" s="17"/>
      <c r="R14" s="17"/>
      <c r="S14" s="17"/>
      <c r="T14" s="17"/>
      <c r="U14" s="17"/>
      <c r="V14" s="17"/>
      <c r="W14" s="17"/>
      <c r="X14" s="17"/>
      <c r="Y14" s="17"/>
      <c r="Z14" s="17"/>
      <c r="AA14" s="17"/>
    </row>
    <row r="15">
      <c r="A15" s="18" t="s">
        <v>36</v>
      </c>
      <c r="B15" s="19" t="str">
        <f>IFERROR(__xludf.DUMMYFUNCTION("""COMPUTED_VALUE"""),"Dashboard")</f>
        <v>Dashboard</v>
      </c>
      <c r="C15" s="19" t="str">
        <f>IFERROR(__xludf.DUMMYFUNCTION("""COMPUTED_VALUE"""),"Dashboard")</f>
        <v>Dashboard</v>
      </c>
      <c r="D15" s="19" t="str">
        <f>IFERROR(__xludf.DUMMYFUNCTION("""COMPUTED_VALUE"""),"AI Generation fail")</f>
        <v>AI Generation fail</v>
      </c>
      <c r="E15" s="19" t="str">
        <f>IFERROR(__xludf.DUMMYFUNCTION("""COMPUTED_VALUE"""),"Users need to be in a web browser.")</f>
        <v>Users need to be in a web browser.</v>
      </c>
      <c r="F15" s="19" t="str">
        <f>IFERROR(__xludf.DUMMYFUNCTION("""COMPUTED_VALUE"""),"1. Open web app - Link
2. Goto Dashboard
3. Input text to input text field")</f>
        <v>1. Open web app - Link
2. Goto Dashboard
3. Input text to input text field</v>
      </c>
      <c r="G15" s="19" t="str">
        <f>IFERROR(__xludf.DUMMYFUNCTION("""COMPUTED_VALUE"""),"N/A")</f>
        <v>N/A</v>
      </c>
      <c r="H15" s="19" t="str">
        <f>IFERROR(__xludf.DUMMYFUNCTION("""COMPUTED_VALUE"""),"Changes should be visible which was displayed ( Medium (~40%) )")</f>
        <v>Changes should be visible which was displayed ( Medium (~40%) )</v>
      </c>
      <c r="I15" s="19" t="str">
        <f>IFERROR(__xludf.DUMMYFUNCTION("""COMPUTED_VALUE"""),"Addition of 'ly' word after some random words has been noticed")</f>
        <v>Addition of 'ly' word after some random words has been noticed</v>
      </c>
      <c r="J15" s="19" t="str">
        <f>IFERROR(__xludf.DUMMYFUNCTION("""COMPUTED_VALUE"""),"Fail")</f>
        <v>Fail</v>
      </c>
      <c r="K15" s="19" t="str">
        <f>IFERROR(__xludf.DUMMYFUNCTION("""COMPUTED_VALUE"""),"High")</f>
        <v>High</v>
      </c>
      <c r="L15" s="20" t="str">
        <f>IFERROR(__xludf.DUMMYFUNCTION("""COMPUTED_VALUE"""),"https://jam.dev/c/033efe11-1e4c-46c6-be59-e0a9280fd6c8")</f>
        <v>https://jam.dev/c/033efe11-1e4c-46c6-be59-e0a9280fd6c8</v>
      </c>
      <c r="M15" s="19" t="str">
        <f>IFERROR(__xludf.DUMMYFUNCTION("""COMPUTED_VALUE"""),"Adding 'ly' to random words doesn't make AI-generated text seem more human-like.")</f>
        <v>Adding 'ly' to random words doesn't make AI-generated text seem more human-like.</v>
      </c>
      <c r="N15" s="19" t="str">
        <f>IFERROR(__xludf.DUMMYFUNCTION("""COMPUTED_VALUE"""),"Fahad")</f>
        <v>Fahad</v>
      </c>
      <c r="O15" s="19"/>
      <c r="P15" s="17"/>
      <c r="Q15" s="17"/>
      <c r="R15" s="17"/>
      <c r="S15" s="17"/>
      <c r="T15" s="17"/>
      <c r="U15" s="17"/>
      <c r="V15" s="17"/>
      <c r="W15" s="17"/>
      <c r="X15" s="17"/>
      <c r="Y15" s="17"/>
      <c r="Z15" s="17"/>
      <c r="AA15" s="17"/>
    </row>
    <row r="16">
      <c r="A16" s="18" t="s">
        <v>37</v>
      </c>
      <c r="B16" s="19" t="str">
        <f>IFERROR(__xludf.DUMMYFUNCTION("""COMPUTED_VALUE"""),"Dashboard")</f>
        <v>Dashboard</v>
      </c>
      <c r="C16" s="19" t="str">
        <f>IFERROR(__xludf.DUMMYFUNCTION("""COMPUTED_VALUE"""),"Dashboard")</f>
        <v>Dashboard</v>
      </c>
      <c r="D16" s="19" t="str">
        <f>IFERROR(__xludf.DUMMYFUNCTION("""COMPUTED_VALUE"""),"AI Generation Fail")</f>
        <v>AI Generation Fail</v>
      </c>
      <c r="E16" s="19" t="str">
        <f>IFERROR(__xludf.DUMMYFUNCTION("""COMPUTED_VALUE"""),"Users need to be in a web browser.")</f>
        <v>Users need to be in a web browser.</v>
      </c>
      <c r="F16" s="19" t="str">
        <f>IFERROR(__xludf.DUMMYFUNCTION("""COMPUTED_VALUE"""),"1. Open web app - Link
2. Goto Dashboard
3. Input text to input text field")</f>
        <v>1. Open web app - Link
2. Goto Dashboard
3. Input text to input text field</v>
      </c>
      <c r="G16" s="19" t="str">
        <f>IFERROR(__xludf.DUMMYFUNCTION("""COMPUTED_VALUE"""),"N/A")</f>
        <v>N/A</v>
      </c>
      <c r="H16" s="19" t="str">
        <f>IFERROR(__xludf.DUMMYFUNCTION("""COMPUTED_VALUE"""),"Changes should be visible which was displayed ( High (~20%) )")</f>
        <v>Changes should be visible which was displayed ( High (~20%) )</v>
      </c>
      <c r="I16" s="19" t="str">
        <f>IFERROR(__xludf.DUMMYFUNCTION("""COMPUTED_VALUE"""),"Addition of 'ing' word after some random words has been noticed")</f>
        <v>Addition of 'ing' word after some random words has been noticed</v>
      </c>
      <c r="J16" s="19" t="str">
        <f>IFERROR(__xludf.DUMMYFUNCTION("""COMPUTED_VALUE"""),"Fail")</f>
        <v>Fail</v>
      </c>
      <c r="K16" s="19" t="str">
        <f>IFERROR(__xludf.DUMMYFUNCTION("""COMPUTED_VALUE"""),"High")</f>
        <v>High</v>
      </c>
      <c r="L16" s="20" t="str">
        <f>IFERROR(__xludf.DUMMYFUNCTION("""COMPUTED_VALUE"""),"https://jam.dev/c/033efe11-1e4c-46c6-be59-e0a9280fd6c8")</f>
        <v>https://jam.dev/c/033efe11-1e4c-46c6-be59-e0a9280fd6c8</v>
      </c>
      <c r="M16" s="19" t="str">
        <f>IFERROR(__xludf.DUMMYFUNCTION("""COMPUTED_VALUE"""),"Adding 'ing' to random words doesn't make AI-generated text seem more human-like.")</f>
        <v>Adding 'ing' to random words doesn't make AI-generated text seem more human-like.</v>
      </c>
      <c r="N16" s="19" t="str">
        <f>IFERROR(__xludf.DUMMYFUNCTION("""COMPUTED_VALUE"""),"Fahad")</f>
        <v>Fahad</v>
      </c>
      <c r="O16" s="19"/>
      <c r="P16" s="17"/>
      <c r="Q16" s="17"/>
      <c r="R16" s="17"/>
      <c r="S16" s="17"/>
      <c r="T16" s="17"/>
      <c r="U16" s="17"/>
      <c r="V16" s="17"/>
      <c r="W16" s="17"/>
      <c r="X16" s="17"/>
      <c r="Y16" s="17"/>
      <c r="Z16" s="17"/>
      <c r="AA16" s="17"/>
    </row>
    <row r="17">
      <c r="A17" s="18" t="s">
        <v>38</v>
      </c>
      <c r="B17" s="19" t="str">
        <f>IFERROR(__xludf.DUMMYFUNCTION("""COMPUTED_VALUE"""),"Dashboard")</f>
        <v>Dashboard</v>
      </c>
      <c r="C17" s="19" t="str">
        <f>IFERROR(__xludf.DUMMYFUNCTION("""COMPUTED_VALUE"""),"Dashboard")</f>
        <v>Dashboard</v>
      </c>
      <c r="D17" s="19" t="str">
        <f>IFERROR(__xludf.DUMMYFUNCTION("""COMPUTED_VALUE"""),"Generate a random AI score.")</f>
        <v>Generate a random AI score.</v>
      </c>
      <c r="E17" s="19" t="str">
        <f>IFERROR(__xludf.DUMMYFUNCTION("""COMPUTED_VALUE"""),"Users need to be in a web browser.")</f>
        <v>Users need to be in a web browser.</v>
      </c>
      <c r="F17" s="19" t="str">
        <f>IFERROR(__xludf.DUMMYFUNCTION("""COMPUTED_VALUE"""),"1. Open web app - Link
2. Goto Dashboard
3. Input text to input text field")</f>
        <v>1. Open web app - Link
2. Goto Dashboard
3. Input text to input text field</v>
      </c>
      <c r="G17" s="19" t="str">
        <f>IFERROR(__xludf.DUMMYFUNCTION("""COMPUTED_VALUE"""),"N/A")</f>
        <v>N/A</v>
      </c>
      <c r="H17" s="19" t="str">
        <f>IFERROR(__xludf.DUMMYFUNCTION("""COMPUTED_VALUE"""),"AI detection should be based on the difference between the output and input text.")</f>
        <v>AI detection should be based on the difference between the output and input text.</v>
      </c>
      <c r="I17" s="19" t="str">
        <f>IFERROR(__xludf.DUMMYFUNCTION("""COMPUTED_VALUE"""),"A random AI score is observed.")</f>
        <v>A random AI score is observed.</v>
      </c>
      <c r="J17" s="19" t="str">
        <f>IFERROR(__xludf.DUMMYFUNCTION("""COMPUTED_VALUE"""),"Fail")</f>
        <v>Fail</v>
      </c>
      <c r="K17" s="19" t="str">
        <f>IFERROR(__xludf.DUMMYFUNCTION("""COMPUTED_VALUE"""),"High")</f>
        <v>High</v>
      </c>
      <c r="L17" s="20" t="str">
        <f>IFERROR(__xludf.DUMMYFUNCTION("""COMPUTED_VALUE"""),"https://jam.dev/c/f1d45039-a5b8-4557-ad19-7b6dcc564d00")</f>
        <v>https://jam.dev/c/f1d45039-a5b8-4557-ad19-7b6dcc564d00</v>
      </c>
      <c r="M17" s="19"/>
      <c r="N17" s="19" t="str">
        <f>IFERROR(__xludf.DUMMYFUNCTION("""COMPUTED_VALUE"""),"Fahad")</f>
        <v>Fahad</v>
      </c>
      <c r="O17" s="19"/>
      <c r="P17" s="17"/>
      <c r="Q17" s="17"/>
      <c r="R17" s="17"/>
      <c r="S17" s="17"/>
      <c r="T17" s="17"/>
      <c r="U17" s="17"/>
      <c r="V17" s="17"/>
      <c r="W17" s="17"/>
      <c r="X17" s="17"/>
      <c r="Y17" s="17"/>
      <c r="Z17" s="17"/>
      <c r="AA17" s="17"/>
    </row>
    <row r="18">
      <c r="A18" s="18" t="s">
        <v>39</v>
      </c>
      <c r="B18" s="19" t="str">
        <f>IFERROR(__xludf.DUMMYFUNCTION("""COMPUTED_VALUE"""),"Dashboard")</f>
        <v>Dashboard</v>
      </c>
      <c r="C18" s="19" t="str">
        <f>IFERROR(__xludf.DUMMYFUNCTION("""COMPUTED_VALUE"""),"Dashboard")</f>
        <v>Dashboard</v>
      </c>
      <c r="D18" s="19" t="str">
        <f>IFERROR(__xludf.DUMMYFUNCTION("""COMPUTED_VALUE"""),"The UI does not match the client's requirements.")</f>
        <v>The UI does not match the client's requirements.</v>
      </c>
      <c r="E18" s="19" t="str">
        <f>IFERROR(__xludf.DUMMYFUNCTION("""COMPUTED_VALUE"""),"Users need to be in a web browser.")</f>
        <v>Users need to be in a web browser.</v>
      </c>
      <c r="F18" s="19" t="str">
        <f>IFERROR(__xludf.DUMMYFUNCTION("""COMPUTED_VALUE"""),"1. Open web app - Link
2. Goto Dashboard
3. Input text to input text field")</f>
        <v>1. Open web app - Link
2. Goto Dashboard
3. Input text to input text field</v>
      </c>
      <c r="G18" s="19" t="str">
        <f>IFERROR(__xludf.DUMMYFUNCTION("""COMPUTED_VALUE"""),"N/A")</f>
        <v>N/A</v>
      </c>
      <c r="H18" s="19" t="str">
        <f>IFERROR(__xludf.DUMMYFUNCTION("""COMPUTED_VALUE"""),"The alignment should match the client's requirements, just like the Figma design.")</f>
        <v>The alignment should match the client's requirements, just like the Figma design.</v>
      </c>
      <c r="I18" s="19" t="str">
        <f>IFERROR(__xludf.DUMMYFUNCTION("""COMPUTED_VALUE"""),"Alignment issues have been observed across multiple device web browsers.")</f>
        <v>Alignment issues have been observed across multiple device web browsers.</v>
      </c>
      <c r="J18" s="19" t="str">
        <f>IFERROR(__xludf.DUMMYFUNCTION("""COMPUTED_VALUE"""),"Fail")</f>
        <v>Fail</v>
      </c>
      <c r="K18" s="19" t="str">
        <f>IFERROR(__xludf.DUMMYFUNCTION("""COMPUTED_VALUE"""),"Medium")</f>
        <v>Medium</v>
      </c>
      <c r="L18" s="20" t="str">
        <f>IFERROR(__xludf.DUMMYFUNCTION("""COMPUTED_VALUE"""),"https://jam.dev/c/3dad79ae-7ec2-4256-bbd3-a77b695c0333")</f>
        <v>https://jam.dev/c/3dad79ae-7ec2-4256-bbd3-a77b695c0333</v>
      </c>
      <c r="M18" s="19"/>
      <c r="N18" s="19" t="str">
        <f>IFERROR(__xludf.DUMMYFUNCTION("""COMPUTED_VALUE"""),"Fahad")</f>
        <v>Fahad</v>
      </c>
      <c r="O18" s="19"/>
      <c r="P18" s="17"/>
      <c r="Q18" s="17"/>
      <c r="R18" s="17"/>
      <c r="S18" s="17"/>
      <c r="T18" s="17"/>
      <c r="U18" s="17"/>
      <c r="V18" s="17"/>
      <c r="W18" s="17"/>
      <c r="X18" s="17"/>
      <c r="Y18" s="17"/>
      <c r="Z18" s="17"/>
      <c r="AA18" s="17"/>
    </row>
    <row r="19">
      <c r="A19" s="18" t="s">
        <v>40</v>
      </c>
      <c r="B19" s="19" t="str">
        <f>IFERROR(__xludf.DUMMYFUNCTION("""COMPUTED_VALUE"""),"Dashboard")</f>
        <v>Dashboard</v>
      </c>
      <c r="C19" s="19" t="str">
        <f>IFERROR(__xludf.DUMMYFUNCTION("""COMPUTED_VALUE"""),"Dashboard")</f>
        <v>Dashboard</v>
      </c>
      <c r="D19" s="19" t="str">
        <f>IFERROR(__xludf.DUMMYFUNCTION("""COMPUTED_VALUE"""),"The page blur effect didn't work when clicking on the profile.")</f>
        <v>The page blur effect didn't work when clicking on the profile.</v>
      </c>
      <c r="E19" s="19" t="str">
        <f>IFERROR(__xludf.DUMMYFUNCTION("""COMPUTED_VALUE"""),"Users need to be in a web browser.")</f>
        <v>Users need to be in a web browser.</v>
      </c>
      <c r="F19" s="19" t="str">
        <f>IFERROR(__xludf.DUMMYFUNCTION("""COMPUTED_VALUE"""),"1. Open web app - Link
2. Goto Dashboard")</f>
        <v>1. Open web app - Link
2. Goto Dashboard</v>
      </c>
      <c r="G19" s="19" t="str">
        <f>IFERROR(__xludf.DUMMYFUNCTION("""COMPUTED_VALUE"""),"N/A")</f>
        <v>N/A</v>
      </c>
      <c r="H19" s="19" t="str">
        <f>IFERROR(__xludf.DUMMYFUNCTION("""COMPUTED_VALUE"""),"The web app's response when clicking on the profile should display flawlessly upon interaction.")</f>
        <v>The web app's response when clicking on the profile should display flawlessly upon interaction.</v>
      </c>
      <c r="I19" s="19" t="str">
        <f>IFERROR(__xludf.DUMMYFUNCTION("""COMPUTED_VALUE"""),"The blur effect is missing from the client requirement.")</f>
        <v>The blur effect is missing from the client requirement.</v>
      </c>
      <c r="J19" s="19" t="str">
        <f>IFERROR(__xludf.DUMMYFUNCTION("""COMPUTED_VALUE"""),"Fail")</f>
        <v>Fail</v>
      </c>
      <c r="K19" s="19" t="str">
        <f>IFERROR(__xludf.DUMMYFUNCTION("""COMPUTED_VALUE"""),"Medium")</f>
        <v>Medium</v>
      </c>
      <c r="L19" s="20" t="str">
        <f>IFERROR(__xludf.DUMMYFUNCTION("""COMPUTED_VALUE"""),"https://jam.dev/c/32ad2b6e-cf1d-46e5-8345-744b8f4b549f")</f>
        <v>https://jam.dev/c/32ad2b6e-cf1d-46e5-8345-744b8f4b549f</v>
      </c>
      <c r="M19" s="19"/>
      <c r="N19" s="19" t="str">
        <f>IFERROR(__xludf.DUMMYFUNCTION("""COMPUTED_VALUE"""),"Fahad")</f>
        <v>Fahad</v>
      </c>
      <c r="O19" s="19"/>
      <c r="P19" s="17"/>
      <c r="Q19" s="17"/>
      <c r="R19" s="17"/>
      <c r="S19" s="17"/>
      <c r="T19" s="17"/>
      <c r="U19" s="17"/>
      <c r="V19" s="17"/>
      <c r="W19" s="17"/>
      <c r="X19" s="17"/>
      <c r="Y19" s="17"/>
      <c r="Z19" s="17"/>
      <c r="AA19" s="17"/>
    </row>
    <row r="20">
      <c r="A20" s="18" t="s">
        <v>41</v>
      </c>
      <c r="B20" s="19" t="str">
        <f>IFERROR(__xludf.DUMMYFUNCTION("""COMPUTED_VALUE"""),"Home")</f>
        <v>Home</v>
      </c>
      <c r="C20" s="19" t="str">
        <f>IFERROR(__xludf.DUMMYFUNCTION("""COMPUTED_VALUE"""),"Home")</f>
        <v>Home</v>
      </c>
      <c r="D20" s="19" t="str">
        <f>IFERROR(__xludf.DUMMYFUNCTION("""COMPUTED_VALUE"""),"Sign-in and user profile are both visible.")</f>
        <v>Sign-in and user profile are both visible.</v>
      </c>
      <c r="E20" s="19" t="str">
        <f>IFERROR(__xludf.DUMMYFUNCTION("""COMPUTED_VALUE"""),"Users need to be in a web browser.")</f>
        <v>Users need to be in a web browser.</v>
      </c>
      <c r="F20" s="19" t="str">
        <f>IFERROR(__xludf.DUMMYFUNCTION("""COMPUTED_VALUE"""),"1. Open web app - Link")</f>
        <v>1. Open web app - Link</v>
      </c>
      <c r="G20" s="19" t="str">
        <f>IFERROR(__xludf.DUMMYFUNCTION("""COMPUTED_VALUE"""),"N/A")</f>
        <v>N/A</v>
      </c>
      <c r="H20" s="19" t="str">
        <f>IFERROR(__xludf.DUMMYFUNCTION("""COMPUTED_VALUE"""),"When a user is not signed in to the webpage, only the sign-in button should be displayed. Once the user is logged in, the user profile should become visible instead.")</f>
        <v>When a user is not signed in to the webpage, only the sign-in button should be displayed. Once the user is logged in, the user profile should become visible instead.</v>
      </c>
      <c r="I20" s="19" t="str">
        <f>IFERROR(__xludf.DUMMYFUNCTION("""COMPUTED_VALUE"""),"Both the user profile and sign-in options are displayed simultaneously.")</f>
        <v>Both the user profile and sign-in options are displayed simultaneously.</v>
      </c>
      <c r="J20" s="19" t="str">
        <f>IFERROR(__xludf.DUMMYFUNCTION("""COMPUTED_VALUE"""),"Fail")</f>
        <v>Fail</v>
      </c>
      <c r="K20" s="19" t="str">
        <f>IFERROR(__xludf.DUMMYFUNCTION("""COMPUTED_VALUE"""),"Medium")</f>
        <v>Medium</v>
      </c>
      <c r="L20" s="20" t="str">
        <f>IFERROR(__xludf.DUMMYFUNCTION("""COMPUTED_VALUE"""),"https://jam.dev/c/23ee932c-8f28-4aea-a4f5-20a2dbd3ac9a")</f>
        <v>https://jam.dev/c/23ee932c-8f28-4aea-a4f5-20a2dbd3ac9a</v>
      </c>
      <c r="M20" s="19"/>
      <c r="N20" s="19" t="str">
        <f>IFERROR(__xludf.DUMMYFUNCTION("""COMPUTED_VALUE"""),"Fahad")</f>
        <v>Fahad</v>
      </c>
      <c r="O20" s="19"/>
      <c r="P20" s="17"/>
      <c r="Q20" s="17"/>
      <c r="R20" s="17"/>
      <c r="S20" s="17"/>
      <c r="T20" s="17"/>
      <c r="U20" s="17"/>
      <c r="V20" s="17"/>
      <c r="W20" s="17"/>
      <c r="X20" s="17"/>
      <c r="Y20" s="17"/>
      <c r="Z20" s="17"/>
      <c r="AA20" s="17"/>
    </row>
    <row r="21">
      <c r="A21" s="18" t="s">
        <v>42</v>
      </c>
      <c r="B21" s="19" t="str">
        <f>IFERROR(__xludf.DUMMYFUNCTION("""COMPUTED_VALUE"""),"Home")</f>
        <v>Home</v>
      </c>
      <c r="C21" s="19" t="str">
        <f>IFERROR(__xludf.DUMMYFUNCTION("""COMPUTED_VALUE"""),"Home")</f>
        <v>Home</v>
      </c>
      <c r="D21" s="19" t="str">
        <f>IFERROR(__xludf.DUMMYFUNCTION("""COMPUTED_VALUE"""),"The icons in the features appear to differ slightly from the client's requirements.")</f>
        <v>The icons in the features appear to differ slightly from the client's requirements.</v>
      </c>
      <c r="E21" s="19" t="str">
        <f>IFERROR(__xludf.DUMMYFUNCTION("""COMPUTED_VALUE"""),"Users need to be in a web browser.")</f>
        <v>Users need to be in a web browser.</v>
      </c>
      <c r="F21" s="19" t="str">
        <f>IFERROR(__xludf.DUMMYFUNCTION("""COMPUTED_VALUE"""),"1. Open web app - Link")</f>
        <v>1. Open web app - Link</v>
      </c>
      <c r="G21" s="19" t="str">
        <f>IFERROR(__xludf.DUMMYFUNCTION("""COMPUTED_VALUE"""),"N/A")</f>
        <v>N/A</v>
      </c>
      <c r="H21" s="19" t="str">
        <f>IFERROR(__xludf.DUMMYFUNCTION("""COMPUTED_VALUE"""),"The icon sizes and design should align accurately with the client's requirements.")</f>
        <v>The icon sizes and design should align accurately with the client's requirements.</v>
      </c>
      <c r="I21" s="19" t="str">
        <f>IFERROR(__xludf.DUMMYFUNCTION("""COMPUTED_VALUE"""),"Notices in the feature section vary in size and design.")</f>
        <v>Notices in the feature section vary in size and design.</v>
      </c>
      <c r="J21" s="19" t="str">
        <f>IFERROR(__xludf.DUMMYFUNCTION("""COMPUTED_VALUE"""),"Fail")</f>
        <v>Fail</v>
      </c>
      <c r="K21" s="19" t="str">
        <f>IFERROR(__xludf.DUMMYFUNCTION("""COMPUTED_VALUE"""),"Low")</f>
        <v>Low</v>
      </c>
      <c r="L21" s="20" t="str">
        <f>IFERROR(__xludf.DUMMYFUNCTION("""COMPUTED_VALUE"""),"https://jam.dev/c/26464a08-6fd5-4ea0-b3ca-f503c3aff69b")</f>
        <v>https://jam.dev/c/26464a08-6fd5-4ea0-b3ca-f503c3aff69b</v>
      </c>
      <c r="M21" s="19"/>
      <c r="N21" s="19" t="str">
        <f>IFERROR(__xludf.DUMMYFUNCTION("""COMPUTED_VALUE"""),"Fahad")</f>
        <v>Fahad</v>
      </c>
      <c r="O21" s="19"/>
      <c r="P21" s="17"/>
      <c r="Q21" s="17"/>
      <c r="R21" s="17"/>
      <c r="S21" s="17"/>
      <c r="T21" s="17"/>
      <c r="U21" s="17"/>
      <c r="V21" s="17"/>
      <c r="W21" s="17"/>
      <c r="X21" s="17"/>
      <c r="Y21" s="17"/>
      <c r="Z21" s="17"/>
      <c r="AA21" s="17"/>
    </row>
    <row r="22">
      <c r="A22" s="18" t="s">
        <v>43</v>
      </c>
      <c r="B22" s="19" t="str">
        <f>IFERROR(__xludf.DUMMYFUNCTION("""COMPUTED_VALUE"""),"Home")</f>
        <v>Home</v>
      </c>
      <c r="C22" s="19" t="str">
        <f>IFERROR(__xludf.DUMMYFUNCTION("""COMPUTED_VALUE"""),"Home")</f>
        <v>Home</v>
      </c>
      <c r="D22" s="19" t="str">
        <f>IFERROR(__xludf.DUMMYFUNCTION("""COMPUTED_VALUE"""),"The caption's color differs from the design.")</f>
        <v>The caption's color differs from the design.</v>
      </c>
      <c r="E22" s="19" t="str">
        <f>IFERROR(__xludf.DUMMYFUNCTION("""COMPUTED_VALUE"""),"Users need to be in a web browser.")</f>
        <v>Users need to be in a web browser.</v>
      </c>
      <c r="F22" s="19" t="str">
        <f>IFERROR(__xludf.DUMMYFUNCTION("""COMPUTED_VALUE"""),"1. Open web app - Link")</f>
        <v>1. Open web app - Link</v>
      </c>
      <c r="G22" s="19" t="str">
        <f>IFERROR(__xludf.DUMMYFUNCTION("""COMPUTED_VALUE"""),"N/A")</f>
        <v>N/A</v>
      </c>
      <c r="H22" s="19" t="str">
        <f>IFERROR(__xludf.DUMMYFUNCTION("""COMPUTED_VALUE"""),"Caption colors and alignment should match the client's requirements.")</f>
        <v>Caption colors and alignment should match the client's requirements.</v>
      </c>
      <c r="I22" s="19" t="str">
        <f>IFERROR(__xludf.DUMMYFUNCTION("""COMPUTED_VALUE"""),"The change in color has been noted based on the clients' requirements.")</f>
        <v>The change in color has been noted based on the clients' requirements.</v>
      </c>
      <c r="J22" s="19" t="str">
        <f>IFERROR(__xludf.DUMMYFUNCTION("""COMPUTED_VALUE"""),"Fail")</f>
        <v>Fail</v>
      </c>
      <c r="K22" s="19" t="str">
        <f>IFERROR(__xludf.DUMMYFUNCTION("""COMPUTED_VALUE"""),"Low")</f>
        <v>Low</v>
      </c>
      <c r="L22" s="20" t="str">
        <f>IFERROR(__xludf.DUMMYFUNCTION("""COMPUTED_VALUE"""),"https://jam.dev/c/a0a864ea-e8cf-4d6f-a2af-91c754682221")</f>
        <v>https://jam.dev/c/a0a864ea-e8cf-4d6f-a2af-91c754682221</v>
      </c>
      <c r="M22" s="19"/>
      <c r="N22" s="19" t="str">
        <f>IFERROR(__xludf.DUMMYFUNCTION("""COMPUTED_VALUE"""),"Fahad")</f>
        <v>Fahad</v>
      </c>
      <c r="O22" s="19"/>
      <c r="P22" s="17"/>
      <c r="Q22" s="17"/>
      <c r="R22" s="17"/>
      <c r="S22" s="17"/>
      <c r="T22" s="17"/>
      <c r="U22" s="17"/>
      <c r="V22" s="17"/>
      <c r="W22" s="17"/>
      <c r="X22" s="17"/>
      <c r="Y22" s="17"/>
      <c r="Z22" s="17"/>
      <c r="AA22" s="17"/>
    </row>
    <row r="23">
      <c r="A23" s="18" t="s">
        <v>44</v>
      </c>
      <c r="B23" s="19" t="str">
        <f>IFERROR(__xludf.DUMMYFUNCTION("""COMPUTED_VALUE"""),"Home")</f>
        <v>Home</v>
      </c>
      <c r="C23" s="19" t="str">
        <f>IFERROR(__xludf.DUMMYFUNCTION("""COMPUTED_VALUE"""),"Content Creators")</f>
        <v>Content Creators</v>
      </c>
      <c r="D23" s="19" t="str">
        <f>IFERROR(__xludf.DUMMYFUNCTION("""COMPUTED_VALUE"""),"Content creators' details do not match the client's requirements.")</f>
        <v>Content creators' details do not match the client's requirements.</v>
      </c>
      <c r="E23" s="19" t="str">
        <f>IFERROR(__xludf.DUMMYFUNCTION("""COMPUTED_VALUE"""),"Users need to be in a web browser.")</f>
        <v>Users need to be in a web browser.</v>
      </c>
      <c r="F23" s="19" t="str">
        <f>IFERROR(__xludf.DUMMYFUNCTION("""COMPUTED_VALUE"""),"1. Open web app - Link")</f>
        <v>1. Open web app - Link</v>
      </c>
      <c r="G23" s="19" t="str">
        <f>IFERROR(__xludf.DUMMYFUNCTION("""COMPUTED_VALUE"""),"N/A")</f>
        <v>N/A</v>
      </c>
      <c r="H23" s="19" t="str">
        <f>IFERROR(__xludf.DUMMYFUNCTION("""COMPUTED_VALUE"""),"Content details should align closely with the client's requirements.")</f>
        <v>Content details should align closely with the client's requirements.</v>
      </c>
      <c r="I23" s="19" t="str">
        <f>IFERROR(__xludf.DUMMYFUNCTION("""COMPUTED_VALUE"""),"Different content details have been noticed, which can cause confusion for clients.")</f>
        <v>Different content details have been noticed, which can cause confusion for clients.</v>
      </c>
      <c r="J23" s="19" t="str">
        <f>IFERROR(__xludf.DUMMYFUNCTION("""COMPUTED_VALUE"""),"Fail")</f>
        <v>Fail</v>
      </c>
      <c r="K23" s="19" t="str">
        <f>IFERROR(__xludf.DUMMYFUNCTION("""COMPUTED_VALUE"""),"Medium")</f>
        <v>Medium</v>
      </c>
      <c r="L23" s="20" t="str">
        <f>IFERROR(__xludf.DUMMYFUNCTION("""COMPUTED_VALUE"""),"https://jam.dev/c/799d083e-aacb-4aa6-95bf-4291ade1958b")</f>
        <v>https://jam.dev/c/799d083e-aacb-4aa6-95bf-4291ade1958b</v>
      </c>
      <c r="M23" s="19"/>
      <c r="N23" s="19" t="str">
        <f>IFERROR(__xludf.DUMMYFUNCTION("""COMPUTED_VALUE"""),"Fahad")</f>
        <v>Fahad</v>
      </c>
      <c r="O23" s="19"/>
      <c r="P23" s="17"/>
      <c r="Q23" s="17"/>
      <c r="R23" s="17"/>
      <c r="S23" s="17"/>
      <c r="T23" s="17"/>
      <c r="U23" s="17"/>
      <c r="V23" s="17"/>
      <c r="W23" s="17"/>
      <c r="X23" s="17"/>
      <c r="Y23" s="17"/>
      <c r="Z23" s="17"/>
      <c r="AA23" s="17"/>
    </row>
    <row r="24">
      <c r="A24" s="18" t="s">
        <v>45</v>
      </c>
      <c r="B24" s="19" t="str">
        <f>IFERROR(__xludf.DUMMYFUNCTION("""COMPUTED_VALUE"""),"Home")</f>
        <v>Home</v>
      </c>
      <c r="C24" s="19" t="str">
        <f>IFERROR(__xludf.DUMMYFUNCTION("""COMPUTED_VALUE"""),"Content Creators")</f>
        <v>Content Creators</v>
      </c>
      <c r="D24" s="19" t="str">
        <f>IFERROR(__xludf.DUMMYFUNCTION("""COMPUTED_VALUE"""),"Content creators and student details are same ")</f>
        <v>Content creators and student details are same </v>
      </c>
      <c r="E24" s="19" t="str">
        <f>IFERROR(__xludf.DUMMYFUNCTION("""COMPUTED_VALUE"""),"Users need to be in a web browser.")</f>
        <v>Users need to be in a web browser.</v>
      </c>
      <c r="F24" s="19" t="str">
        <f>IFERROR(__xludf.DUMMYFUNCTION("""COMPUTED_VALUE"""),"1. Open web app - Link")</f>
        <v>1. Open web app - Link</v>
      </c>
      <c r="G24" s="19" t="str">
        <f>IFERROR(__xludf.DUMMYFUNCTION("""COMPUTED_VALUE"""),"N/A")</f>
        <v>N/A</v>
      </c>
      <c r="H24" s="19" t="str">
        <f>IFERROR(__xludf.DUMMYFUNCTION("""COMPUTED_VALUE"""),"Content details should align closely with the client's requirements.")</f>
        <v>Content details should align closely with the client's requirements.</v>
      </c>
      <c r="I24" s="19" t="str">
        <f>IFERROR(__xludf.DUMMYFUNCTION("""COMPUTED_VALUE"""),"Different content details have been noticed, which can cause confusion for clients.")</f>
        <v>Different content details have been noticed, which can cause confusion for clients.</v>
      </c>
      <c r="J24" s="19" t="str">
        <f>IFERROR(__xludf.DUMMYFUNCTION("""COMPUTED_VALUE"""),"Fail")</f>
        <v>Fail</v>
      </c>
      <c r="K24" s="19" t="str">
        <f>IFERROR(__xludf.DUMMYFUNCTION("""COMPUTED_VALUE"""),"Medium")</f>
        <v>Medium</v>
      </c>
      <c r="L24" s="20" t="str">
        <f>IFERROR(__xludf.DUMMYFUNCTION("""COMPUTED_VALUE"""),"https://jam.dev/c/207e803b-6905-48e8-91cc-ca3d21c9e6ca")</f>
        <v>https://jam.dev/c/207e803b-6905-48e8-91cc-ca3d21c9e6ca</v>
      </c>
      <c r="M24" s="19"/>
      <c r="N24" s="19" t="str">
        <f>IFERROR(__xludf.DUMMYFUNCTION("""COMPUTED_VALUE"""),"Fahad")</f>
        <v>Fahad</v>
      </c>
      <c r="O24" s="19"/>
      <c r="P24" s="17"/>
      <c r="Q24" s="17"/>
      <c r="R24" s="17"/>
      <c r="S24" s="17"/>
      <c r="T24" s="17"/>
      <c r="U24" s="17"/>
      <c r="V24" s="17"/>
      <c r="W24" s="17"/>
      <c r="X24" s="17"/>
      <c r="Y24" s="17"/>
      <c r="Z24" s="17"/>
      <c r="AA24" s="17"/>
    </row>
    <row r="25">
      <c r="A25" s="18" t="s">
        <v>46</v>
      </c>
      <c r="B25" s="19" t="str">
        <f>IFERROR(__xludf.DUMMYFUNCTION("""COMPUTED_VALUE"""),"Home")</f>
        <v>Home</v>
      </c>
      <c r="C25" s="19" t="str">
        <f>IFERROR(__xludf.DUMMYFUNCTION("""COMPUTED_VALUE"""),"Marketers")</f>
        <v>Marketers</v>
      </c>
      <c r="D25" s="19" t="str">
        <f>IFERROR(__xludf.DUMMYFUNCTION("""COMPUTED_VALUE"""),"Details do not match the client's requirements.")</f>
        <v>Details do not match the client's requirements.</v>
      </c>
      <c r="E25" s="19" t="str">
        <f>IFERROR(__xludf.DUMMYFUNCTION("""COMPUTED_VALUE"""),"Users need to be in a web browser.")</f>
        <v>Users need to be in a web browser.</v>
      </c>
      <c r="F25" s="19" t="str">
        <f>IFERROR(__xludf.DUMMYFUNCTION("""COMPUTED_VALUE"""),"1. Open web app - Link")</f>
        <v>1. Open web app - Link</v>
      </c>
      <c r="G25" s="19" t="str">
        <f>IFERROR(__xludf.DUMMYFUNCTION("""COMPUTED_VALUE"""),"N/A")</f>
        <v>N/A</v>
      </c>
      <c r="H25" s="19" t="str">
        <f>IFERROR(__xludf.DUMMYFUNCTION("""COMPUTED_VALUE"""),"Content details should align closely with the client's requirements.")</f>
        <v>Content details should align closely with the client's requirements.</v>
      </c>
      <c r="I25" s="19" t="str">
        <f>IFERROR(__xludf.DUMMYFUNCTION("""COMPUTED_VALUE"""),"Different content details have been noticed, which can cause confusion for clients.")</f>
        <v>Different content details have been noticed, which can cause confusion for clients.</v>
      </c>
      <c r="J25" s="19" t="str">
        <f>IFERROR(__xludf.DUMMYFUNCTION("""COMPUTED_VALUE"""),"Fail")</f>
        <v>Fail</v>
      </c>
      <c r="K25" s="19" t="str">
        <f>IFERROR(__xludf.DUMMYFUNCTION("""COMPUTED_VALUE"""),"Medium")</f>
        <v>Medium</v>
      </c>
      <c r="L25" s="20" t="str">
        <f>IFERROR(__xludf.DUMMYFUNCTION("""COMPUTED_VALUE"""),"https://jam.dev/c/605a2d6f-6782-4aeb-ae37-d88b3cc5c6f3")</f>
        <v>https://jam.dev/c/605a2d6f-6782-4aeb-ae37-d88b3cc5c6f3</v>
      </c>
      <c r="M25" s="19"/>
      <c r="N25" s="19" t="str">
        <f>IFERROR(__xludf.DUMMYFUNCTION("""COMPUTED_VALUE"""),"Fahad")</f>
        <v>Fahad</v>
      </c>
      <c r="O25" s="19"/>
      <c r="P25" s="17"/>
      <c r="Q25" s="17"/>
      <c r="R25" s="17"/>
      <c r="S25" s="17"/>
      <c r="T25" s="17"/>
      <c r="U25" s="17"/>
      <c r="V25" s="17"/>
      <c r="W25" s="17"/>
      <c r="X25" s="17"/>
      <c r="Y25" s="17"/>
      <c r="Z25" s="17"/>
      <c r="AA25" s="17"/>
    </row>
    <row r="26">
      <c r="A26" s="18" t="s">
        <v>47</v>
      </c>
      <c r="B26" s="19" t="str">
        <f>IFERROR(__xludf.DUMMYFUNCTION("""COMPUTED_VALUE"""),"Home")</f>
        <v>Home</v>
      </c>
      <c r="C26" s="19" t="str">
        <f>IFERROR(__xludf.DUMMYFUNCTION("""COMPUTED_VALUE"""),"SEO Agencies")</f>
        <v>SEO Agencies</v>
      </c>
      <c r="D26" s="19" t="str">
        <f>IFERROR(__xludf.DUMMYFUNCTION("""COMPUTED_VALUE"""),"Details do not match the client's requirements.")</f>
        <v>Details do not match the client's requirements.</v>
      </c>
      <c r="E26" s="19" t="str">
        <f>IFERROR(__xludf.DUMMYFUNCTION("""COMPUTED_VALUE"""),"Users need to be in a web browser.")</f>
        <v>Users need to be in a web browser.</v>
      </c>
      <c r="F26" s="19" t="str">
        <f>IFERROR(__xludf.DUMMYFUNCTION("""COMPUTED_VALUE"""),"1. Open web app - Link")</f>
        <v>1. Open web app - Link</v>
      </c>
      <c r="G26" s="19" t="str">
        <f>IFERROR(__xludf.DUMMYFUNCTION("""COMPUTED_VALUE"""),"N/A")</f>
        <v>N/A</v>
      </c>
      <c r="H26" s="19" t="str">
        <f>IFERROR(__xludf.DUMMYFUNCTION("""COMPUTED_VALUE"""),"Content details should align closely with the client's requirements.")</f>
        <v>Content details should align closely with the client's requirements.</v>
      </c>
      <c r="I26" s="19" t="str">
        <f>IFERROR(__xludf.DUMMYFUNCTION("""COMPUTED_VALUE"""),"Different content details have been noticed, which can cause confusion for clients.")</f>
        <v>Different content details have been noticed, which can cause confusion for clients.</v>
      </c>
      <c r="J26" s="19" t="str">
        <f>IFERROR(__xludf.DUMMYFUNCTION("""COMPUTED_VALUE"""),"Fail")</f>
        <v>Fail</v>
      </c>
      <c r="K26" s="19" t="str">
        <f>IFERROR(__xludf.DUMMYFUNCTION("""COMPUTED_VALUE"""),"Medium")</f>
        <v>Medium</v>
      </c>
      <c r="L26" s="20" t="str">
        <f>IFERROR(__xludf.DUMMYFUNCTION("""COMPUTED_VALUE"""),"https://jam.dev/c/e75183eb-184b-40e7-af64-1f07d2208e71")</f>
        <v>https://jam.dev/c/e75183eb-184b-40e7-af64-1f07d2208e71</v>
      </c>
      <c r="M26" s="19"/>
      <c r="N26" s="19" t="str">
        <f>IFERROR(__xludf.DUMMYFUNCTION("""COMPUTED_VALUE"""),"Fahad")</f>
        <v>Fahad</v>
      </c>
      <c r="O26" s="19"/>
      <c r="P26" s="17"/>
      <c r="Q26" s="17"/>
      <c r="R26" s="17"/>
      <c r="S26" s="17"/>
      <c r="T26" s="17"/>
      <c r="U26" s="17"/>
      <c r="V26" s="17"/>
      <c r="W26" s="17"/>
      <c r="X26" s="17"/>
      <c r="Y26" s="17"/>
      <c r="Z26" s="17"/>
      <c r="AA26" s="17"/>
    </row>
    <row r="27">
      <c r="A27" s="18" t="s">
        <v>48</v>
      </c>
      <c r="B27" s="19" t="str">
        <f>IFERROR(__xludf.DUMMYFUNCTION("""COMPUTED_VALUE"""),"Home")</f>
        <v>Home</v>
      </c>
      <c r="C27" s="19" t="str">
        <f>IFERROR(__xludf.DUMMYFUNCTION("""COMPUTED_VALUE"""),"Students")</f>
        <v>Students</v>
      </c>
      <c r="D27" s="19" t="str">
        <f>IFERROR(__xludf.DUMMYFUNCTION("""COMPUTED_VALUE"""),"Details do not match the client's requirements.")</f>
        <v>Details do not match the client's requirements.</v>
      </c>
      <c r="E27" s="19" t="str">
        <f>IFERROR(__xludf.DUMMYFUNCTION("""COMPUTED_VALUE"""),"Users need to be in a web browser.")</f>
        <v>Users need to be in a web browser.</v>
      </c>
      <c r="F27" s="19" t="str">
        <f>IFERROR(__xludf.DUMMYFUNCTION("""COMPUTED_VALUE"""),"1. Open web app - Link")</f>
        <v>1. Open web app - Link</v>
      </c>
      <c r="G27" s="19" t="str">
        <f>IFERROR(__xludf.DUMMYFUNCTION("""COMPUTED_VALUE"""),"N/A")</f>
        <v>N/A</v>
      </c>
      <c r="H27" s="19" t="str">
        <f>IFERROR(__xludf.DUMMYFUNCTION("""COMPUTED_VALUE"""),"Content details should align closely with the client's requirements.")</f>
        <v>Content details should align closely with the client's requirements.</v>
      </c>
      <c r="I27" s="19" t="str">
        <f>IFERROR(__xludf.DUMMYFUNCTION("""COMPUTED_VALUE"""),"Different content details have been noticed, which can cause confusion for clients.")</f>
        <v>Different content details have been noticed, which can cause confusion for clients.</v>
      </c>
      <c r="J27" s="19" t="str">
        <f>IFERROR(__xludf.DUMMYFUNCTION("""COMPUTED_VALUE"""),"Fail")</f>
        <v>Fail</v>
      </c>
      <c r="K27" s="19" t="str">
        <f>IFERROR(__xludf.DUMMYFUNCTION("""COMPUTED_VALUE"""),"Medium")</f>
        <v>Medium</v>
      </c>
      <c r="L27" s="20" t="str">
        <f>IFERROR(__xludf.DUMMYFUNCTION("""COMPUTED_VALUE"""),"https://jam.dev/c/bbca7769-b65b-45bf-b6db-8dfae74359c2")</f>
        <v>https://jam.dev/c/bbca7769-b65b-45bf-b6db-8dfae74359c2</v>
      </c>
      <c r="M27" s="19"/>
      <c r="N27" s="19" t="str">
        <f>IFERROR(__xludf.DUMMYFUNCTION("""COMPUTED_VALUE"""),"Fahad")</f>
        <v>Fahad</v>
      </c>
      <c r="O27" s="19"/>
      <c r="P27" s="17"/>
      <c r="Q27" s="17"/>
      <c r="R27" s="17"/>
      <c r="S27" s="17"/>
      <c r="T27" s="17"/>
      <c r="U27" s="17"/>
      <c r="V27" s="17"/>
      <c r="W27" s="17"/>
      <c r="X27" s="17"/>
      <c r="Y27" s="17"/>
      <c r="Z27" s="17"/>
      <c r="AA27" s="17"/>
    </row>
    <row r="28">
      <c r="A28" s="18" t="s">
        <v>49</v>
      </c>
      <c r="B28" s="19" t="str">
        <f>IFERROR(__xludf.DUMMYFUNCTION("""COMPUTED_VALUE"""),"Home")</f>
        <v>Home</v>
      </c>
      <c r="C28" s="19" t="str">
        <f>IFERROR(__xludf.DUMMYFUNCTION("""COMPUTED_VALUE"""),"Home")</f>
        <v>Home</v>
      </c>
      <c r="D28" s="19" t="str">
        <f>IFERROR(__xludf.DUMMYFUNCTION("""COMPUTED_VALUE"""),"Alignment issues encountered in the mobile device view.")</f>
        <v>Alignment issues encountered in the mobile device view.</v>
      </c>
      <c r="E28" s="19" t="str">
        <f>IFERROR(__xludf.DUMMYFUNCTION("""COMPUTED_VALUE"""),"Users need to be in a web browser.")</f>
        <v>Users need to be in a web browser.</v>
      </c>
      <c r="F28" s="19" t="str">
        <f>IFERROR(__xludf.DUMMYFUNCTION("""COMPUTED_VALUE"""),"1. Open web app - Link")</f>
        <v>1. Open web app - Link</v>
      </c>
      <c r="G28" s="19" t="str">
        <f>IFERROR(__xludf.DUMMYFUNCTION("""COMPUTED_VALUE"""),"N/A")</f>
        <v>N/A</v>
      </c>
      <c r="H28" s="19" t="str">
        <f>IFERROR(__xludf.DUMMYFUNCTION("""COMPUTED_VALUE"""),"The alignment should match the client's requirements, just like the Figma design.")</f>
        <v>The alignment should match the client's requirements, just like the Figma design.</v>
      </c>
      <c r="I28" s="19" t="str">
        <f>IFERROR(__xludf.DUMMYFUNCTION("""COMPUTED_VALUE"""),"Alignment issues have been observed across multiple device web browsers.")</f>
        <v>Alignment issues have been observed across multiple device web browsers.</v>
      </c>
      <c r="J28" s="19" t="str">
        <f>IFERROR(__xludf.DUMMYFUNCTION("""COMPUTED_VALUE"""),"Fail")</f>
        <v>Fail</v>
      </c>
      <c r="K28" s="19" t="str">
        <f>IFERROR(__xludf.DUMMYFUNCTION("""COMPUTED_VALUE"""),"Low")</f>
        <v>Low</v>
      </c>
      <c r="L28" s="20" t="str">
        <f>IFERROR(__xludf.DUMMYFUNCTION("""COMPUTED_VALUE"""),"https://jam.dev/c/5bd258f7-ad72-4a8f-83ae-6ae0a53cb0d0")</f>
        <v>https://jam.dev/c/5bd258f7-ad72-4a8f-83ae-6ae0a53cb0d0</v>
      </c>
      <c r="M28" s="19"/>
      <c r="N28" s="19" t="str">
        <f>IFERROR(__xludf.DUMMYFUNCTION("""COMPUTED_VALUE"""),"Fahad")</f>
        <v>Fahad</v>
      </c>
      <c r="O28" s="19"/>
      <c r="P28" s="17"/>
      <c r="Q28" s="17"/>
      <c r="R28" s="17"/>
      <c r="S28" s="17"/>
      <c r="T28" s="17"/>
      <c r="U28" s="17"/>
      <c r="V28" s="17"/>
      <c r="W28" s="17"/>
      <c r="X28" s="17"/>
      <c r="Y28" s="17"/>
      <c r="Z28" s="17"/>
      <c r="AA28" s="17"/>
    </row>
    <row r="29">
      <c r="A29" s="18" t="s">
        <v>50</v>
      </c>
      <c r="B29" s="19" t="str">
        <f>IFERROR(__xludf.DUMMYFUNCTION("""COMPUTED_VALUE"""),"Pricing")</f>
        <v>Pricing</v>
      </c>
      <c r="C29" s="19" t="str">
        <f>IFERROR(__xludf.DUMMYFUNCTION("""COMPUTED_VALUE"""),"Pricing")</f>
        <v>Pricing</v>
      </c>
      <c r="D29" s="19" t="str">
        <f>IFERROR(__xludf.DUMMYFUNCTION("""COMPUTED_VALUE"""),"Font size issue on pricing page caption.")</f>
        <v>Font size issue on pricing page caption.</v>
      </c>
      <c r="E29" s="19" t="str">
        <f>IFERROR(__xludf.DUMMYFUNCTION("""COMPUTED_VALUE"""),"Users need to be in a web browser.")</f>
        <v>Users need to be in a web browser.</v>
      </c>
      <c r="F29" s="19" t="str">
        <f>IFERROR(__xludf.DUMMYFUNCTION("""COMPUTED_VALUE"""),"1. Open web app - Link
2. Goto price ")</f>
        <v>1. Open web app - Link
2. Goto price </v>
      </c>
      <c r="G29" s="19" t="str">
        <f>IFERROR(__xludf.DUMMYFUNCTION("""COMPUTED_VALUE"""),"N/A")</f>
        <v>N/A</v>
      </c>
      <c r="H29" s="19" t="str">
        <f>IFERROR(__xludf.DUMMYFUNCTION("""COMPUTED_VALUE"""),"Font size should be as same as design")</f>
        <v>Font size should be as same as design</v>
      </c>
      <c r="I29" s="19" t="str">
        <f>IFERROR(__xludf.DUMMYFUNCTION("""COMPUTED_VALUE"""),"The font size is not consistent with the design.")</f>
        <v>The font size is not consistent with the design.</v>
      </c>
      <c r="J29" s="19" t="str">
        <f>IFERROR(__xludf.DUMMYFUNCTION("""COMPUTED_VALUE"""),"Fail")</f>
        <v>Fail</v>
      </c>
      <c r="K29" s="19" t="str">
        <f>IFERROR(__xludf.DUMMYFUNCTION("""COMPUTED_VALUE"""),"Low")</f>
        <v>Low</v>
      </c>
      <c r="L29" s="20" t="str">
        <f>IFERROR(__xludf.DUMMYFUNCTION("""COMPUTED_VALUE"""),"https://jam.dev/c/a09842b0-2c36-47d7-8f59-ebc1e9241450")</f>
        <v>https://jam.dev/c/a09842b0-2c36-47d7-8f59-ebc1e9241450</v>
      </c>
      <c r="M29" s="19"/>
      <c r="N29" s="19" t="str">
        <f>IFERROR(__xludf.DUMMYFUNCTION("""COMPUTED_VALUE"""),"Fahad")</f>
        <v>Fahad</v>
      </c>
      <c r="O29" s="19"/>
      <c r="P29" s="17"/>
      <c r="Q29" s="17"/>
      <c r="R29" s="17"/>
      <c r="S29" s="17"/>
      <c r="T29" s="17"/>
      <c r="U29" s="17"/>
      <c r="V29" s="17"/>
      <c r="W29" s="17"/>
      <c r="X29" s="17"/>
      <c r="Y29" s="17"/>
      <c r="Z29" s="17"/>
      <c r="AA29" s="17"/>
    </row>
    <row r="30">
      <c r="A30" s="18" t="s">
        <v>51</v>
      </c>
      <c r="B30" s="19" t="str">
        <f>IFERROR(__xludf.DUMMYFUNCTION("""COMPUTED_VALUE"""),"Pricing")</f>
        <v>Pricing</v>
      </c>
      <c r="C30" s="19" t="str">
        <f>IFERROR(__xludf.DUMMYFUNCTION("""COMPUTED_VALUE"""),"Pricing")</f>
        <v>Pricing</v>
      </c>
      <c r="D30" s="19" t="str">
        <f>IFERROR(__xludf.DUMMYFUNCTION("""COMPUTED_VALUE"""),"Popular pricing tag is missing in the web app.")</f>
        <v>Popular pricing tag is missing in the web app.</v>
      </c>
      <c r="E30" s="19" t="str">
        <f>IFERROR(__xludf.DUMMYFUNCTION("""COMPUTED_VALUE"""),"Users need to be in a web browser.")</f>
        <v>Users need to be in a web browser.</v>
      </c>
      <c r="F30" s="19" t="str">
        <f>IFERROR(__xludf.DUMMYFUNCTION("""COMPUTED_VALUE"""),"1. Open web app - Link
2. Goto price ")</f>
        <v>1. Open web app - Link
2. Goto price </v>
      </c>
      <c r="G30" s="19" t="str">
        <f>IFERROR(__xludf.DUMMYFUNCTION("""COMPUTED_VALUE"""),"N/A")</f>
        <v>N/A</v>
      </c>
      <c r="H30" s="19" t="str">
        <f>IFERROR(__xludf.DUMMYFUNCTION("""COMPUTED_VALUE"""),"The best price should be displayed to help users easily identify the best deal for them.")</f>
        <v>The best price should be displayed to help users easily identify the best deal for them.</v>
      </c>
      <c r="I30" s="19" t="str">
        <f>IFERROR(__xludf.DUMMYFUNCTION("""COMPUTED_VALUE"""),"Noticed a missing tag.")</f>
        <v>Noticed a missing tag.</v>
      </c>
      <c r="J30" s="19" t="str">
        <f>IFERROR(__xludf.DUMMYFUNCTION("""COMPUTED_VALUE"""),"Fail")</f>
        <v>Fail</v>
      </c>
      <c r="K30" s="19" t="str">
        <f>IFERROR(__xludf.DUMMYFUNCTION("""COMPUTED_VALUE"""),"Medium")</f>
        <v>Medium</v>
      </c>
      <c r="L30" s="20" t="str">
        <f>IFERROR(__xludf.DUMMYFUNCTION("""COMPUTED_VALUE"""),"https://jam.dev/c/b076a2fe-6668-4c37-8d58-c018dc47e057")</f>
        <v>https://jam.dev/c/b076a2fe-6668-4c37-8d58-c018dc47e057</v>
      </c>
      <c r="M30" s="19"/>
      <c r="N30" s="19" t="str">
        <f>IFERROR(__xludf.DUMMYFUNCTION("""COMPUTED_VALUE"""),"Fahad")</f>
        <v>Fahad</v>
      </c>
      <c r="O30" s="19"/>
      <c r="P30" s="17"/>
      <c r="Q30" s="17"/>
      <c r="R30" s="17"/>
      <c r="S30" s="17"/>
      <c r="T30" s="17"/>
      <c r="U30" s="17"/>
      <c r="V30" s="17"/>
      <c r="W30" s="17"/>
      <c r="X30" s="17"/>
      <c r="Y30" s="17"/>
      <c r="Z30" s="17"/>
      <c r="AA30" s="17"/>
    </row>
    <row r="31">
      <c r="A31" s="18" t="s">
        <v>52</v>
      </c>
      <c r="B31" s="19" t="str">
        <f>IFERROR(__xludf.DUMMYFUNCTION("""COMPUTED_VALUE"""),"Profile")</f>
        <v>Profile</v>
      </c>
      <c r="C31" s="19" t="str">
        <f>IFERROR(__xludf.DUMMYFUNCTION("""COMPUTED_VALUE"""),"Profile")</f>
        <v>Profile</v>
      </c>
      <c r="D31" s="19" t="str">
        <f>IFERROR(__xludf.DUMMYFUNCTION("""COMPUTED_VALUE"""),"The back button is missing in the account settings.")</f>
        <v>The back button is missing in the account settings.</v>
      </c>
      <c r="E31" s="19" t="str">
        <f>IFERROR(__xludf.DUMMYFUNCTION("""COMPUTED_VALUE"""),"Users need to be in a web browser.")</f>
        <v>Users need to be in a web browser.</v>
      </c>
      <c r="F31" s="19" t="str">
        <f>IFERROR(__xludf.DUMMYFUNCTION("""COMPUTED_VALUE"""),"1. Open web app - Link
2. Goto Dashboard
3. Click on profile")</f>
        <v>1. Open web app - Link
2. Goto Dashboard
3. Click on profile</v>
      </c>
      <c r="G31" s="19" t="str">
        <f>IFERROR(__xludf.DUMMYFUNCTION("""COMPUTED_VALUE"""),"N/A")</f>
        <v>N/A</v>
      </c>
      <c r="H31" s="19" t="str">
        <f>IFERROR(__xludf.DUMMYFUNCTION("""COMPUTED_VALUE"""),"The button should be placed according to the client's requirements.")</f>
        <v>The button should be placed according to the client's requirements.</v>
      </c>
      <c r="I31" s="19" t="str">
        <f>IFERROR(__xludf.DUMMYFUNCTION("""COMPUTED_VALUE"""),"The back button is missing on the profile page.")</f>
        <v>The back button is missing on the profile page.</v>
      </c>
      <c r="J31" s="19" t="str">
        <f>IFERROR(__xludf.DUMMYFUNCTION("""COMPUTED_VALUE"""),"Fail")</f>
        <v>Fail</v>
      </c>
      <c r="K31" s="19" t="str">
        <f>IFERROR(__xludf.DUMMYFUNCTION("""COMPUTED_VALUE"""),"Medium")</f>
        <v>Medium</v>
      </c>
      <c r="L31" s="20" t="str">
        <f>IFERROR(__xludf.DUMMYFUNCTION("""COMPUTED_VALUE"""),"https://jam.dev/c/739bad6f-a2cf-48e4-8c77-db32e8fff09e")</f>
        <v>https://jam.dev/c/739bad6f-a2cf-48e4-8c77-db32e8fff09e</v>
      </c>
      <c r="M31" s="19"/>
      <c r="N31" s="19" t="str">
        <f>IFERROR(__xludf.DUMMYFUNCTION("""COMPUTED_VALUE"""),"Fahad")</f>
        <v>Fahad</v>
      </c>
      <c r="O31" s="19"/>
      <c r="P31" s="17"/>
      <c r="Q31" s="17"/>
      <c r="R31" s="17"/>
      <c r="S31" s="17"/>
      <c r="T31" s="17"/>
      <c r="U31" s="17"/>
      <c r="V31" s="17"/>
      <c r="W31" s="17"/>
      <c r="X31" s="17"/>
      <c r="Y31" s="17"/>
      <c r="Z31" s="17"/>
      <c r="AA31" s="17"/>
    </row>
    <row r="32">
      <c r="A32" s="18" t="s">
        <v>53</v>
      </c>
      <c r="B32" s="19" t="str">
        <f>IFERROR(__xludf.DUMMYFUNCTION("""COMPUTED_VALUE"""),"Profile")</f>
        <v>Profile</v>
      </c>
      <c r="C32" s="19" t="str">
        <f>IFERROR(__xludf.DUMMYFUNCTION("""COMPUTED_VALUE"""),"Profile")</f>
        <v>Profile</v>
      </c>
      <c r="D32" s="19" t="str">
        <f>IFERROR(__xludf.DUMMYFUNCTION("""COMPUTED_VALUE"""),"Profile form alignment issue")</f>
        <v>Profile form alignment issue</v>
      </c>
      <c r="E32" s="19" t="str">
        <f>IFERROR(__xludf.DUMMYFUNCTION("""COMPUTED_VALUE"""),"Users need to be in a web browser.")</f>
        <v>Users need to be in a web browser.</v>
      </c>
      <c r="F32" s="19" t="str">
        <f>IFERROR(__xludf.DUMMYFUNCTION("""COMPUTED_VALUE"""),"1. Open web app - Link
2. Goto Dashboard
3. Click on profile")</f>
        <v>1. Open web app - Link
2. Goto Dashboard
3. Click on profile</v>
      </c>
      <c r="G32" s="19" t="str">
        <f>IFERROR(__xludf.DUMMYFUNCTION("""COMPUTED_VALUE"""),"N/A")</f>
        <v>N/A</v>
      </c>
      <c r="H32" s="19" t="str">
        <f>IFERROR(__xludf.DUMMYFUNCTION("""COMPUTED_VALUE"""),"Alignment should match the client’s requirements.")</f>
        <v>Alignment should match the client’s requirements.</v>
      </c>
      <c r="I32" s="19" t="str">
        <f>IFERROR(__xludf.DUMMYFUNCTION("""COMPUTED_VALUE"""),"The form is aligned to the left side, which does not match the client's requirement of being aligned in the middle.")</f>
        <v>The form is aligned to the left side, which does not match the client's requirement of being aligned in the middle.</v>
      </c>
      <c r="J32" s="19" t="str">
        <f>IFERROR(__xludf.DUMMYFUNCTION("""COMPUTED_VALUE"""),"Fail")</f>
        <v>Fail</v>
      </c>
      <c r="K32" s="19" t="str">
        <f>IFERROR(__xludf.DUMMYFUNCTION("""COMPUTED_VALUE"""),"Medium")</f>
        <v>Medium</v>
      </c>
      <c r="L32" s="20" t="str">
        <f>IFERROR(__xludf.DUMMYFUNCTION("""COMPUTED_VALUE"""),"https://jam.dev/c/6cfad581-3f4d-403b-ab0e-d5d068fc1ee9")</f>
        <v>https://jam.dev/c/6cfad581-3f4d-403b-ab0e-d5d068fc1ee9</v>
      </c>
      <c r="M32" s="19"/>
      <c r="N32" s="19" t="str">
        <f>IFERROR(__xludf.DUMMYFUNCTION("""COMPUTED_VALUE"""),"Fahad")</f>
        <v>Fahad</v>
      </c>
      <c r="O32" s="19"/>
      <c r="P32" s="17"/>
      <c r="Q32" s="17"/>
      <c r="R32" s="17"/>
      <c r="S32" s="17"/>
      <c r="T32" s="17"/>
      <c r="U32" s="17"/>
      <c r="V32" s="17"/>
      <c r="W32" s="17"/>
      <c r="X32" s="17"/>
      <c r="Y32" s="17"/>
      <c r="Z32" s="17"/>
      <c r="AA32" s="17"/>
    </row>
    <row r="33">
      <c r="A33" s="18" t="s">
        <v>54</v>
      </c>
      <c r="B33" s="19" t="str">
        <f>IFERROR(__xludf.DUMMYFUNCTION("""COMPUTED_VALUE"""),"Profile")</f>
        <v>Profile</v>
      </c>
      <c r="C33" s="19" t="str">
        <f>IFERROR(__xludf.DUMMYFUNCTION("""COMPUTED_VALUE"""),"Profile")</f>
        <v>Profile</v>
      </c>
      <c r="D33" s="19" t="str">
        <f>IFERROR(__xludf.DUMMYFUNCTION("""COMPUTED_VALUE"""),"The partition of the area on the form is noticed.")</f>
        <v>The partition of the area on the form is noticed.</v>
      </c>
      <c r="E33" s="19" t="str">
        <f>IFERROR(__xludf.DUMMYFUNCTION("""COMPUTED_VALUE"""),"Users need to be in a web browser.")</f>
        <v>Users need to be in a web browser.</v>
      </c>
      <c r="F33" s="19" t="str">
        <f>IFERROR(__xludf.DUMMYFUNCTION("""COMPUTED_VALUE"""),"1. Open web app - Link
2. Goto Dashboard
3. Click on profile")</f>
        <v>1. Open web app - Link
2. Goto Dashboard
3. Click on profile</v>
      </c>
      <c r="G33" s="19" t="str">
        <f>IFERROR(__xludf.DUMMYFUNCTION("""COMPUTED_VALUE"""),"N/A")</f>
        <v>N/A</v>
      </c>
      <c r="H33" s="19" t="str">
        <f>IFERROR(__xludf.DUMMYFUNCTION("""COMPUTED_VALUE"""),"Each form input should be separated from the others by a border or a line.")</f>
        <v>Each form input should be separated from the others by a border or a line.</v>
      </c>
      <c r="I33" s="19" t="str">
        <f>IFERROR(__xludf.DUMMYFUNCTION("""COMPUTED_VALUE"""),"No lines are visible from any input field in the form.")</f>
        <v>No lines are visible from any input field in the form.</v>
      </c>
      <c r="J33" s="19" t="str">
        <f>IFERROR(__xludf.DUMMYFUNCTION("""COMPUTED_VALUE"""),"Fail")</f>
        <v>Fail</v>
      </c>
      <c r="K33" s="19" t="str">
        <f>IFERROR(__xludf.DUMMYFUNCTION("""COMPUTED_VALUE"""),"Low")</f>
        <v>Low</v>
      </c>
      <c r="L33" s="20" t="str">
        <f>IFERROR(__xludf.DUMMYFUNCTION("""COMPUTED_VALUE"""),"https://jam.dev/c/7745c30e-f803-4285-898c-c1766754a95d")</f>
        <v>https://jam.dev/c/7745c30e-f803-4285-898c-c1766754a95d</v>
      </c>
      <c r="M33" s="19"/>
      <c r="N33" s="19" t="str">
        <f>IFERROR(__xludf.DUMMYFUNCTION("""COMPUTED_VALUE"""),"Fahad")</f>
        <v>Fahad</v>
      </c>
      <c r="O33" s="19"/>
      <c r="P33" s="17"/>
      <c r="Q33" s="17"/>
      <c r="R33" s="17"/>
      <c r="S33" s="17"/>
      <c r="T33" s="17"/>
      <c r="U33" s="17"/>
      <c r="V33" s="17"/>
      <c r="W33" s="17"/>
      <c r="X33" s="17"/>
      <c r="Y33" s="17"/>
      <c r="Z33" s="17"/>
      <c r="AA33" s="17"/>
    </row>
    <row r="34">
      <c r="A34" s="18" t="s">
        <v>55</v>
      </c>
      <c r="B34" s="19" t="str">
        <f>IFERROR(__xludf.DUMMYFUNCTION("""COMPUTED_VALUE"""),"Profile")</f>
        <v>Profile</v>
      </c>
      <c r="C34" s="19" t="str">
        <f>IFERROR(__xludf.DUMMYFUNCTION("""COMPUTED_VALUE"""),"Profile")</f>
        <v>Profile</v>
      </c>
      <c r="D34" s="19" t="str">
        <f>IFERROR(__xludf.DUMMYFUNCTION("""COMPUTED_VALUE"""),"Input filtration failed.")</f>
        <v>Input filtration failed.</v>
      </c>
      <c r="E34" s="19" t="str">
        <f>IFERROR(__xludf.DUMMYFUNCTION("""COMPUTED_VALUE"""),"Users need to be in a web browser.")</f>
        <v>Users need to be in a web browser.</v>
      </c>
      <c r="F34" s="19" t="str">
        <f>IFERROR(__xludf.DUMMYFUNCTION("""COMPUTED_VALUE"""),"1. Open web app - Link
2. Goto Dashboard
3. Click on profile")</f>
        <v>1. Open web app - Link
2. Goto Dashboard
3. Click on profile</v>
      </c>
      <c r="G34" s="19" t="str">
        <f>IFERROR(__xludf.DUMMYFUNCTION("""COMPUTED_VALUE"""),"N/A")</f>
        <v>N/A</v>
      </c>
      <c r="H34" s="19" t="str">
        <f>IFERROR(__xludf.DUMMYFUNCTION("""COMPUTED_VALUE"""),"The name field should only contain characters, and the email field should follow a specific pattern for input validation.")</f>
        <v>The name field should only contain characters, and the email field should follow a specific pattern for input validation.</v>
      </c>
      <c r="I34" s="19" t="str">
        <f>IFERROR(__xludf.DUMMYFUNCTION("""COMPUTED_VALUE"""),"Input validation failed. The name field allows numeric values, and the email field accepts any input without requiring the '@' pattern.")</f>
        <v>Input validation failed. The name field allows numeric values, and the email field accepts any input without requiring the '@' pattern.</v>
      </c>
      <c r="J34" s="19" t="str">
        <f>IFERROR(__xludf.DUMMYFUNCTION("""COMPUTED_VALUE"""),"Fail")</f>
        <v>Fail</v>
      </c>
      <c r="K34" s="19" t="str">
        <f>IFERROR(__xludf.DUMMYFUNCTION("""COMPUTED_VALUE"""),"High")</f>
        <v>High</v>
      </c>
      <c r="L34" s="20" t="str">
        <f>IFERROR(__xludf.DUMMYFUNCTION("""COMPUTED_VALUE"""),"https://jam.dev/c/64203d76-9f38-4330-9040-6c370b4a80c9")</f>
        <v>https://jam.dev/c/64203d76-9f38-4330-9040-6c370b4a80c9</v>
      </c>
      <c r="M34" s="19"/>
      <c r="N34" s="19" t="str">
        <f>IFERROR(__xludf.DUMMYFUNCTION("""COMPUTED_VALUE"""),"Fahad")</f>
        <v>Fahad</v>
      </c>
      <c r="O34" s="19"/>
      <c r="P34" s="17"/>
      <c r="Q34" s="17"/>
      <c r="R34" s="17"/>
      <c r="S34" s="17"/>
      <c r="T34" s="17"/>
      <c r="U34" s="17"/>
      <c r="V34" s="17"/>
      <c r="W34" s="17"/>
      <c r="X34" s="17"/>
      <c r="Y34" s="17"/>
      <c r="Z34" s="17"/>
      <c r="AA34" s="17"/>
    </row>
    <row r="35">
      <c r="A35" s="18" t="s">
        <v>56</v>
      </c>
      <c r="B35" s="19" t="str">
        <f>IFERROR(__xludf.DUMMYFUNCTION("""COMPUTED_VALUE"""),"Profile")</f>
        <v>Profile</v>
      </c>
      <c r="C35" s="19" t="str">
        <f>IFERROR(__xludf.DUMMYFUNCTION("""COMPUTED_VALUE"""),"Profile")</f>
        <v>Profile</v>
      </c>
      <c r="D35" s="19" t="str">
        <f>IFERROR(__xludf.DUMMYFUNCTION("""COMPUTED_VALUE"""),"Multiple password hide icons have been observed.")</f>
        <v>Multiple password hide icons have been observed.</v>
      </c>
      <c r="E35" s="19" t="str">
        <f>IFERROR(__xludf.DUMMYFUNCTION("""COMPUTED_VALUE"""),"Users need to be in a web browser.")</f>
        <v>Users need to be in a web browser.</v>
      </c>
      <c r="F35" s="19" t="str">
        <f>IFERROR(__xludf.DUMMYFUNCTION("""COMPUTED_VALUE"""),"1. Open web app - Link
2. Goto Dashboard
3. Click on profile")</f>
        <v>1. Open web app - Link
2. Goto Dashboard
3. Click on profile</v>
      </c>
      <c r="G35" s="19" t="str">
        <f>IFERROR(__xludf.DUMMYFUNCTION("""COMPUTED_VALUE"""),"N/A")</f>
        <v>N/A</v>
      </c>
      <c r="H35" s="19" t="str">
        <f>IFERROR(__xludf.DUMMYFUNCTION("""COMPUTED_VALUE"""),"The password hide button should appear only after the password has been entered in the field, and there should be a single icon to handle this functionality.")</f>
        <v>The password hide button should appear only after the password has been entered in the field, and there should be a single icon to handle this functionality.</v>
      </c>
      <c r="I35" s="19" t="str">
        <f>IFERROR(__xludf.DUMMYFUNCTION("""COMPUTED_VALUE"""),"Multiple buttons have been observed, and both are functioning properly.")</f>
        <v>Multiple buttons have been observed, and both are functioning properly.</v>
      </c>
      <c r="J35" s="19" t="str">
        <f>IFERROR(__xludf.DUMMYFUNCTION("""COMPUTED_VALUE"""),"Fail")</f>
        <v>Fail</v>
      </c>
      <c r="K35" s="19" t="str">
        <f>IFERROR(__xludf.DUMMYFUNCTION("""COMPUTED_VALUE"""),"Medium")</f>
        <v>Medium</v>
      </c>
      <c r="L35" s="20" t="str">
        <f>IFERROR(__xludf.DUMMYFUNCTION("""COMPUTED_VALUE"""),"https://jam.dev/c/d36e2dcb-f585-4870-a64d-048c02ffb4ae")</f>
        <v>https://jam.dev/c/d36e2dcb-f585-4870-a64d-048c02ffb4ae</v>
      </c>
      <c r="M35" s="19"/>
      <c r="N35" s="19" t="str">
        <f>IFERROR(__xludf.DUMMYFUNCTION("""COMPUTED_VALUE"""),"Fahad")</f>
        <v>Fahad</v>
      </c>
      <c r="O35" s="19"/>
      <c r="P35" s="17"/>
      <c r="Q35" s="17"/>
      <c r="R35" s="17"/>
      <c r="S35" s="17"/>
      <c r="T35" s="17"/>
      <c r="U35" s="17"/>
      <c r="V35" s="17"/>
      <c r="W35" s="17"/>
      <c r="X35" s="17"/>
      <c r="Y35" s="17"/>
      <c r="Z35" s="17"/>
      <c r="AA35" s="17"/>
    </row>
    <row r="36">
      <c r="A36" s="18" t="s">
        <v>57</v>
      </c>
      <c r="B36" s="19" t="str">
        <f>IFERROR(__xludf.DUMMYFUNCTION("""COMPUTED_VALUE"""),"Profile")</f>
        <v>Profile</v>
      </c>
      <c r="C36" s="19" t="str">
        <f>IFERROR(__xludf.DUMMYFUNCTION("""COMPUTED_VALUE"""),"Profile")</f>
        <v>Profile</v>
      </c>
      <c r="D36" s="19" t="str">
        <f>IFERROR(__xludf.DUMMYFUNCTION("""COMPUTED_VALUE"""),"Details pattern mismatch.")</f>
        <v>Details pattern mismatch.</v>
      </c>
      <c r="E36" s="19" t="str">
        <f>IFERROR(__xludf.DUMMYFUNCTION("""COMPUTED_VALUE"""),"Users need to be in a web browser.")</f>
        <v>Users need to be in a web browser.</v>
      </c>
      <c r="F36" s="19" t="str">
        <f>IFERROR(__xludf.DUMMYFUNCTION("""COMPUTED_VALUE"""),"1. Open web app - Link
2. Goto Dashboard
3. Click on profile")</f>
        <v>1. Open web app - Link
2. Goto Dashboard
3. Click on profile</v>
      </c>
      <c r="G36" s="19" t="str">
        <f>IFERROR(__xludf.DUMMYFUNCTION("""COMPUTED_VALUE"""),"N/A")</f>
        <v>N/A</v>
      </c>
      <c r="H36" s="19" t="str">
        <f>IFERROR(__xludf.DUMMYFUNCTION("""COMPUTED_VALUE"""),"Alignment on details should perfectly match the client's requirements.")</f>
        <v>Alignment on details should perfectly match the client's requirements.</v>
      </c>
      <c r="I36" s="19" t="str">
        <f>IFERROR(__xludf.DUMMYFUNCTION("""COMPUTED_VALUE"""),"A different pattern has been noticed in client requirements.")</f>
        <v>A different pattern has been noticed in client requirements.</v>
      </c>
      <c r="J36" s="19" t="str">
        <f>IFERROR(__xludf.DUMMYFUNCTION("""COMPUTED_VALUE"""),"Fail")</f>
        <v>Fail</v>
      </c>
      <c r="K36" s="19" t="str">
        <f>IFERROR(__xludf.DUMMYFUNCTION("""COMPUTED_VALUE"""),"Low")</f>
        <v>Low</v>
      </c>
      <c r="L36" s="20" t="str">
        <f>IFERROR(__xludf.DUMMYFUNCTION("""COMPUTED_VALUE"""),"https://jam.dev/c/92a75c28-5156-4285-8ff1-a47a8c77f9ec")</f>
        <v>https://jam.dev/c/92a75c28-5156-4285-8ff1-a47a8c77f9ec</v>
      </c>
      <c r="M36" s="19"/>
      <c r="N36" s="19" t="str">
        <f>IFERROR(__xludf.DUMMYFUNCTION("""COMPUTED_VALUE"""),"Fahad")</f>
        <v>Fahad</v>
      </c>
      <c r="O36" s="19"/>
      <c r="P36" s="17"/>
      <c r="Q36" s="17"/>
      <c r="R36" s="17"/>
      <c r="S36" s="17"/>
      <c r="T36" s="17"/>
      <c r="U36" s="17"/>
      <c r="V36" s="17"/>
      <c r="W36" s="17"/>
      <c r="X36" s="17"/>
      <c r="Y36" s="17"/>
      <c r="Z36" s="17"/>
      <c r="AA36" s="17"/>
    </row>
    <row r="37">
      <c r="A37" s="18" t="s">
        <v>58</v>
      </c>
      <c r="B37" s="19" t="str">
        <f>IFERROR(__xludf.DUMMYFUNCTION("""COMPUTED_VALUE"""),"Profile")</f>
        <v>Profile</v>
      </c>
      <c r="C37" s="19" t="str">
        <f>IFERROR(__xludf.DUMMYFUNCTION("""COMPUTED_VALUE"""),"Profile")</f>
        <v>Profile</v>
      </c>
      <c r="D37" s="19" t="str">
        <f>IFERROR(__xludf.DUMMYFUNCTION("""COMPUTED_VALUE"""),"Forgot password option in the password change field.")</f>
        <v>Forgot password option in the password change field.</v>
      </c>
      <c r="E37" s="19" t="str">
        <f>IFERROR(__xludf.DUMMYFUNCTION("""COMPUTED_VALUE"""),"Users need to be in a web browser.")</f>
        <v>Users need to be in a web browser.</v>
      </c>
      <c r="F37" s="19" t="str">
        <f>IFERROR(__xludf.DUMMYFUNCTION("""COMPUTED_VALUE"""),"1. Open web app - Link
2. Goto Dashboard
3. Click on profile")</f>
        <v>1. Open web app - Link
2. Goto Dashboard
3. Click on profile</v>
      </c>
      <c r="G37" s="19" t="str">
        <f>IFERROR(__xludf.DUMMYFUNCTION("""COMPUTED_VALUE"""),"N/A")</f>
        <v>N/A</v>
      </c>
      <c r="H37" s="19" t="str">
        <f>IFERROR(__xludf.DUMMYFUNCTION("""COMPUTED_VALUE"""),"The password change section should include fields for the old password, the new password, and a confirmation of the new password.")</f>
        <v>The password change section should include fields for the old password, the new password, and a confirmation of the new password.</v>
      </c>
      <c r="I37" s="19" t="str">
        <f>IFERROR(__xludf.DUMMYFUNCTION("""COMPUTED_VALUE"""),"""Forget password"" has been noticed under the confirm password field.")</f>
        <v>"Forget password" has been noticed under the confirm password field.</v>
      </c>
      <c r="J37" s="19" t="str">
        <f>IFERROR(__xludf.DUMMYFUNCTION("""COMPUTED_VALUE"""),"Fail")</f>
        <v>Fail</v>
      </c>
      <c r="K37" s="19" t="str">
        <f>IFERROR(__xludf.DUMMYFUNCTION("""COMPUTED_VALUE"""),"Low")</f>
        <v>Low</v>
      </c>
      <c r="L37" s="20" t="str">
        <f>IFERROR(__xludf.DUMMYFUNCTION("""COMPUTED_VALUE"""),"https://jam.dev/c/910f3f85-39eb-4a5c-aa45-a46f7f708922")</f>
        <v>https://jam.dev/c/910f3f85-39eb-4a5c-aa45-a46f7f708922</v>
      </c>
      <c r="M37" s="19"/>
      <c r="N37" s="19" t="str">
        <f>IFERROR(__xludf.DUMMYFUNCTION("""COMPUTED_VALUE"""),"Fahad")</f>
        <v>Fahad</v>
      </c>
      <c r="O37" s="19"/>
      <c r="P37" s="17"/>
      <c r="Q37" s="17"/>
      <c r="R37" s="17"/>
      <c r="S37" s="17"/>
      <c r="T37" s="17"/>
      <c r="U37" s="17"/>
      <c r="V37" s="17"/>
      <c r="W37" s="17"/>
      <c r="X37" s="17"/>
      <c r="Y37" s="17"/>
      <c r="Z37" s="17"/>
      <c r="AA37" s="17"/>
    </row>
    <row r="38">
      <c r="A38" s="18" t="s">
        <v>59</v>
      </c>
      <c r="B38" s="19" t="str">
        <f>IFERROR(__xludf.DUMMYFUNCTION("""COMPUTED_VALUE"""),"Profile")</f>
        <v>Profile</v>
      </c>
      <c r="C38" s="19" t="str">
        <f>IFERROR(__xludf.DUMMYFUNCTION("""COMPUTED_VALUE"""),"Profile")</f>
        <v>Profile</v>
      </c>
      <c r="D38" s="19" t="str">
        <f>IFERROR(__xludf.DUMMYFUNCTION("""COMPUTED_VALUE"""),"The word count functionality is not working.")</f>
        <v>The word count functionality is not working.</v>
      </c>
      <c r="E38" s="19" t="str">
        <f>IFERROR(__xludf.DUMMYFUNCTION("""COMPUTED_VALUE"""),"Users need to be in a web browser.")</f>
        <v>Users need to be in a web browser.</v>
      </c>
      <c r="F38" s="19" t="str">
        <f>IFERROR(__xludf.DUMMYFUNCTION("""COMPUTED_VALUE"""),"1. Open web app - Link
2. Goto Dashboard
3. Click on profile")</f>
        <v>1. Open web app - Link
2. Goto Dashboard
3. Click on profile</v>
      </c>
      <c r="G38" s="19" t="str">
        <f>IFERROR(__xludf.DUMMYFUNCTION("""COMPUTED_VALUE"""),"N/A")</f>
        <v>N/A</v>
      </c>
      <c r="H38" s="19" t="str">
        <f>IFERROR(__xludf.DUMMYFUNCTION("""COMPUTED_VALUE"""),"The words used previously by the user should be counted accurately without any issues.")</f>
        <v>The words used previously by the user should be counted accurately without any issues.</v>
      </c>
      <c r="I38" s="19" t="str">
        <f>IFERROR(__xludf.DUMMYFUNCTION("""COMPUTED_VALUE"""),"A miscalculation of the word count has been noticed.")</f>
        <v>A miscalculation of the word count has been noticed.</v>
      </c>
      <c r="J38" s="19" t="str">
        <f>IFERROR(__xludf.DUMMYFUNCTION("""COMPUTED_VALUE"""),"Fail")</f>
        <v>Fail</v>
      </c>
      <c r="K38" s="19" t="str">
        <f>IFERROR(__xludf.DUMMYFUNCTION("""COMPUTED_VALUE"""),"High")</f>
        <v>High</v>
      </c>
      <c r="L38" s="20" t="str">
        <f>IFERROR(__xludf.DUMMYFUNCTION("""COMPUTED_VALUE"""),"https://jam.dev/c/8c9419b6-9263-4bc8-a41d-17cd9519a9c6")</f>
        <v>https://jam.dev/c/8c9419b6-9263-4bc8-a41d-17cd9519a9c6</v>
      </c>
      <c r="M38" s="19"/>
      <c r="N38" s="19" t="str">
        <f>IFERROR(__xludf.DUMMYFUNCTION("""COMPUTED_VALUE"""),"Fahad")</f>
        <v>Fahad</v>
      </c>
      <c r="O38" s="19"/>
      <c r="P38" s="17"/>
      <c r="Q38" s="17"/>
      <c r="R38" s="17"/>
      <c r="S38" s="17"/>
      <c r="T38" s="17"/>
      <c r="U38" s="17"/>
      <c r="V38" s="17"/>
      <c r="W38" s="17"/>
      <c r="X38" s="17"/>
      <c r="Y38" s="17"/>
      <c r="Z38" s="17"/>
      <c r="AA38" s="17"/>
    </row>
    <row r="39">
      <c r="A39" s="18" t="s">
        <v>60</v>
      </c>
      <c r="B39" s="19" t="str">
        <f>IFERROR(__xludf.DUMMYFUNCTION("""COMPUTED_VALUE"""),"Sign Up")</f>
        <v>Sign Up</v>
      </c>
      <c r="C39" s="19" t="str">
        <f>IFERROR(__xludf.DUMMYFUNCTION("""COMPUTED_VALUE"""),"Signup")</f>
        <v>Signup</v>
      </c>
      <c r="D39" s="19" t="str">
        <f>IFERROR(__xludf.DUMMYFUNCTION("""COMPUTED_VALUE"""),"Sign up without providing any information.")</f>
        <v>Sign up without providing any information.</v>
      </c>
      <c r="E39" s="19" t="str">
        <f>IFERROR(__xludf.DUMMYFUNCTION("""COMPUTED_VALUE"""),"Users need to be in a web browser.")</f>
        <v>Users need to be in a web browser.</v>
      </c>
      <c r="F39" s="19" t="str">
        <f>IFERROR(__xludf.DUMMYFUNCTION("""COMPUTED_VALUE"""),"1. Open web app - Link
2. Goto Signin
3. Click on Signup")</f>
        <v>1. Open web app - Link
2. Goto Signin
3. Click on Signup</v>
      </c>
      <c r="G39" s="19" t="str">
        <f>IFERROR(__xludf.DUMMYFUNCTION("""COMPUTED_VALUE"""),"N/A")</f>
        <v>N/A</v>
      </c>
      <c r="H39" s="19" t="str">
        <f>IFERROR(__xludf.DUMMYFUNCTION("""COMPUTED_VALUE"""),"A required field should be added to the signup page.")</f>
        <v>A required field should be added to the signup page.</v>
      </c>
      <c r="I39" s="19" t="str">
        <f>IFERROR(__xludf.DUMMYFUNCTION("""COMPUTED_VALUE"""),"A missing requirement on the signup page has been noticed.")</f>
        <v>A missing requirement on the signup page has been noticed.</v>
      </c>
      <c r="J39" s="19" t="str">
        <f>IFERROR(__xludf.DUMMYFUNCTION("""COMPUTED_VALUE"""),"Fail")</f>
        <v>Fail</v>
      </c>
      <c r="K39" s="19" t="str">
        <f>IFERROR(__xludf.DUMMYFUNCTION("""COMPUTED_VALUE"""),"High")</f>
        <v>High</v>
      </c>
      <c r="L39" s="20" t="str">
        <f>IFERROR(__xludf.DUMMYFUNCTION("""COMPUTED_VALUE"""),"https://jam.dev/c/01c7b21f-bc09-420e-b6a0-71668387a652")</f>
        <v>https://jam.dev/c/01c7b21f-bc09-420e-b6a0-71668387a652</v>
      </c>
      <c r="M39" s="19"/>
      <c r="N39" s="19" t="str">
        <f>IFERROR(__xludf.DUMMYFUNCTION("""COMPUTED_VALUE"""),"Fahad")</f>
        <v>Fahad</v>
      </c>
      <c r="O39" s="19"/>
      <c r="P39" s="17"/>
      <c r="Q39" s="17"/>
      <c r="R39" s="17"/>
      <c r="S39" s="17"/>
      <c r="T39" s="17"/>
      <c r="U39" s="17"/>
      <c r="V39" s="17"/>
      <c r="W39" s="17"/>
      <c r="X39" s="17"/>
      <c r="Y39" s="17"/>
      <c r="Z39" s="17"/>
      <c r="AA39" s="17"/>
    </row>
    <row r="40">
      <c r="A40" s="18" t="s">
        <v>61</v>
      </c>
      <c r="B40" s="19" t="str">
        <f>IFERROR(__xludf.DUMMYFUNCTION("""COMPUTED_VALUE"""),"Sign Up")</f>
        <v>Sign Up</v>
      </c>
      <c r="C40" s="19" t="str">
        <f>IFERROR(__xludf.DUMMYFUNCTION("""COMPUTED_VALUE"""),"Signup")</f>
        <v>Signup</v>
      </c>
      <c r="D40" s="19" t="str">
        <f>IFERROR(__xludf.DUMMYFUNCTION("""COMPUTED_VALUE"""),"The logo appears to be small.")</f>
        <v>The logo appears to be small.</v>
      </c>
      <c r="E40" s="19" t="str">
        <f>IFERROR(__xludf.DUMMYFUNCTION("""COMPUTED_VALUE"""),"Users need to be in a web browser.")</f>
        <v>Users need to be in a web browser.</v>
      </c>
      <c r="F40" s="19" t="str">
        <f>IFERROR(__xludf.DUMMYFUNCTION("""COMPUTED_VALUE"""),"1. Open web app - Link
2. Goto Signin
3. Click on Signup")</f>
        <v>1. Open web app - Link
2. Goto Signin
3. Click on Signup</v>
      </c>
      <c r="G40" s="19" t="str">
        <f>IFERROR(__xludf.DUMMYFUNCTION("""COMPUTED_VALUE"""),"N/A")</f>
        <v>N/A</v>
      </c>
      <c r="H40" s="19" t="str">
        <f>IFERROR(__xludf.DUMMYFUNCTION("""COMPUTED_VALUE"""),"The logo on the signup page should be larger to grab more attention.")</f>
        <v>The logo on the signup page should be larger to grab more attention.</v>
      </c>
      <c r="I40" s="19" t="str">
        <f>IFERROR(__xludf.DUMMYFUNCTION("""COMPUTED_VALUE"""),"The logo appears small compared to the page outline.")</f>
        <v>The logo appears small compared to the page outline.</v>
      </c>
      <c r="J40" s="19" t="str">
        <f>IFERROR(__xludf.DUMMYFUNCTION("""COMPUTED_VALUE"""),"Fail")</f>
        <v>Fail</v>
      </c>
      <c r="K40" s="19" t="str">
        <f>IFERROR(__xludf.DUMMYFUNCTION("""COMPUTED_VALUE"""),"Low")</f>
        <v>Low</v>
      </c>
      <c r="L40" s="20" t="str">
        <f>IFERROR(__xludf.DUMMYFUNCTION("""COMPUTED_VALUE"""),"https://jam.dev/c/56321e80-60b9-44d6-8f93-64f389e74cc4")</f>
        <v>https://jam.dev/c/56321e80-60b9-44d6-8f93-64f389e74cc4</v>
      </c>
      <c r="M40" s="19"/>
      <c r="N40" s="19" t="str">
        <f>IFERROR(__xludf.DUMMYFUNCTION("""COMPUTED_VALUE"""),"Fahad")</f>
        <v>Fahad</v>
      </c>
      <c r="O40" s="19"/>
      <c r="P40" s="17"/>
      <c r="Q40" s="17"/>
      <c r="R40" s="17"/>
      <c r="S40" s="17"/>
      <c r="T40" s="17"/>
      <c r="U40" s="17"/>
      <c r="V40" s="17"/>
      <c r="W40" s="17"/>
      <c r="X40" s="17"/>
      <c r="Y40" s="17"/>
      <c r="Z40" s="17"/>
      <c r="AA40" s="17"/>
    </row>
    <row r="41">
      <c r="A41" s="18" t="s">
        <v>62</v>
      </c>
      <c r="B41" s="19" t="str">
        <f>IFERROR(__xludf.DUMMYFUNCTION("""COMPUTED_VALUE"""),"Sign Up")</f>
        <v>Sign Up</v>
      </c>
      <c r="C41" s="19" t="str">
        <f>IFERROR(__xludf.DUMMYFUNCTION("""COMPUTED_VALUE"""),"Signup")</f>
        <v>Signup</v>
      </c>
      <c r="D41" s="19" t="str">
        <f>IFERROR(__xludf.DUMMYFUNCTION("""COMPUTED_VALUE"""),"The required field is not specified.")</f>
        <v>The required field is not specified.</v>
      </c>
      <c r="E41" s="19" t="str">
        <f>IFERROR(__xludf.DUMMYFUNCTION("""COMPUTED_VALUE"""),"Users need to be in a web browser.")</f>
        <v>Users need to be in a web browser.</v>
      </c>
      <c r="F41" s="19" t="str">
        <f>IFERROR(__xludf.DUMMYFUNCTION("""COMPUTED_VALUE"""),"1. Open web app - Link
2. Goto Signin
3. Click on Signup")</f>
        <v>1. Open web app - Link
2. Goto Signin
3. Click on Signup</v>
      </c>
      <c r="G41" s="19" t="str">
        <f>IFERROR(__xludf.DUMMYFUNCTION("""COMPUTED_VALUE"""),"N/A")</f>
        <v>N/A</v>
      </c>
      <c r="H41" s="19" t="str">
        <f>IFERROR(__xludf.DUMMYFUNCTION("""COMPUTED_VALUE"""),"The signup process should include well-implemented input fields.")</f>
        <v>The signup process should include well-implemented input fields.</v>
      </c>
      <c r="I41" s="19" t="str">
        <f>IFERROR(__xludf.DUMMYFUNCTION("""COMPUTED_VALUE"""),"The required mark is missing.")</f>
        <v>The required mark is missing.</v>
      </c>
      <c r="J41" s="19" t="str">
        <f>IFERROR(__xludf.DUMMYFUNCTION("""COMPUTED_VALUE"""),"Fail")</f>
        <v>Fail</v>
      </c>
      <c r="K41" s="19" t="str">
        <f>IFERROR(__xludf.DUMMYFUNCTION("""COMPUTED_VALUE"""),"Medium")</f>
        <v>Medium</v>
      </c>
      <c r="L41" s="20" t="str">
        <f>IFERROR(__xludf.DUMMYFUNCTION("""COMPUTED_VALUE"""),"https://jam.dev/c/693239a3-7d8a-43ad-aef6-bf421ff703ec")</f>
        <v>https://jam.dev/c/693239a3-7d8a-43ad-aef6-bf421ff703ec</v>
      </c>
      <c r="M41" s="19"/>
      <c r="N41" s="19" t="str">
        <f>IFERROR(__xludf.DUMMYFUNCTION("""COMPUTED_VALUE"""),"Fahad")</f>
        <v>Fahad</v>
      </c>
      <c r="O41" s="19"/>
      <c r="P41" s="17"/>
      <c r="Q41" s="17"/>
      <c r="R41" s="17"/>
      <c r="S41" s="17"/>
      <c r="T41" s="17"/>
      <c r="U41" s="17"/>
      <c r="V41" s="17"/>
      <c r="W41" s="17"/>
      <c r="X41" s="17"/>
      <c r="Y41" s="17"/>
      <c r="Z41" s="17"/>
      <c r="AA41" s="17"/>
    </row>
    <row r="42">
      <c r="A42" s="18" t="s">
        <v>63</v>
      </c>
      <c r="B42" s="19" t="str">
        <f>IFERROR(__xludf.DUMMYFUNCTION("""COMPUTED_VALUE"""),"Sign Up")</f>
        <v>Sign Up</v>
      </c>
      <c r="C42" s="19" t="str">
        <f>IFERROR(__xludf.DUMMYFUNCTION("""COMPUTED_VALUE"""),"Signup")</f>
        <v>Signup</v>
      </c>
      <c r="D42" s="19" t="str">
        <f>IFERROR(__xludf.DUMMYFUNCTION("""COMPUTED_VALUE"""),"The input field and placeholder color are identical.")</f>
        <v>The input field and placeholder color are identical.</v>
      </c>
      <c r="E42" s="19" t="str">
        <f>IFERROR(__xludf.DUMMYFUNCTION("""COMPUTED_VALUE"""),"Users need to be in a web browser.")</f>
        <v>Users need to be in a web browser.</v>
      </c>
      <c r="F42" s="19" t="str">
        <f>IFERROR(__xludf.DUMMYFUNCTION("""COMPUTED_VALUE"""),"1. Open web app - Link
2. Goto Signin
3. Click on Signup")</f>
        <v>1. Open web app - Link
2. Goto Signin
3. Click on Signup</v>
      </c>
      <c r="G42" s="19" t="str">
        <f>IFERROR(__xludf.DUMMYFUNCTION("""COMPUTED_VALUE"""),"N/A")</f>
        <v>N/A</v>
      </c>
      <c r="H42" s="19" t="str">
        <f>IFERROR(__xludf.DUMMYFUNCTION("""COMPUTED_VALUE"""),"The color of the input field name should be different from its placeholder.")</f>
        <v>The color of the input field name should be different from its placeholder.</v>
      </c>
      <c r="I42" s="19" t="str">
        <f>IFERROR(__xludf.DUMMYFUNCTION("""COMPUTED_VALUE"""),"Using the same color for the input field name and placeholder can cause confusion, as users might not easily distinguish between the two.")</f>
        <v>Using the same color for the input field name and placeholder can cause confusion, as users might not easily distinguish between the two.</v>
      </c>
      <c r="J42" s="19" t="str">
        <f>IFERROR(__xludf.DUMMYFUNCTION("""COMPUTED_VALUE"""),"Fail")</f>
        <v>Fail</v>
      </c>
      <c r="K42" s="19" t="str">
        <f>IFERROR(__xludf.DUMMYFUNCTION("""COMPUTED_VALUE"""),"Low")</f>
        <v>Low</v>
      </c>
      <c r="L42" s="20" t="str">
        <f>IFERROR(__xludf.DUMMYFUNCTION("""COMPUTED_VALUE"""),"https://jam.dev/c/8dee9646-6de6-4de8-87fd-1d9ecbac5bef")</f>
        <v>https://jam.dev/c/8dee9646-6de6-4de8-87fd-1d9ecbac5bef</v>
      </c>
      <c r="M42" s="19"/>
      <c r="N42" s="19" t="str">
        <f>IFERROR(__xludf.DUMMYFUNCTION("""COMPUTED_VALUE"""),"Fahad")</f>
        <v>Fahad</v>
      </c>
      <c r="O42" s="19"/>
      <c r="P42" s="17"/>
      <c r="Q42" s="17"/>
      <c r="R42" s="17"/>
      <c r="S42" s="17"/>
      <c r="T42" s="17"/>
      <c r="U42" s="17"/>
      <c r="V42" s="17"/>
      <c r="W42" s="17"/>
      <c r="X42" s="17"/>
      <c r="Y42" s="17"/>
      <c r="Z42" s="17"/>
      <c r="AA42" s="17"/>
    </row>
    <row r="43">
      <c r="A43" s="18" t="s">
        <v>64</v>
      </c>
      <c r="B43" s="19" t="str">
        <f>IFERROR(__xludf.DUMMYFUNCTION("""COMPUTED_VALUE"""),"Sign Up")</f>
        <v>Sign Up</v>
      </c>
      <c r="C43" s="19" t="str">
        <f>IFERROR(__xludf.DUMMYFUNCTION("""COMPUTED_VALUE"""),"Signup")</f>
        <v>Signup</v>
      </c>
      <c r="D43" s="19" t="str">
        <f>IFERROR(__xludf.DUMMYFUNCTION("""COMPUTED_VALUE"""),"The Terms of Use and Privacy Policy have not been implemented.")</f>
        <v>The Terms of Use and Privacy Policy have not been implemented.</v>
      </c>
      <c r="E43" s="19" t="str">
        <f>IFERROR(__xludf.DUMMYFUNCTION("""COMPUTED_VALUE"""),"Users need to be in a web browser.")</f>
        <v>Users need to be in a web browser.</v>
      </c>
      <c r="F43" s="19" t="str">
        <f>IFERROR(__xludf.DUMMYFUNCTION("""COMPUTED_VALUE"""),"1. Open web app - Link
2. Goto Signin
3. Click on Signup")</f>
        <v>1. Open web app - Link
2. Goto Signin
3. Click on Signup</v>
      </c>
      <c r="G43" s="19" t="str">
        <f>IFERROR(__xludf.DUMMYFUNCTION("""COMPUTED_VALUE"""),"N/A")</f>
        <v>N/A</v>
      </c>
      <c r="H43" s="19" t="str">
        <f>IFERROR(__xludf.DUMMYFUNCTION("""COMPUTED_VALUE"""),"The terms of use and privacy policy need to be working correctly for the client review.")</f>
        <v>The terms of use and privacy policy need to be working correctly for the client review.</v>
      </c>
      <c r="I43" s="19" t="str">
        <f>IFERROR(__xludf.DUMMYFUNCTION("""COMPUTED_VALUE"""),"The absence of terms of use and a privacy policy has been noted.")</f>
        <v>The absence of terms of use and a privacy policy has been noted.</v>
      </c>
      <c r="J43" s="19" t="str">
        <f>IFERROR(__xludf.DUMMYFUNCTION("""COMPUTED_VALUE"""),"Fail")</f>
        <v>Fail</v>
      </c>
      <c r="K43" s="19" t="str">
        <f>IFERROR(__xludf.DUMMYFUNCTION("""COMPUTED_VALUE"""),"High")</f>
        <v>High</v>
      </c>
      <c r="L43" s="20" t="str">
        <f>IFERROR(__xludf.DUMMYFUNCTION("""COMPUTED_VALUE"""),"https://jam.dev/c/0573d68f-77bf-477f-b34e-5e405769a23a")</f>
        <v>https://jam.dev/c/0573d68f-77bf-477f-b34e-5e405769a23a</v>
      </c>
      <c r="M43" s="19"/>
      <c r="N43" s="19" t="str">
        <f>IFERROR(__xludf.DUMMYFUNCTION("""COMPUTED_VALUE"""),"Fahad")</f>
        <v>Fahad</v>
      </c>
      <c r="O43" s="19"/>
      <c r="P43" s="17"/>
      <c r="Q43" s="17"/>
      <c r="R43" s="17"/>
      <c r="S43" s="17"/>
      <c r="T43" s="17"/>
      <c r="U43" s="17"/>
      <c r="V43" s="17"/>
      <c r="W43" s="17"/>
      <c r="X43" s="17"/>
      <c r="Y43" s="17"/>
      <c r="Z43" s="17"/>
      <c r="AA43" s="17"/>
    </row>
    <row r="44">
      <c r="A44" s="18" t="s">
        <v>65</v>
      </c>
      <c r="B44" s="19" t="str">
        <f>IFERROR(__xludf.DUMMYFUNCTION("""COMPUTED_VALUE"""),"Sign Up")</f>
        <v>Sign Up</v>
      </c>
      <c r="C44" s="19" t="str">
        <f>IFERROR(__xludf.DUMMYFUNCTION("""COMPUTED_VALUE"""),"Signup")</f>
        <v>Signup</v>
      </c>
      <c r="D44" s="19" t="str">
        <f>IFERROR(__xludf.DUMMYFUNCTION("""COMPUTED_VALUE"""),"Multiple password hide icons have been observed.")</f>
        <v>Multiple password hide icons have been observed.</v>
      </c>
      <c r="E44" s="19" t="str">
        <f>IFERROR(__xludf.DUMMYFUNCTION("""COMPUTED_VALUE"""),"Users need to be in a web browser.")</f>
        <v>Users need to be in a web browser.</v>
      </c>
      <c r="F44" s="19" t="str">
        <f>IFERROR(__xludf.DUMMYFUNCTION("""COMPUTED_VALUE"""),"1. Open web app - Link
2. Goto Signin
3. Click on Signup")</f>
        <v>1. Open web app - Link
2. Goto Signin
3. Click on Signup</v>
      </c>
      <c r="G44" s="19" t="str">
        <f>IFERROR(__xludf.DUMMYFUNCTION("""COMPUTED_VALUE"""),"N/A")</f>
        <v>N/A</v>
      </c>
      <c r="H44" s="19" t="str">
        <f>IFERROR(__xludf.DUMMYFUNCTION("""COMPUTED_VALUE"""),"The password hide button should appear only after the password has been entered in the field, and there should be a single icon to handle this functionality.")</f>
        <v>The password hide button should appear only after the password has been entered in the field, and there should be a single icon to handle this functionality.</v>
      </c>
      <c r="I44" s="19" t="str">
        <f>IFERROR(__xludf.DUMMYFUNCTION("""COMPUTED_VALUE"""),"Multiple buttons have been observed, and both are functioning properly.")</f>
        <v>Multiple buttons have been observed, and both are functioning properly.</v>
      </c>
      <c r="J44" s="19" t="str">
        <f>IFERROR(__xludf.DUMMYFUNCTION("""COMPUTED_VALUE"""),"Fail")</f>
        <v>Fail</v>
      </c>
      <c r="K44" s="19" t="str">
        <f>IFERROR(__xludf.DUMMYFUNCTION("""COMPUTED_VALUE"""),"Medium")</f>
        <v>Medium</v>
      </c>
      <c r="L44" s="20" t="str">
        <f>IFERROR(__xludf.DUMMYFUNCTION("""COMPUTED_VALUE"""),"https://jam.dev/c/1f8f004b-babd-4c4b-be86-5ed8ef386bbc")</f>
        <v>https://jam.dev/c/1f8f004b-babd-4c4b-be86-5ed8ef386bbc</v>
      </c>
      <c r="M44" s="19"/>
      <c r="N44" s="19" t="str">
        <f>IFERROR(__xludf.DUMMYFUNCTION("""COMPUTED_VALUE"""),"Fahad")</f>
        <v>Fahad</v>
      </c>
      <c r="O44" s="19"/>
      <c r="P44" s="17"/>
      <c r="Q44" s="17"/>
      <c r="R44" s="17"/>
      <c r="S44" s="17"/>
      <c r="T44" s="17"/>
      <c r="U44" s="17"/>
      <c r="V44" s="17"/>
      <c r="W44" s="17"/>
      <c r="X44" s="17"/>
      <c r="Y44" s="17"/>
      <c r="Z44" s="17"/>
      <c r="AA44" s="17"/>
    </row>
    <row r="45">
      <c r="A45" s="18" t="s">
        <v>66</v>
      </c>
      <c r="B45" s="19" t="str">
        <f>IFERROR(__xludf.DUMMYFUNCTION("""COMPUTED_VALUE"""),"Sign Up")</f>
        <v>Sign Up</v>
      </c>
      <c r="C45" s="19" t="str">
        <f>IFERROR(__xludf.DUMMYFUNCTION("""COMPUTED_VALUE"""),"Signup")</f>
        <v>Signup</v>
      </c>
      <c r="D45" s="19" t="str">
        <f>IFERROR(__xludf.DUMMYFUNCTION("""COMPUTED_VALUE"""),"The suggested password field feels too cramped.")</f>
        <v>The suggested password field feels too cramped.</v>
      </c>
      <c r="E45" s="19" t="str">
        <f>IFERROR(__xludf.DUMMYFUNCTION("""COMPUTED_VALUE"""),"Users need to be in a web browser.")</f>
        <v>Users need to be in a web browser.</v>
      </c>
      <c r="F45" s="19" t="str">
        <f>IFERROR(__xludf.DUMMYFUNCTION("""COMPUTED_VALUE"""),"1. Open web app - Link
2. Goto Signin
3. Click on Signup")</f>
        <v>1. Open web app - Link
2. Goto Signin
3. Click on Signup</v>
      </c>
      <c r="G45" s="19" t="str">
        <f>IFERROR(__xludf.DUMMYFUNCTION("""COMPUTED_VALUE"""),"N/A")</f>
        <v>N/A</v>
      </c>
      <c r="H45" s="19" t="str">
        <f>IFERROR(__xludf.DUMMYFUNCTION("""COMPUTED_VALUE"""),"The suggested password should be displayed clearly and positioned beneath the password field.")</f>
        <v>The suggested password should be displayed clearly and positioned beneath the password field.</v>
      </c>
      <c r="I45" s="19" t="str">
        <f>IFERROR(__xludf.DUMMYFUNCTION("""COMPUTED_VALUE"""),"The suggested passwords are positioned too closely, making the field feel cramped.")</f>
        <v>The suggested passwords are positioned too closely, making the field feel cramped.</v>
      </c>
      <c r="J45" s="19" t="str">
        <f>IFERROR(__xludf.DUMMYFUNCTION("""COMPUTED_VALUE"""),"Fail")</f>
        <v>Fail</v>
      </c>
      <c r="K45" s="19" t="str">
        <f>IFERROR(__xludf.DUMMYFUNCTION("""COMPUTED_VALUE"""),"Low")</f>
        <v>Low</v>
      </c>
      <c r="L45" s="20" t="str">
        <f>IFERROR(__xludf.DUMMYFUNCTION("""COMPUTED_VALUE"""),"https://jam.dev/c/144b94a2-2598-446d-b68d-33d501ac633e")</f>
        <v>https://jam.dev/c/144b94a2-2598-446d-b68d-33d501ac633e</v>
      </c>
      <c r="M45" s="19"/>
      <c r="N45" s="19" t="str">
        <f>IFERROR(__xludf.DUMMYFUNCTION("""COMPUTED_VALUE"""),"Fahad")</f>
        <v>Fahad</v>
      </c>
      <c r="O45" s="19"/>
      <c r="P45" s="17"/>
      <c r="Q45" s="17"/>
      <c r="R45" s="17"/>
      <c r="S45" s="17"/>
      <c r="T45" s="17"/>
      <c r="U45" s="17"/>
      <c r="V45" s="17"/>
      <c r="W45" s="17"/>
      <c r="X45" s="17"/>
      <c r="Y45" s="17"/>
      <c r="Z45" s="17"/>
      <c r="AA45" s="17"/>
    </row>
    <row r="46">
      <c r="A46" s="18" t="s">
        <v>67</v>
      </c>
      <c r="B46" s="19" t="str">
        <f>IFERROR(__xludf.DUMMYFUNCTION("""COMPUTED_VALUE"""),"Sign Up")</f>
        <v>Sign Up</v>
      </c>
      <c r="C46" s="19" t="str">
        <f>IFERROR(__xludf.DUMMYFUNCTION("""COMPUTED_VALUE"""),"OTP")</f>
        <v>OTP</v>
      </c>
      <c r="D46" s="19" t="str">
        <f>IFERROR(__xludf.DUMMYFUNCTION("""COMPUTED_VALUE"""),"The logo appears to be small.")</f>
        <v>The logo appears to be small.</v>
      </c>
      <c r="E46" s="19" t="str">
        <f>IFERROR(__xludf.DUMMYFUNCTION("""COMPUTED_VALUE"""),"Users need to be in a web browser.")</f>
        <v>Users need to be in a web browser.</v>
      </c>
      <c r="F46" s="19" t="str">
        <f>IFERROR(__xludf.DUMMYFUNCTION("""COMPUTED_VALUE"""),"1. Open web app - Link
2. Goto Signin
3. Click on Signup
4. Click on signup button")</f>
        <v>1. Open web app - Link
2. Goto Signin
3. Click on Signup
4. Click on signup button</v>
      </c>
      <c r="G46" s="19" t="str">
        <f>IFERROR(__xludf.DUMMYFUNCTION("""COMPUTED_VALUE"""),"N/A")</f>
        <v>N/A</v>
      </c>
      <c r="H46" s="19" t="str">
        <f>IFERROR(__xludf.DUMMYFUNCTION("""COMPUTED_VALUE"""),"The logo on the OTP page should be larger to grab more attention.")</f>
        <v>The logo on the OTP page should be larger to grab more attention.</v>
      </c>
      <c r="I46" s="19" t="str">
        <f>IFERROR(__xludf.DUMMYFUNCTION("""COMPUTED_VALUE"""),"The logo appears small compared to the page outline.")</f>
        <v>The logo appears small compared to the page outline.</v>
      </c>
      <c r="J46" s="19" t="str">
        <f>IFERROR(__xludf.DUMMYFUNCTION("""COMPUTED_VALUE"""),"Fail")</f>
        <v>Fail</v>
      </c>
      <c r="K46" s="19" t="str">
        <f>IFERROR(__xludf.DUMMYFUNCTION("""COMPUTED_VALUE"""),"Low")</f>
        <v>Low</v>
      </c>
      <c r="L46" s="20" t="str">
        <f>IFERROR(__xludf.DUMMYFUNCTION("""COMPUTED_VALUE"""),"https://jam.dev/c/85875220-4441-4bdd-88af-5c9540935967")</f>
        <v>https://jam.dev/c/85875220-4441-4bdd-88af-5c9540935967</v>
      </c>
      <c r="M46" s="19"/>
      <c r="N46" s="19" t="str">
        <f>IFERROR(__xludf.DUMMYFUNCTION("""COMPUTED_VALUE"""),"Fahad")</f>
        <v>Fahad</v>
      </c>
      <c r="O46" s="19"/>
      <c r="P46" s="17"/>
      <c r="Q46" s="17"/>
      <c r="R46" s="17"/>
      <c r="S46" s="17"/>
      <c r="T46" s="17"/>
      <c r="U46" s="17"/>
      <c r="V46" s="17"/>
      <c r="W46" s="17"/>
      <c r="X46" s="17"/>
      <c r="Y46" s="17"/>
      <c r="Z46" s="17"/>
      <c r="AA46" s="17"/>
    </row>
    <row r="47">
      <c r="A47" s="18" t="s">
        <v>68</v>
      </c>
      <c r="B47" s="19" t="str">
        <f>IFERROR(__xludf.DUMMYFUNCTION("""COMPUTED_VALUE"""),"Sign Up")</f>
        <v>Sign Up</v>
      </c>
      <c r="C47" s="19" t="str">
        <f>IFERROR(__xludf.DUMMYFUNCTION("""COMPUTED_VALUE"""),"OTP")</f>
        <v>OTP</v>
      </c>
      <c r="D47" s="19" t="str">
        <f>IFERROR(__xludf.DUMMYFUNCTION("""COMPUTED_VALUE"""),"The OTP field works similarly to the email field.")</f>
        <v>The OTP field works similarly to the email field.</v>
      </c>
      <c r="E47" s="19" t="str">
        <f>IFERROR(__xludf.DUMMYFUNCTION("""COMPUTED_VALUE"""),"Users need to be in a web browser.")</f>
        <v>Users need to be in a web browser.</v>
      </c>
      <c r="F47" s="19" t="str">
        <f>IFERROR(__xludf.DUMMYFUNCTION("""COMPUTED_VALUE"""),"1. Open web app - Link
2. Goto Signin
3. Click on Signup
4. Click on signup button")</f>
        <v>1. Open web app - Link
2. Goto Signin
3. Click on Signup
4. Click on signup button</v>
      </c>
      <c r="G47" s="19" t="str">
        <f>IFERROR(__xludf.DUMMYFUNCTION("""COMPUTED_VALUE"""),"N/A")</f>
        <v>N/A</v>
      </c>
      <c r="H47" s="19" t="str">
        <f>IFERROR(__xludf.DUMMYFUNCTION("""COMPUTED_VALUE"""),"When a user receives an OTP via email, they should enter the OTP in the designated field, and it will be secured.")</f>
        <v>When a user receives an OTP via email, they should enter the OTP in the designated field, and it will be secured.</v>
      </c>
      <c r="I47" s="19" t="str">
        <f>IFERROR(__xludf.DUMMYFUNCTION("""COMPUTED_VALUE"""),"The OTP field behaves like an email field, suggesting '@' and making the input visible.")</f>
        <v>The OTP field behaves like an email field, suggesting '@' and making the input visible.</v>
      </c>
      <c r="J47" s="19" t="str">
        <f>IFERROR(__xludf.DUMMYFUNCTION("""COMPUTED_VALUE"""),"Fail")</f>
        <v>Fail</v>
      </c>
      <c r="K47" s="19" t="str">
        <f>IFERROR(__xludf.DUMMYFUNCTION("""COMPUTED_VALUE"""),"Medium")</f>
        <v>Medium</v>
      </c>
      <c r="L47" s="20" t="str">
        <f>IFERROR(__xludf.DUMMYFUNCTION("""COMPUTED_VALUE"""),"https://jam.dev/c/e1b17636-ddce-4309-8bce-6a64d22152e3")</f>
        <v>https://jam.dev/c/e1b17636-ddce-4309-8bce-6a64d22152e3</v>
      </c>
      <c r="M47" s="19"/>
      <c r="N47" s="19" t="str">
        <f>IFERROR(__xludf.DUMMYFUNCTION("""COMPUTED_VALUE"""),"Fahad")</f>
        <v>Fahad</v>
      </c>
      <c r="O47" s="19"/>
      <c r="P47" s="17"/>
      <c r="Q47" s="17"/>
      <c r="R47" s="17"/>
      <c r="S47" s="17"/>
      <c r="T47" s="17"/>
      <c r="U47" s="17"/>
      <c r="V47" s="17"/>
      <c r="W47" s="17"/>
      <c r="X47" s="17"/>
      <c r="Y47" s="17"/>
      <c r="Z47" s="17"/>
      <c r="AA47" s="17"/>
    </row>
    <row r="48">
      <c r="A48" s="18" t="s">
        <v>69</v>
      </c>
      <c r="B48" s="19" t="str">
        <f>IFERROR(__xludf.DUMMYFUNCTION("""COMPUTED_VALUE"""),"Signin")</f>
        <v>Signin</v>
      </c>
      <c r="C48" s="19" t="str">
        <f>IFERROR(__xludf.DUMMYFUNCTION("""COMPUTED_VALUE"""),"Signin")</f>
        <v>Signin</v>
      </c>
      <c r="D48" s="19" t="str">
        <f>IFERROR(__xludf.DUMMYFUNCTION("""COMPUTED_VALUE"""),"The logo appears to be small.")</f>
        <v>The logo appears to be small.</v>
      </c>
      <c r="E48" s="19" t="str">
        <f>IFERROR(__xludf.DUMMYFUNCTION("""COMPUTED_VALUE"""),"Users need to be in a web browser.")</f>
        <v>Users need to be in a web browser.</v>
      </c>
      <c r="F48" s="19" t="str">
        <f>IFERROR(__xludf.DUMMYFUNCTION("""COMPUTED_VALUE"""),"1. Open web app - Link
2. Goto Signin")</f>
        <v>1. Open web app - Link
2. Goto Signin</v>
      </c>
      <c r="G48" s="19" t="str">
        <f>IFERROR(__xludf.DUMMYFUNCTION("""COMPUTED_VALUE"""),"N/A")</f>
        <v>N/A</v>
      </c>
      <c r="H48" s="19" t="str">
        <f>IFERROR(__xludf.DUMMYFUNCTION("""COMPUTED_VALUE"""),"The logo on the signin page should be larger to grab more attention.")</f>
        <v>The logo on the signin page should be larger to grab more attention.</v>
      </c>
      <c r="I48" s="19" t="str">
        <f>IFERROR(__xludf.DUMMYFUNCTION("""COMPUTED_VALUE"""),"The logo appears small compared to the page outline.")</f>
        <v>The logo appears small compared to the page outline.</v>
      </c>
      <c r="J48" s="19" t="str">
        <f>IFERROR(__xludf.DUMMYFUNCTION("""COMPUTED_VALUE"""),"Fail")</f>
        <v>Fail</v>
      </c>
      <c r="K48" s="19" t="str">
        <f>IFERROR(__xludf.DUMMYFUNCTION("""COMPUTED_VALUE"""),"Low")</f>
        <v>Low</v>
      </c>
      <c r="L48" s="20" t="str">
        <f>IFERROR(__xludf.DUMMYFUNCTION("""COMPUTED_VALUE"""),"https://jam.dev/c/5c5281f2-c8cb-4c43-bb93-30777492e09a")</f>
        <v>https://jam.dev/c/5c5281f2-c8cb-4c43-bb93-30777492e09a</v>
      </c>
      <c r="M48" s="19"/>
      <c r="N48" s="19" t="str">
        <f>IFERROR(__xludf.DUMMYFUNCTION("""COMPUTED_VALUE"""),"Fahad")</f>
        <v>Fahad</v>
      </c>
      <c r="O48" s="19"/>
      <c r="P48" s="17"/>
      <c r="Q48" s="17"/>
      <c r="R48" s="17"/>
      <c r="S48" s="17"/>
      <c r="T48" s="17"/>
      <c r="U48" s="17"/>
      <c r="V48" s="17"/>
      <c r="W48" s="17"/>
      <c r="X48" s="17"/>
      <c r="Y48" s="17"/>
      <c r="Z48" s="17"/>
      <c r="AA48" s="17"/>
    </row>
    <row r="49">
      <c r="A49" s="18" t="s">
        <v>70</v>
      </c>
      <c r="B49" s="19" t="str">
        <f>IFERROR(__xludf.DUMMYFUNCTION("""COMPUTED_VALUE"""),"Signin")</f>
        <v>Signin</v>
      </c>
      <c r="C49" s="19" t="str">
        <f>IFERROR(__xludf.DUMMYFUNCTION("""COMPUTED_VALUE"""),"Signin")</f>
        <v>Signin</v>
      </c>
      <c r="D49" s="19" t="str">
        <f>IFERROR(__xludf.DUMMYFUNCTION("""COMPUTED_VALUE"""),"Multiple password hide icons have been observed.")</f>
        <v>Multiple password hide icons have been observed.</v>
      </c>
      <c r="E49" s="19" t="str">
        <f>IFERROR(__xludf.DUMMYFUNCTION("""COMPUTED_VALUE"""),"Users need to be in a web browser.")</f>
        <v>Users need to be in a web browser.</v>
      </c>
      <c r="F49" s="19" t="str">
        <f>IFERROR(__xludf.DUMMYFUNCTION("""COMPUTED_VALUE"""),"1. Open web app - Link
2. Goto Signin")</f>
        <v>1. Open web app - Link
2. Goto Signin</v>
      </c>
      <c r="G49" s="19" t="str">
        <f>IFERROR(__xludf.DUMMYFUNCTION("""COMPUTED_VALUE"""),"N/A")</f>
        <v>N/A</v>
      </c>
      <c r="H49" s="19" t="str">
        <f>IFERROR(__xludf.DUMMYFUNCTION("""COMPUTED_VALUE"""),"The password hide button should appear only after the password has been entered in the field, and there should be a single icon to handle this functionality.")</f>
        <v>The password hide button should appear only after the password has been entered in the field, and there should be a single icon to handle this functionality.</v>
      </c>
      <c r="I49" s="19" t="str">
        <f>IFERROR(__xludf.DUMMYFUNCTION("""COMPUTED_VALUE"""),"Multiple buttons have been observed, and both are functioning properly.")</f>
        <v>Multiple buttons have been observed, and both are functioning properly.</v>
      </c>
      <c r="J49" s="19" t="str">
        <f>IFERROR(__xludf.DUMMYFUNCTION("""COMPUTED_VALUE"""),"Fail")</f>
        <v>Fail</v>
      </c>
      <c r="K49" s="19" t="str">
        <f>IFERROR(__xludf.DUMMYFUNCTION("""COMPUTED_VALUE"""),"Medium")</f>
        <v>Medium</v>
      </c>
      <c r="L49" s="20" t="str">
        <f>IFERROR(__xludf.DUMMYFUNCTION("""COMPUTED_VALUE"""),"https://jam.dev/c/a4622384-b617-41be-ad07-bf26b62923fc")</f>
        <v>https://jam.dev/c/a4622384-b617-41be-ad07-bf26b62923fc</v>
      </c>
      <c r="M49" s="19"/>
      <c r="N49" s="19" t="str">
        <f>IFERROR(__xludf.DUMMYFUNCTION("""COMPUTED_VALUE"""),"Fahad")</f>
        <v>Fahad</v>
      </c>
      <c r="O49" s="19"/>
      <c r="P49" s="17"/>
      <c r="Q49" s="17"/>
      <c r="R49" s="17"/>
      <c r="S49" s="17"/>
      <c r="T49" s="17"/>
      <c r="U49" s="17"/>
      <c r="V49" s="17"/>
      <c r="W49" s="17"/>
      <c r="X49" s="17"/>
      <c r="Y49" s="17"/>
      <c r="Z49" s="17"/>
      <c r="AA49" s="17"/>
    </row>
    <row r="50">
      <c r="A50" s="18" t="s">
        <v>71</v>
      </c>
      <c r="B50" s="19" t="str">
        <f>IFERROR(__xludf.DUMMYFUNCTION("""COMPUTED_VALUE"""),"Signin")</f>
        <v>Signin</v>
      </c>
      <c r="C50" s="19" t="str">
        <f>IFERROR(__xludf.DUMMYFUNCTION("""COMPUTED_VALUE"""),"Password Reset")</f>
        <v>Password Reset</v>
      </c>
      <c r="D50" s="19" t="str">
        <f>IFERROR(__xludf.DUMMYFUNCTION("""COMPUTED_VALUE"""),"The logo appears to be small.")</f>
        <v>The logo appears to be small.</v>
      </c>
      <c r="E50" s="19" t="str">
        <f>IFERROR(__xludf.DUMMYFUNCTION("""COMPUTED_VALUE"""),"Users need to be in a web browser.")</f>
        <v>Users need to be in a web browser.</v>
      </c>
      <c r="F50" s="19" t="str">
        <f>IFERROR(__xludf.DUMMYFUNCTION("""COMPUTED_VALUE"""),"1. Open web app - Link
2. Goto Signin")</f>
        <v>1. Open web app - Link
2. Goto Signin</v>
      </c>
      <c r="G50" s="19" t="str">
        <f>IFERROR(__xludf.DUMMYFUNCTION("""COMPUTED_VALUE"""),"N/A")</f>
        <v>N/A</v>
      </c>
      <c r="H50" s="19" t="str">
        <f>IFERROR(__xludf.DUMMYFUNCTION("""COMPUTED_VALUE"""),"The logo on the reset page should be larger to grab more attention.")</f>
        <v>The logo on the reset page should be larger to grab more attention.</v>
      </c>
      <c r="I50" s="19" t="str">
        <f>IFERROR(__xludf.DUMMYFUNCTION("""COMPUTED_VALUE"""),"The logo appears small compared to the page outline.")</f>
        <v>The logo appears small compared to the page outline.</v>
      </c>
      <c r="J50" s="19" t="str">
        <f>IFERROR(__xludf.DUMMYFUNCTION("""COMPUTED_VALUE"""),"Fail")</f>
        <v>Fail</v>
      </c>
      <c r="K50" s="19" t="str">
        <f>IFERROR(__xludf.DUMMYFUNCTION("""COMPUTED_VALUE"""),"Low")</f>
        <v>Low</v>
      </c>
      <c r="L50" s="20" t="str">
        <f>IFERROR(__xludf.DUMMYFUNCTION("""COMPUTED_VALUE"""),"https://jam.dev/c/a1b78211-fe4e-40a2-a5d7-72e09c36dc18")</f>
        <v>https://jam.dev/c/a1b78211-fe4e-40a2-a5d7-72e09c36dc18</v>
      </c>
      <c r="M50" s="19"/>
      <c r="N50" s="19" t="str">
        <f>IFERROR(__xludf.DUMMYFUNCTION("""COMPUTED_VALUE"""),"Fahad")</f>
        <v>Fahad</v>
      </c>
      <c r="O50" s="19"/>
      <c r="P50" s="17"/>
      <c r="Q50" s="17"/>
      <c r="R50" s="17"/>
      <c r="S50" s="17"/>
      <c r="T50" s="17"/>
      <c r="U50" s="17"/>
      <c r="V50" s="17"/>
      <c r="W50" s="17"/>
      <c r="X50" s="17"/>
      <c r="Y50" s="17"/>
      <c r="Z50" s="17"/>
      <c r="AA50" s="17"/>
    </row>
    <row r="51">
      <c r="A51" s="18" t="s">
        <v>72</v>
      </c>
      <c r="B51" s="19" t="str">
        <f>IFERROR(__xludf.DUMMYFUNCTION("""COMPUTED_VALUE"""),"Signin")</f>
        <v>Signin</v>
      </c>
      <c r="C51" s="19" t="str">
        <f>IFERROR(__xludf.DUMMYFUNCTION("""COMPUTED_VALUE"""),"Password Reset")</f>
        <v>Password Reset</v>
      </c>
      <c r="D51" s="19" t="str">
        <f>IFERROR(__xludf.DUMMYFUNCTION("""COMPUTED_VALUE"""),"Button name mismatch.")</f>
        <v>Button name mismatch.</v>
      </c>
      <c r="E51" s="19" t="str">
        <f>IFERROR(__xludf.DUMMYFUNCTION("""COMPUTED_VALUE"""),"Users need to be in a web browser.")</f>
        <v>Users need to be in a web browser.</v>
      </c>
      <c r="F51" s="19" t="str">
        <f>IFERROR(__xludf.DUMMYFUNCTION("""COMPUTED_VALUE"""),"1. Open web app - Link
2. Goto Signin
3. Click on Password reset")</f>
        <v>1. Open web app - Link
2. Goto Signin
3. Click on Password reset</v>
      </c>
      <c r="G51" s="19" t="str">
        <f>IFERROR(__xludf.DUMMYFUNCTION("""COMPUTED_VALUE"""),"N/A")</f>
        <v>N/A</v>
      </c>
      <c r="H51" s="19" t="str">
        <f>IFERROR(__xludf.DUMMYFUNCTION("""COMPUTED_VALUE"""),"The button name should match the client's requirements.")</f>
        <v>The button name should match the client's requirements.</v>
      </c>
      <c r="I51" s="19" t="str">
        <f>IFERROR(__xludf.DUMMYFUNCTION("""COMPUTED_VALUE"""),"Noticed a different button name.")</f>
        <v>Noticed a different button name.</v>
      </c>
      <c r="J51" s="19" t="str">
        <f>IFERROR(__xludf.DUMMYFUNCTION("""COMPUTED_VALUE"""),"Fail")</f>
        <v>Fail</v>
      </c>
      <c r="K51" s="19" t="str">
        <f>IFERROR(__xludf.DUMMYFUNCTION("""COMPUTED_VALUE"""),"Medium")</f>
        <v>Medium</v>
      </c>
      <c r="L51" s="20" t="str">
        <f>IFERROR(__xludf.DUMMYFUNCTION("""COMPUTED_VALUE"""),"https://jam.dev/c/f73ab1ad-d627-4cd7-bf63-4b2539adf056")</f>
        <v>https://jam.dev/c/f73ab1ad-d627-4cd7-bf63-4b2539adf056</v>
      </c>
      <c r="M51" s="19"/>
      <c r="N51" s="19" t="str">
        <f>IFERROR(__xludf.DUMMYFUNCTION("""COMPUTED_VALUE"""),"Fahad")</f>
        <v>Fahad</v>
      </c>
      <c r="O51" s="19"/>
      <c r="P51" s="17"/>
      <c r="Q51" s="17"/>
      <c r="R51" s="17"/>
      <c r="S51" s="17"/>
      <c r="T51" s="17"/>
      <c r="U51" s="17"/>
      <c r="V51" s="17"/>
      <c r="W51" s="17"/>
      <c r="X51" s="17"/>
      <c r="Y51" s="17"/>
      <c r="Z51" s="17"/>
      <c r="AA51" s="17"/>
    </row>
    <row r="52">
      <c r="A52" s="18" t="s">
        <v>73</v>
      </c>
      <c r="B52" s="19" t="str">
        <f>IFERROR(__xludf.DUMMYFUNCTION("""COMPUTED_VALUE"""),"Signin")</f>
        <v>Signin</v>
      </c>
      <c r="C52" s="19" t="str">
        <f>IFERROR(__xludf.DUMMYFUNCTION("""COMPUTED_VALUE"""),"Password Reset")</f>
        <v>Password Reset</v>
      </c>
      <c r="D52" s="19" t="str">
        <f>IFERROR(__xludf.DUMMYFUNCTION("""COMPUTED_VALUE"""),"The password reset process is unavailable.")</f>
        <v>The password reset process is unavailable.</v>
      </c>
      <c r="E52" s="19" t="str">
        <f>IFERROR(__xludf.DUMMYFUNCTION("""COMPUTED_VALUE"""),"Users need to be in a web browser.")</f>
        <v>Users need to be in a web browser.</v>
      </c>
      <c r="F52" s="19" t="str">
        <f>IFERROR(__xludf.DUMMYFUNCTION("""COMPUTED_VALUE"""),"1. Open web app - Link
2. Goto Signin
3. Click on Password reset")</f>
        <v>1. Open web app - Link
2. Goto Signin
3. Click on Password reset</v>
      </c>
      <c r="G52" s="19" t="str">
        <f>IFERROR(__xludf.DUMMYFUNCTION("""COMPUTED_VALUE"""),"N/A")</f>
        <v>N/A</v>
      </c>
      <c r="H52" s="19" t="str">
        <f>IFERROR(__xludf.DUMMYFUNCTION("""COMPUTED_VALUE"""),"After the password reset email is entered, the user should be directed to a page where they can input and confirm their new password to complete the password change process.")</f>
        <v>After the password reset email is entered, the user should be directed to a page where they can input and confirm their new password to complete the password change process.</v>
      </c>
      <c r="I52" s="19" t="str">
        <f>IFERROR(__xludf.DUMMYFUNCTION("""COMPUTED_VALUE"""),"After entering their email for a password change, the user is redirected to the OTP page, suggesting that the password reset page flow is incomplete.")</f>
        <v>After entering their email for a password change, the user is redirected to the OTP page, suggesting that the password reset page flow is incomplete.</v>
      </c>
      <c r="J52" s="19" t="str">
        <f>IFERROR(__xludf.DUMMYFUNCTION("""COMPUTED_VALUE"""),"Fail")</f>
        <v>Fail</v>
      </c>
      <c r="K52" s="19" t="str">
        <f>IFERROR(__xludf.DUMMYFUNCTION("""COMPUTED_VALUE"""),"High")</f>
        <v>High</v>
      </c>
      <c r="L52" s="20" t="str">
        <f>IFERROR(__xludf.DUMMYFUNCTION("""COMPUTED_VALUE"""),"https://jam.dev/c/30595acb-2b46-4ce8-b1ba-0b7f1b0d45cb")</f>
        <v>https://jam.dev/c/30595acb-2b46-4ce8-b1ba-0b7f1b0d45cb</v>
      </c>
      <c r="M52" s="19"/>
      <c r="N52" s="19" t="str">
        <f>IFERROR(__xludf.DUMMYFUNCTION("""COMPUTED_VALUE"""),"Fahad")</f>
        <v>Fahad</v>
      </c>
      <c r="O52" s="19"/>
      <c r="P52" s="17"/>
      <c r="Q52" s="17"/>
      <c r="R52" s="17"/>
      <c r="S52" s="17"/>
      <c r="T52" s="17"/>
      <c r="U52" s="17"/>
      <c r="V52" s="17"/>
      <c r="W52" s="17"/>
      <c r="X52" s="17"/>
      <c r="Y52" s="17"/>
      <c r="Z52" s="17"/>
      <c r="AA52" s="17"/>
    </row>
    <row r="53">
      <c r="A53" s="21"/>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row>
    <row r="54">
      <c r="A54" s="21"/>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c r="A55" s="21"/>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row>
    <row r="56">
      <c r="A56" s="21"/>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row>
    <row r="57">
      <c r="A57" s="21"/>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row>
    <row r="58">
      <c r="A58" s="21"/>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c r="A59" s="21"/>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row>
    <row r="60">
      <c r="A60" s="21"/>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row>
    <row r="61">
      <c r="A61" s="21"/>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row>
    <row r="62">
      <c r="A62" s="21"/>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row>
    <row r="63">
      <c r="A63" s="21"/>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row>
    <row r="64">
      <c r="A64" s="21"/>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row>
    <row r="65">
      <c r="A65" s="21"/>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row>
    <row r="66">
      <c r="A66" s="21"/>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row>
    <row r="67">
      <c r="A67" s="21"/>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row>
    <row r="68">
      <c r="A68" s="21"/>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c r="A69" s="21"/>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row>
    <row r="70">
      <c r="A70" s="21"/>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row>
    <row r="71">
      <c r="A71" s="21"/>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row>
    <row r="72">
      <c r="A72" s="21"/>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row>
    <row r="73">
      <c r="A73" s="21"/>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row>
    <row r="74">
      <c r="A74" s="21"/>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row>
    <row r="75">
      <c r="A75" s="21"/>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row>
    <row r="76">
      <c r="A76" s="21"/>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row>
    <row r="77">
      <c r="A77" s="21"/>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row>
    <row r="78">
      <c r="A78" s="21"/>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c r="A79" s="21"/>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row>
    <row r="80">
      <c r="A80" s="21"/>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row>
    <row r="81">
      <c r="A81" s="21"/>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row>
    <row r="82">
      <c r="A82" s="21"/>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row>
    <row r="83">
      <c r="A83" s="21"/>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row>
    <row r="84">
      <c r="A84" s="21"/>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row>
    <row r="85">
      <c r="A85" s="21"/>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row>
    <row r="86">
      <c r="A86" s="21"/>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row>
    <row r="87">
      <c r="A87" s="21"/>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row>
    <row r="88">
      <c r="A88" s="21"/>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c r="A89" s="21"/>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c r="A90" s="21"/>
    </row>
    <row r="91">
      <c r="A91" s="21"/>
    </row>
    <row r="92">
      <c r="A92" s="21"/>
    </row>
    <row r="93">
      <c r="A93" s="21"/>
    </row>
    <row r="94">
      <c r="A94" s="21"/>
    </row>
    <row r="95">
      <c r="A95" s="21"/>
    </row>
    <row r="96">
      <c r="A96" s="21"/>
    </row>
    <row r="97">
      <c r="A97" s="21"/>
    </row>
    <row r="98">
      <c r="A98" s="21"/>
    </row>
    <row r="99">
      <c r="A99" s="21"/>
    </row>
  </sheetData>
  <dataValidations>
    <dataValidation type="list" allowBlank="1" showErrorMessage="1" sqref="J11:J52">
      <formula1>"Fail,Pass"</formula1>
    </dataValidation>
    <dataValidation type="list" allowBlank="1" showErrorMessage="1" sqref="O11:O52">
      <formula1>"Solved,Unsolved"</formula1>
    </dataValidation>
    <dataValidation type="list" allowBlank="1" showErrorMessage="1" sqref="K11:K52">
      <formula1>"Low,Medium,High"</formula1>
    </dataValidation>
  </dataValidations>
  <hyperlinks>
    <hyperlink r:id="rId1" ref="L11"/>
    <hyperlink r:id="rId2" ref="L12"/>
    <hyperlink r:id="rId3" ref="L13"/>
    <hyperlink r:id="rId4" ref="L15"/>
    <hyperlink r:id="rId5" ref="L16"/>
    <hyperlink r:id="rId6" ref="L17"/>
    <hyperlink r:id="rId7" ref="L18"/>
    <hyperlink r:id="rId8" ref="L19"/>
    <hyperlink r:id="rId9" ref="L20"/>
    <hyperlink r:id="rId10" ref="L21"/>
    <hyperlink r:id="rId11" ref="L22"/>
    <hyperlink r:id="rId12" ref="L23"/>
    <hyperlink r:id="rId13" ref="L24"/>
    <hyperlink r:id="rId14" ref="L25"/>
    <hyperlink r:id="rId15" ref="L26"/>
    <hyperlink r:id="rId16" ref="L27"/>
    <hyperlink r:id="rId17" ref="L28"/>
    <hyperlink r:id="rId18" ref="L29"/>
    <hyperlink r:id="rId19" ref="L30"/>
    <hyperlink r:id="rId20" ref="L31"/>
    <hyperlink r:id="rId21" ref="L32"/>
    <hyperlink r:id="rId22" ref="L33"/>
    <hyperlink r:id="rId23" ref="L34"/>
    <hyperlink r:id="rId24" ref="L35"/>
    <hyperlink r:id="rId25" ref="L36"/>
    <hyperlink r:id="rId26" ref="L37"/>
    <hyperlink r:id="rId27" ref="L38"/>
    <hyperlink r:id="rId28" ref="L39"/>
    <hyperlink r:id="rId29" ref="L40"/>
    <hyperlink r:id="rId30" ref="L41"/>
    <hyperlink r:id="rId31" ref="L42"/>
    <hyperlink r:id="rId32" ref="L43"/>
    <hyperlink r:id="rId33" ref="L44"/>
    <hyperlink r:id="rId34" ref="L45"/>
    <hyperlink r:id="rId35" ref="L46"/>
    <hyperlink r:id="rId36" ref="L47"/>
    <hyperlink r:id="rId37" ref="L48"/>
    <hyperlink r:id="rId38" ref="L49"/>
    <hyperlink r:id="rId39" ref="L50"/>
    <hyperlink r:id="rId40" ref="L51"/>
    <hyperlink r:id="rId41" ref="L52"/>
  </hyperlinks>
  <drawing r:id="rId4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9.5"/>
    <col customWidth="1" min="3" max="3" width="15.75"/>
    <col customWidth="1" min="4" max="4" width="21.63"/>
    <col customWidth="1" min="5" max="5" width="17.13"/>
    <col customWidth="1" min="6" max="6" width="23.13"/>
    <col customWidth="1" min="8" max="8" width="19.63"/>
    <col customWidth="1" min="9" max="9" width="15.88"/>
    <col customWidth="1" min="11" max="11" width="16.0"/>
    <col customWidth="1" min="12" max="12" width="16.5"/>
    <col customWidth="1" min="13" max="13" width="17.13"/>
    <col customWidth="1" min="14" max="14" width="14.13"/>
  </cols>
  <sheetData>
    <row r="1">
      <c r="A1" s="22"/>
      <c r="B1" s="22"/>
      <c r="C1" s="22"/>
      <c r="D1" s="22"/>
      <c r="E1" s="1"/>
      <c r="F1" s="1"/>
      <c r="G1" s="22"/>
      <c r="H1" s="22"/>
      <c r="I1" s="22"/>
      <c r="J1" s="22"/>
      <c r="K1" s="22"/>
      <c r="L1" s="22"/>
      <c r="M1" s="22"/>
      <c r="N1" s="22"/>
      <c r="O1" s="22"/>
      <c r="P1" s="22"/>
    </row>
    <row r="2">
      <c r="A2" s="23" t="s">
        <v>0</v>
      </c>
      <c r="B2" s="24"/>
      <c r="C2" s="22"/>
      <c r="D2" s="4" t="s">
        <v>2</v>
      </c>
      <c r="E2" s="4" t="s">
        <v>3</v>
      </c>
      <c r="F2" s="22"/>
      <c r="G2" s="22"/>
      <c r="H2" s="22"/>
      <c r="I2" s="22"/>
      <c r="J2" s="22"/>
      <c r="K2" s="22"/>
      <c r="L2" s="22"/>
      <c r="M2" s="22"/>
      <c r="N2" s="22"/>
      <c r="O2" s="22"/>
      <c r="P2" s="22"/>
    </row>
    <row r="3">
      <c r="A3" s="23" t="s">
        <v>4</v>
      </c>
      <c r="B3" s="25"/>
      <c r="C3" s="22"/>
      <c r="D3" s="7" t="s">
        <v>6</v>
      </c>
      <c r="E3" s="26">
        <f>COUNTIF(K14:K1005, "High")</f>
        <v>0</v>
      </c>
      <c r="F3" s="22"/>
      <c r="G3" s="22"/>
      <c r="H3" s="22"/>
      <c r="I3" s="22"/>
      <c r="J3" s="22"/>
      <c r="K3" s="22"/>
      <c r="L3" s="22"/>
      <c r="M3" s="22"/>
      <c r="N3" s="22"/>
      <c r="O3" s="22"/>
      <c r="P3" s="22"/>
    </row>
    <row r="4">
      <c r="A4" s="23" t="s">
        <v>7</v>
      </c>
      <c r="B4" s="27"/>
      <c r="C4" s="22"/>
      <c r="D4" s="7" t="s">
        <v>8</v>
      </c>
      <c r="E4" s="26">
        <f>COUNTIF(K14:K1006, "Medium")</f>
        <v>0</v>
      </c>
      <c r="F4" s="22"/>
      <c r="G4" s="22"/>
      <c r="H4" s="22"/>
      <c r="I4" s="22"/>
      <c r="J4" s="22"/>
      <c r="K4" s="22"/>
      <c r="L4" s="22"/>
      <c r="M4" s="22"/>
      <c r="N4" s="22"/>
      <c r="O4" s="22"/>
      <c r="P4" s="22"/>
    </row>
    <row r="5">
      <c r="A5" s="23" t="s">
        <v>9</v>
      </c>
      <c r="B5" s="28"/>
      <c r="C5" s="22"/>
      <c r="D5" s="7" t="s">
        <v>11</v>
      </c>
      <c r="E5" s="26">
        <f>COUNTIF(K14:K1007, "Low") </f>
        <v>0</v>
      </c>
      <c r="F5" s="22"/>
      <c r="G5" s="22"/>
      <c r="H5" s="22"/>
      <c r="I5" s="22"/>
      <c r="J5" s="22"/>
      <c r="K5" s="22"/>
      <c r="L5" s="22"/>
      <c r="M5" s="22"/>
      <c r="N5" s="22"/>
      <c r="O5" s="22"/>
      <c r="P5" s="22"/>
    </row>
    <row r="6">
      <c r="A6" s="23" t="s">
        <v>12</v>
      </c>
      <c r="B6" s="28"/>
      <c r="C6" s="22"/>
      <c r="D6" s="22"/>
      <c r="E6" s="22"/>
      <c r="F6" s="22"/>
      <c r="G6" s="22"/>
      <c r="H6" s="22"/>
      <c r="I6" s="22"/>
      <c r="J6" s="22"/>
      <c r="K6" s="22"/>
      <c r="L6" s="22"/>
      <c r="M6" s="22"/>
      <c r="N6" s="22"/>
      <c r="O6" s="22"/>
      <c r="P6" s="22"/>
    </row>
    <row r="7">
      <c r="A7" s="29" t="s">
        <v>14</v>
      </c>
      <c r="B7" s="28"/>
      <c r="C7" s="22"/>
      <c r="D7" s="30" t="s">
        <v>16</v>
      </c>
      <c r="E7" s="31">
        <f>SUM(E3:E5)</f>
        <v>0</v>
      </c>
      <c r="F7" s="22"/>
      <c r="G7" s="22"/>
      <c r="H7" s="22"/>
      <c r="I7" s="22"/>
      <c r="J7" s="22"/>
      <c r="K7" s="22"/>
      <c r="L7" s="22"/>
      <c r="M7" s="22"/>
      <c r="N7" s="22"/>
      <c r="O7" s="22"/>
      <c r="P7" s="22"/>
    </row>
    <row r="8">
      <c r="A8" s="22"/>
      <c r="B8" s="22"/>
      <c r="C8" s="22"/>
      <c r="D8" s="30" t="s">
        <v>17</v>
      </c>
      <c r="E8" s="28"/>
      <c r="F8" s="22"/>
      <c r="G8" s="22"/>
      <c r="H8" s="22"/>
      <c r="I8" s="22"/>
      <c r="J8" s="22"/>
      <c r="K8" s="22"/>
      <c r="L8" s="22"/>
      <c r="M8" s="22"/>
      <c r="N8" s="22"/>
      <c r="O8" s="22"/>
      <c r="P8" s="22"/>
    </row>
    <row r="9">
      <c r="A9" s="22"/>
      <c r="B9" s="22"/>
      <c r="C9" s="22"/>
      <c r="D9" s="22"/>
      <c r="E9" s="22"/>
      <c r="F9" s="22"/>
      <c r="G9" s="22"/>
      <c r="H9" s="22"/>
      <c r="I9" s="22"/>
      <c r="J9" s="22"/>
      <c r="K9" s="22"/>
      <c r="L9" s="22"/>
      <c r="M9" s="22"/>
      <c r="N9" s="22"/>
      <c r="O9" s="22"/>
      <c r="P9" s="22"/>
    </row>
    <row r="10">
      <c r="A10" s="22"/>
      <c r="B10" s="22"/>
      <c r="C10" s="22"/>
      <c r="D10" s="22"/>
      <c r="E10" s="22"/>
      <c r="F10" s="22"/>
      <c r="G10" s="22"/>
      <c r="H10" s="22"/>
      <c r="I10" s="22"/>
      <c r="J10" s="22"/>
      <c r="K10" s="22"/>
      <c r="L10" s="22"/>
      <c r="M10" s="22"/>
      <c r="N10" s="22"/>
      <c r="O10" s="22"/>
      <c r="P10" s="22"/>
    </row>
    <row r="11">
      <c r="A11" s="22"/>
      <c r="B11" s="22"/>
      <c r="C11" s="22"/>
      <c r="D11" s="22"/>
      <c r="E11" s="22"/>
      <c r="F11" s="22"/>
      <c r="G11" s="22"/>
      <c r="H11" s="22"/>
      <c r="I11" s="22"/>
      <c r="J11" s="22"/>
      <c r="K11" s="22"/>
      <c r="L11" s="22"/>
      <c r="M11" s="22"/>
      <c r="N11" s="22"/>
      <c r="O11" s="22"/>
      <c r="P11" s="22"/>
    </row>
    <row r="12">
      <c r="A12" s="22"/>
      <c r="B12" s="22"/>
      <c r="C12" s="22"/>
      <c r="D12" s="22"/>
      <c r="E12" s="22"/>
      <c r="F12" s="22"/>
      <c r="G12" s="22"/>
      <c r="H12" s="22"/>
      <c r="I12" s="22"/>
      <c r="J12" s="22"/>
      <c r="K12" s="22"/>
      <c r="L12" s="22"/>
      <c r="M12" s="22"/>
      <c r="N12" s="22"/>
      <c r="O12" s="22"/>
      <c r="P12" s="22"/>
    </row>
    <row r="13">
      <c r="A13" s="22"/>
      <c r="B13" s="22"/>
      <c r="C13" s="22"/>
      <c r="D13" s="22"/>
      <c r="E13" s="22"/>
      <c r="F13" s="22"/>
      <c r="G13" s="22"/>
      <c r="H13" s="22"/>
      <c r="I13" s="22"/>
      <c r="J13" s="22"/>
      <c r="K13" s="22"/>
      <c r="L13" s="22"/>
      <c r="M13" s="22"/>
      <c r="N13" s="22"/>
      <c r="O13" s="22"/>
      <c r="P13" s="22"/>
    </row>
    <row r="14">
      <c r="A14" s="32" t="s">
        <v>74</v>
      </c>
      <c r="B14" s="32" t="s">
        <v>19</v>
      </c>
      <c r="C14" s="32" t="s">
        <v>20</v>
      </c>
      <c r="D14" s="32" t="s">
        <v>21</v>
      </c>
      <c r="E14" s="32" t="s">
        <v>22</v>
      </c>
      <c r="F14" s="32" t="s">
        <v>23</v>
      </c>
      <c r="G14" s="32" t="s">
        <v>24</v>
      </c>
      <c r="H14" s="32" t="s">
        <v>25</v>
      </c>
      <c r="I14" s="32" t="s">
        <v>26</v>
      </c>
      <c r="J14" s="32" t="s">
        <v>27</v>
      </c>
      <c r="K14" s="32" t="s">
        <v>2</v>
      </c>
      <c r="L14" s="32" t="s">
        <v>28</v>
      </c>
      <c r="M14" s="32" t="s">
        <v>29</v>
      </c>
      <c r="N14" s="32" t="s">
        <v>31</v>
      </c>
      <c r="O14" s="22"/>
      <c r="P14" s="22"/>
    </row>
    <row r="15">
      <c r="A15" s="33"/>
      <c r="B15" s="33"/>
      <c r="C15" s="33"/>
      <c r="D15" s="33"/>
      <c r="E15" s="33"/>
      <c r="F15" s="33"/>
      <c r="G15" s="33"/>
      <c r="H15" s="33"/>
      <c r="I15" s="33"/>
      <c r="J15" s="33"/>
      <c r="K15" s="33"/>
      <c r="L15" s="34"/>
      <c r="M15" s="33"/>
      <c r="N15" s="33"/>
      <c r="O15" s="22"/>
      <c r="P15" s="22"/>
    </row>
    <row r="16">
      <c r="A16" s="35"/>
      <c r="B16" s="35"/>
      <c r="C16" s="35"/>
      <c r="D16" s="35"/>
      <c r="E16" s="35"/>
      <c r="F16" s="35"/>
      <c r="G16" s="35"/>
      <c r="H16" s="35"/>
      <c r="I16" s="35"/>
      <c r="J16" s="35"/>
      <c r="K16" s="35"/>
      <c r="L16" s="36"/>
      <c r="M16" s="35"/>
      <c r="N16" s="37"/>
      <c r="O16" s="22"/>
      <c r="P16" s="22"/>
    </row>
    <row r="17">
      <c r="A17" s="38"/>
      <c r="B17" s="33"/>
      <c r="C17" s="33"/>
      <c r="D17" s="33"/>
      <c r="E17" s="33"/>
      <c r="F17" s="33"/>
      <c r="G17" s="33"/>
      <c r="H17" s="33"/>
      <c r="I17" s="33"/>
      <c r="J17" s="33"/>
      <c r="K17" s="33"/>
      <c r="L17" s="34"/>
      <c r="M17" s="33"/>
      <c r="N17" s="33"/>
      <c r="O17" s="22"/>
      <c r="P17" s="22"/>
    </row>
    <row r="18">
      <c r="A18" s="33"/>
      <c r="B18" s="35"/>
      <c r="C18" s="35"/>
      <c r="D18" s="35"/>
      <c r="E18" s="35"/>
      <c r="F18" s="35"/>
      <c r="G18" s="35"/>
      <c r="H18" s="35"/>
      <c r="I18" s="35"/>
      <c r="J18" s="35"/>
      <c r="K18" s="35"/>
      <c r="L18" s="36"/>
      <c r="M18" s="35"/>
      <c r="N18" s="37"/>
      <c r="O18" s="22"/>
      <c r="P18" s="22"/>
    </row>
    <row r="19">
      <c r="A19" s="35"/>
      <c r="B19" s="33"/>
      <c r="C19" s="33"/>
      <c r="D19" s="33"/>
      <c r="E19" s="33"/>
      <c r="F19" s="33"/>
      <c r="G19" s="33"/>
      <c r="H19" s="33"/>
      <c r="I19" s="33"/>
      <c r="J19" s="33"/>
      <c r="K19" s="33"/>
      <c r="L19" s="34"/>
      <c r="M19" s="33"/>
      <c r="N19" s="33"/>
      <c r="O19" s="22"/>
      <c r="P19" s="22"/>
    </row>
    <row r="20">
      <c r="A20" s="38"/>
      <c r="B20" s="35"/>
      <c r="C20" s="35"/>
      <c r="D20" s="35"/>
      <c r="E20" s="35"/>
      <c r="F20" s="35"/>
      <c r="G20" s="35"/>
      <c r="H20" s="35"/>
      <c r="I20" s="35"/>
      <c r="J20" s="35"/>
      <c r="K20" s="35"/>
      <c r="L20" s="36"/>
      <c r="M20" s="35"/>
      <c r="N20" s="37"/>
      <c r="O20" s="22"/>
      <c r="P20" s="22"/>
    </row>
    <row r="21">
      <c r="A21" s="33"/>
      <c r="B21" s="33"/>
      <c r="C21" s="33"/>
      <c r="D21" s="33"/>
      <c r="E21" s="33"/>
      <c r="F21" s="33"/>
      <c r="G21" s="33"/>
      <c r="H21" s="33"/>
      <c r="I21" s="33"/>
      <c r="J21" s="33"/>
      <c r="K21" s="33"/>
      <c r="L21" s="34"/>
      <c r="M21" s="33"/>
      <c r="N21" s="33"/>
      <c r="O21" s="22"/>
      <c r="P21" s="22"/>
    </row>
    <row r="22">
      <c r="A22" s="35"/>
      <c r="B22" s="35"/>
      <c r="C22" s="35"/>
      <c r="D22" s="35"/>
      <c r="E22" s="35"/>
      <c r="F22" s="35"/>
      <c r="G22" s="35"/>
      <c r="H22" s="35"/>
      <c r="I22" s="35"/>
      <c r="J22" s="35"/>
      <c r="K22" s="35"/>
      <c r="L22" s="36"/>
      <c r="M22" s="35"/>
      <c r="N22" s="37"/>
      <c r="O22" s="22"/>
      <c r="P22" s="22"/>
    </row>
    <row r="23">
      <c r="A23" s="38"/>
      <c r="B23" s="33"/>
      <c r="C23" s="33"/>
      <c r="D23" s="33"/>
      <c r="E23" s="33"/>
      <c r="F23" s="33"/>
      <c r="G23" s="33"/>
      <c r="H23" s="33"/>
      <c r="I23" s="33"/>
      <c r="J23" s="33"/>
      <c r="K23" s="33"/>
      <c r="L23" s="34"/>
      <c r="M23" s="33"/>
      <c r="N23" s="33"/>
      <c r="O23" s="22"/>
      <c r="P23" s="22"/>
    </row>
    <row r="24">
      <c r="A24" s="33"/>
      <c r="B24" s="35"/>
      <c r="C24" s="35"/>
      <c r="D24" s="35"/>
      <c r="E24" s="35"/>
      <c r="F24" s="35"/>
      <c r="G24" s="35"/>
      <c r="H24" s="35"/>
      <c r="I24" s="35"/>
      <c r="J24" s="35"/>
      <c r="K24" s="35"/>
      <c r="L24" s="36"/>
      <c r="M24" s="35"/>
      <c r="N24" s="37"/>
      <c r="O24" s="22"/>
      <c r="P24" s="22"/>
    </row>
    <row r="25">
      <c r="A25" s="35"/>
      <c r="B25" s="33"/>
      <c r="C25" s="33"/>
      <c r="D25" s="33"/>
      <c r="E25" s="33"/>
      <c r="F25" s="33"/>
      <c r="G25" s="33"/>
      <c r="H25" s="33"/>
      <c r="I25" s="33"/>
      <c r="J25" s="33"/>
      <c r="K25" s="33"/>
      <c r="L25" s="34"/>
      <c r="M25" s="33"/>
      <c r="N25" s="33"/>
      <c r="O25" s="22"/>
      <c r="P25" s="22"/>
    </row>
    <row r="26">
      <c r="A26" s="38"/>
      <c r="B26" s="35"/>
      <c r="C26" s="35"/>
      <c r="D26" s="35"/>
      <c r="E26" s="35"/>
      <c r="F26" s="35"/>
      <c r="G26" s="35"/>
      <c r="H26" s="35"/>
      <c r="I26" s="35"/>
      <c r="J26" s="35"/>
      <c r="K26" s="35"/>
      <c r="L26" s="36"/>
      <c r="M26" s="35"/>
      <c r="N26" s="37"/>
      <c r="O26" s="22"/>
      <c r="P26" s="22"/>
    </row>
    <row r="27">
      <c r="A27" s="33"/>
      <c r="B27" s="33"/>
      <c r="C27" s="33"/>
      <c r="D27" s="33"/>
      <c r="E27" s="33"/>
      <c r="F27" s="33"/>
      <c r="G27" s="33"/>
      <c r="H27" s="33"/>
      <c r="I27" s="33"/>
      <c r="J27" s="33"/>
      <c r="K27" s="33"/>
      <c r="L27" s="34"/>
      <c r="M27" s="33"/>
      <c r="N27" s="33"/>
      <c r="O27" s="22"/>
      <c r="P27" s="22"/>
    </row>
    <row r="28">
      <c r="A28" s="35"/>
      <c r="B28" s="35"/>
      <c r="C28" s="35"/>
      <c r="D28" s="35"/>
      <c r="E28" s="35"/>
      <c r="F28" s="35"/>
      <c r="G28" s="35"/>
      <c r="H28" s="35"/>
      <c r="I28" s="35"/>
      <c r="J28" s="35"/>
      <c r="K28" s="35"/>
      <c r="L28" s="36"/>
      <c r="M28" s="35"/>
      <c r="N28" s="37"/>
      <c r="O28" s="22"/>
      <c r="P28" s="22"/>
    </row>
    <row r="29">
      <c r="A29" s="38"/>
      <c r="B29" s="33"/>
      <c r="C29" s="33"/>
      <c r="D29" s="33"/>
      <c r="E29" s="33"/>
      <c r="F29" s="33"/>
      <c r="G29" s="33"/>
      <c r="H29" s="33"/>
      <c r="I29" s="33"/>
      <c r="J29" s="33"/>
      <c r="K29" s="33"/>
      <c r="L29" s="34"/>
      <c r="M29" s="33"/>
      <c r="N29" s="33"/>
      <c r="O29" s="22"/>
      <c r="P29" s="22"/>
    </row>
    <row r="30">
      <c r="A30" s="33"/>
      <c r="B30" s="35"/>
      <c r="C30" s="35"/>
      <c r="D30" s="35"/>
      <c r="E30" s="35"/>
      <c r="F30" s="35"/>
      <c r="G30" s="35"/>
      <c r="H30" s="35"/>
      <c r="I30" s="35"/>
      <c r="J30" s="35"/>
      <c r="K30" s="35"/>
      <c r="L30" s="36"/>
      <c r="M30" s="35"/>
      <c r="N30" s="37"/>
      <c r="O30" s="22"/>
      <c r="P30" s="22"/>
    </row>
    <row r="31">
      <c r="A31" s="35"/>
      <c r="B31" s="33"/>
      <c r="C31" s="33"/>
      <c r="D31" s="33"/>
      <c r="E31" s="33"/>
      <c r="F31" s="33"/>
      <c r="G31" s="33"/>
      <c r="H31" s="33"/>
      <c r="I31" s="33"/>
      <c r="J31" s="33"/>
      <c r="K31" s="33"/>
      <c r="L31" s="34"/>
      <c r="M31" s="33"/>
      <c r="N31" s="33"/>
      <c r="O31" s="22"/>
      <c r="P31" s="22"/>
    </row>
    <row r="32">
      <c r="A32" s="38"/>
      <c r="B32" s="35"/>
      <c r="C32" s="35"/>
      <c r="D32" s="35"/>
      <c r="E32" s="35"/>
      <c r="F32" s="35"/>
      <c r="G32" s="35"/>
      <c r="H32" s="35"/>
      <c r="I32" s="35"/>
      <c r="J32" s="35"/>
      <c r="K32" s="35"/>
      <c r="L32" s="36"/>
      <c r="M32" s="35"/>
      <c r="N32" s="37"/>
      <c r="O32" s="22"/>
      <c r="P32" s="22"/>
    </row>
    <row r="33">
      <c r="A33" s="33"/>
      <c r="B33" s="33"/>
      <c r="C33" s="33"/>
      <c r="D33" s="33"/>
      <c r="E33" s="33"/>
      <c r="F33" s="33"/>
      <c r="G33" s="33"/>
      <c r="H33" s="33"/>
      <c r="I33" s="33"/>
      <c r="J33" s="33"/>
      <c r="K33" s="33"/>
      <c r="L33" s="34"/>
      <c r="M33" s="33"/>
      <c r="N33" s="33"/>
      <c r="O33" s="22"/>
      <c r="P33" s="22"/>
    </row>
    <row r="34">
      <c r="A34" s="35"/>
      <c r="B34" s="35"/>
      <c r="C34" s="35"/>
      <c r="D34" s="35"/>
      <c r="E34" s="35"/>
      <c r="F34" s="35"/>
      <c r="G34" s="35"/>
      <c r="H34" s="35"/>
      <c r="I34" s="35"/>
      <c r="J34" s="35"/>
      <c r="K34" s="35"/>
      <c r="L34" s="36"/>
      <c r="M34" s="35"/>
      <c r="N34" s="37"/>
      <c r="O34" s="22"/>
      <c r="P34" s="22"/>
    </row>
    <row r="35">
      <c r="A35" s="38"/>
      <c r="B35" s="33"/>
      <c r="C35" s="33"/>
      <c r="D35" s="33"/>
      <c r="E35" s="33"/>
      <c r="F35" s="33"/>
      <c r="G35" s="33"/>
      <c r="H35" s="33"/>
      <c r="I35" s="33"/>
      <c r="J35" s="33"/>
      <c r="K35" s="33"/>
      <c r="L35" s="34"/>
      <c r="M35" s="33"/>
      <c r="N35" s="33"/>
      <c r="O35" s="22"/>
      <c r="P35" s="22"/>
    </row>
    <row r="36">
      <c r="A36" s="33"/>
      <c r="B36" s="35"/>
      <c r="C36" s="35"/>
      <c r="D36" s="35"/>
      <c r="E36" s="35"/>
      <c r="F36" s="35"/>
      <c r="G36" s="35"/>
      <c r="H36" s="35"/>
      <c r="I36" s="35"/>
      <c r="J36" s="35"/>
      <c r="K36" s="35"/>
      <c r="L36" s="36"/>
      <c r="M36" s="35"/>
      <c r="N36" s="37"/>
      <c r="O36" s="22"/>
      <c r="P36" s="22"/>
    </row>
    <row r="37">
      <c r="A37" s="35"/>
      <c r="B37" s="33"/>
      <c r="C37" s="33"/>
      <c r="D37" s="33"/>
      <c r="E37" s="33"/>
      <c r="F37" s="33"/>
      <c r="G37" s="33"/>
      <c r="H37" s="33"/>
      <c r="I37" s="33"/>
      <c r="J37" s="33"/>
      <c r="K37" s="33"/>
      <c r="L37" s="34"/>
      <c r="M37" s="33"/>
      <c r="N37" s="33"/>
      <c r="O37" s="22"/>
      <c r="P37" s="22"/>
    </row>
    <row r="38">
      <c r="A38" s="38"/>
      <c r="B38" s="35"/>
      <c r="C38" s="35"/>
      <c r="D38" s="35"/>
      <c r="E38" s="35"/>
      <c r="F38" s="35"/>
      <c r="G38" s="35"/>
      <c r="H38" s="35"/>
      <c r="I38" s="35"/>
      <c r="J38" s="35"/>
      <c r="K38" s="35"/>
      <c r="L38" s="36"/>
      <c r="M38" s="35"/>
      <c r="N38" s="37"/>
      <c r="O38" s="22"/>
      <c r="P38" s="22"/>
    </row>
    <row r="39">
      <c r="A39" s="33"/>
      <c r="B39" s="33"/>
      <c r="C39" s="33"/>
      <c r="D39" s="33"/>
      <c r="E39" s="33"/>
      <c r="F39" s="33"/>
      <c r="G39" s="33"/>
      <c r="H39" s="33"/>
      <c r="I39" s="33"/>
      <c r="J39" s="33"/>
      <c r="K39" s="33"/>
      <c r="L39" s="34"/>
      <c r="M39" s="33"/>
      <c r="N39" s="33"/>
      <c r="O39" s="22"/>
      <c r="P39" s="22"/>
    </row>
    <row r="40">
      <c r="A40" s="35"/>
      <c r="B40" s="35"/>
      <c r="C40" s="35"/>
      <c r="D40" s="35"/>
      <c r="E40" s="35"/>
      <c r="F40" s="35"/>
      <c r="G40" s="35"/>
      <c r="H40" s="35"/>
      <c r="I40" s="35"/>
      <c r="J40" s="35"/>
      <c r="K40" s="35"/>
      <c r="L40" s="36"/>
      <c r="M40" s="35"/>
      <c r="N40" s="37"/>
      <c r="O40" s="22"/>
      <c r="P40" s="22"/>
    </row>
    <row r="41">
      <c r="A41" s="38"/>
      <c r="B41" s="33"/>
      <c r="C41" s="33"/>
      <c r="D41" s="33"/>
      <c r="E41" s="33"/>
      <c r="F41" s="33"/>
      <c r="G41" s="33"/>
      <c r="H41" s="33"/>
      <c r="I41" s="33"/>
      <c r="J41" s="33"/>
      <c r="K41" s="33"/>
      <c r="L41" s="34"/>
      <c r="M41" s="33"/>
      <c r="N41" s="33"/>
      <c r="O41" s="22"/>
      <c r="P41" s="22"/>
    </row>
    <row r="42">
      <c r="A42" s="33"/>
      <c r="B42" s="35"/>
      <c r="C42" s="35"/>
      <c r="D42" s="35"/>
      <c r="E42" s="35"/>
      <c r="F42" s="35"/>
      <c r="G42" s="35"/>
      <c r="H42" s="35"/>
      <c r="I42" s="35"/>
      <c r="J42" s="35"/>
      <c r="K42" s="35"/>
      <c r="L42" s="36"/>
      <c r="M42" s="35"/>
      <c r="N42" s="37"/>
      <c r="O42" s="22"/>
      <c r="P42" s="22"/>
    </row>
    <row r="43">
      <c r="A43" s="35"/>
      <c r="B43" s="33"/>
      <c r="C43" s="33"/>
      <c r="D43" s="33"/>
      <c r="E43" s="33"/>
      <c r="F43" s="33"/>
      <c r="G43" s="33"/>
      <c r="H43" s="33"/>
      <c r="I43" s="33"/>
      <c r="J43" s="33"/>
      <c r="K43" s="33"/>
      <c r="L43" s="34"/>
      <c r="M43" s="33"/>
      <c r="N43" s="33"/>
      <c r="O43" s="22"/>
      <c r="P43" s="22"/>
    </row>
    <row r="44">
      <c r="A44" s="38"/>
      <c r="B44" s="35"/>
      <c r="C44" s="35"/>
      <c r="D44" s="35"/>
      <c r="E44" s="35"/>
      <c r="F44" s="35"/>
      <c r="G44" s="35"/>
      <c r="H44" s="35"/>
      <c r="I44" s="35"/>
      <c r="J44" s="35"/>
      <c r="K44" s="35"/>
      <c r="L44" s="36"/>
      <c r="M44" s="35"/>
      <c r="N44" s="37"/>
      <c r="O44" s="22"/>
      <c r="P44" s="22"/>
    </row>
    <row r="45">
      <c r="A45" s="33"/>
      <c r="B45" s="33"/>
      <c r="C45" s="33"/>
      <c r="D45" s="33"/>
      <c r="E45" s="33"/>
      <c r="F45" s="33"/>
      <c r="G45" s="33"/>
      <c r="H45" s="33"/>
      <c r="I45" s="33"/>
      <c r="J45" s="33"/>
      <c r="K45" s="33"/>
      <c r="L45" s="34"/>
      <c r="M45" s="33"/>
      <c r="N45" s="33"/>
      <c r="O45" s="22"/>
      <c r="P45" s="22"/>
    </row>
    <row r="46">
      <c r="A46" s="35"/>
      <c r="B46" s="35"/>
      <c r="C46" s="35"/>
      <c r="D46" s="35"/>
      <c r="E46" s="35"/>
      <c r="F46" s="35"/>
      <c r="G46" s="35"/>
      <c r="H46" s="35"/>
      <c r="I46" s="35"/>
      <c r="J46" s="35"/>
      <c r="K46" s="35"/>
      <c r="L46" s="36"/>
      <c r="M46" s="35"/>
      <c r="N46" s="37"/>
      <c r="O46" s="22"/>
      <c r="P46" s="22"/>
    </row>
    <row r="47">
      <c r="A47" s="38"/>
      <c r="B47" s="33"/>
      <c r="C47" s="33"/>
      <c r="D47" s="33"/>
      <c r="E47" s="33"/>
      <c r="F47" s="33"/>
      <c r="G47" s="33"/>
      <c r="H47" s="33"/>
      <c r="I47" s="33"/>
      <c r="J47" s="33"/>
      <c r="K47" s="33"/>
      <c r="L47" s="34"/>
      <c r="M47" s="33"/>
      <c r="N47" s="33"/>
      <c r="O47" s="22"/>
      <c r="P47" s="22"/>
    </row>
    <row r="48">
      <c r="A48" s="33"/>
      <c r="B48" s="35"/>
      <c r="C48" s="35"/>
      <c r="D48" s="35"/>
      <c r="E48" s="35"/>
      <c r="F48" s="35"/>
      <c r="G48" s="35"/>
      <c r="H48" s="35"/>
      <c r="I48" s="35"/>
      <c r="J48" s="35"/>
      <c r="K48" s="35"/>
      <c r="L48" s="36"/>
      <c r="M48" s="35"/>
      <c r="N48" s="37"/>
      <c r="O48" s="22"/>
      <c r="P48" s="22"/>
    </row>
    <row r="49">
      <c r="A49" s="35"/>
      <c r="B49" s="33"/>
      <c r="C49" s="33"/>
      <c r="D49" s="33"/>
      <c r="E49" s="33"/>
      <c r="F49" s="33"/>
      <c r="G49" s="33"/>
      <c r="H49" s="33"/>
      <c r="I49" s="33"/>
      <c r="J49" s="33"/>
      <c r="K49" s="33"/>
      <c r="L49" s="34"/>
      <c r="M49" s="33"/>
      <c r="N49" s="33"/>
      <c r="O49" s="22"/>
      <c r="P49" s="22"/>
    </row>
    <row r="50">
      <c r="A50" s="38"/>
      <c r="B50" s="35"/>
      <c r="C50" s="35"/>
      <c r="D50" s="35"/>
      <c r="E50" s="35"/>
      <c r="F50" s="35"/>
      <c r="G50" s="35"/>
      <c r="H50" s="35"/>
      <c r="I50" s="35"/>
      <c r="J50" s="35"/>
      <c r="K50" s="35"/>
      <c r="L50" s="36"/>
      <c r="M50" s="35"/>
      <c r="N50" s="37"/>
      <c r="O50" s="22"/>
      <c r="P50" s="22"/>
    </row>
    <row r="51">
      <c r="A51" s="33"/>
      <c r="B51" s="33"/>
      <c r="C51" s="33"/>
      <c r="D51" s="33"/>
      <c r="E51" s="33"/>
      <c r="F51" s="33"/>
      <c r="G51" s="33"/>
      <c r="H51" s="33"/>
      <c r="I51" s="33"/>
      <c r="J51" s="33"/>
      <c r="K51" s="33"/>
      <c r="L51" s="34"/>
      <c r="M51" s="33"/>
      <c r="N51" s="33"/>
      <c r="O51" s="22"/>
      <c r="P51" s="22"/>
    </row>
    <row r="52">
      <c r="A52" s="35"/>
      <c r="B52" s="35"/>
      <c r="C52" s="35"/>
      <c r="D52" s="35"/>
      <c r="E52" s="35"/>
      <c r="F52" s="35"/>
      <c r="G52" s="35"/>
      <c r="H52" s="35"/>
      <c r="I52" s="35"/>
      <c r="J52" s="35"/>
      <c r="K52" s="35"/>
      <c r="L52" s="36"/>
      <c r="M52" s="35"/>
      <c r="N52" s="37"/>
      <c r="O52" s="22"/>
      <c r="P52" s="22"/>
    </row>
    <row r="53">
      <c r="A53" s="38"/>
      <c r="B53" s="33"/>
      <c r="C53" s="33"/>
      <c r="D53" s="33"/>
      <c r="E53" s="33"/>
      <c r="F53" s="33"/>
      <c r="G53" s="33"/>
      <c r="H53" s="33"/>
      <c r="I53" s="33"/>
      <c r="J53" s="33"/>
      <c r="K53" s="33"/>
      <c r="L53" s="34"/>
      <c r="M53" s="33"/>
      <c r="N53" s="33"/>
      <c r="O53" s="22"/>
      <c r="P53" s="22"/>
    </row>
    <row r="54">
      <c r="A54" s="33"/>
      <c r="B54" s="35"/>
      <c r="C54" s="35"/>
      <c r="D54" s="35"/>
      <c r="E54" s="35"/>
      <c r="F54" s="35"/>
      <c r="G54" s="35"/>
      <c r="H54" s="35"/>
      <c r="I54" s="35"/>
      <c r="J54" s="35"/>
      <c r="K54" s="35"/>
      <c r="L54" s="36"/>
      <c r="M54" s="35"/>
      <c r="N54" s="37"/>
      <c r="O54" s="22"/>
      <c r="P54" s="22"/>
    </row>
    <row r="55">
      <c r="A55" s="35"/>
      <c r="B55" s="33"/>
      <c r="C55" s="33"/>
      <c r="D55" s="33"/>
      <c r="E55" s="33"/>
      <c r="F55" s="33"/>
      <c r="G55" s="33"/>
      <c r="H55" s="33"/>
      <c r="I55" s="33"/>
      <c r="J55" s="33"/>
      <c r="K55" s="33"/>
      <c r="L55" s="34"/>
      <c r="M55" s="33"/>
      <c r="N55" s="33"/>
      <c r="O55" s="22"/>
      <c r="P55" s="22"/>
    </row>
    <row r="56">
      <c r="A56" s="38"/>
      <c r="B56" s="35"/>
      <c r="C56" s="35"/>
      <c r="D56" s="35"/>
      <c r="E56" s="35"/>
      <c r="F56" s="35"/>
      <c r="G56" s="35"/>
      <c r="H56" s="35"/>
      <c r="I56" s="35"/>
      <c r="J56" s="35"/>
      <c r="K56" s="35"/>
      <c r="L56" s="36"/>
      <c r="M56" s="35"/>
      <c r="N56" s="37"/>
      <c r="O56" s="22"/>
      <c r="P56" s="22"/>
    </row>
    <row r="57">
      <c r="A57" s="33"/>
      <c r="B57" s="33"/>
      <c r="C57" s="33"/>
      <c r="D57" s="33"/>
      <c r="E57" s="33"/>
      <c r="F57" s="33"/>
      <c r="G57" s="33"/>
      <c r="H57" s="33"/>
      <c r="I57" s="33"/>
      <c r="J57" s="33"/>
      <c r="K57" s="33"/>
      <c r="L57" s="34"/>
      <c r="M57" s="33"/>
      <c r="N57" s="33"/>
      <c r="O57" s="22"/>
      <c r="P57" s="22"/>
    </row>
    <row r="58">
      <c r="A58" s="35"/>
      <c r="B58" s="35"/>
      <c r="C58" s="35"/>
      <c r="D58" s="35"/>
      <c r="E58" s="35"/>
      <c r="F58" s="35"/>
      <c r="G58" s="35"/>
      <c r="H58" s="35"/>
      <c r="I58" s="35"/>
      <c r="J58" s="35"/>
      <c r="K58" s="35"/>
      <c r="L58" s="36"/>
      <c r="M58" s="35"/>
      <c r="N58" s="37"/>
      <c r="O58" s="22"/>
      <c r="P58" s="22"/>
    </row>
    <row r="59">
      <c r="A59" s="38"/>
      <c r="B59" s="33"/>
      <c r="C59" s="33"/>
      <c r="D59" s="33"/>
      <c r="E59" s="33"/>
      <c r="F59" s="33"/>
      <c r="G59" s="33"/>
      <c r="H59" s="33"/>
      <c r="I59" s="33"/>
      <c r="J59" s="33"/>
      <c r="K59" s="33"/>
      <c r="L59" s="34"/>
      <c r="M59" s="33"/>
      <c r="N59" s="33"/>
      <c r="O59" s="22"/>
      <c r="P59" s="22"/>
    </row>
    <row r="60">
      <c r="A60" s="33"/>
      <c r="B60" s="35"/>
      <c r="C60" s="35"/>
      <c r="D60" s="35"/>
      <c r="E60" s="35"/>
      <c r="F60" s="35"/>
      <c r="G60" s="35"/>
      <c r="H60" s="35"/>
      <c r="I60" s="35"/>
      <c r="J60" s="35"/>
      <c r="K60" s="35"/>
      <c r="L60" s="36"/>
      <c r="M60" s="35"/>
      <c r="N60" s="37"/>
      <c r="O60" s="22"/>
      <c r="P60" s="22"/>
    </row>
    <row r="61">
      <c r="A61" s="35"/>
      <c r="B61" s="33"/>
      <c r="C61" s="33"/>
      <c r="D61" s="33"/>
      <c r="E61" s="33"/>
      <c r="F61" s="33"/>
      <c r="G61" s="33"/>
      <c r="H61" s="33"/>
      <c r="I61" s="33"/>
      <c r="J61" s="33"/>
      <c r="K61" s="33"/>
      <c r="L61" s="34"/>
      <c r="M61" s="33"/>
      <c r="N61" s="33"/>
      <c r="O61" s="22"/>
      <c r="P61" s="22"/>
    </row>
    <row r="62">
      <c r="A62" s="38"/>
      <c r="B62" s="35"/>
      <c r="C62" s="35"/>
      <c r="D62" s="35"/>
      <c r="E62" s="35"/>
      <c r="F62" s="35"/>
      <c r="G62" s="35"/>
      <c r="H62" s="35"/>
      <c r="I62" s="35"/>
      <c r="J62" s="35"/>
      <c r="K62" s="35"/>
      <c r="L62" s="36"/>
      <c r="M62" s="35"/>
      <c r="N62" s="37"/>
      <c r="O62" s="22"/>
      <c r="P62" s="22"/>
    </row>
    <row r="63">
      <c r="A63" s="33"/>
      <c r="B63" s="33"/>
      <c r="C63" s="33"/>
      <c r="D63" s="33"/>
      <c r="E63" s="33"/>
      <c r="F63" s="33"/>
      <c r="G63" s="33"/>
      <c r="H63" s="33"/>
      <c r="I63" s="33"/>
      <c r="J63" s="33"/>
      <c r="K63" s="33"/>
      <c r="L63" s="34"/>
      <c r="M63" s="33"/>
      <c r="N63" s="33"/>
      <c r="O63" s="22"/>
      <c r="P63" s="22"/>
    </row>
    <row r="64">
      <c r="A64" s="35"/>
      <c r="B64" s="35"/>
      <c r="C64" s="35"/>
      <c r="D64" s="35"/>
      <c r="E64" s="35"/>
      <c r="F64" s="35"/>
      <c r="G64" s="35"/>
      <c r="H64" s="35"/>
      <c r="I64" s="35"/>
      <c r="J64" s="35"/>
      <c r="K64" s="35"/>
      <c r="L64" s="36"/>
      <c r="M64" s="35"/>
      <c r="N64" s="37"/>
      <c r="O64" s="22"/>
      <c r="P64" s="22"/>
    </row>
    <row r="65">
      <c r="A65" s="38"/>
      <c r="B65" s="33"/>
      <c r="C65" s="33"/>
      <c r="D65" s="33"/>
      <c r="E65" s="33"/>
      <c r="F65" s="33"/>
      <c r="G65" s="33"/>
      <c r="H65" s="33"/>
      <c r="I65" s="33"/>
      <c r="J65" s="33"/>
      <c r="K65" s="33"/>
      <c r="L65" s="34"/>
      <c r="M65" s="33"/>
      <c r="N65" s="33"/>
      <c r="O65" s="22"/>
      <c r="P65" s="22"/>
    </row>
    <row r="66">
      <c r="A66" s="33"/>
      <c r="B66" s="35"/>
      <c r="C66" s="35"/>
      <c r="D66" s="35"/>
      <c r="E66" s="35"/>
      <c r="F66" s="35"/>
      <c r="G66" s="35"/>
      <c r="H66" s="35"/>
      <c r="I66" s="35"/>
      <c r="J66" s="35"/>
      <c r="K66" s="35"/>
      <c r="L66" s="36"/>
      <c r="M66" s="35"/>
      <c r="N66" s="37"/>
      <c r="O66" s="22"/>
      <c r="P66" s="22"/>
    </row>
    <row r="67">
      <c r="A67" s="35"/>
      <c r="B67" s="33"/>
      <c r="C67" s="33"/>
      <c r="D67" s="33"/>
      <c r="E67" s="33"/>
      <c r="F67" s="33"/>
      <c r="G67" s="33"/>
      <c r="H67" s="33"/>
      <c r="I67" s="33"/>
      <c r="J67" s="33"/>
      <c r="K67" s="33"/>
      <c r="L67" s="34"/>
      <c r="M67" s="33"/>
      <c r="N67" s="33"/>
      <c r="O67" s="22"/>
      <c r="P67" s="22"/>
    </row>
    <row r="68">
      <c r="A68" s="38"/>
      <c r="B68" s="35"/>
      <c r="C68" s="35"/>
      <c r="D68" s="35"/>
      <c r="E68" s="35"/>
      <c r="F68" s="35"/>
      <c r="G68" s="35"/>
      <c r="H68" s="35"/>
      <c r="I68" s="35"/>
      <c r="J68" s="35"/>
      <c r="K68" s="35"/>
      <c r="L68" s="36"/>
      <c r="M68" s="35"/>
      <c r="N68" s="37"/>
      <c r="O68" s="22"/>
      <c r="P68" s="22"/>
    </row>
    <row r="69">
      <c r="A69" s="33"/>
      <c r="B69" s="33"/>
      <c r="C69" s="33"/>
      <c r="D69" s="33"/>
      <c r="E69" s="33"/>
      <c r="F69" s="33"/>
      <c r="G69" s="33"/>
      <c r="H69" s="33"/>
      <c r="I69" s="33"/>
      <c r="J69" s="33"/>
      <c r="K69" s="33"/>
      <c r="L69" s="34"/>
      <c r="M69" s="33"/>
      <c r="N69" s="33"/>
      <c r="O69" s="22"/>
      <c r="P69" s="22"/>
    </row>
    <row r="70">
      <c r="A70" s="35"/>
      <c r="B70" s="35"/>
      <c r="C70" s="35"/>
      <c r="D70" s="35"/>
      <c r="E70" s="35"/>
      <c r="F70" s="35"/>
      <c r="G70" s="35"/>
      <c r="H70" s="35"/>
      <c r="I70" s="35"/>
      <c r="J70" s="35"/>
      <c r="K70" s="35"/>
      <c r="L70" s="36"/>
      <c r="M70" s="35"/>
      <c r="N70" s="37"/>
      <c r="O70" s="22"/>
      <c r="P70" s="22"/>
    </row>
    <row r="71">
      <c r="A71" s="38"/>
      <c r="B71" s="33"/>
      <c r="C71" s="33"/>
      <c r="D71" s="33"/>
      <c r="E71" s="33"/>
      <c r="F71" s="33"/>
      <c r="G71" s="33"/>
      <c r="H71" s="33"/>
      <c r="I71" s="33"/>
      <c r="J71" s="33"/>
      <c r="K71" s="33"/>
      <c r="L71" s="34"/>
      <c r="M71" s="33"/>
      <c r="N71" s="33"/>
      <c r="O71" s="22"/>
      <c r="P71" s="22"/>
    </row>
    <row r="72">
      <c r="A72" s="33"/>
      <c r="B72" s="35"/>
      <c r="C72" s="35"/>
      <c r="D72" s="35"/>
      <c r="E72" s="35"/>
      <c r="F72" s="35"/>
      <c r="G72" s="35"/>
      <c r="H72" s="35"/>
      <c r="I72" s="35"/>
      <c r="J72" s="35"/>
      <c r="K72" s="35"/>
      <c r="L72" s="36"/>
      <c r="M72" s="35"/>
      <c r="N72" s="37"/>
      <c r="O72" s="22"/>
      <c r="P72" s="22"/>
    </row>
    <row r="73">
      <c r="A73" s="35"/>
      <c r="B73" s="33"/>
      <c r="C73" s="33"/>
      <c r="D73" s="33"/>
      <c r="E73" s="33"/>
      <c r="F73" s="33"/>
      <c r="G73" s="33"/>
      <c r="H73" s="33"/>
      <c r="I73" s="33"/>
      <c r="J73" s="33"/>
      <c r="K73" s="33"/>
      <c r="L73" s="34"/>
      <c r="M73" s="33"/>
      <c r="N73" s="33"/>
      <c r="O73" s="22"/>
      <c r="P73" s="22"/>
    </row>
    <row r="74">
      <c r="A74" s="38"/>
      <c r="B74" s="35"/>
      <c r="C74" s="35"/>
      <c r="D74" s="35"/>
      <c r="E74" s="35"/>
      <c r="F74" s="35"/>
      <c r="G74" s="35"/>
      <c r="H74" s="35"/>
      <c r="I74" s="35"/>
      <c r="J74" s="35"/>
      <c r="K74" s="35"/>
      <c r="L74" s="36"/>
      <c r="M74" s="35"/>
      <c r="N74" s="37"/>
      <c r="O74" s="22"/>
      <c r="P74" s="22"/>
    </row>
    <row r="75">
      <c r="A75" s="33"/>
      <c r="B75" s="33"/>
      <c r="C75" s="33"/>
      <c r="D75" s="33"/>
      <c r="E75" s="33"/>
      <c r="F75" s="33"/>
      <c r="G75" s="33"/>
      <c r="H75" s="33"/>
      <c r="I75" s="33"/>
      <c r="J75" s="33"/>
      <c r="K75" s="33"/>
      <c r="L75" s="34"/>
      <c r="M75" s="33"/>
      <c r="N75" s="33"/>
      <c r="O75" s="22"/>
      <c r="P75" s="22"/>
    </row>
    <row r="76">
      <c r="A76" s="35"/>
      <c r="B76" s="35"/>
      <c r="C76" s="35"/>
      <c r="D76" s="35"/>
      <c r="E76" s="35"/>
      <c r="F76" s="35"/>
      <c r="G76" s="35"/>
      <c r="H76" s="35"/>
      <c r="I76" s="35"/>
      <c r="J76" s="35"/>
      <c r="K76" s="35"/>
      <c r="L76" s="36"/>
      <c r="M76" s="35"/>
      <c r="N76" s="37"/>
      <c r="O76" s="22"/>
      <c r="P76" s="22"/>
    </row>
    <row r="77">
      <c r="A77" s="38"/>
      <c r="B77" s="33"/>
      <c r="C77" s="33"/>
      <c r="D77" s="33"/>
      <c r="E77" s="33"/>
      <c r="F77" s="33"/>
      <c r="G77" s="33"/>
      <c r="H77" s="33"/>
      <c r="I77" s="33"/>
      <c r="J77" s="33"/>
      <c r="K77" s="33"/>
      <c r="L77" s="34"/>
      <c r="M77" s="33"/>
      <c r="N77" s="33"/>
      <c r="O77" s="22"/>
      <c r="P77" s="22"/>
    </row>
    <row r="78">
      <c r="A78" s="33"/>
      <c r="B78" s="35"/>
      <c r="C78" s="35"/>
      <c r="D78" s="35"/>
      <c r="E78" s="35"/>
      <c r="F78" s="35"/>
      <c r="G78" s="35"/>
      <c r="H78" s="35"/>
      <c r="I78" s="35"/>
      <c r="J78" s="35"/>
      <c r="K78" s="35"/>
      <c r="L78" s="36"/>
      <c r="M78" s="35"/>
      <c r="N78" s="37"/>
      <c r="O78" s="22"/>
      <c r="P78" s="22"/>
    </row>
    <row r="79">
      <c r="A79" s="35"/>
      <c r="B79" s="33"/>
      <c r="C79" s="33"/>
      <c r="D79" s="33"/>
      <c r="E79" s="33"/>
      <c r="F79" s="33"/>
      <c r="G79" s="33"/>
      <c r="H79" s="33"/>
      <c r="I79" s="33"/>
      <c r="J79" s="33"/>
      <c r="K79" s="33"/>
      <c r="L79" s="34"/>
      <c r="M79" s="33"/>
      <c r="N79" s="33"/>
      <c r="O79" s="22"/>
      <c r="P79" s="22"/>
    </row>
    <row r="80">
      <c r="A80" s="38"/>
      <c r="B80" s="35"/>
      <c r="C80" s="35"/>
      <c r="D80" s="35"/>
      <c r="E80" s="35"/>
      <c r="F80" s="35"/>
      <c r="G80" s="35"/>
      <c r="H80" s="35"/>
      <c r="I80" s="35"/>
      <c r="J80" s="35"/>
      <c r="K80" s="35"/>
      <c r="L80" s="36"/>
      <c r="M80" s="35"/>
      <c r="N80" s="37"/>
      <c r="O80" s="22"/>
      <c r="P80" s="22"/>
    </row>
    <row r="81">
      <c r="A81" s="33"/>
      <c r="B81" s="33"/>
      <c r="C81" s="33"/>
      <c r="D81" s="33"/>
      <c r="E81" s="33"/>
      <c r="F81" s="33"/>
      <c r="G81" s="33"/>
      <c r="H81" s="33"/>
      <c r="I81" s="33"/>
      <c r="J81" s="33"/>
      <c r="K81" s="33"/>
      <c r="L81" s="34"/>
      <c r="M81" s="33"/>
      <c r="N81" s="33"/>
      <c r="O81" s="22"/>
      <c r="P81" s="22"/>
    </row>
    <row r="82">
      <c r="A82" s="35"/>
      <c r="B82" s="35"/>
      <c r="C82" s="35"/>
      <c r="D82" s="35"/>
      <c r="E82" s="35"/>
      <c r="F82" s="35"/>
      <c r="G82" s="35"/>
      <c r="H82" s="35"/>
      <c r="I82" s="35"/>
      <c r="J82" s="35"/>
      <c r="K82" s="35"/>
      <c r="L82" s="36"/>
      <c r="M82" s="35"/>
      <c r="N82" s="37"/>
      <c r="O82" s="22"/>
      <c r="P82" s="22"/>
    </row>
    <row r="83">
      <c r="A83" s="38"/>
      <c r="B83" s="33"/>
      <c r="C83" s="33"/>
      <c r="D83" s="33"/>
      <c r="E83" s="33"/>
      <c r="F83" s="33"/>
      <c r="G83" s="33"/>
      <c r="H83" s="33"/>
      <c r="I83" s="33"/>
      <c r="J83" s="33"/>
      <c r="K83" s="33"/>
      <c r="L83" s="34"/>
      <c r="M83" s="33"/>
      <c r="N83" s="33"/>
      <c r="O83" s="22"/>
      <c r="P83" s="22"/>
    </row>
    <row r="84">
      <c r="A84" s="33"/>
      <c r="B84" s="35"/>
      <c r="C84" s="35"/>
      <c r="D84" s="35"/>
      <c r="E84" s="35"/>
      <c r="F84" s="35"/>
      <c r="G84" s="35"/>
      <c r="H84" s="35"/>
      <c r="I84" s="35"/>
      <c r="J84" s="35"/>
      <c r="K84" s="35"/>
      <c r="L84" s="36"/>
      <c r="M84" s="35"/>
      <c r="N84" s="37"/>
      <c r="O84" s="22"/>
      <c r="P84" s="22"/>
    </row>
    <row r="85">
      <c r="A85" s="35"/>
      <c r="B85" s="33"/>
      <c r="C85" s="33"/>
      <c r="D85" s="33"/>
      <c r="E85" s="33"/>
      <c r="F85" s="33"/>
      <c r="G85" s="33"/>
      <c r="H85" s="33"/>
      <c r="I85" s="33"/>
      <c r="J85" s="33"/>
      <c r="K85" s="33"/>
      <c r="L85" s="34"/>
      <c r="M85" s="33"/>
      <c r="N85" s="33"/>
      <c r="O85" s="22"/>
      <c r="P85" s="22"/>
    </row>
    <row r="86">
      <c r="A86" s="38"/>
      <c r="B86" s="35"/>
      <c r="C86" s="35"/>
      <c r="D86" s="35"/>
      <c r="E86" s="35"/>
      <c r="F86" s="35"/>
      <c r="G86" s="35"/>
      <c r="H86" s="35"/>
      <c r="I86" s="35"/>
      <c r="J86" s="35"/>
      <c r="K86" s="35"/>
      <c r="L86" s="36"/>
      <c r="M86" s="35"/>
      <c r="N86" s="37"/>
      <c r="O86" s="22"/>
      <c r="P86" s="22"/>
    </row>
    <row r="87">
      <c r="A87" s="33"/>
      <c r="B87" s="33"/>
      <c r="C87" s="33"/>
      <c r="D87" s="33"/>
      <c r="E87" s="33"/>
      <c r="F87" s="33"/>
      <c r="G87" s="33"/>
      <c r="H87" s="33"/>
      <c r="I87" s="33"/>
      <c r="J87" s="33"/>
      <c r="K87" s="33"/>
      <c r="L87" s="34"/>
      <c r="M87" s="33"/>
      <c r="N87" s="33"/>
      <c r="O87" s="22"/>
      <c r="P87" s="22"/>
    </row>
    <row r="88">
      <c r="A88" s="35"/>
      <c r="B88" s="35"/>
      <c r="C88" s="35"/>
      <c r="D88" s="35"/>
      <c r="E88" s="35"/>
      <c r="F88" s="35"/>
      <c r="G88" s="35"/>
      <c r="H88" s="35"/>
      <c r="I88" s="35"/>
      <c r="J88" s="35"/>
      <c r="K88" s="35"/>
      <c r="L88" s="36"/>
      <c r="M88" s="35"/>
      <c r="N88" s="37"/>
      <c r="O88" s="22"/>
      <c r="P88" s="22"/>
    </row>
    <row r="89">
      <c r="A89" s="38"/>
      <c r="B89" s="33"/>
      <c r="C89" s="33"/>
      <c r="D89" s="33"/>
      <c r="E89" s="33"/>
      <c r="F89" s="33"/>
      <c r="G89" s="33"/>
      <c r="H89" s="33"/>
      <c r="I89" s="33"/>
      <c r="J89" s="33"/>
      <c r="K89" s="33"/>
      <c r="L89" s="34"/>
      <c r="M89" s="33"/>
      <c r="N89" s="33"/>
      <c r="O89" s="22"/>
      <c r="P89" s="22"/>
    </row>
    <row r="90">
      <c r="A90" s="33"/>
      <c r="B90" s="35"/>
      <c r="C90" s="35"/>
      <c r="D90" s="35"/>
      <c r="E90" s="35"/>
      <c r="F90" s="35"/>
      <c r="G90" s="35"/>
      <c r="H90" s="35"/>
      <c r="I90" s="35"/>
      <c r="J90" s="35"/>
      <c r="K90" s="35"/>
      <c r="L90" s="36"/>
      <c r="M90" s="35"/>
      <c r="N90" s="37"/>
      <c r="O90" s="22"/>
      <c r="P90" s="22"/>
    </row>
    <row r="91">
      <c r="A91" s="35"/>
      <c r="B91" s="33"/>
      <c r="C91" s="33"/>
      <c r="D91" s="33"/>
      <c r="E91" s="33"/>
      <c r="F91" s="33"/>
      <c r="G91" s="33"/>
      <c r="H91" s="33"/>
      <c r="I91" s="33"/>
      <c r="J91" s="33"/>
      <c r="K91" s="33"/>
      <c r="L91" s="34"/>
      <c r="M91" s="33"/>
      <c r="N91" s="33"/>
      <c r="O91" s="22"/>
      <c r="P91" s="22"/>
    </row>
    <row r="92">
      <c r="A92" s="38"/>
      <c r="B92" s="35"/>
      <c r="C92" s="35"/>
      <c r="D92" s="35"/>
      <c r="E92" s="35"/>
      <c r="F92" s="35"/>
      <c r="G92" s="35"/>
      <c r="H92" s="35"/>
      <c r="I92" s="35"/>
      <c r="J92" s="35"/>
      <c r="K92" s="35"/>
      <c r="L92" s="36"/>
      <c r="M92" s="35"/>
      <c r="N92" s="37"/>
      <c r="O92" s="22"/>
      <c r="P92" s="22"/>
    </row>
    <row r="93">
      <c r="A93" s="33"/>
      <c r="B93" s="33"/>
      <c r="C93" s="33"/>
      <c r="D93" s="33"/>
      <c r="E93" s="33"/>
      <c r="F93" s="33"/>
      <c r="G93" s="33"/>
      <c r="H93" s="33"/>
      <c r="I93" s="33"/>
      <c r="J93" s="33"/>
      <c r="K93" s="33"/>
      <c r="L93" s="34"/>
      <c r="M93" s="33"/>
      <c r="N93" s="33"/>
      <c r="O93" s="22"/>
      <c r="P93" s="22"/>
    </row>
    <row r="94">
      <c r="A94" s="35"/>
      <c r="B94" s="35"/>
      <c r="C94" s="35"/>
      <c r="D94" s="35"/>
      <c r="E94" s="35"/>
      <c r="F94" s="35"/>
      <c r="G94" s="35"/>
      <c r="H94" s="35"/>
      <c r="I94" s="35"/>
      <c r="J94" s="35"/>
      <c r="K94" s="35"/>
      <c r="L94" s="36"/>
      <c r="M94" s="35"/>
      <c r="N94" s="37"/>
      <c r="O94" s="22"/>
      <c r="P94" s="22"/>
    </row>
    <row r="95">
      <c r="A95" s="38"/>
      <c r="B95" s="33"/>
      <c r="C95" s="33"/>
      <c r="D95" s="33"/>
      <c r="E95" s="33"/>
      <c r="F95" s="33"/>
      <c r="G95" s="33"/>
      <c r="H95" s="33"/>
      <c r="I95" s="33"/>
      <c r="J95" s="33"/>
      <c r="K95" s="33"/>
      <c r="L95" s="34"/>
      <c r="M95" s="33"/>
      <c r="N95" s="33"/>
      <c r="O95" s="22"/>
      <c r="P95" s="22"/>
    </row>
    <row r="96">
      <c r="A96" s="33"/>
      <c r="B96" s="35"/>
      <c r="C96" s="35"/>
      <c r="D96" s="35"/>
      <c r="E96" s="35"/>
      <c r="F96" s="35"/>
      <c r="G96" s="35"/>
      <c r="H96" s="35"/>
      <c r="I96" s="35"/>
      <c r="J96" s="35"/>
      <c r="K96" s="35"/>
      <c r="L96" s="36"/>
      <c r="M96" s="35"/>
      <c r="N96" s="37"/>
      <c r="O96" s="22"/>
      <c r="P96" s="22"/>
    </row>
    <row r="97">
      <c r="A97" s="35"/>
      <c r="B97" s="33"/>
      <c r="C97" s="33"/>
      <c r="D97" s="33"/>
      <c r="E97" s="33"/>
      <c r="F97" s="33"/>
      <c r="G97" s="33"/>
      <c r="H97" s="33"/>
      <c r="I97" s="33"/>
      <c r="J97" s="33"/>
      <c r="K97" s="33"/>
      <c r="L97" s="34"/>
      <c r="M97" s="33"/>
      <c r="N97" s="33"/>
      <c r="O97" s="22"/>
      <c r="P97" s="22"/>
    </row>
    <row r="98">
      <c r="A98" s="38"/>
      <c r="B98" s="35"/>
      <c r="C98" s="35"/>
      <c r="D98" s="35"/>
      <c r="E98" s="35"/>
      <c r="F98" s="35"/>
      <c r="G98" s="35"/>
      <c r="H98" s="35"/>
      <c r="I98" s="35"/>
      <c r="J98" s="35"/>
      <c r="K98" s="35"/>
      <c r="L98" s="36"/>
      <c r="M98" s="35"/>
      <c r="N98" s="37"/>
      <c r="O98" s="22"/>
      <c r="P98" s="22"/>
    </row>
    <row r="99">
      <c r="A99" s="33"/>
      <c r="B99" s="33"/>
      <c r="C99" s="33"/>
      <c r="D99" s="33"/>
      <c r="E99" s="33"/>
      <c r="F99" s="33"/>
      <c r="G99" s="33"/>
      <c r="H99" s="33"/>
      <c r="I99" s="33"/>
      <c r="J99" s="33"/>
      <c r="K99" s="33"/>
      <c r="L99" s="34"/>
      <c r="M99" s="33"/>
      <c r="N99" s="33"/>
      <c r="O99" s="22"/>
      <c r="P99" s="22"/>
    </row>
    <row r="100">
      <c r="A100" s="22"/>
      <c r="B100" s="22"/>
      <c r="C100" s="22"/>
      <c r="D100" s="22"/>
      <c r="E100" s="22"/>
      <c r="F100" s="22"/>
      <c r="G100" s="22"/>
      <c r="H100" s="22"/>
      <c r="I100" s="22"/>
      <c r="J100" s="22"/>
      <c r="K100" s="22"/>
      <c r="L100" s="22"/>
      <c r="M100" s="22"/>
      <c r="N100" s="22"/>
      <c r="O100" s="22"/>
      <c r="P100" s="22"/>
    </row>
    <row r="101">
      <c r="A101" s="22"/>
      <c r="B101" s="22"/>
      <c r="C101" s="22"/>
      <c r="D101" s="22"/>
      <c r="E101" s="22"/>
      <c r="F101" s="22"/>
      <c r="G101" s="22"/>
      <c r="H101" s="22"/>
      <c r="I101" s="22"/>
      <c r="J101" s="22"/>
      <c r="K101" s="22"/>
      <c r="L101" s="22"/>
      <c r="M101" s="22"/>
      <c r="N101" s="22"/>
      <c r="O101" s="22"/>
      <c r="P101" s="22"/>
    </row>
    <row r="102">
      <c r="A102" s="22"/>
      <c r="B102" s="22"/>
      <c r="C102" s="22"/>
      <c r="D102" s="22"/>
      <c r="E102" s="22"/>
      <c r="F102" s="22"/>
      <c r="G102" s="22"/>
      <c r="H102" s="22"/>
      <c r="I102" s="22"/>
      <c r="J102" s="22"/>
      <c r="K102" s="22"/>
      <c r="L102" s="22"/>
      <c r="M102" s="22"/>
      <c r="N102" s="22"/>
      <c r="O102" s="22"/>
      <c r="P102" s="22"/>
    </row>
    <row r="103">
      <c r="A103" s="22"/>
      <c r="B103" s="22"/>
      <c r="C103" s="22"/>
      <c r="D103" s="22"/>
      <c r="E103" s="22"/>
      <c r="F103" s="22"/>
      <c r="G103" s="22"/>
      <c r="H103" s="22"/>
      <c r="I103" s="22"/>
      <c r="J103" s="22"/>
      <c r="K103" s="22"/>
      <c r="L103" s="22"/>
      <c r="M103" s="22"/>
      <c r="N103" s="22"/>
      <c r="O103" s="22"/>
      <c r="P103" s="22"/>
    </row>
    <row r="104">
      <c r="A104" s="22"/>
      <c r="B104" s="22"/>
      <c r="C104" s="22"/>
      <c r="D104" s="22"/>
      <c r="E104" s="22"/>
      <c r="F104" s="22"/>
      <c r="G104" s="22"/>
      <c r="H104" s="22"/>
      <c r="I104" s="22"/>
      <c r="J104" s="22"/>
      <c r="K104" s="22"/>
      <c r="L104" s="22"/>
      <c r="M104" s="22"/>
      <c r="N104" s="22"/>
      <c r="O104" s="22"/>
      <c r="P104" s="22"/>
    </row>
    <row r="105">
      <c r="A105" s="22"/>
      <c r="B105" s="22"/>
      <c r="C105" s="22"/>
      <c r="D105" s="22"/>
      <c r="E105" s="22"/>
      <c r="F105" s="22"/>
      <c r="G105" s="22"/>
      <c r="H105" s="22"/>
      <c r="I105" s="22"/>
      <c r="J105" s="22"/>
      <c r="K105" s="22"/>
      <c r="L105" s="22"/>
      <c r="M105" s="22"/>
      <c r="N105" s="22"/>
      <c r="O105" s="22"/>
      <c r="P105" s="22"/>
    </row>
  </sheetData>
  <dataValidations>
    <dataValidation type="list" allowBlank="1" showErrorMessage="1" sqref="N15 N17 N19 N21 N23 N25 N27 N29 N31 N33 N35 N37 N39 N41 N43 N45 N47 N49 N51 N53 N55 N57 N59 N61 N63 N65 N67 N69 N71 N73 N75 N77 N79 N81 N83 N85 N87 N89 N91 N93 N95 N97 N99">
      <formula1>"Solved,Unsolved"</formula1>
    </dataValidation>
    <dataValidation type="list" allowBlank="1" showErrorMessage="1" sqref="K15 K17 K19 K21 K23 K25 K27 K29 K31 K33 K35 K37 K39 K41 K43 K45 K47 K49 K51 K53 K55 K57 K59 K61 K63 K65 K67 K69 K71 K73 K75 K77 K79 K81 K83 K85 K87 K89 K91 K93 K95 K97 K99">
      <formula1>"High,Medium,Low,Severity"</formula1>
    </dataValidation>
    <dataValidation type="list" allowBlank="1" showErrorMessage="1" sqref="J15 J17 J19 J21 J23 J25 J27 J29 J31 J33 J35 J37 J39 J41 J43 J45 J47 J49 J51 J53 J55 J57 J59 J61 J63 J65 J67 J69 J71 J73 J75 J77 J79 J81 J83 J85 J87 J89 J91 J93 J95 J97 J99">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24.13"/>
    <col customWidth="1" min="3" max="3" width="12.5"/>
    <col customWidth="1" min="4" max="4" width="15.63"/>
    <col customWidth="1" min="5" max="5" width="15.38"/>
    <col customWidth="1" min="6" max="6" width="16.88"/>
    <col customWidth="1" min="7" max="7" width="15.63"/>
    <col customWidth="1" min="8" max="8" width="22.75"/>
    <col customWidth="1" min="9" max="9" width="20.5"/>
    <col customWidth="1" min="10" max="10" width="12.63"/>
    <col customWidth="1" min="11" max="11" width="13.25"/>
    <col customWidth="1" min="12" max="12" width="14.63"/>
    <col customWidth="1" min="13" max="13" width="16.25"/>
    <col customWidth="1" min="14" max="14" width="14.38"/>
  </cols>
  <sheetData>
    <row r="1">
      <c r="A1" s="39" t="s">
        <v>0</v>
      </c>
      <c r="B1" s="3" t="s">
        <v>1</v>
      </c>
      <c r="C1" s="40"/>
      <c r="D1" s="40"/>
      <c r="E1" s="40"/>
      <c r="F1" s="40"/>
      <c r="G1" s="40"/>
      <c r="H1" s="40"/>
      <c r="I1" s="40"/>
      <c r="J1" s="40"/>
      <c r="K1" s="40"/>
      <c r="L1" s="40"/>
      <c r="M1" s="40"/>
      <c r="N1" s="40"/>
      <c r="O1" s="40"/>
      <c r="P1" s="40"/>
      <c r="Q1" s="40"/>
      <c r="R1" s="40"/>
      <c r="S1" s="40"/>
      <c r="T1" s="40"/>
      <c r="U1" s="40"/>
      <c r="V1" s="40"/>
      <c r="W1" s="40"/>
      <c r="X1" s="40"/>
      <c r="Y1" s="40"/>
      <c r="Z1" s="40"/>
    </row>
    <row r="2">
      <c r="A2" s="39" t="s">
        <v>4</v>
      </c>
      <c r="B2" s="6" t="s">
        <v>5</v>
      </c>
      <c r="C2" s="40"/>
      <c r="D2" s="40"/>
      <c r="E2" s="40"/>
      <c r="F2" s="40"/>
      <c r="G2" s="40"/>
      <c r="H2" s="40"/>
      <c r="I2" s="40"/>
      <c r="J2" s="40"/>
      <c r="K2" s="40"/>
      <c r="L2" s="40"/>
      <c r="M2" s="40"/>
      <c r="N2" s="40"/>
      <c r="O2" s="40"/>
      <c r="P2" s="40"/>
      <c r="Q2" s="40"/>
      <c r="R2" s="40"/>
      <c r="S2" s="40"/>
      <c r="T2" s="40"/>
      <c r="U2" s="40"/>
      <c r="V2" s="40"/>
      <c r="W2" s="40"/>
      <c r="X2" s="40"/>
      <c r="Y2" s="40"/>
      <c r="Z2" s="40"/>
    </row>
    <row r="3">
      <c r="A3" s="39" t="s">
        <v>9</v>
      </c>
      <c r="B3" s="41" t="s">
        <v>10</v>
      </c>
      <c r="C3" s="40"/>
      <c r="D3" s="40"/>
      <c r="E3" s="40"/>
      <c r="F3" s="40"/>
      <c r="G3" s="40"/>
      <c r="H3" s="40"/>
      <c r="I3" s="40"/>
      <c r="J3" s="40"/>
      <c r="K3" s="40"/>
      <c r="L3" s="40"/>
      <c r="M3" s="40"/>
      <c r="N3" s="40"/>
      <c r="O3" s="40"/>
      <c r="P3" s="40"/>
      <c r="Q3" s="40"/>
      <c r="R3" s="40"/>
      <c r="S3" s="40"/>
      <c r="T3" s="40"/>
      <c r="U3" s="40"/>
      <c r="V3" s="40"/>
      <c r="W3" s="40"/>
      <c r="X3" s="40"/>
      <c r="Y3" s="40"/>
      <c r="Z3" s="40"/>
    </row>
    <row r="4">
      <c r="A4" s="39" t="s">
        <v>12</v>
      </c>
      <c r="B4" s="9" t="s">
        <v>13</v>
      </c>
      <c r="C4" s="40"/>
      <c r="D4" s="40"/>
      <c r="E4" s="40"/>
      <c r="F4" s="40"/>
      <c r="G4" s="40"/>
      <c r="H4" s="40"/>
      <c r="I4" s="40"/>
      <c r="J4" s="40"/>
      <c r="K4" s="40"/>
      <c r="L4" s="40"/>
      <c r="M4" s="40"/>
      <c r="N4" s="40"/>
      <c r="O4" s="40"/>
      <c r="P4" s="40"/>
      <c r="Q4" s="40"/>
      <c r="R4" s="40"/>
      <c r="S4" s="40"/>
      <c r="T4" s="40"/>
      <c r="U4" s="40"/>
      <c r="V4" s="40"/>
      <c r="W4" s="40"/>
      <c r="X4" s="40"/>
      <c r="Y4" s="40"/>
      <c r="Z4" s="40"/>
    </row>
    <row r="5">
      <c r="A5" s="39" t="s">
        <v>14</v>
      </c>
      <c r="B5" s="9" t="s">
        <v>75</v>
      </c>
      <c r="C5" s="40"/>
      <c r="D5" s="40"/>
      <c r="E5" s="40"/>
      <c r="F5" s="40"/>
      <c r="G5" s="40"/>
      <c r="H5" s="40"/>
      <c r="I5" s="40"/>
      <c r="J5" s="40"/>
      <c r="K5" s="40"/>
      <c r="L5" s="40"/>
      <c r="M5" s="40"/>
      <c r="N5" s="40"/>
      <c r="O5" s="40"/>
      <c r="P5" s="40"/>
      <c r="Q5" s="40"/>
      <c r="R5" s="40"/>
      <c r="S5" s="40"/>
      <c r="T5" s="40"/>
      <c r="U5" s="40"/>
      <c r="V5" s="40"/>
      <c r="W5" s="40"/>
      <c r="X5" s="40"/>
      <c r="Y5" s="40"/>
      <c r="Z5" s="40"/>
    </row>
    <row r="6">
      <c r="A6" s="40"/>
      <c r="B6" s="40"/>
      <c r="C6" s="40"/>
      <c r="D6" s="40"/>
      <c r="E6" s="40"/>
      <c r="F6" s="40"/>
      <c r="G6" s="40"/>
      <c r="H6" s="40"/>
      <c r="I6" s="40"/>
      <c r="J6" s="40"/>
      <c r="K6" s="40"/>
      <c r="L6" s="40"/>
      <c r="M6" s="40"/>
      <c r="N6" s="40"/>
      <c r="O6" s="40"/>
      <c r="P6" s="40"/>
      <c r="Q6" s="40"/>
      <c r="R6" s="40"/>
      <c r="S6" s="40"/>
      <c r="T6" s="40"/>
      <c r="U6" s="40"/>
      <c r="V6" s="40"/>
      <c r="W6" s="40"/>
      <c r="X6" s="40"/>
      <c r="Y6" s="40"/>
      <c r="Z6" s="40"/>
    </row>
    <row r="7">
      <c r="A7" s="42" t="s">
        <v>76</v>
      </c>
      <c r="B7" s="42" t="s">
        <v>19</v>
      </c>
      <c r="C7" s="42" t="s">
        <v>20</v>
      </c>
      <c r="D7" s="42" t="s">
        <v>21</v>
      </c>
      <c r="E7" s="42" t="s">
        <v>22</v>
      </c>
      <c r="F7" s="42" t="s">
        <v>23</v>
      </c>
      <c r="G7" s="42" t="s">
        <v>24</v>
      </c>
      <c r="H7" s="42" t="s">
        <v>25</v>
      </c>
      <c r="I7" s="42" t="s">
        <v>26</v>
      </c>
      <c r="J7" s="42" t="s">
        <v>27</v>
      </c>
      <c r="K7" s="42" t="s">
        <v>2</v>
      </c>
      <c r="L7" s="42" t="s">
        <v>28</v>
      </c>
      <c r="M7" s="42" t="s">
        <v>29</v>
      </c>
      <c r="N7" s="42" t="s">
        <v>31</v>
      </c>
      <c r="O7" s="43"/>
      <c r="P7" s="43"/>
      <c r="Q7" s="43"/>
      <c r="R7" s="43"/>
      <c r="S7" s="43"/>
      <c r="T7" s="43"/>
      <c r="U7" s="43"/>
      <c r="V7" s="43"/>
      <c r="W7" s="43"/>
      <c r="X7" s="43"/>
      <c r="Y7" s="43"/>
      <c r="Z7" s="43"/>
    </row>
    <row r="8">
      <c r="A8" s="44" t="s">
        <v>77</v>
      </c>
      <c r="B8" s="3" t="s">
        <v>78</v>
      </c>
      <c r="C8" s="3" t="s">
        <v>78</v>
      </c>
      <c r="D8" s="44" t="s">
        <v>79</v>
      </c>
      <c r="E8" s="44" t="s">
        <v>80</v>
      </c>
      <c r="F8" s="45" t="s">
        <v>81</v>
      </c>
      <c r="G8" s="44" t="s">
        <v>82</v>
      </c>
      <c r="H8" s="44" t="s">
        <v>83</v>
      </c>
      <c r="I8" s="44" t="s">
        <v>84</v>
      </c>
      <c r="J8" s="44" t="s">
        <v>85</v>
      </c>
      <c r="K8" s="44" t="s">
        <v>8</v>
      </c>
      <c r="L8" s="46" t="s">
        <v>86</v>
      </c>
      <c r="M8" s="44"/>
      <c r="N8" s="44"/>
      <c r="O8" s="47"/>
      <c r="P8" s="47"/>
      <c r="Q8" s="47"/>
      <c r="R8" s="47"/>
      <c r="S8" s="47"/>
      <c r="T8" s="47"/>
      <c r="U8" s="47"/>
      <c r="V8" s="47"/>
      <c r="W8" s="47"/>
      <c r="X8" s="47"/>
      <c r="Y8" s="47"/>
      <c r="Z8" s="47"/>
    </row>
    <row r="9">
      <c r="A9" s="47"/>
      <c r="B9" s="47"/>
      <c r="C9" s="47"/>
      <c r="D9" s="47"/>
      <c r="E9" s="47"/>
      <c r="F9" s="48"/>
      <c r="G9" s="47"/>
      <c r="H9" s="47"/>
      <c r="I9" s="47"/>
      <c r="J9" s="47"/>
      <c r="K9" s="47"/>
      <c r="L9" s="47"/>
      <c r="M9" s="47"/>
      <c r="N9" s="47"/>
      <c r="O9" s="47"/>
      <c r="P9" s="47"/>
      <c r="Q9" s="47"/>
      <c r="R9" s="47"/>
      <c r="S9" s="47"/>
      <c r="T9" s="47"/>
      <c r="U9" s="47"/>
      <c r="V9" s="47"/>
      <c r="W9" s="47"/>
      <c r="X9" s="47"/>
      <c r="Y9" s="47"/>
      <c r="Z9" s="47"/>
    </row>
    <row r="10">
      <c r="A10" s="3" t="s">
        <v>87</v>
      </c>
      <c r="B10" s="3" t="s">
        <v>78</v>
      </c>
      <c r="C10" s="3" t="s">
        <v>78</v>
      </c>
      <c r="D10" s="3" t="s">
        <v>88</v>
      </c>
      <c r="E10" s="3" t="s">
        <v>80</v>
      </c>
      <c r="F10" s="49" t="s">
        <v>89</v>
      </c>
      <c r="G10" s="3" t="s">
        <v>82</v>
      </c>
      <c r="H10" s="3" t="s">
        <v>90</v>
      </c>
      <c r="I10" s="3" t="s">
        <v>91</v>
      </c>
      <c r="J10" s="3" t="s">
        <v>85</v>
      </c>
      <c r="K10" s="3" t="s">
        <v>11</v>
      </c>
      <c r="L10" s="50" t="s">
        <v>92</v>
      </c>
      <c r="M10" s="3"/>
      <c r="N10" s="3"/>
      <c r="O10" s="47"/>
      <c r="P10" s="47"/>
      <c r="Q10" s="47"/>
      <c r="R10" s="47"/>
      <c r="S10" s="47"/>
      <c r="T10" s="47"/>
      <c r="U10" s="47"/>
      <c r="V10" s="47"/>
      <c r="W10" s="47"/>
      <c r="X10" s="47"/>
      <c r="Y10" s="47"/>
      <c r="Z10" s="47"/>
    </row>
    <row r="11">
      <c r="A11" s="47"/>
      <c r="B11" s="47"/>
      <c r="C11" s="47"/>
      <c r="D11" s="47"/>
      <c r="E11" s="47"/>
      <c r="F11" s="48"/>
      <c r="G11" s="47"/>
      <c r="H11" s="47"/>
      <c r="I11" s="47"/>
      <c r="J11" s="47"/>
      <c r="K11" s="47"/>
      <c r="L11" s="47"/>
      <c r="M11" s="47"/>
      <c r="N11" s="47"/>
      <c r="O11" s="47"/>
      <c r="P11" s="47"/>
      <c r="Q11" s="47"/>
      <c r="R11" s="47"/>
      <c r="S11" s="47"/>
      <c r="T11" s="47"/>
      <c r="U11" s="47"/>
      <c r="V11" s="47"/>
      <c r="W11" s="47"/>
      <c r="X11" s="47"/>
      <c r="Y11" s="47"/>
      <c r="Z11" s="47"/>
    </row>
    <row r="12">
      <c r="A12" s="3" t="s">
        <v>93</v>
      </c>
      <c r="B12" s="3" t="s">
        <v>78</v>
      </c>
      <c r="C12" s="3" t="s">
        <v>78</v>
      </c>
      <c r="D12" s="3" t="s">
        <v>94</v>
      </c>
      <c r="E12" s="3" t="s">
        <v>80</v>
      </c>
      <c r="F12" s="49" t="s">
        <v>95</v>
      </c>
      <c r="G12" s="3" t="s">
        <v>82</v>
      </c>
      <c r="H12" s="3" t="s">
        <v>96</v>
      </c>
      <c r="I12" s="3" t="s">
        <v>97</v>
      </c>
      <c r="J12" s="3" t="s">
        <v>85</v>
      </c>
      <c r="K12" s="3" t="s">
        <v>11</v>
      </c>
      <c r="L12" s="51" t="s">
        <v>98</v>
      </c>
      <c r="M12" s="52"/>
      <c r="N12" s="3"/>
      <c r="O12" s="47"/>
      <c r="P12" s="47"/>
      <c r="Q12" s="47"/>
      <c r="R12" s="47"/>
      <c r="S12" s="47"/>
      <c r="T12" s="47"/>
      <c r="U12" s="47"/>
      <c r="V12" s="47"/>
      <c r="W12" s="47"/>
      <c r="X12" s="47"/>
      <c r="Y12" s="47"/>
      <c r="Z12" s="47"/>
    </row>
    <row r="13">
      <c r="A13" s="47"/>
      <c r="B13" s="47"/>
      <c r="C13" s="47"/>
      <c r="D13" s="47"/>
      <c r="E13" s="47"/>
      <c r="F13" s="48"/>
      <c r="G13" s="47"/>
      <c r="H13" s="47"/>
      <c r="I13" s="47"/>
      <c r="J13" s="47"/>
      <c r="K13" s="47"/>
      <c r="L13" s="47"/>
      <c r="M13" s="47"/>
      <c r="N13" s="47"/>
      <c r="O13" s="47"/>
      <c r="P13" s="47"/>
      <c r="Q13" s="47"/>
      <c r="R13" s="47"/>
      <c r="S13" s="47"/>
      <c r="T13" s="47"/>
      <c r="U13" s="47"/>
      <c r="V13" s="47"/>
      <c r="W13" s="47"/>
      <c r="X13" s="47"/>
      <c r="Y13" s="47"/>
      <c r="Z13" s="47"/>
    </row>
    <row r="14">
      <c r="A14" s="3" t="s">
        <v>99</v>
      </c>
      <c r="B14" s="3" t="s">
        <v>78</v>
      </c>
      <c r="C14" s="3" t="s">
        <v>100</v>
      </c>
      <c r="D14" s="3" t="s">
        <v>101</v>
      </c>
      <c r="E14" s="3" t="s">
        <v>80</v>
      </c>
      <c r="F14" s="49" t="s">
        <v>102</v>
      </c>
      <c r="G14" s="3" t="s">
        <v>82</v>
      </c>
      <c r="H14" s="3" t="s">
        <v>103</v>
      </c>
      <c r="I14" s="3" t="s">
        <v>104</v>
      </c>
      <c r="J14" s="3" t="s">
        <v>85</v>
      </c>
      <c r="K14" s="3" t="s">
        <v>8</v>
      </c>
      <c r="L14" s="50" t="s">
        <v>105</v>
      </c>
      <c r="M14" s="53"/>
      <c r="N14" s="3"/>
      <c r="O14" s="47"/>
      <c r="P14" s="47"/>
      <c r="Q14" s="47"/>
      <c r="R14" s="47"/>
      <c r="S14" s="47"/>
      <c r="T14" s="47"/>
      <c r="U14" s="47"/>
      <c r="V14" s="47"/>
      <c r="W14" s="47"/>
      <c r="X14" s="47"/>
      <c r="Y14" s="47"/>
      <c r="Z14" s="47"/>
    </row>
    <row r="15">
      <c r="A15" s="40"/>
      <c r="B15" s="40"/>
      <c r="C15" s="40"/>
      <c r="D15" s="40"/>
      <c r="E15" s="40"/>
      <c r="F15" s="54"/>
      <c r="G15" s="40"/>
      <c r="H15" s="40"/>
      <c r="I15" s="40"/>
      <c r="J15" s="40"/>
      <c r="K15" s="40"/>
      <c r="L15" s="40"/>
      <c r="M15" s="40"/>
      <c r="N15" s="40"/>
      <c r="O15" s="40"/>
      <c r="P15" s="40"/>
      <c r="Q15" s="40"/>
      <c r="R15" s="40"/>
      <c r="S15" s="40"/>
      <c r="T15" s="40"/>
      <c r="U15" s="40"/>
      <c r="V15" s="40"/>
      <c r="W15" s="40"/>
      <c r="X15" s="40"/>
      <c r="Y15" s="40"/>
      <c r="Z15" s="40"/>
    </row>
    <row r="16">
      <c r="A16" s="3" t="s">
        <v>106</v>
      </c>
      <c r="B16" s="3" t="s">
        <v>78</v>
      </c>
      <c r="C16" s="3" t="s">
        <v>100</v>
      </c>
      <c r="D16" s="3" t="s">
        <v>107</v>
      </c>
      <c r="E16" s="3" t="s">
        <v>80</v>
      </c>
      <c r="F16" s="49" t="s">
        <v>108</v>
      </c>
      <c r="G16" s="3" t="s">
        <v>82</v>
      </c>
      <c r="H16" s="3" t="s">
        <v>103</v>
      </c>
      <c r="I16" s="3" t="s">
        <v>104</v>
      </c>
      <c r="J16" s="3" t="s">
        <v>85</v>
      </c>
      <c r="K16" s="3" t="s">
        <v>8</v>
      </c>
      <c r="L16" s="50" t="s">
        <v>109</v>
      </c>
      <c r="M16" s="55"/>
      <c r="N16" s="56"/>
      <c r="O16" s="40"/>
      <c r="P16" s="40"/>
      <c r="Q16" s="40"/>
      <c r="R16" s="40"/>
      <c r="S16" s="40"/>
      <c r="T16" s="40"/>
      <c r="U16" s="40"/>
      <c r="V16" s="40"/>
      <c r="W16" s="40"/>
      <c r="X16" s="40"/>
      <c r="Y16" s="40"/>
      <c r="Z16" s="40"/>
    </row>
    <row r="17">
      <c r="A17" s="40"/>
      <c r="B17" s="40"/>
      <c r="C17" s="40"/>
      <c r="D17" s="40"/>
      <c r="E17" s="40"/>
      <c r="F17" s="54"/>
      <c r="G17" s="40"/>
      <c r="H17" s="40"/>
      <c r="I17" s="40"/>
      <c r="J17" s="40"/>
      <c r="K17" s="40"/>
      <c r="L17" s="40"/>
      <c r="M17" s="40"/>
      <c r="N17" s="40"/>
      <c r="O17" s="40"/>
      <c r="P17" s="40"/>
      <c r="Q17" s="40"/>
      <c r="R17" s="40"/>
      <c r="S17" s="40"/>
      <c r="T17" s="40"/>
      <c r="U17" s="40"/>
      <c r="V17" s="40"/>
      <c r="W17" s="40"/>
      <c r="X17" s="40"/>
      <c r="Y17" s="40"/>
      <c r="Z17" s="40"/>
    </row>
    <row r="18">
      <c r="A18" s="3" t="s">
        <v>110</v>
      </c>
      <c r="B18" s="3" t="s">
        <v>78</v>
      </c>
      <c r="C18" s="3" t="s">
        <v>111</v>
      </c>
      <c r="D18" s="3" t="s">
        <v>112</v>
      </c>
      <c r="E18" s="3" t="s">
        <v>80</v>
      </c>
      <c r="F18" s="49" t="s">
        <v>113</v>
      </c>
      <c r="G18" s="3" t="s">
        <v>82</v>
      </c>
      <c r="H18" s="3" t="s">
        <v>103</v>
      </c>
      <c r="I18" s="3" t="s">
        <v>104</v>
      </c>
      <c r="J18" s="3" t="s">
        <v>85</v>
      </c>
      <c r="K18" s="3" t="s">
        <v>8</v>
      </c>
      <c r="L18" s="50" t="s">
        <v>114</v>
      </c>
      <c r="M18" s="55"/>
      <c r="N18" s="56"/>
      <c r="O18" s="40"/>
      <c r="P18" s="40"/>
      <c r="Q18" s="40"/>
      <c r="R18" s="40"/>
      <c r="S18" s="40"/>
      <c r="T18" s="40"/>
      <c r="U18" s="40"/>
      <c r="V18" s="40"/>
      <c r="W18" s="40"/>
      <c r="X18" s="40"/>
      <c r="Y18" s="40"/>
      <c r="Z18" s="40"/>
    </row>
    <row r="19">
      <c r="A19" s="40"/>
      <c r="B19" s="40"/>
      <c r="C19" s="57"/>
      <c r="D19" s="40"/>
      <c r="E19" s="40"/>
      <c r="F19" s="54"/>
      <c r="G19" s="40"/>
      <c r="H19" s="40"/>
      <c r="I19" s="40"/>
      <c r="J19" s="40"/>
      <c r="K19" s="40"/>
      <c r="L19" s="40"/>
      <c r="M19" s="40"/>
      <c r="N19" s="40"/>
      <c r="O19" s="40"/>
      <c r="P19" s="40"/>
      <c r="Q19" s="40"/>
      <c r="R19" s="40"/>
      <c r="S19" s="40"/>
      <c r="T19" s="40"/>
      <c r="U19" s="40"/>
      <c r="V19" s="40"/>
      <c r="W19" s="40"/>
      <c r="X19" s="40"/>
      <c r="Y19" s="40"/>
      <c r="Z19" s="40"/>
    </row>
    <row r="20">
      <c r="A20" s="3" t="s">
        <v>115</v>
      </c>
      <c r="B20" s="3" t="s">
        <v>78</v>
      </c>
      <c r="C20" s="3" t="s">
        <v>116</v>
      </c>
      <c r="D20" s="3" t="s">
        <v>112</v>
      </c>
      <c r="E20" s="3" t="s">
        <v>80</v>
      </c>
      <c r="F20" s="49" t="s">
        <v>117</v>
      </c>
      <c r="G20" s="3" t="s">
        <v>82</v>
      </c>
      <c r="H20" s="3" t="s">
        <v>103</v>
      </c>
      <c r="I20" s="3" t="s">
        <v>104</v>
      </c>
      <c r="J20" s="3" t="s">
        <v>85</v>
      </c>
      <c r="K20" s="3" t="s">
        <v>8</v>
      </c>
      <c r="L20" s="50" t="s">
        <v>118</v>
      </c>
      <c r="M20" s="55"/>
      <c r="N20" s="56"/>
      <c r="O20" s="40"/>
      <c r="P20" s="40"/>
      <c r="Q20" s="40"/>
      <c r="R20" s="40"/>
      <c r="S20" s="40"/>
      <c r="T20" s="40"/>
      <c r="U20" s="40"/>
      <c r="V20" s="40"/>
      <c r="W20" s="40"/>
      <c r="X20" s="40"/>
      <c r="Y20" s="40"/>
      <c r="Z20" s="40"/>
    </row>
    <row r="21">
      <c r="A21" s="40"/>
      <c r="B21" s="40"/>
      <c r="C21" s="40"/>
      <c r="D21" s="40"/>
      <c r="E21" s="40"/>
      <c r="F21" s="54"/>
      <c r="G21" s="40"/>
      <c r="H21" s="40"/>
      <c r="I21" s="40"/>
      <c r="J21" s="40"/>
      <c r="K21" s="40"/>
      <c r="L21" s="40"/>
      <c r="M21" s="40"/>
      <c r="N21" s="40"/>
      <c r="O21" s="40"/>
      <c r="P21" s="40"/>
      <c r="Q21" s="40"/>
      <c r="R21" s="40"/>
      <c r="S21" s="40"/>
      <c r="T21" s="40"/>
      <c r="U21" s="40"/>
      <c r="V21" s="40"/>
      <c r="W21" s="40"/>
      <c r="X21" s="40"/>
      <c r="Y21" s="40"/>
      <c r="Z21" s="40"/>
    </row>
    <row r="22">
      <c r="A22" s="3" t="s">
        <v>119</v>
      </c>
      <c r="B22" s="3" t="s">
        <v>78</v>
      </c>
      <c r="C22" s="3" t="s">
        <v>120</v>
      </c>
      <c r="D22" s="3" t="s">
        <v>112</v>
      </c>
      <c r="E22" s="3" t="s">
        <v>80</v>
      </c>
      <c r="F22" s="49" t="s">
        <v>121</v>
      </c>
      <c r="G22" s="3" t="s">
        <v>82</v>
      </c>
      <c r="H22" s="3" t="s">
        <v>103</v>
      </c>
      <c r="I22" s="3" t="s">
        <v>104</v>
      </c>
      <c r="J22" s="3" t="s">
        <v>85</v>
      </c>
      <c r="K22" s="3" t="s">
        <v>8</v>
      </c>
      <c r="L22" s="58" t="s">
        <v>122</v>
      </c>
      <c r="M22" s="55"/>
      <c r="N22" s="56"/>
      <c r="O22" s="40"/>
      <c r="P22" s="40"/>
      <c r="Q22" s="40"/>
      <c r="R22" s="40"/>
      <c r="S22" s="40"/>
      <c r="T22" s="40"/>
      <c r="U22" s="40"/>
      <c r="V22" s="40"/>
      <c r="W22" s="40"/>
      <c r="X22" s="40"/>
      <c r="Y22" s="40"/>
      <c r="Z22" s="40"/>
    </row>
    <row r="23">
      <c r="A23" s="40"/>
      <c r="B23" s="40"/>
      <c r="C23" s="40"/>
      <c r="D23" s="40"/>
      <c r="E23" s="40"/>
      <c r="F23" s="54"/>
      <c r="G23" s="40"/>
      <c r="H23" s="40"/>
      <c r="I23" s="40"/>
      <c r="J23" s="40"/>
      <c r="K23" s="40"/>
      <c r="L23" s="40"/>
      <c r="M23" s="40"/>
      <c r="N23" s="40"/>
      <c r="O23" s="40"/>
      <c r="P23" s="40"/>
      <c r="Q23" s="40"/>
      <c r="R23" s="40"/>
      <c r="S23" s="40"/>
      <c r="T23" s="40"/>
      <c r="U23" s="40"/>
      <c r="V23" s="40"/>
      <c r="W23" s="40"/>
      <c r="X23" s="40"/>
      <c r="Y23" s="40"/>
      <c r="Z23" s="40"/>
    </row>
    <row r="24">
      <c r="A24" s="3" t="s">
        <v>123</v>
      </c>
      <c r="B24" s="3" t="s">
        <v>78</v>
      </c>
      <c r="C24" s="3" t="s">
        <v>78</v>
      </c>
      <c r="D24" s="3" t="s">
        <v>124</v>
      </c>
      <c r="E24" s="3" t="s">
        <v>80</v>
      </c>
      <c r="F24" s="49" t="s">
        <v>125</v>
      </c>
      <c r="G24" s="3" t="s">
        <v>82</v>
      </c>
      <c r="H24" s="3" t="s">
        <v>126</v>
      </c>
      <c r="I24" s="3" t="s">
        <v>127</v>
      </c>
      <c r="J24" s="3" t="s">
        <v>85</v>
      </c>
      <c r="K24" s="3" t="s">
        <v>11</v>
      </c>
      <c r="L24" s="50" t="s">
        <v>128</v>
      </c>
      <c r="M24" s="55"/>
      <c r="N24" s="55"/>
      <c r="O24" s="40"/>
      <c r="P24" s="40"/>
      <c r="Q24" s="40"/>
      <c r="R24" s="40"/>
      <c r="S24" s="40"/>
      <c r="T24" s="40"/>
      <c r="U24" s="40"/>
      <c r="V24" s="40"/>
      <c r="W24" s="40"/>
      <c r="X24" s="40"/>
      <c r="Y24" s="40"/>
      <c r="Z24" s="40"/>
    </row>
    <row r="25">
      <c r="A25" s="40"/>
      <c r="B25" s="40"/>
      <c r="C25" s="40"/>
      <c r="D25" s="40"/>
      <c r="E25" s="40"/>
      <c r="F25" s="54"/>
      <c r="G25" s="40"/>
      <c r="H25" s="40"/>
      <c r="I25" s="40"/>
      <c r="J25" s="40"/>
      <c r="K25" s="40"/>
      <c r="L25" s="40"/>
      <c r="M25" s="40"/>
      <c r="N25" s="40"/>
      <c r="O25" s="40"/>
      <c r="P25" s="40"/>
      <c r="Q25" s="40"/>
      <c r="R25" s="40"/>
      <c r="S25" s="40"/>
      <c r="T25" s="40"/>
      <c r="U25" s="40"/>
      <c r="V25" s="40"/>
      <c r="W25" s="40"/>
      <c r="X25" s="40"/>
      <c r="Y25" s="40"/>
      <c r="Z25" s="40"/>
    </row>
    <row r="26">
      <c r="A26" s="3" t="s">
        <v>129</v>
      </c>
      <c r="B26" s="3" t="s">
        <v>130</v>
      </c>
      <c r="C26" s="3" t="s">
        <v>130</v>
      </c>
      <c r="D26" s="3" t="s">
        <v>131</v>
      </c>
      <c r="E26" s="3" t="s">
        <v>80</v>
      </c>
      <c r="F26" s="49" t="s">
        <v>132</v>
      </c>
      <c r="G26" s="3" t="s">
        <v>82</v>
      </c>
      <c r="H26" s="3" t="s">
        <v>133</v>
      </c>
      <c r="I26" s="3" t="s">
        <v>134</v>
      </c>
      <c r="J26" s="3" t="s">
        <v>85</v>
      </c>
      <c r="K26" s="3" t="s">
        <v>11</v>
      </c>
      <c r="L26" s="51" t="s">
        <v>135</v>
      </c>
      <c r="M26" s="52"/>
      <c r="N26" s="52"/>
      <c r="O26" s="47"/>
      <c r="P26" s="47"/>
      <c r="Q26" s="47"/>
      <c r="R26" s="47"/>
      <c r="S26" s="47"/>
      <c r="T26" s="47"/>
      <c r="U26" s="47"/>
      <c r="V26" s="47"/>
      <c r="W26" s="47"/>
      <c r="X26" s="47"/>
      <c r="Y26" s="47"/>
      <c r="Z26" s="47"/>
    </row>
    <row r="27">
      <c r="A27" s="40"/>
      <c r="B27" s="40"/>
      <c r="C27" s="40"/>
      <c r="D27" s="40"/>
      <c r="E27" s="40"/>
      <c r="F27" s="54"/>
      <c r="G27" s="40"/>
      <c r="H27" s="40"/>
      <c r="I27" s="40"/>
      <c r="J27" s="40"/>
      <c r="K27" s="40"/>
      <c r="L27" s="40"/>
      <c r="M27" s="40"/>
      <c r="N27" s="40"/>
      <c r="O27" s="40"/>
      <c r="P27" s="40"/>
      <c r="Q27" s="40"/>
      <c r="R27" s="40"/>
      <c r="S27" s="40"/>
      <c r="T27" s="40"/>
      <c r="U27" s="40"/>
      <c r="V27" s="40"/>
      <c r="W27" s="40"/>
      <c r="X27" s="40"/>
      <c r="Y27" s="40"/>
      <c r="Z27" s="40"/>
    </row>
    <row r="28">
      <c r="A28" s="3" t="s">
        <v>136</v>
      </c>
      <c r="B28" s="3" t="s">
        <v>130</v>
      </c>
      <c r="C28" s="3" t="s">
        <v>130</v>
      </c>
      <c r="D28" s="3" t="s">
        <v>137</v>
      </c>
      <c r="E28" s="3" t="s">
        <v>80</v>
      </c>
      <c r="F28" s="49" t="s">
        <v>138</v>
      </c>
      <c r="G28" s="3" t="s">
        <v>82</v>
      </c>
      <c r="H28" s="3" t="s">
        <v>139</v>
      </c>
      <c r="I28" s="3" t="s">
        <v>140</v>
      </c>
      <c r="J28" s="3" t="s">
        <v>85</v>
      </c>
      <c r="K28" s="3" t="s">
        <v>8</v>
      </c>
      <c r="L28" s="50" t="s">
        <v>141</v>
      </c>
      <c r="M28" s="55"/>
      <c r="N28" s="55"/>
      <c r="O28" s="40"/>
      <c r="P28" s="40"/>
      <c r="Q28" s="40"/>
      <c r="R28" s="40"/>
      <c r="S28" s="40"/>
      <c r="T28" s="40"/>
      <c r="U28" s="40"/>
      <c r="V28" s="40"/>
      <c r="W28" s="40"/>
      <c r="X28" s="40"/>
      <c r="Y28" s="40"/>
      <c r="Z28" s="40"/>
    </row>
    <row r="29">
      <c r="A29" s="40"/>
      <c r="B29" s="40"/>
      <c r="C29" s="40"/>
      <c r="D29" s="40"/>
      <c r="E29" s="40"/>
      <c r="F29" s="54"/>
      <c r="G29" s="40"/>
      <c r="H29" s="40"/>
      <c r="I29" s="40"/>
      <c r="J29" s="40"/>
      <c r="K29" s="40"/>
      <c r="L29" s="40"/>
      <c r="M29" s="40"/>
      <c r="N29" s="40"/>
      <c r="O29" s="40"/>
      <c r="P29" s="40"/>
      <c r="Q29" s="40"/>
      <c r="R29" s="40"/>
      <c r="S29" s="40"/>
      <c r="T29" s="40"/>
      <c r="U29" s="40"/>
      <c r="V29" s="40"/>
      <c r="W29" s="40"/>
      <c r="X29" s="40"/>
      <c r="Y29" s="40"/>
      <c r="Z29" s="40"/>
    </row>
    <row r="30">
      <c r="A30" s="3" t="s">
        <v>142</v>
      </c>
      <c r="B30" s="3" t="s">
        <v>143</v>
      </c>
      <c r="C30" s="3" t="s">
        <v>143</v>
      </c>
      <c r="D30" s="3" t="s">
        <v>144</v>
      </c>
      <c r="E30" s="3" t="s">
        <v>80</v>
      </c>
      <c r="F30" s="49" t="s">
        <v>145</v>
      </c>
      <c r="G30" s="3" t="s">
        <v>82</v>
      </c>
      <c r="H30" s="3" t="s">
        <v>146</v>
      </c>
      <c r="I30" s="3" t="s">
        <v>147</v>
      </c>
      <c r="J30" s="3" t="s">
        <v>85</v>
      </c>
      <c r="K30" s="3" t="s">
        <v>6</v>
      </c>
      <c r="L30" s="50" t="s">
        <v>148</v>
      </c>
      <c r="M30" s="55"/>
      <c r="N30" s="55"/>
      <c r="O30" s="40"/>
      <c r="P30" s="40"/>
      <c r="Q30" s="40"/>
      <c r="R30" s="40"/>
      <c r="S30" s="40"/>
      <c r="T30" s="40"/>
      <c r="U30" s="40"/>
      <c r="V30" s="40"/>
      <c r="W30" s="40"/>
      <c r="X30" s="40"/>
      <c r="Y30" s="40"/>
      <c r="Z30" s="40"/>
    </row>
    <row r="31">
      <c r="A31" s="40"/>
      <c r="B31" s="40"/>
      <c r="C31" s="40"/>
      <c r="D31" s="40"/>
      <c r="E31" s="40"/>
      <c r="F31" s="54"/>
      <c r="G31" s="40"/>
      <c r="H31" s="40"/>
      <c r="I31" s="40"/>
      <c r="J31" s="40"/>
      <c r="K31" s="40"/>
      <c r="L31" s="40"/>
      <c r="M31" s="40"/>
      <c r="N31" s="40"/>
      <c r="O31" s="40"/>
      <c r="P31" s="40"/>
      <c r="Q31" s="40"/>
      <c r="R31" s="40"/>
      <c r="S31" s="40"/>
      <c r="T31" s="40"/>
      <c r="U31" s="40"/>
      <c r="V31" s="40"/>
      <c r="W31" s="40"/>
      <c r="X31" s="40"/>
      <c r="Y31" s="40"/>
      <c r="Z31" s="40"/>
    </row>
    <row r="32">
      <c r="A32" s="3" t="s">
        <v>149</v>
      </c>
      <c r="B32" s="3" t="s">
        <v>143</v>
      </c>
      <c r="C32" s="3" t="s">
        <v>143</v>
      </c>
      <c r="D32" s="3" t="s">
        <v>150</v>
      </c>
      <c r="E32" s="3" t="s">
        <v>80</v>
      </c>
      <c r="F32" s="49" t="s">
        <v>151</v>
      </c>
      <c r="G32" s="3" t="s">
        <v>82</v>
      </c>
      <c r="H32" s="3" t="s">
        <v>152</v>
      </c>
      <c r="I32" s="3" t="s">
        <v>153</v>
      </c>
      <c r="J32" s="3" t="s">
        <v>85</v>
      </c>
      <c r="K32" s="3" t="s">
        <v>11</v>
      </c>
      <c r="L32" s="50" t="s">
        <v>154</v>
      </c>
      <c r="M32" s="55"/>
      <c r="N32" s="55"/>
      <c r="O32" s="40"/>
      <c r="P32" s="40"/>
      <c r="Q32" s="40"/>
      <c r="R32" s="40"/>
      <c r="S32" s="40"/>
      <c r="T32" s="40"/>
      <c r="U32" s="40"/>
      <c r="V32" s="40"/>
      <c r="W32" s="40"/>
      <c r="X32" s="40"/>
      <c r="Y32" s="40"/>
      <c r="Z32" s="40"/>
    </row>
    <row r="33">
      <c r="A33" s="40"/>
      <c r="B33" s="40"/>
      <c r="C33" s="40"/>
      <c r="D33" s="40"/>
      <c r="E33" s="40"/>
      <c r="F33" s="54"/>
      <c r="G33" s="40"/>
      <c r="H33" s="40"/>
      <c r="I33" s="40"/>
      <c r="J33" s="40"/>
      <c r="K33" s="40"/>
      <c r="L33" s="40"/>
      <c r="M33" s="40"/>
      <c r="N33" s="40"/>
      <c r="O33" s="40"/>
      <c r="P33" s="40"/>
      <c r="Q33" s="40"/>
      <c r="R33" s="40"/>
      <c r="S33" s="40"/>
      <c r="T33" s="40"/>
      <c r="U33" s="40"/>
      <c r="V33" s="40"/>
      <c r="W33" s="40"/>
      <c r="X33" s="40"/>
      <c r="Y33" s="40"/>
      <c r="Z33" s="40"/>
    </row>
    <row r="34">
      <c r="A34" s="3" t="s">
        <v>155</v>
      </c>
      <c r="B34" s="3" t="s">
        <v>143</v>
      </c>
      <c r="C34" s="3" t="s">
        <v>143</v>
      </c>
      <c r="D34" s="3" t="s">
        <v>156</v>
      </c>
      <c r="E34" s="3" t="s">
        <v>80</v>
      </c>
      <c r="F34" s="49" t="s">
        <v>157</v>
      </c>
      <c r="G34" s="3" t="s">
        <v>82</v>
      </c>
      <c r="H34" s="3" t="s">
        <v>158</v>
      </c>
      <c r="I34" s="3" t="s">
        <v>159</v>
      </c>
      <c r="J34" s="3" t="s">
        <v>85</v>
      </c>
      <c r="K34" s="3" t="s">
        <v>8</v>
      </c>
      <c r="L34" s="50" t="s">
        <v>160</v>
      </c>
      <c r="M34" s="55"/>
      <c r="N34" s="55"/>
      <c r="O34" s="40"/>
      <c r="P34" s="40"/>
      <c r="Q34" s="40"/>
      <c r="R34" s="40"/>
      <c r="S34" s="40"/>
      <c r="T34" s="40"/>
      <c r="U34" s="40"/>
      <c r="V34" s="40"/>
      <c r="W34" s="40"/>
      <c r="X34" s="40"/>
      <c r="Y34" s="40"/>
      <c r="Z34" s="40"/>
    </row>
    <row r="35">
      <c r="A35" s="40"/>
      <c r="B35" s="40"/>
      <c r="C35" s="40"/>
      <c r="D35" s="40"/>
      <c r="E35" s="40"/>
      <c r="F35" s="54"/>
      <c r="G35" s="40"/>
      <c r="H35" s="40"/>
      <c r="I35" s="40"/>
      <c r="J35" s="40"/>
      <c r="K35" s="40"/>
      <c r="L35" s="40"/>
      <c r="M35" s="40"/>
      <c r="N35" s="40"/>
      <c r="O35" s="40"/>
      <c r="P35" s="40"/>
      <c r="Q35" s="40"/>
      <c r="R35" s="40"/>
      <c r="S35" s="40"/>
      <c r="T35" s="40"/>
      <c r="U35" s="40"/>
      <c r="V35" s="40"/>
      <c r="W35" s="40"/>
      <c r="X35" s="40"/>
      <c r="Y35" s="40"/>
      <c r="Z35" s="40"/>
    </row>
    <row r="36">
      <c r="A36" s="3" t="s">
        <v>161</v>
      </c>
      <c r="B36" s="3" t="s">
        <v>143</v>
      </c>
      <c r="C36" s="3" t="s">
        <v>143</v>
      </c>
      <c r="D36" s="3" t="s">
        <v>162</v>
      </c>
      <c r="E36" s="3" t="s">
        <v>80</v>
      </c>
      <c r="F36" s="49" t="s">
        <v>163</v>
      </c>
      <c r="G36" s="3" t="s">
        <v>82</v>
      </c>
      <c r="H36" s="3" t="s">
        <v>164</v>
      </c>
      <c r="I36" s="3" t="s">
        <v>165</v>
      </c>
      <c r="J36" s="3" t="s">
        <v>85</v>
      </c>
      <c r="K36" s="3" t="s">
        <v>6</v>
      </c>
      <c r="L36" s="50" t="s">
        <v>166</v>
      </c>
      <c r="M36" s="3" t="s">
        <v>167</v>
      </c>
      <c r="N36" s="55"/>
      <c r="O36" s="40"/>
      <c r="P36" s="40"/>
      <c r="Q36" s="40"/>
      <c r="R36" s="40"/>
      <c r="S36" s="40"/>
      <c r="T36" s="40"/>
      <c r="U36" s="40"/>
      <c r="V36" s="40"/>
      <c r="W36" s="40"/>
      <c r="X36" s="40"/>
      <c r="Y36" s="40"/>
      <c r="Z36" s="40"/>
    </row>
    <row r="37">
      <c r="A37" s="40"/>
      <c r="B37" s="40"/>
      <c r="C37" s="40"/>
      <c r="D37" s="40"/>
      <c r="E37" s="40"/>
      <c r="F37" s="54"/>
      <c r="G37" s="40"/>
      <c r="H37" s="40"/>
      <c r="I37" s="40"/>
      <c r="J37" s="40"/>
      <c r="K37" s="40"/>
      <c r="L37" s="40"/>
      <c r="M37" s="40"/>
      <c r="N37" s="40"/>
      <c r="O37" s="40"/>
      <c r="P37" s="40"/>
      <c r="Q37" s="40"/>
      <c r="R37" s="40"/>
      <c r="S37" s="40"/>
      <c r="T37" s="40"/>
      <c r="U37" s="40"/>
      <c r="V37" s="40"/>
      <c r="W37" s="40"/>
      <c r="X37" s="40"/>
      <c r="Y37" s="40"/>
      <c r="Z37" s="40"/>
    </row>
    <row r="38">
      <c r="A38" s="3" t="s">
        <v>168</v>
      </c>
      <c r="B38" s="3" t="s">
        <v>143</v>
      </c>
      <c r="C38" s="3" t="s">
        <v>143</v>
      </c>
      <c r="D38" s="3" t="s">
        <v>162</v>
      </c>
      <c r="E38" s="3" t="s">
        <v>80</v>
      </c>
      <c r="F38" s="49" t="s">
        <v>169</v>
      </c>
      <c r="G38" s="3" t="s">
        <v>82</v>
      </c>
      <c r="H38" s="3" t="s">
        <v>170</v>
      </c>
      <c r="I38" s="3" t="s">
        <v>171</v>
      </c>
      <c r="J38" s="3" t="s">
        <v>85</v>
      </c>
      <c r="K38" s="3" t="s">
        <v>6</v>
      </c>
      <c r="L38" s="50" t="s">
        <v>172</v>
      </c>
      <c r="M38" s="3" t="s">
        <v>173</v>
      </c>
      <c r="N38" s="55"/>
      <c r="O38" s="40"/>
      <c r="P38" s="40"/>
      <c r="Q38" s="40"/>
      <c r="R38" s="40"/>
      <c r="S38" s="40"/>
      <c r="T38" s="40"/>
      <c r="U38" s="40"/>
      <c r="V38" s="40"/>
      <c r="W38" s="40"/>
      <c r="X38" s="40"/>
      <c r="Y38" s="40"/>
      <c r="Z38" s="40"/>
    </row>
    <row r="39">
      <c r="A39" s="40"/>
      <c r="B39" s="40"/>
      <c r="C39" s="40"/>
      <c r="D39" s="40"/>
      <c r="E39" s="40"/>
      <c r="F39" s="54"/>
      <c r="G39" s="40"/>
      <c r="H39" s="40"/>
      <c r="I39" s="40"/>
      <c r="J39" s="40"/>
      <c r="K39" s="40"/>
      <c r="L39" s="40"/>
      <c r="M39" s="40"/>
      <c r="N39" s="40"/>
      <c r="O39" s="40"/>
      <c r="P39" s="40"/>
      <c r="Q39" s="40"/>
      <c r="R39" s="40"/>
      <c r="S39" s="40"/>
      <c r="T39" s="40"/>
      <c r="U39" s="40"/>
      <c r="V39" s="40"/>
      <c r="W39" s="40"/>
      <c r="X39" s="40"/>
      <c r="Y39" s="40"/>
      <c r="Z39" s="40"/>
    </row>
    <row r="40">
      <c r="A40" s="3" t="s">
        <v>174</v>
      </c>
      <c r="B40" s="3" t="s">
        <v>143</v>
      </c>
      <c r="C40" s="3" t="s">
        <v>143</v>
      </c>
      <c r="D40" s="3" t="s">
        <v>175</v>
      </c>
      <c r="E40" s="3" t="s">
        <v>80</v>
      </c>
      <c r="F40" s="49" t="s">
        <v>176</v>
      </c>
      <c r="G40" s="3" t="s">
        <v>82</v>
      </c>
      <c r="H40" s="3" t="s">
        <v>177</v>
      </c>
      <c r="I40" s="3" t="s">
        <v>178</v>
      </c>
      <c r="J40" s="3" t="s">
        <v>85</v>
      </c>
      <c r="K40" s="3" t="s">
        <v>6</v>
      </c>
      <c r="L40" s="50" t="s">
        <v>172</v>
      </c>
      <c r="M40" s="3" t="s">
        <v>179</v>
      </c>
      <c r="N40" s="55"/>
      <c r="O40" s="40"/>
      <c r="P40" s="40"/>
      <c r="Q40" s="40"/>
      <c r="R40" s="40"/>
      <c r="S40" s="40"/>
      <c r="T40" s="40"/>
      <c r="U40" s="40"/>
      <c r="V40" s="40"/>
      <c r="W40" s="40"/>
      <c r="X40" s="40"/>
      <c r="Y40" s="40"/>
      <c r="Z40" s="40"/>
    </row>
    <row r="41">
      <c r="A41" s="40"/>
      <c r="B41" s="40"/>
      <c r="C41" s="40"/>
      <c r="D41" s="40"/>
      <c r="E41" s="40"/>
      <c r="F41" s="54"/>
      <c r="G41" s="40"/>
      <c r="H41" s="40"/>
      <c r="I41" s="40"/>
      <c r="J41" s="40"/>
      <c r="K41" s="40"/>
      <c r="L41" s="40"/>
      <c r="M41" s="40"/>
      <c r="N41" s="40"/>
      <c r="O41" s="40"/>
      <c r="P41" s="40"/>
      <c r="Q41" s="40"/>
      <c r="R41" s="40"/>
      <c r="S41" s="40"/>
      <c r="T41" s="40"/>
      <c r="U41" s="40"/>
      <c r="V41" s="40"/>
      <c r="W41" s="40"/>
      <c r="X41" s="40"/>
      <c r="Y41" s="40"/>
      <c r="Z41" s="40"/>
    </row>
    <row r="42">
      <c r="A42" s="3" t="s">
        <v>180</v>
      </c>
      <c r="B42" s="3" t="s">
        <v>143</v>
      </c>
      <c r="C42" s="3" t="s">
        <v>143</v>
      </c>
      <c r="D42" s="3" t="s">
        <v>181</v>
      </c>
      <c r="E42" s="3" t="s">
        <v>80</v>
      </c>
      <c r="F42" s="49" t="s">
        <v>182</v>
      </c>
      <c r="G42" s="3" t="s">
        <v>82</v>
      </c>
      <c r="H42" s="3" t="s">
        <v>183</v>
      </c>
      <c r="I42" s="3" t="s">
        <v>184</v>
      </c>
      <c r="J42" s="3" t="s">
        <v>85</v>
      </c>
      <c r="K42" s="3" t="s">
        <v>6</v>
      </c>
      <c r="L42" s="58" t="s">
        <v>185</v>
      </c>
      <c r="M42" s="59"/>
      <c r="N42" s="55"/>
      <c r="O42" s="40"/>
      <c r="P42" s="40"/>
      <c r="Q42" s="40"/>
      <c r="R42" s="40"/>
      <c r="S42" s="40"/>
      <c r="T42" s="40"/>
      <c r="U42" s="40"/>
      <c r="V42" s="40"/>
      <c r="W42" s="40"/>
      <c r="X42" s="40"/>
      <c r="Y42" s="40"/>
      <c r="Z42" s="40"/>
    </row>
    <row r="43">
      <c r="A43" s="40"/>
      <c r="B43" s="40"/>
      <c r="C43" s="40"/>
      <c r="D43" s="40"/>
      <c r="E43" s="40"/>
      <c r="F43" s="54"/>
      <c r="G43" s="40"/>
      <c r="H43" s="40"/>
      <c r="I43" s="40"/>
      <c r="J43" s="40"/>
      <c r="K43" s="40"/>
      <c r="L43" s="40"/>
      <c r="M43" s="40"/>
      <c r="N43" s="40"/>
      <c r="O43" s="40"/>
      <c r="P43" s="40"/>
      <c r="Q43" s="40"/>
      <c r="R43" s="40"/>
      <c r="S43" s="40"/>
      <c r="T43" s="40"/>
      <c r="U43" s="40"/>
      <c r="V43" s="40"/>
      <c r="W43" s="40"/>
      <c r="X43" s="40"/>
      <c r="Y43" s="40"/>
      <c r="Z43" s="40"/>
    </row>
    <row r="44">
      <c r="A44" s="3" t="s">
        <v>186</v>
      </c>
      <c r="B44" s="3" t="s">
        <v>143</v>
      </c>
      <c r="C44" s="3" t="s">
        <v>143</v>
      </c>
      <c r="D44" s="3" t="s">
        <v>187</v>
      </c>
      <c r="E44" s="3" t="s">
        <v>80</v>
      </c>
      <c r="F44" s="49" t="s">
        <v>188</v>
      </c>
      <c r="G44" s="3" t="s">
        <v>82</v>
      </c>
      <c r="H44" s="3" t="s">
        <v>126</v>
      </c>
      <c r="I44" s="3" t="s">
        <v>127</v>
      </c>
      <c r="J44" s="3" t="s">
        <v>85</v>
      </c>
      <c r="K44" s="3" t="s">
        <v>8</v>
      </c>
      <c r="L44" s="50" t="s">
        <v>189</v>
      </c>
      <c r="M44" s="55"/>
      <c r="N44" s="55"/>
      <c r="O44" s="40"/>
      <c r="P44" s="40"/>
      <c r="Q44" s="40"/>
      <c r="R44" s="40"/>
      <c r="S44" s="40"/>
      <c r="T44" s="40"/>
      <c r="U44" s="40"/>
      <c r="V44" s="40"/>
      <c r="W44" s="40"/>
      <c r="X44" s="40"/>
      <c r="Y44" s="40"/>
      <c r="Z44" s="40"/>
    </row>
    <row r="45">
      <c r="A45" s="40"/>
      <c r="B45" s="40"/>
      <c r="C45" s="40"/>
      <c r="D45" s="40"/>
      <c r="E45" s="40"/>
      <c r="F45" s="54"/>
      <c r="G45" s="40"/>
      <c r="H45" s="40"/>
      <c r="I45" s="40"/>
      <c r="J45" s="40"/>
      <c r="K45" s="40"/>
      <c r="L45" s="40"/>
      <c r="M45" s="40"/>
      <c r="N45" s="40"/>
      <c r="O45" s="40"/>
      <c r="P45" s="40"/>
      <c r="Q45" s="40"/>
      <c r="R45" s="40"/>
      <c r="S45" s="40"/>
      <c r="T45" s="40"/>
      <c r="U45" s="40"/>
      <c r="V45" s="40"/>
      <c r="W45" s="40"/>
      <c r="X45" s="40"/>
      <c r="Y45" s="40"/>
      <c r="Z45" s="40"/>
    </row>
    <row r="46">
      <c r="A46" s="3" t="s">
        <v>190</v>
      </c>
      <c r="B46" s="3" t="s">
        <v>191</v>
      </c>
      <c r="C46" s="3" t="s">
        <v>192</v>
      </c>
      <c r="D46" s="3" t="s">
        <v>193</v>
      </c>
      <c r="E46" s="3" t="s">
        <v>80</v>
      </c>
      <c r="F46" s="49" t="s">
        <v>194</v>
      </c>
      <c r="G46" s="3" t="s">
        <v>82</v>
      </c>
      <c r="H46" s="3" t="s">
        <v>195</v>
      </c>
      <c r="I46" s="3" t="s">
        <v>196</v>
      </c>
      <c r="J46" s="3" t="s">
        <v>85</v>
      </c>
      <c r="K46" s="3" t="s">
        <v>6</v>
      </c>
      <c r="L46" s="50" t="s">
        <v>197</v>
      </c>
      <c r="M46" s="55"/>
      <c r="N46" s="55"/>
      <c r="O46" s="40"/>
      <c r="P46" s="40"/>
      <c r="Q46" s="40"/>
      <c r="R46" s="40"/>
      <c r="S46" s="40"/>
      <c r="T46" s="40"/>
      <c r="U46" s="40"/>
      <c r="V46" s="40"/>
      <c r="W46" s="40"/>
      <c r="X46" s="40"/>
      <c r="Y46" s="40"/>
      <c r="Z46" s="40"/>
    </row>
    <row r="47">
      <c r="A47" s="40"/>
      <c r="B47" s="40"/>
      <c r="C47" s="40"/>
      <c r="D47" s="40"/>
      <c r="E47" s="40"/>
      <c r="F47" s="54"/>
      <c r="G47" s="40"/>
      <c r="H47" s="40"/>
      <c r="I47" s="40"/>
      <c r="J47" s="40"/>
      <c r="K47" s="40"/>
      <c r="L47" s="40"/>
      <c r="M47" s="40"/>
      <c r="N47" s="40"/>
      <c r="O47" s="40"/>
      <c r="P47" s="40"/>
      <c r="Q47" s="40"/>
      <c r="R47" s="40"/>
      <c r="S47" s="40"/>
      <c r="T47" s="40"/>
      <c r="U47" s="40"/>
      <c r="V47" s="40"/>
      <c r="W47" s="40"/>
      <c r="X47" s="40"/>
      <c r="Y47" s="40"/>
      <c r="Z47" s="40"/>
    </row>
    <row r="48">
      <c r="A48" s="3" t="s">
        <v>198</v>
      </c>
      <c r="B48" s="3" t="s">
        <v>191</v>
      </c>
      <c r="C48" s="3" t="s">
        <v>192</v>
      </c>
      <c r="D48" s="3" t="s">
        <v>199</v>
      </c>
      <c r="E48" s="3" t="s">
        <v>80</v>
      </c>
      <c r="F48" s="49" t="s">
        <v>200</v>
      </c>
      <c r="G48" s="3" t="s">
        <v>82</v>
      </c>
      <c r="H48" s="3" t="s">
        <v>201</v>
      </c>
      <c r="I48" s="3" t="s">
        <v>202</v>
      </c>
      <c r="J48" s="3" t="s">
        <v>85</v>
      </c>
      <c r="K48" s="3" t="s">
        <v>11</v>
      </c>
      <c r="L48" s="50" t="s">
        <v>203</v>
      </c>
      <c r="M48" s="55"/>
      <c r="N48" s="55"/>
      <c r="O48" s="40"/>
      <c r="P48" s="40"/>
      <c r="Q48" s="40"/>
      <c r="R48" s="40"/>
      <c r="S48" s="40"/>
      <c r="T48" s="40"/>
      <c r="U48" s="40"/>
      <c r="V48" s="40"/>
      <c r="W48" s="40"/>
      <c r="X48" s="40"/>
      <c r="Y48" s="40"/>
      <c r="Z48" s="40"/>
    </row>
    <row r="49">
      <c r="A49" s="40"/>
      <c r="B49" s="40"/>
      <c r="C49" s="40"/>
      <c r="D49" s="40"/>
      <c r="E49" s="40"/>
      <c r="F49" s="54"/>
      <c r="G49" s="40"/>
      <c r="H49" s="40"/>
      <c r="I49" s="40"/>
      <c r="J49" s="40"/>
      <c r="K49" s="40"/>
      <c r="L49" s="40"/>
      <c r="M49" s="40"/>
      <c r="N49" s="40"/>
      <c r="O49" s="40"/>
      <c r="P49" s="40"/>
      <c r="Q49" s="40"/>
      <c r="R49" s="40"/>
      <c r="S49" s="40"/>
      <c r="T49" s="40"/>
      <c r="U49" s="40"/>
      <c r="V49" s="40"/>
      <c r="W49" s="40"/>
      <c r="X49" s="40"/>
      <c r="Y49" s="40"/>
      <c r="Z49" s="40"/>
    </row>
    <row r="50">
      <c r="A50" s="3" t="s">
        <v>204</v>
      </c>
      <c r="B50" s="3" t="s">
        <v>191</v>
      </c>
      <c r="C50" s="3" t="s">
        <v>192</v>
      </c>
      <c r="D50" s="3" t="s">
        <v>205</v>
      </c>
      <c r="E50" s="3" t="s">
        <v>80</v>
      </c>
      <c r="F50" s="49" t="s">
        <v>206</v>
      </c>
      <c r="G50" s="3" t="s">
        <v>82</v>
      </c>
      <c r="H50" s="3" t="s">
        <v>207</v>
      </c>
      <c r="I50" s="3" t="s">
        <v>208</v>
      </c>
      <c r="J50" s="3" t="s">
        <v>85</v>
      </c>
      <c r="K50" s="3" t="s">
        <v>8</v>
      </c>
      <c r="L50" s="50" t="s">
        <v>209</v>
      </c>
      <c r="M50" s="55"/>
      <c r="N50" s="55"/>
      <c r="O50" s="40"/>
      <c r="P50" s="40"/>
      <c r="Q50" s="40"/>
      <c r="R50" s="40"/>
      <c r="S50" s="40"/>
      <c r="T50" s="40"/>
      <c r="U50" s="40"/>
      <c r="V50" s="40"/>
      <c r="W50" s="40"/>
      <c r="X50" s="40"/>
      <c r="Y50" s="40"/>
      <c r="Z50" s="40"/>
    </row>
    <row r="51">
      <c r="A51" s="40"/>
      <c r="B51" s="40"/>
      <c r="C51" s="40"/>
      <c r="D51" s="40"/>
      <c r="E51" s="40"/>
      <c r="F51" s="54"/>
      <c r="G51" s="40"/>
      <c r="H51" s="40"/>
      <c r="I51" s="40"/>
      <c r="J51" s="40"/>
      <c r="K51" s="40"/>
      <c r="L51" s="40"/>
      <c r="M51" s="40"/>
      <c r="N51" s="40"/>
      <c r="O51" s="40"/>
      <c r="P51" s="40"/>
      <c r="Q51" s="40"/>
      <c r="R51" s="40"/>
      <c r="S51" s="40"/>
      <c r="T51" s="40"/>
      <c r="U51" s="40"/>
      <c r="V51" s="40"/>
      <c r="W51" s="40"/>
      <c r="X51" s="40"/>
      <c r="Y51" s="40"/>
      <c r="Z51" s="40"/>
    </row>
    <row r="52">
      <c r="A52" s="3" t="s">
        <v>210</v>
      </c>
      <c r="B52" s="3" t="s">
        <v>191</v>
      </c>
      <c r="C52" s="3" t="s">
        <v>192</v>
      </c>
      <c r="D52" s="3" t="s">
        <v>211</v>
      </c>
      <c r="E52" s="3" t="s">
        <v>80</v>
      </c>
      <c r="F52" s="49" t="s">
        <v>212</v>
      </c>
      <c r="G52" s="3" t="s">
        <v>82</v>
      </c>
      <c r="H52" s="3" t="s">
        <v>213</v>
      </c>
      <c r="I52" s="3" t="s">
        <v>214</v>
      </c>
      <c r="J52" s="3" t="s">
        <v>85</v>
      </c>
      <c r="K52" s="3" t="s">
        <v>11</v>
      </c>
      <c r="L52" s="50" t="s">
        <v>215</v>
      </c>
      <c r="M52" s="55"/>
      <c r="N52" s="55"/>
      <c r="O52" s="40"/>
      <c r="P52" s="40"/>
      <c r="Q52" s="40"/>
      <c r="R52" s="40"/>
      <c r="S52" s="40"/>
      <c r="T52" s="40"/>
      <c r="U52" s="40"/>
      <c r="V52" s="40"/>
      <c r="W52" s="40"/>
      <c r="X52" s="40"/>
      <c r="Y52" s="40"/>
      <c r="Z52" s="40"/>
    </row>
    <row r="53">
      <c r="A53" s="40"/>
      <c r="B53" s="40"/>
      <c r="C53" s="40"/>
      <c r="D53" s="40"/>
      <c r="E53" s="40"/>
      <c r="F53" s="54"/>
      <c r="G53" s="40"/>
      <c r="H53" s="40"/>
      <c r="I53" s="40"/>
      <c r="J53" s="40"/>
      <c r="K53" s="40"/>
      <c r="L53" s="40"/>
      <c r="M53" s="40"/>
      <c r="N53" s="40"/>
      <c r="O53" s="40"/>
      <c r="P53" s="40"/>
      <c r="Q53" s="40"/>
      <c r="R53" s="40"/>
      <c r="S53" s="40"/>
      <c r="T53" s="40"/>
      <c r="U53" s="40"/>
      <c r="V53" s="40"/>
      <c r="W53" s="40"/>
      <c r="X53" s="40"/>
      <c r="Y53" s="40"/>
      <c r="Z53" s="40"/>
    </row>
    <row r="54">
      <c r="A54" s="3" t="s">
        <v>216</v>
      </c>
      <c r="B54" s="3" t="s">
        <v>191</v>
      </c>
      <c r="C54" s="3" t="s">
        <v>192</v>
      </c>
      <c r="D54" s="3" t="s">
        <v>217</v>
      </c>
      <c r="E54" s="3" t="s">
        <v>80</v>
      </c>
      <c r="F54" s="49" t="s">
        <v>218</v>
      </c>
      <c r="G54" s="3" t="s">
        <v>82</v>
      </c>
      <c r="H54" s="3" t="s">
        <v>219</v>
      </c>
      <c r="I54" s="3" t="s">
        <v>220</v>
      </c>
      <c r="J54" s="3" t="s">
        <v>85</v>
      </c>
      <c r="K54" s="3" t="s">
        <v>6</v>
      </c>
      <c r="L54" s="50" t="s">
        <v>221</v>
      </c>
      <c r="M54" s="55"/>
      <c r="N54" s="55"/>
      <c r="O54" s="40"/>
      <c r="P54" s="40"/>
      <c r="Q54" s="40"/>
      <c r="R54" s="40"/>
      <c r="S54" s="40"/>
      <c r="T54" s="40"/>
      <c r="U54" s="40"/>
      <c r="V54" s="40"/>
      <c r="W54" s="40"/>
      <c r="X54" s="40"/>
      <c r="Y54" s="40"/>
      <c r="Z54" s="40"/>
    </row>
    <row r="55">
      <c r="A55" s="40"/>
      <c r="B55" s="40"/>
      <c r="C55" s="40"/>
      <c r="D55" s="40"/>
      <c r="E55" s="40"/>
      <c r="F55" s="54"/>
      <c r="G55" s="40"/>
      <c r="H55" s="40"/>
      <c r="I55" s="40"/>
      <c r="J55" s="40"/>
      <c r="K55" s="40"/>
      <c r="L55" s="40"/>
      <c r="M55" s="40"/>
      <c r="N55" s="40"/>
      <c r="O55" s="40"/>
      <c r="P55" s="40"/>
      <c r="Q55" s="40"/>
      <c r="R55" s="40"/>
      <c r="S55" s="40"/>
      <c r="T55" s="40"/>
      <c r="U55" s="40"/>
      <c r="V55" s="40"/>
      <c r="W55" s="40"/>
      <c r="X55" s="40"/>
      <c r="Y55" s="40"/>
      <c r="Z55" s="40"/>
    </row>
    <row r="56">
      <c r="A56" s="3" t="s">
        <v>222</v>
      </c>
      <c r="B56" s="3" t="s">
        <v>191</v>
      </c>
      <c r="C56" s="3" t="s">
        <v>192</v>
      </c>
      <c r="D56" s="3" t="s">
        <v>223</v>
      </c>
      <c r="E56" s="3" t="s">
        <v>80</v>
      </c>
      <c r="F56" s="49" t="s">
        <v>224</v>
      </c>
      <c r="G56" s="3" t="s">
        <v>82</v>
      </c>
      <c r="H56" s="3" t="s">
        <v>225</v>
      </c>
      <c r="I56" s="3" t="s">
        <v>226</v>
      </c>
      <c r="J56" s="3" t="s">
        <v>85</v>
      </c>
      <c r="K56" s="3" t="s">
        <v>8</v>
      </c>
      <c r="L56" s="50" t="s">
        <v>227</v>
      </c>
      <c r="M56" s="55"/>
      <c r="N56" s="55"/>
      <c r="O56" s="40"/>
      <c r="P56" s="40"/>
      <c r="Q56" s="40"/>
      <c r="R56" s="40"/>
      <c r="S56" s="40"/>
      <c r="T56" s="40"/>
      <c r="U56" s="40"/>
      <c r="V56" s="40"/>
      <c r="W56" s="40"/>
      <c r="X56" s="40"/>
      <c r="Y56" s="40"/>
      <c r="Z56" s="40"/>
    </row>
    <row r="57">
      <c r="A57" s="40"/>
      <c r="B57" s="40"/>
      <c r="C57" s="40"/>
      <c r="D57" s="40"/>
      <c r="E57" s="40"/>
      <c r="F57" s="54"/>
      <c r="G57" s="40"/>
      <c r="H57" s="40"/>
      <c r="I57" s="40"/>
      <c r="J57" s="40"/>
      <c r="K57" s="40"/>
      <c r="L57" s="40"/>
      <c r="M57" s="40"/>
      <c r="N57" s="40"/>
      <c r="O57" s="40"/>
      <c r="P57" s="40"/>
      <c r="Q57" s="40"/>
      <c r="R57" s="40"/>
      <c r="S57" s="40"/>
      <c r="T57" s="40"/>
      <c r="U57" s="40"/>
      <c r="V57" s="40"/>
      <c r="W57" s="40"/>
      <c r="X57" s="40"/>
      <c r="Y57" s="40"/>
      <c r="Z57" s="40"/>
    </row>
    <row r="58">
      <c r="A58" s="3" t="s">
        <v>228</v>
      </c>
      <c r="B58" s="3" t="s">
        <v>191</v>
      </c>
      <c r="C58" s="3" t="s">
        <v>192</v>
      </c>
      <c r="D58" s="3" t="s">
        <v>229</v>
      </c>
      <c r="E58" s="3" t="s">
        <v>80</v>
      </c>
      <c r="F58" s="49" t="s">
        <v>230</v>
      </c>
      <c r="G58" s="3" t="s">
        <v>82</v>
      </c>
      <c r="H58" s="3" t="s">
        <v>231</v>
      </c>
      <c r="I58" s="3" t="s">
        <v>232</v>
      </c>
      <c r="J58" s="3" t="s">
        <v>85</v>
      </c>
      <c r="K58" s="3" t="s">
        <v>11</v>
      </c>
      <c r="L58" s="50" t="s">
        <v>233</v>
      </c>
      <c r="M58" s="55"/>
      <c r="N58" s="55"/>
      <c r="O58" s="40"/>
      <c r="P58" s="40"/>
      <c r="Q58" s="40"/>
      <c r="R58" s="40"/>
      <c r="S58" s="40"/>
      <c r="T58" s="40"/>
      <c r="U58" s="40"/>
      <c r="V58" s="40"/>
      <c r="W58" s="40"/>
      <c r="X58" s="40"/>
      <c r="Y58" s="40"/>
      <c r="Z58" s="40"/>
    </row>
    <row r="59">
      <c r="A59" s="40"/>
      <c r="B59" s="40"/>
      <c r="C59" s="40"/>
      <c r="D59" s="40"/>
      <c r="E59" s="40"/>
      <c r="F59" s="54"/>
      <c r="G59" s="40"/>
      <c r="H59" s="40"/>
      <c r="I59" s="40"/>
      <c r="J59" s="40"/>
      <c r="K59" s="40"/>
      <c r="L59" s="40"/>
      <c r="M59" s="40"/>
      <c r="N59" s="40"/>
      <c r="O59" s="40"/>
      <c r="P59" s="40"/>
      <c r="Q59" s="40"/>
      <c r="R59" s="40"/>
      <c r="S59" s="40"/>
      <c r="T59" s="40"/>
      <c r="U59" s="40"/>
      <c r="V59" s="40"/>
      <c r="W59" s="40"/>
      <c r="X59" s="40"/>
      <c r="Y59" s="40"/>
      <c r="Z59" s="40"/>
    </row>
    <row r="60">
      <c r="A60" s="3" t="s">
        <v>234</v>
      </c>
      <c r="B60" s="3" t="s">
        <v>191</v>
      </c>
      <c r="C60" s="3" t="s">
        <v>235</v>
      </c>
      <c r="D60" s="3" t="s">
        <v>199</v>
      </c>
      <c r="E60" s="3" t="s">
        <v>80</v>
      </c>
      <c r="F60" s="49" t="s">
        <v>236</v>
      </c>
      <c r="G60" s="3" t="s">
        <v>82</v>
      </c>
      <c r="H60" s="3" t="s">
        <v>237</v>
      </c>
      <c r="I60" s="3" t="s">
        <v>202</v>
      </c>
      <c r="J60" s="3" t="s">
        <v>85</v>
      </c>
      <c r="K60" s="3" t="s">
        <v>11</v>
      </c>
      <c r="L60" s="50" t="s">
        <v>238</v>
      </c>
      <c r="M60" s="55"/>
      <c r="N60" s="55"/>
      <c r="O60" s="40"/>
      <c r="P60" s="40"/>
      <c r="Q60" s="40"/>
      <c r="R60" s="40"/>
      <c r="S60" s="40"/>
      <c r="T60" s="40"/>
      <c r="U60" s="40"/>
      <c r="V60" s="40"/>
      <c r="W60" s="40"/>
      <c r="X60" s="40"/>
      <c r="Y60" s="40"/>
      <c r="Z60" s="40"/>
    </row>
    <row r="61">
      <c r="A61" s="40"/>
      <c r="B61" s="40"/>
      <c r="C61" s="40"/>
      <c r="D61" s="40"/>
      <c r="E61" s="40"/>
      <c r="F61" s="54"/>
      <c r="G61" s="40"/>
      <c r="H61" s="40"/>
      <c r="I61" s="40"/>
      <c r="J61" s="40"/>
      <c r="K61" s="40"/>
      <c r="L61" s="40"/>
      <c r="M61" s="40"/>
      <c r="N61" s="40"/>
      <c r="O61" s="40"/>
      <c r="P61" s="40"/>
      <c r="Q61" s="40"/>
      <c r="R61" s="40"/>
      <c r="S61" s="40"/>
      <c r="T61" s="40"/>
      <c r="U61" s="40"/>
      <c r="V61" s="40"/>
      <c r="W61" s="40"/>
      <c r="X61" s="40"/>
      <c r="Y61" s="40"/>
      <c r="Z61" s="40"/>
    </row>
    <row r="62">
      <c r="A62" s="3" t="s">
        <v>239</v>
      </c>
      <c r="B62" s="3" t="s">
        <v>191</v>
      </c>
      <c r="C62" s="3" t="s">
        <v>235</v>
      </c>
      <c r="D62" s="3" t="s">
        <v>240</v>
      </c>
      <c r="E62" s="3" t="s">
        <v>80</v>
      </c>
      <c r="F62" s="49" t="s">
        <v>241</v>
      </c>
      <c r="G62" s="3" t="s">
        <v>82</v>
      </c>
      <c r="H62" s="3" t="s">
        <v>242</v>
      </c>
      <c r="I62" s="3" t="s">
        <v>243</v>
      </c>
      <c r="J62" s="3" t="s">
        <v>85</v>
      </c>
      <c r="K62" s="3" t="s">
        <v>8</v>
      </c>
      <c r="L62" s="50" t="s">
        <v>244</v>
      </c>
      <c r="M62" s="55"/>
      <c r="N62" s="55"/>
      <c r="O62" s="40"/>
      <c r="P62" s="40"/>
      <c r="Q62" s="40"/>
      <c r="R62" s="40"/>
      <c r="S62" s="40"/>
      <c r="T62" s="40"/>
      <c r="U62" s="40"/>
      <c r="V62" s="40"/>
      <c r="W62" s="40"/>
      <c r="X62" s="40"/>
      <c r="Y62" s="40"/>
      <c r="Z62" s="40"/>
    </row>
    <row r="63">
      <c r="A63" s="40"/>
      <c r="B63" s="40"/>
      <c r="C63" s="40"/>
      <c r="D63" s="40"/>
      <c r="E63" s="40"/>
      <c r="F63" s="54"/>
      <c r="G63" s="40"/>
      <c r="H63" s="40"/>
      <c r="I63" s="40"/>
      <c r="J63" s="40"/>
      <c r="K63" s="40"/>
      <c r="L63" s="40"/>
      <c r="M63" s="40"/>
      <c r="N63" s="40"/>
      <c r="O63" s="40"/>
      <c r="P63" s="40"/>
      <c r="Q63" s="40"/>
      <c r="R63" s="40"/>
      <c r="S63" s="40"/>
      <c r="T63" s="40"/>
      <c r="U63" s="40"/>
      <c r="V63" s="40"/>
      <c r="W63" s="40"/>
      <c r="X63" s="40"/>
      <c r="Y63" s="40"/>
      <c r="Z63" s="40"/>
    </row>
    <row r="64">
      <c r="A64" s="3" t="s">
        <v>245</v>
      </c>
      <c r="B64" s="3" t="s">
        <v>246</v>
      </c>
      <c r="C64" s="3" t="s">
        <v>246</v>
      </c>
      <c r="D64" s="3" t="s">
        <v>199</v>
      </c>
      <c r="E64" s="3" t="s">
        <v>80</v>
      </c>
      <c r="F64" s="49" t="s">
        <v>247</v>
      </c>
      <c r="G64" s="3" t="s">
        <v>82</v>
      </c>
      <c r="H64" s="3" t="s">
        <v>248</v>
      </c>
      <c r="I64" s="3" t="s">
        <v>202</v>
      </c>
      <c r="J64" s="3" t="s">
        <v>85</v>
      </c>
      <c r="K64" s="3" t="s">
        <v>11</v>
      </c>
      <c r="L64" s="50" t="s">
        <v>249</v>
      </c>
      <c r="M64" s="55"/>
      <c r="N64" s="55"/>
      <c r="O64" s="40"/>
      <c r="P64" s="40"/>
      <c r="Q64" s="40"/>
      <c r="R64" s="40"/>
      <c r="S64" s="40"/>
      <c r="T64" s="40"/>
      <c r="U64" s="40"/>
      <c r="V64" s="40"/>
      <c r="W64" s="40"/>
      <c r="X64" s="40"/>
      <c r="Y64" s="40"/>
      <c r="Z64" s="40"/>
    </row>
    <row r="65">
      <c r="A65" s="40"/>
      <c r="B65" s="40"/>
      <c r="C65" s="40"/>
      <c r="D65" s="40"/>
      <c r="E65" s="40"/>
      <c r="F65" s="54"/>
      <c r="G65" s="40"/>
      <c r="H65" s="40"/>
      <c r="I65" s="40"/>
      <c r="J65" s="40"/>
      <c r="K65" s="40"/>
      <c r="L65" s="40"/>
      <c r="M65" s="40"/>
      <c r="N65" s="40"/>
      <c r="O65" s="40"/>
      <c r="P65" s="40"/>
      <c r="Q65" s="40"/>
      <c r="R65" s="40"/>
      <c r="S65" s="40"/>
      <c r="T65" s="40"/>
      <c r="U65" s="40"/>
      <c r="V65" s="40"/>
      <c r="W65" s="40"/>
      <c r="X65" s="40"/>
      <c r="Y65" s="40"/>
      <c r="Z65" s="40"/>
    </row>
    <row r="66">
      <c r="A66" s="3" t="s">
        <v>250</v>
      </c>
      <c r="B66" s="3" t="s">
        <v>246</v>
      </c>
      <c r="C66" s="3" t="s">
        <v>246</v>
      </c>
      <c r="D66" s="3" t="s">
        <v>223</v>
      </c>
      <c r="E66" s="3" t="s">
        <v>80</v>
      </c>
      <c r="F66" s="49" t="s">
        <v>251</v>
      </c>
      <c r="G66" s="3" t="s">
        <v>82</v>
      </c>
      <c r="H66" s="3" t="s">
        <v>225</v>
      </c>
      <c r="I66" s="3" t="s">
        <v>226</v>
      </c>
      <c r="J66" s="3" t="s">
        <v>85</v>
      </c>
      <c r="K66" s="3" t="s">
        <v>8</v>
      </c>
      <c r="L66" s="50" t="s">
        <v>252</v>
      </c>
      <c r="M66" s="55"/>
      <c r="N66" s="55"/>
      <c r="O66" s="40"/>
      <c r="P66" s="40"/>
      <c r="Q66" s="40"/>
      <c r="R66" s="40"/>
      <c r="S66" s="40"/>
      <c r="T66" s="40"/>
      <c r="U66" s="40"/>
      <c r="V66" s="40"/>
      <c r="W66" s="40"/>
      <c r="X66" s="40"/>
      <c r="Y66" s="40"/>
      <c r="Z66" s="40"/>
    </row>
    <row r="67">
      <c r="A67" s="40"/>
      <c r="B67" s="40"/>
      <c r="C67" s="40"/>
      <c r="D67" s="40"/>
      <c r="E67" s="40"/>
      <c r="F67" s="54"/>
      <c r="G67" s="40"/>
      <c r="H67" s="40"/>
      <c r="I67" s="40"/>
      <c r="J67" s="40"/>
      <c r="K67" s="40"/>
      <c r="L67" s="40"/>
      <c r="M67" s="40"/>
      <c r="N67" s="40"/>
      <c r="O67" s="40"/>
      <c r="P67" s="40"/>
      <c r="Q67" s="40"/>
      <c r="R67" s="40"/>
      <c r="S67" s="40"/>
      <c r="T67" s="40"/>
      <c r="U67" s="40"/>
      <c r="V67" s="40"/>
      <c r="W67" s="40"/>
      <c r="X67" s="40"/>
      <c r="Y67" s="40"/>
      <c r="Z67" s="40"/>
    </row>
    <row r="68">
      <c r="A68" s="3" t="s">
        <v>253</v>
      </c>
      <c r="B68" s="3" t="s">
        <v>246</v>
      </c>
      <c r="C68" s="3" t="s">
        <v>254</v>
      </c>
      <c r="D68" s="3" t="s">
        <v>199</v>
      </c>
      <c r="E68" s="3" t="s">
        <v>80</v>
      </c>
      <c r="F68" s="49" t="s">
        <v>255</v>
      </c>
      <c r="G68" s="3" t="s">
        <v>82</v>
      </c>
      <c r="H68" s="3" t="s">
        <v>256</v>
      </c>
      <c r="I68" s="3" t="s">
        <v>202</v>
      </c>
      <c r="J68" s="3" t="s">
        <v>85</v>
      </c>
      <c r="K68" s="3" t="s">
        <v>11</v>
      </c>
      <c r="L68" s="50" t="s">
        <v>257</v>
      </c>
      <c r="M68" s="55"/>
      <c r="N68" s="55"/>
      <c r="O68" s="40"/>
      <c r="P68" s="40"/>
      <c r="Q68" s="40"/>
      <c r="R68" s="40"/>
      <c r="S68" s="40"/>
      <c r="T68" s="40"/>
      <c r="U68" s="40"/>
      <c r="V68" s="40"/>
      <c r="W68" s="40"/>
      <c r="X68" s="40"/>
      <c r="Y68" s="40"/>
      <c r="Z68" s="40"/>
    </row>
    <row r="69">
      <c r="A69" s="40"/>
      <c r="B69" s="40"/>
      <c r="C69" s="40"/>
      <c r="D69" s="40"/>
      <c r="E69" s="40"/>
      <c r="F69" s="54"/>
      <c r="G69" s="40"/>
      <c r="H69" s="40"/>
      <c r="I69" s="40"/>
      <c r="J69" s="40"/>
      <c r="K69" s="40"/>
      <c r="L69" s="40"/>
      <c r="M69" s="40"/>
      <c r="N69" s="40"/>
      <c r="O69" s="40"/>
      <c r="P69" s="40"/>
      <c r="Q69" s="40"/>
      <c r="R69" s="40"/>
      <c r="S69" s="40"/>
      <c r="T69" s="40"/>
      <c r="U69" s="40"/>
      <c r="V69" s="40"/>
      <c r="W69" s="40"/>
      <c r="X69" s="40"/>
      <c r="Y69" s="40"/>
      <c r="Z69" s="40"/>
    </row>
    <row r="70">
      <c r="A70" s="3" t="s">
        <v>258</v>
      </c>
      <c r="B70" s="3" t="s">
        <v>246</v>
      </c>
      <c r="C70" s="3" t="s">
        <v>254</v>
      </c>
      <c r="D70" s="3" t="s">
        <v>259</v>
      </c>
      <c r="E70" s="3" t="s">
        <v>80</v>
      </c>
      <c r="F70" s="49" t="s">
        <v>260</v>
      </c>
      <c r="G70" s="3" t="s">
        <v>82</v>
      </c>
      <c r="H70" s="3" t="s">
        <v>261</v>
      </c>
      <c r="I70" s="3" t="s">
        <v>262</v>
      </c>
      <c r="J70" s="3" t="s">
        <v>85</v>
      </c>
      <c r="K70" s="3" t="s">
        <v>8</v>
      </c>
      <c r="L70" s="50" t="s">
        <v>263</v>
      </c>
      <c r="M70" s="55"/>
      <c r="N70" s="55"/>
      <c r="O70" s="40"/>
      <c r="P70" s="40"/>
      <c r="Q70" s="40"/>
      <c r="R70" s="40"/>
      <c r="S70" s="40"/>
      <c r="T70" s="40"/>
      <c r="U70" s="40"/>
      <c r="V70" s="40"/>
      <c r="W70" s="40"/>
      <c r="X70" s="40"/>
      <c r="Y70" s="40"/>
      <c r="Z70" s="40"/>
    </row>
    <row r="71">
      <c r="A71" s="40"/>
      <c r="B71" s="40"/>
      <c r="C71" s="40"/>
      <c r="D71" s="40"/>
      <c r="E71" s="40"/>
      <c r="F71" s="54"/>
      <c r="G71" s="40"/>
      <c r="H71" s="40"/>
      <c r="I71" s="40"/>
      <c r="J71" s="40"/>
      <c r="K71" s="40"/>
      <c r="L71" s="40"/>
      <c r="M71" s="40"/>
      <c r="N71" s="40"/>
      <c r="O71" s="40"/>
      <c r="P71" s="40"/>
      <c r="Q71" s="40"/>
      <c r="R71" s="40"/>
      <c r="S71" s="40"/>
      <c r="T71" s="40"/>
      <c r="U71" s="40"/>
      <c r="V71" s="40"/>
      <c r="W71" s="40"/>
      <c r="X71" s="40"/>
      <c r="Y71" s="40"/>
      <c r="Z71" s="40"/>
    </row>
    <row r="72">
      <c r="A72" s="3" t="s">
        <v>264</v>
      </c>
      <c r="B72" s="3" t="s">
        <v>246</v>
      </c>
      <c r="C72" s="3" t="s">
        <v>254</v>
      </c>
      <c r="D72" s="3" t="s">
        <v>265</v>
      </c>
      <c r="E72" s="3" t="s">
        <v>80</v>
      </c>
      <c r="F72" s="49" t="s">
        <v>266</v>
      </c>
      <c r="G72" s="3" t="s">
        <v>82</v>
      </c>
      <c r="H72" s="3" t="s">
        <v>267</v>
      </c>
      <c r="I72" s="3" t="s">
        <v>268</v>
      </c>
      <c r="J72" s="3" t="s">
        <v>85</v>
      </c>
      <c r="K72" s="3" t="s">
        <v>6</v>
      </c>
      <c r="L72" s="50" t="s">
        <v>269</v>
      </c>
      <c r="M72" s="55"/>
      <c r="N72" s="55"/>
      <c r="O72" s="40"/>
      <c r="P72" s="40"/>
      <c r="Q72" s="40"/>
      <c r="R72" s="40"/>
      <c r="S72" s="40"/>
      <c r="T72" s="40"/>
      <c r="U72" s="40"/>
      <c r="V72" s="40"/>
      <c r="W72" s="40"/>
      <c r="X72" s="40"/>
      <c r="Y72" s="40"/>
      <c r="Z72" s="40"/>
    </row>
    <row r="73">
      <c r="A73" s="40"/>
      <c r="B73" s="40"/>
      <c r="C73" s="40"/>
      <c r="D73" s="40"/>
      <c r="E73" s="40"/>
      <c r="F73" s="54"/>
      <c r="G73" s="40"/>
      <c r="H73" s="40"/>
      <c r="I73" s="40"/>
      <c r="J73" s="40"/>
      <c r="K73" s="40"/>
      <c r="L73" s="40"/>
      <c r="M73" s="40"/>
      <c r="N73" s="40"/>
      <c r="O73" s="40"/>
      <c r="P73" s="40"/>
      <c r="Q73" s="40"/>
      <c r="R73" s="40"/>
      <c r="S73" s="40"/>
      <c r="T73" s="40"/>
      <c r="U73" s="40"/>
      <c r="V73" s="40"/>
      <c r="W73" s="40"/>
      <c r="X73" s="40"/>
      <c r="Y73" s="40"/>
      <c r="Z73" s="40"/>
    </row>
    <row r="74">
      <c r="A74" s="3" t="s">
        <v>270</v>
      </c>
      <c r="B74" s="3" t="s">
        <v>143</v>
      </c>
      <c r="C74" s="3" t="s">
        <v>143</v>
      </c>
      <c r="D74" s="3" t="s">
        <v>271</v>
      </c>
      <c r="E74" s="3" t="s">
        <v>80</v>
      </c>
      <c r="F74" s="49" t="s">
        <v>272</v>
      </c>
      <c r="G74" s="3" t="s">
        <v>82</v>
      </c>
      <c r="H74" s="3" t="s">
        <v>273</v>
      </c>
      <c r="I74" s="3" t="s">
        <v>274</v>
      </c>
      <c r="J74" s="3" t="s">
        <v>85</v>
      </c>
      <c r="K74" s="3" t="s">
        <v>8</v>
      </c>
      <c r="L74" s="50" t="s">
        <v>275</v>
      </c>
      <c r="M74" s="55"/>
      <c r="N74" s="55"/>
      <c r="O74" s="40"/>
      <c r="P74" s="40"/>
      <c r="Q74" s="40"/>
      <c r="R74" s="40"/>
      <c r="S74" s="40"/>
      <c r="T74" s="40"/>
      <c r="U74" s="40"/>
      <c r="V74" s="40"/>
      <c r="W74" s="40"/>
      <c r="X74" s="40"/>
      <c r="Y74" s="40"/>
      <c r="Z74" s="40"/>
    </row>
    <row r="75">
      <c r="A75" s="40"/>
      <c r="B75" s="40"/>
      <c r="C75" s="40"/>
      <c r="D75" s="40"/>
      <c r="E75" s="40"/>
      <c r="F75" s="54"/>
      <c r="G75" s="40"/>
      <c r="H75" s="40"/>
      <c r="I75" s="40"/>
      <c r="J75" s="40"/>
      <c r="K75" s="40"/>
      <c r="L75" s="40"/>
      <c r="M75" s="40"/>
      <c r="N75" s="40"/>
      <c r="O75" s="40"/>
      <c r="P75" s="40"/>
      <c r="Q75" s="40"/>
      <c r="R75" s="40"/>
      <c r="S75" s="40"/>
      <c r="T75" s="40"/>
      <c r="U75" s="40"/>
      <c r="V75" s="40"/>
      <c r="W75" s="40"/>
      <c r="X75" s="40"/>
      <c r="Y75" s="40"/>
      <c r="Z75" s="40"/>
    </row>
    <row r="76">
      <c r="A76" s="3" t="s">
        <v>276</v>
      </c>
      <c r="B76" s="3" t="s">
        <v>277</v>
      </c>
      <c r="C76" s="3" t="s">
        <v>277</v>
      </c>
      <c r="D76" s="3" t="s">
        <v>278</v>
      </c>
      <c r="E76" s="3" t="s">
        <v>80</v>
      </c>
      <c r="F76" s="49" t="s">
        <v>279</v>
      </c>
      <c r="G76" s="3" t="s">
        <v>82</v>
      </c>
      <c r="H76" s="3" t="s">
        <v>280</v>
      </c>
      <c r="I76" s="3" t="s">
        <v>281</v>
      </c>
      <c r="J76" s="3" t="s">
        <v>85</v>
      </c>
      <c r="K76" s="3" t="s">
        <v>8</v>
      </c>
      <c r="L76" s="50" t="s">
        <v>282</v>
      </c>
      <c r="M76" s="55"/>
      <c r="N76" s="55"/>
      <c r="O76" s="40"/>
      <c r="P76" s="40"/>
      <c r="Q76" s="40"/>
      <c r="R76" s="40"/>
      <c r="S76" s="40"/>
      <c r="T76" s="40"/>
      <c r="U76" s="40"/>
      <c r="V76" s="40"/>
      <c r="W76" s="40"/>
      <c r="X76" s="40"/>
      <c r="Y76" s="40"/>
      <c r="Z76" s="40"/>
    </row>
    <row r="77">
      <c r="A77" s="40"/>
      <c r="B77" s="40"/>
      <c r="C77" s="40"/>
      <c r="D77" s="40"/>
      <c r="E77" s="40"/>
      <c r="F77" s="54"/>
      <c r="G77" s="40"/>
      <c r="H77" s="40"/>
      <c r="I77" s="40"/>
      <c r="J77" s="40"/>
      <c r="K77" s="40"/>
      <c r="L77" s="40"/>
      <c r="M77" s="40"/>
      <c r="N77" s="40"/>
      <c r="O77" s="40"/>
      <c r="P77" s="40"/>
      <c r="Q77" s="40"/>
      <c r="R77" s="40"/>
      <c r="S77" s="40"/>
      <c r="T77" s="40"/>
      <c r="U77" s="40"/>
      <c r="V77" s="40"/>
      <c r="W77" s="40"/>
      <c r="X77" s="40"/>
      <c r="Y77" s="40"/>
      <c r="Z77" s="40"/>
    </row>
    <row r="78">
      <c r="A78" s="3" t="s">
        <v>283</v>
      </c>
      <c r="B78" s="3" t="s">
        <v>277</v>
      </c>
      <c r="C78" s="3" t="s">
        <v>277</v>
      </c>
      <c r="D78" s="3" t="s">
        <v>284</v>
      </c>
      <c r="E78" s="3" t="s">
        <v>80</v>
      </c>
      <c r="F78" s="49" t="s">
        <v>285</v>
      </c>
      <c r="G78" s="3" t="s">
        <v>82</v>
      </c>
      <c r="H78" s="3" t="s">
        <v>286</v>
      </c>
      <c r="I78" s="3" t="s">
        <v>287</v>
      </c>
      <c r="J78" s="3" t="s">
        <v>85</v>
      </c>
      <c r="K78" s="3" t="s">
        <v>8</v>
      </c>
      <c r="L78" s="50" t="s">
        <v>288</v>
      </c>
      <c r="M78" s="55"/>
      <c r="N78" s="55"/>
      <c r="O78" s="40"/>
      <c r="P78" s="40"/>
      <c r="Q78" s="40"/>
      <c r="R78" s="40"/>
      <c r="S78" s="40"/>
      <c r="T78" s="40"/>
      <c r="U78" s="40"/>
      <c r="V78" s="40"/>
      <c r="W78" s="40"/>
      <c r="X78" s="40"/>
      <c r="Y78" s="40"/>
      <c r="Z78" s="40"/>
    </row>
    <row r="79">
      <c r="A79" s="40"/>
      <c r="B79" s="40"/>
      <c r="C79" s="40"/>
      <c r="D79" s="40"/>
      <c r="E79" s="40"/>
      <c r="F79" s="54"/>
      <c r="G79" s="40"/>
      <c r="H79" s="40"/>
      <c r="I79" s="40"/>
      <c r="J79" s="40"/>
      <c r="K79" s="40"/>
      <c r="L79" s="40"/>
      <c r="M79" s="40"/>
      <c r="N79" s="40"/>
      <c r="O79" s="40"/>
      <c r="P79" s="40"/>
      <c r="Q79" s="40"/>
      <c r="R79" s="40"/>
      <c r="S79" s="40"/>
      <c r="T79" s="40"/>
      <c r="U79" s="40"/>
      <c r="V79" s="40"/>
      <c r="W79" s="40"/>
      <c r="X79" s="40"/>
      <c r="Y79" s="40"/>
      <c r="Z79" s="40"/>
    </row>
    <row r="80">
      <c r="A80" s="3" t="s">
        <v>289</v>
      </c>
      <c r="B80" s="3" t="s">
        <v>277</v>
      </c>
      <c r="C80" s="3" t="s">
        <v>277</v>
      </c>
      <c r="D80" s="3" t="s">
        <v>290</v>
      </c>
      <c r="E80" s="3" t="s">
        <v>80</v>
      </c>
      <c r="F80" s="49" t="s">
        <v>291</v>
      </c>
      <c r="G80" s="3" t="s">
        <v>82</v>
      </c>
      <c r="H80" s="3" t="s">
        <v>292</v>
      </c>
      <c r="I80" s="3" t="s">
        <v>293</v>
      </c>
      <c r="J80" s="3" t="s">
        <v>85</v>
      </c>
      <c r="K80" s="3" t="s">
        <v>11</v>
      </c>
      <c r="L80" s="50" t="s">
        <v>294</v>
      </c>
      <c r="M80" s="55"/>
      <c r="N80" s="55"/>
      <c r="O80" s="40"/>
      <c r="P80" s="40"/>
      <c r="Q80" s="40"/>
      <c r="R80" s="40"/>
      <c r="S80" s="40"/>
      <c r="T80" s="40"/>
      <c r="U80" s="40"/>
      <c r="V80" s="40"/>
      <c r="W80" s="40"/>
      <c r="X80" s="40"/>
      <c r="Y80" s="40"/>
      <c r="Z80" s="40"/>
    </row>
    <row r="81">
      <c r="A81" s="40"/>
      <c r="B81" s="40"/>
      <c r="C81" s="40"/>
      <c r="D81" s="40"/>
      <c r="E81" s="40"/>
      <c r="F81" s="54"/>
      <c r="G81" s="40"/>
      <c r="H81" s="40"/>
      <c r="I81" s="40"/>
      <c r="J81" s="40"/>
      <c r="K81" s="40"/>
      <c r="L81" s="40"/>
      <c r="M81" s="40"/>
      <c r="N81" s="40"/>
      <c r="O81" s="40"/>
      <c r="P81" s="40"/>
      <c r="Q81" s="40"/>
      <c r="R81" s="40"/>
      <c r="S81" s="40"/>
      <c r="T81" s="40"/>
      <c r="U81" s="40"/>
      <c r="V81" s="40"/>
      <c r="W81" s="40"/>
      <c r="X81" s="40"/>
      <c r="Y81" s="40"/>
      <c r="Z81" s="40"/>
    </row>
    <row r="82">
      <c r="A82" s="3" t="s">
        <v>295</v>
      </c>
      <c r="B82" s="3" t="s">
        <v>277</v>
      </c>
      <c r="C82" s="3" t="s">
        <v>277</v>
      </c>
      <c r="D82" s="3" t="s">
        <v>296</v>
      </c>
      <c r="E82" s="3" t="s">
        <v>80</v>
      </c>
      <c r="F82" s="49" t="s">
        <v>297</v>
      </c>
      <c r="G82" s="3" t="s">
        <v>82</v>
      </c>
      <c r="H82" s="3" t="s">
        <v>298</v>
      </c>
      <c r="I82" s="3" t="s">
        <v>299</v>
      </c>
      <c r="J82" s="3" t="s">
        <v>85</v>
      </c>
      <c r="K82" s="3" t="s">
        <v>6</v>
      </c>
      <c r="L82" s="50" t="s">
        <v>300</v>
      </c>
      <c r="M82" s="55"/>
      <c r="N82" s="55"/>
      <c r="O82" s="40"/>
      <c r="P82" s="40"/>
      <c r="Q82" s="40"/>
      <c r="R82" s="40"/>
      <c r="S82" s="40"/>
      <c r="T82" s="40"/>
      <c r="U82" s="40"/>
      <c r="V82" s="40"/>
      <c r="W82" s="40"/>
      <c r="X82" s="40"/>
      <c r="Y82" s="40"/>
      <c r="Z82" s="40"/>
    </row>
    <row r="83">
      <c r="A83" s="40"/>
      <c r="B83" s="40"/>
      <c r="C83" s="40"/>
      <c r="D83" s="40"/>
      <c r="E83" s="40"/>
      <c r="F83" s="54"/>
      <c r="G83" s="40"/>
      <c r="H83" s="40"/>
      <c r="I83" s="40"/>
      <c r="J83" s="40"/>
      <c r="K83" s="40"/>
      <c r="L83" s="40"/>
      <c r="M83" s="40"/>
      <c r="N83" s="40"/>
      <c r="O83" s="40"/>
      <c r="P83" s="40"/>
      <c r="Q83" s="40"/>
      <c r="R83" s="40"/>
      <c r="S83" s="40"/>
      <c r="T83" s="40"/>
      <c r="U83" s="40"/>
      <c r="V83" s="40"/>
      <c r="W83" s="40"/>
      <c r="X83" s="40"/>
      <c r="Y83" s="40"/>
      <c r="Z83" s="40"/>
    </row>
    <row r="84">
      <c r="A84" s="3" t="s">
        <v>301</v>
      </c>
      <c r="B84" s="3" t="s">
        <v>277</v>
      </c>
      <c r="C84" s="3" t="s">
        <v>277</v>
      </c>
      <c r="D84" s="3" t="s">
        <v>223</v>
      </c>
      <c r="E84" s="3" t="s">
        <v>80</v>
      </c>
      <c r="F84" s="49" t="s">
        <v>302</v>
      </c>
      <c r="G84" s="3" t="s">
        <v>82</v>
      </c>
      <c r="H84" s="3" t="s">
        <v>225</v>
      </c>
      <c r="I84" s="3" t="s">
        <v>226</v>
      </c>
      <c r="J84" s="3" t="s">
        <v>85</v>
      </c>
      <c r="K84" s="3" t="s">
        <v>8</v>
      </c>
      <c r="L84" s="50" t="s">
        <v>303</v>
      </c>
      <c r="M84" s="55"/>
      <c r="N84" s="55"/>
      <c r="O84" s="40"/>
      <c r="P84" s="40"/>
      <c r="Q84" s="40"/>
      <c r="R84" s="40"/>
      <c r="S84" s="40"/>
      <c r="T84" s="40"/>
      <c r="U84" s="40"/>
      <c r="V84" s="40"/>
      <c r="W84" s="40"/>
      <c r="X84" s="40"/>
      <c r="Y84" s="40"/>
      <c r="Z84" s="40"/>
    </row>
    <row r="85">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c r="A86" s="3" t="s">
        <v>304</v>
      </c>
      <c r="B86" s="3" t="s">
        <v>277</v>
      </c>
      <c r="C86" s="3" t="s">
        <v>277</v>
      </c>
      <c r="D86" s="3" t="s">
        <v>305</v>
      </c>
      <c r="E86" s="3" t="s">
        <v>80</v>
      </c>
      <c r="F86" s="49" t="s">
        <v>306</v>
      </c>
      <c r="G86" s="3" t="s">
        <v>82</v>
      </c>
      <c r="H86" s="3" t="s">
        <v>307</v>
      </c>
      <c r="I86" s="3" t="s">
        <v>308</v>
      </c>
      <c r="J86" s="3" t="s">
        <v>85</v>
      </c>
      <c r="K86" s="3" t="s">
        <v>11</v>
      </c>
      <c r="L86" s="50" t="s">
        <v>309</v>
      </c>
      <c r="M86" s="55"/>
      <c r="N86" s="55"/>
      <c r="O86" s="40"/>
      <c r="P86" s="40"/>
      <c r="Q86" s="40"/>
      <c r="R86" s="40"/>
      <c r="S86" s="40"/>
      <c r="T86" s="40"/>
      <c r="U86" s="40"/>
      <c r="V86" s="40"/>
      <c r="W86" s="40"/>
      <c r="X86" s="40"/>
      <c r="Y86" s="40"/>
      <c r="Z86" s="40"/>
    </row>
    <row r="87">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c r="A88" s="3" t="s">
        <v>310</v>
      </c>
      <c r="B88" s="3" t="s">
        <v>277</v>
      </c>
      <c r="C88" s="3" t="s">
        <v>277</v>
      </c>
      <c r="D88" s="3" t="s">
        <v>311</v>
      </c>
      <c r="E88" s="3" t="s">
        <v>80</v>
      </c>
      <c r="F88" s="49" t="s">
        <v>312</v>
      </c>
      <c r="G88" s="3" t="s">
        <v>82</v>
      </c>
      <c r="H88" s="3" t="s">
        <v>313</v>
      </c>
      <c r="I88" s="3" t="s">
        <v>314</v>
      </c>
      <c r="J88" s="3" t="s">
        <v>85</v>
      </c>
      <c r="K88" s="3" t="s">
        <v>11</v>
      </c>
      <c r="L88" s="50" t="s">
        <v>315</v>
      </c>
      <c r="M88" s="55"/>
      <c r="N88" s="55"/>
      <c r="O88" s="40"/>
      <c r="P88" s="40"/>
      <c r="Q88" s="40"/>
      <c r="R88" s="40"/>
      <c r="S88" s="40"/>
      <c r="T88" s="40"/>
      <c r="U88" s="40"/>
      <c r="V88" s="40"/>
      <c r="W88" s="40"/>
      <c r="X88" s="40"/>
      <c r="Y88" s="40"/>
      <c r="Z88" s="40"/>
    </row>
    <row r="89">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c r="A90" s="3" t="s">
        <v>316</v>
      </c>
      <c r="B90" s="3" t="s">
        <v>277</v>
      </c>
      <c r="C90" s="3" t="s">
        <v>277</v>
      </c>
      <c r="D90" s="3" t="s">
        <v>317</v>
      </c>
      <c r="E90" s="3" t="s">
        <v>80</v>
      </c>
      <c r="F90" s="49" t="s">
        <v>318</v>
      </c>
      <c r="G90" s="3" t="s">
        <v>82</v>
      </c>
      <c r="H90" s="3" t="s">
        <v>319</v>
      </c>
      <c r="I90" s="3" t="s">
        <v>320</v>
      </c>
      <c r="J90" s="3" t="s">
        <v>85</v>
      </c>
      <c r="K90" s="3" t="s">
        <v>6</v>
      </c>
      <c r="L90" s="50" t="s">
        <v>321</v>
      </c>
      <c r="M90" s="55"/>
      <c r="N90" s="55"/>
      <c r="O90" s="40"/>
      <c r="P90" s="40"/>
      <c r="Q90" s="40"/>
      <c r="R90" s="40"/>
      <c r="S90" s="40"/>
      <c r="T90" s="40"/>
      <c r="U90" s="40"/>
      <c r="V90" s="40"/>
      <c r="W90" s="40"/>
      <c r="X90" s="40"/>
      <c r="Y90" s="40"/>
      <c r="Z90" s="40"/>
    </row>
    <row r="9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c r="A92" s="3" t="s">
        <v>322</v>
      </c>
      <c r="B92" s="3"/>
      <c r="C92" s="3"/>
      <c r="D92" s="3"/>
      <c r="E92" s="3"/>
      <c r="F92" s="60"/>
      <c r="G92" s="3"/>
      <c r="H92" s="3"/>
      <c r="I92" s="3"/>
      <c r="J92" s="3"/>
      <c r="K92" s="3"/>
      <c r="L92" s="50"/>
      <c r="M92" s="55"/>
      <c r="N92" s="55"/>
      <c r="O92" s="40"/>
      <c r="P92" s="40"/>
      <c r="Q92" s="40"/>
      <c r="R92" s="40"/>
      <c r="S92" s="40"/>
      <c r="T92" s="40"/>
      <c r="U92" s="40"/>
      <c r="V92" s="40"/>
      <c r="W92" s="40"/>
      <c r="X92" s="40"/>
      <c r="Y92" s="40"/>
      <c r="Z92" s="40"/>
    </row>
    <row r="93">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c r="A94" s="3"/>
      <c r="B94" s="3"/>
      <c r="C94" s="3"/>
      <c r="D94" s="3"/>
      <c r="E94" s="3"/>
      <c r="F94" s="60"/>
      <c r="G94" s="3"/>
      <c r="H94" s="3"/>
      <c r="I94" s="3"/>
      <c r="J94" s="3"/>
      <c r="K94" s="3"/>
      <c r="L94" s="50"/>
      <c r="M94" s="55"/>
      <c r="N94" s="55"/>
      <c r="O94" s="40"/>
      <c r="P94" s="40"/>
      <c r="Q94" s="40"/>
      <c r="R94" s="40"/>
      <c r="S94" s="40"/>
      <c r="T94" s="40"/>
      <c r="U94" s="40"/>
      <c r="V94" s="40"/>
      <c r="W94" s="40"/>
      <c r="X94" s="40"/>
      <c r="Y94" s="40"/>
      <c r="Z94" s="40"/>
    </row>
    <row r="95">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c r="A96" s="3"/>
      <c r="B96" s="3"/>
      <c r="C96" s="3"/>
      <c r="D96" s="3"/>
      <c r="E96" s="3"/>
      <c r="F96" s="60"/>
      <c r="G96" s="3"/>
      <c r="H96" s="3"/>
      <c r="I96" s="3"/>
      <c r="J96" s="3"/>
      <c r="K96" s="3"/>
      <c r="L96" s="50"/>
      <c r="M96" s="55"/>
      <c r="N96" s="55"/>
      <c r="O96" s="40"/>
      <c r="P96" s="40"/>
      <c r="Q96" s="40"/>
      <c r="R96" s="40"/>
      <c r="S96" s="40"/>
      <c r="T96" s="40"/>
      <c r="U96" s="40"/>
      <c r="V96" s="40"/>
      <c r="W96" s="40"/>
      <c r="X96" s="40"/>
      <c r="Y96" s="40"/>
      <c r="Z96" s="40"/>
    </row>
    <row r="97">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c r="A98" s="3"/>
      <c r="B98" s="3"/>
      <c r="C98" s="3"/>
      <c r="D98" s="3"/>
      <c r="E98" s="3"/>
      <c r="F98" s="60"/>
      <c r="G98" s="3"/>
      <c r="H98" s="3"/>
      <c r="I98" s="3"/>
      <c r="J98" s="3"/>
      <c r="K98" s="3"/>
      <c r="L98" s="50"/>
      <c r="M98" s="55"/>
      <c r="N98" s="55"/>
      <c r="O98" s="40"/>
      <c r="P98" s="40"/>
      <c r="Q98" s="40"/>
      <c r="R98" s="40"/>
      <c r="S98" s="40"/>
      <c r="T98" s="40"/>
      <c r="U98" s="40"/>
      <c r="V98" s="40"/>
      <c r="W98" s="40"/>
      <c r="X98" s="40"/>
      <c r="Y98" s="40"/>
      <c r="Z98" s="40"/>
    </row>
    <row r="99">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c r="A100" s="3"/>
      <c r="B100" s="3"/>
      <c r="C100" s="3"/>
      <c r="D100" s="3"/>
      <c r="E100" s="3"/>
      <c r="F100" s="60"/>
      <c r="G100" s="3"/>
      <c r="H100" s="3"/>
      <c r="I100" s="3"/>
      <c r="J100" s="3"/>
      <c r="K100" s="3"/>
      <c r="L100" s="50"/>
      <c r="M100" s="55"/>
      <c r="N100" s="55"/>
      <c r="O100" s="40"/>
      <c r="P100" s="40"/>
      <c r="Q100" s="40"/>
      <c r="R100" s="40"/>
      <c r="S100" s="40"/>
      <c r="T100" s="40"/>
      <c r="U100" s="40"/>
      <c r="V100" s="40"/>
      <c r="W100" s="40"/>
      <c r="X100" s="40"/>
      <c r="Y100" s="40"/>
      <c r="Z100" s="40"/>
    </row>
    <row r="10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row r="1001">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0"/>
    </row>
    <row r="1002">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0"/>
    </row>
    <row r="1003">
      <c r="A1003" s="40"/>
      <c r="B1003" s="40"/>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0"/>
    </row>
    <row r="1004">
      <c r="A1004" s="40"/>
      <c r="B1004" s="40"/>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0"/>
    </row>
  </sheetData>
  <dataValidations>
    <dataValidation type="list" allowBlank="1" showErrorMessage="1" sqref="N8 N10 N12 N14 N16 N18 N20 N22 N24 N26 N28 N30 N32 N34 N36 N38 N40 N42 N44 N46 N48 N50 N52 N54 N56 N58 N60 N62 N64 N66 N68 N70 N72 N74 N76 N78 N80 N82 N84 N86 N88 N90 N92 N94 N96 N98 N100">
      <formula1>"Solved,Unsolve"</formula1>
    </dataValidation>
    <dataValidation type="list" allowBlank="1" showErrorMessage="1" sqref="J8 J10 J12 J14 J16 J18 J20 J22 J24 J26 J28 J30 J32 J34 J36 J38 J40 J42 J44 J46 J48 J50 J52 J54 J56 J58 J60 J62 J64 J66 J68 J70 J72 J74 J76 J78 J80 J82 J84 J86 J88 J90 J92 J94 J96 J98 J100">
      <formula1>"Pass,Fail"</formula1>
    </dataValidation>
    <dataValidation type="list" allowBlank="1" showErrorMessage="1" sqref="K8 K10 K12 K14 K16 K18 K20 K22 K24 K26 K28 K30 K32 K34 K36 K38 K40 K42 K44 K46 K48 K50 K52 K54 K56 K58 K60 K62 K64 K66 K68 K70 K72 K74 K76 K78 K80 K82 K84 K86 K88 K90 K92 K94 K96 K98 K100">
      <formula1>"High,Medium,Low"</formula1>
    </dataValidation>
  </dataValidations>
  <hyperlinks>
    <hyperlink r:id="rId1" ref="F8"/>
    <hyperlink r:id="rId2" ref="L8"/>
    <hyperlink r:id="rId3" ref="F10"/>
    <hyperlink r:id="rId4" ref="L10"/>
    <hyperlink r:id="rId5" ref="F12"/>
    <hyperlink r:id="rId6" ref="L12"/>
    <hyperlink r:id="rId7" ref="F14"/>
    <hyperlink r:id="rId8" ref="L14"/>
    <hyperlink r:id="rId9" ref="F16"/>
    <hyperlink r:id="rId10" ref="L16"/>
    <hyperlink r:id="rId11" ref="F18"/>
    <hyperlink r:id="rId12" ref="L18"/>
    <hyperlink r:id="rId13" ref="F20"/>
    <hyperlink r:id="rId14" ref="L20"/>
    <hyperlink r:id="rId15" ref="F22"/>
    <hyperlink r:id="rId16" ref="L22"/>
    <hyperlink r:id="rId17" ref="F24"/>
    <hyperlink r:id="rId18" ref="L24"/>
    <hyperlink r:id="rId19" ref="F26"/>
    <hyperlink r:id="rId20" ref="L26"/>
    <hyperlink r:id="rId21" ref="F28"/>
    <hyperlink r:id="rId22" ref="L28"/>
    <hyperlink r:id="rId23" ref="F30"/>
    <hyperlink r:id="rId24" ref="L30"/>
    <hyperlink r:id="rId25" ref="F32"/>
    <hyperlink r:id="rId26" ref="L32"/>
    <hyperlink r:id="rId27" ref="F34"/>
    <hyperlink r:id="rId28" ref="L34"/>
    <hyperlink r:id="rId29" ref="F36"/>
    <hyperlink r:id="rId30" ref="F38"/>
    <hyperlink r:id="rId31" ref="L38"/>
    <hyperlink r:id="rId32" ref="F40"/>
    <hyperlink r:id="rId33" ref="L40"/>
    <hyperlink r:id="rId34" ref="F42"/>
    <hyperlink r:id="rId35" ref="L42"/>
    <hyperlink r:id="rId36" ref="F44"/>
    <hyperlink r:id="rId37" ref="L44"/>
    <hyperlink r:id="rId38" ref="F46"/>
    <hyperlink r:id="rId39" ref="L46"/>
    <hyperlink r:id="rId40" ref="F48"/>
    <hyperlink r:id="rId41" ref="L48"/>
    <hyperlink r:id="rId42" ref="F50"/>
    <hyperlink r:id="rId43" ref="L50"/>
    <hyperlink r:id="rId44" ref="F52"/>
    <hyperlink r:id="rId45" ref="L52"/>
    <hyperlink r:id="rId46" ref="F54"/>
    <hyperlink r:id="rId47" ref="L54"/>
    <hyperlink r:id="rId48" ref="F56"/>
    <hyperlink r:id="rId49" ref="L56"/>
    <hyperlink r:id="rId50" ref="F58"/>
    <hyperlink r:id="rId51" ref="L58"/>
    <hyperlink r:id="rId52" ref="F60"/>
    <hyperlink r:id="rId53" ref="L60"/>
    <hyperlink r:id="rId54" ref="F62"/>
    <hyperlink r:id="rId55" ref="L62"/>
    <hyperlink r:id="rId56" ref="F64"/>
    <hyperlink r:id="rId57" ref="L64"/>
    <hyperlink r:id="rId58" ref="F66"/>
    <hyperlink r:id="rId59" ref="L66"/>
    <hyperlink r:id="rId60" ref="F68"/>
    <hyperlink r:id="rId61" ref="L68"/>
    <hyperlink r:id="rId62" ref="F70"/>
    <hyperlink r:id="rId63" ref="L70"/>
    <hyperlink r:id="rId64" ref="F72"/>
    <hyperlink r:id="rId65" ref="L72"/>
    <hyperlink r:id="rId66" ref="F74"/>
    <hyperlink r:id="rId67" ref="L74"/>
    <hyperlink r:id="rId68" ref="F76"/>
    <hyperlink r:id="rId69" ref="L76"/>
    <hyperlink r:id="rId70" ref="F78"/>
    <hyperlink r:id="rId71" ref="L78"/>
    <hyperlink r:id="rId72" ref="F80"/>
    <hyperlink r:id="rId73" ref="L80"/>
    <hyperlink r:id="rId74" ref="F82"/>
    <hyperlink r:id="rId75" ref="L82"/>
    <hyperlink r:id="rId76" ref="F84"/>
    <hyperlink r:id="rId77" ref="L84"/>
    <hyperlink r:id="rId78" ref="F86"/>
    <hyperlink r:id="rId79" ref="L86"/>
    <hyperlink r:id="rId80" ref="F88"/>
    <hyperlink r:id="rId81" ref="L88"/>
    <hyperlink r:id="rId82" ref="F90"/>
    <hyperlink r:id="rId83" ref="L90"/>
  </hyperlinks>
  <drawing r:id="rId8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18.5"/>
    <col customWidth="1" min="3" max="3" width="13.88"/>
    <col customWidth="1" min="4" max="4" width="14.13"/>
    <col customWidth="1" min="5" max="5" width="14.88"/>
  </cols>
  <sheetData>
    <row r="1">
      <c r="A1" s="61" t="s">
        <v>19</v>
      </c>
      <c r="B1" s="61" t="s">
        <v>323</v>
      </c>
      <c r="C1" s="61" t="s">
        <v>324</v>
      </c>
      <c r="D1" s="61" t="s">
        <v>325</v>
      </c>
      <c r="E1" s="61" t="s">
        <v>326</v>
      </c>
      <c r="F1" s="17"/>
      <c r="G1" s="17"/>
      <c r="H1" s="17"/>
      <c r="I1" s="17"/>
      <c r="J1" s="17"/>
      <c r="K1" s="17"/>
      <c r="L1" s="17"/>
      <c r="M1" s="17"/>
      <c r="N1" s="17"/>
      <c r="O1" s="17"/>
      <c r="P1" s="17"/>
      <c r="Q1" s="17"/>
      <c r="R1" s="17"/>
      <c r="S1" s="17"/>
      <c r="T1" s="17"/>
      <c r="U1" s="17"/>
      <c r="V1" s="17"/>
      <c r="W1" s="17"/>
      <c r="X1" s="17"/>
      <c r="Y1" s="17"/>
      <c r="Z1" s="17"/>
    </row>
    <row r="2">
      <c r="A2" s="19" t="str">
        <f>IFERROR(__xludf.DUMMYFUNCTION("UNIQUE(FILTER('Main Report'!B11:B1000, 'Main Report'!B11:B1000 &lt;&gt; """"))"),"Dashboard")</f>
        <v>Dashboard</v>
      </c>
      <c r="B2" s="19" t="str">
        <f>IFERROR(__xludf.DUMMYFUNCTION("IFERROR(TEXTJOIN("", "", TRUE, FILTER('Main Report'!$A$11:$A1000, 'Main Report'!$B$11:$B1000 = A2)), """")
"),"BR-001, BR-002, BR-003, BR-004, BR-005, BR-006, BR-007, BR-008, BR-009")</f>
        <v>BR-001, BR-002, BR-003, BR-004, BR-005, BR-006, BR-007, BR-008, BR-009</v>
      </c>
      <c r="C2" s="19">
        <f>IF(COUNTIFS('Main Report'!$B$11:$B1000, A2, 'Main Report'!$K$11:$K1000, "&lt;&gt;")=0, "", COUNTIFS('Main Report'!$B$11:$B1000, A2, 'Main Report'!$K$11:$K1000, "&lt;&gt;"))
</f>
        <v>9</v>
      </c>
      <c r="D2" s="19" t="str">
        <f>IF(OR(C2=0, 'Main Report'!$E$7=0), "", TEXT(C2 / 'Main Report'!$E$7 * 100, "0.00") &amp; "%")
</f>
        <v>21.43%</v>
      </c>
      <c r="E2" s="19" t="str">
        <f>"High: " &amp; COUNTIFS('Main Report'!B11:B1000, A2, 'Main Report'!K11:K1000, "High") &amp; CHAR(10) &amp;
"Medium: " &amp; COUNTIFS('Main Report'!B11:B1000, A2, 'Main Report'!K11:K1000, "Medium") &amp; CHAR(10) &amp;
"Low: " &amp; COUNTIFS('Main Report'!B11:B1000, A2, 'Main Report'!K11:K1000, "Low")</f>
        <v>High: 5
Medium: 3
Low: 1</v>
      </c>
      <c r="F2" s="21" t="s">
        <v>327</v>
      </c>
      <c r="G2" s="17"/>
      <c r="H2" s="17"/>
      <c r="I2" s="17"/>
      <c r="J2" s="17"/>
      <c r="K2" s="17"/>
      <c r="L2" s="17"/>
      <c r="M2" s="17"/>
      <c r="N2" s="17"/>
      <c r="O2" s="17"/>
      <c r="P2" s="17"/>
      <c r="Q2" s="17"/>
      <c r="R2" s="17"/>
      <c r="S2" s="17"/>
      <c r="T2" s="17"/>
      <c r="U2" s="17"/>
      <c r="V2" s="17"/>
      <c r="W2" s="17"/>
      <c r="X2" s="17"/>
      <c r="Y2" s="17"/>
      <c r="Z2" s="17"/>
    </row>
    <row r="3">
      <c r="A3" s="19" t="str">
        <f>IFERROR(__xludf.DUMMYFUNCTION("""COMPUTED_VALUE"""),"Home")</f>
        <v>Home</v>
      </c>
      <c r="B3" s="19" t="str">
        <f>IFERROR(__xludf.DUMMYFUNCTION("IFERROR(TEXTJOIN("", "", TRUE, FILTER('Main Report'!$A$11:$A1000, 'Main Report'!$B$11:$B1000 = A3)), """")
"),"BR-010, BR-011, BR-012, BR-013, BR-014, BR-015, BR-016, BR-017, BR-018")</f>
        <v>BR-010, BR-011, BR-012, BR-013, BR-014, BR-015, BR-016, BR-017, BR-018</v>
      </c>
      <c r="C3" s="19">
        <f>IF(COUNTIFS('Main Report'!$B$11:$B1000, A3, 'Main Report'!$K$11:$K1000, "&lt;&gt;")=0, "", COUNTIFS('Main Report'!$B$11:$B1000, A3, 'Main Report'!$K$11:$K1000, "&lt;&gt;"))
</f>
        <v>9</v>
      </c>
      <c r="D3" s="19" t="str">
        <f>IF(OR(C3=0, 'Main Report'!$E$7=0), "", TEXT(C3 / 'Main Report'!$E$7 * 100, "0.00") &amp; "%")
</f>
        <v>21.43%</v>
      </c>
      <c r="E3" s="19" t="str">
        <f>"High: " &amp; COUNTIFS('Main Report'!B12:B1000, A3, 'Main Report'!K12:K1000, "High") &amp; CHAR(10) &amp;
"Medium: " &amp; COUNTIFS('Main Report'!B12:B1000, A3, 'Main Report'!K12:K1000, "Medium") &amp; CHAR(10) &amp;
"Low: " &amp; COUNTIFS('Main Report'!B12:B1000, A3, 'Main Report'!K12:K1000, "Low")</f>
        <v>High: 0
Medium: 6
Low: 3</v>
      </c>
      <c r="F3" s="17" t="str">
        <f>IFERROR(__xludf.DUMMYFUNCTION("TEXTJOIN("", "", TRUE, UNIQUE(FILTER('Main Report'!P12:P1000, 'Main Report'!B12:B1000 = A3)))
"),"")</f>
        <v/>
      </c>
      <c r="G3" s="17"/>
      <c r="H3" s="17"/>
      <c r="I3" s="17"/>
      <c r="J3" s="17"/>
      <c r="K3" s="17"/>
      <c r="L3" s="17"/>
      <c r="M3" s="17"/>
      <c r="N3" s="17"/>
      <c r="O3" s="17"/>
      <c r="P3" s="17"/>
      <c r="Q3" s="17"/>
      <c r="R3" s="17"/>
      <c r="S3" s="17"/>
      <c r="T3" s="17"/>
      <c r="U3" s="17"/>
      <c r="V3" s="17"/>
      <c r="W3" s="17"/>
      <c r="X3" s="17"/>
      <c r="Y3" s="17"/>
      <c r="Z3" s="17"/>
    </row>
    <row r="4">
      <c r="A4" s="19" t="str">
        <f>IFERROR(__xludf.DUMMYFUNCTION("""COMPUTED_VALUE"""),"Pricing")</f>
        <v>Pricing</v>
      </c>
      <c r="B4" s="19" t="str">
        <f>IFERROR(__xludf.DUMMYFUNCTION("IFERROR(TEXTJOIN("", "", TRUE, FILTER('Main Report'!$A$11:$A1000, 'Main Report'!$B$11:$B1000 = A4)), """")
"),"BR-019, BR-020")</f>
        <v>BR-019, BR-020</v>
      </c>
      <c r="C4" s="19">
        <f>IF(COUNTIFS('Main Report'!$B$11:$B1000, A4, 'Main Report'!$K$11:$K1000, "&lt;&gt;")=0, "", COUNTIFS('Main Report'!$B$11:$B1000, A4, 'Main Report'!$K$11:$K1000, "&lt;&gt;"))
</f>
        <v>2</v>
      </c>
      <c r="D4" s="19" t="str">
        <f>IF(OR(C4=0, 'Main Report'!$E$7=0), "", TEXT(C4 / 'Main Report'!$E$7 * 100, "0.00") &amp; "%")
</f>
        <v>4.76%</v>
      </c>
      <c r="E4" s="19" t="str">
        <f>"High: " &amp; COUNTIFS('Main Report'!B13:B1000, A4, 'Main Report'!K13:K1000, "High") &amp; CHAR(10) &amp;
"Medium: " &amp; COUNTIFS('Main Report'!B13:B1000, A4, 'Main Report'!K13:K1000, "Medium") &amp; CHAR(10) &amp;
"Low: " &amp; COUNTIFS('Main Report'!B13:B1000, A4, 'Main Report'!K13:K1000, "Low")</f>
        <v>High: 0
Medium: 1
Low: 1</v>
      </c>
      <c r="F4" s="17" t="str">
        <f>IFERROR(__xludf.DUMMYFUNCTION("TEXTJOIN("", "", TRUE, UNIQUE(FILTER('Main Report'!P13:P1000, 'Main Report'!B13:B1000 = A4)))
"),"")</f>
        <v/>
      </c>
      <c r="G4" s="17"/>
      <c r="H4" s="17"/>
      <c r="I4" s="17"/>
      <c r="J4" s="17"/>
      <c r="K4" s="17"/>
      <c r="L4" s="17"/>
      <c r="M4" s="17"/>
      <c r="N4" s="17"/>
      <c r="O4" s="17"/>
      <c r="P4" s="17"/>
      <c r="Q4" s="17"/>
      <c r="R4" s="17"/>
      <c r="S4" s="17"/>
      <c r="T4" s="17"/>
      <c r="U4" s="17"/>
      <c r="V4" s="17"/>
      <c r="W4" s="17"/>
      <c r="X4" s="17"/>
      <c r="Y4" s="17"/>
      <c r="Z4" s="17"/>
    </row>
    <row r="5">
      <c r="A5" s="19" t="str">
        <f>IFERROR(__xludf.DUMMYFUNCTION("""COMPUTED_VALUE"""),"Profile")</f>
        <v>Profile</v>
      </c>
      <c r="B5" s="19" t="str">
        <f>IFERROR(__xludf.DUMMYFUNCTION("IFERROR(TEXTJOIN("", "", TRUE, FILTER('Main Report'!$A$11:$A1000, 'Main Report'!$B$11:$B1000 = A5)), """")
"),"BR-021, BR-022, BR-023, BR-024, BR-025, BR-026, BR-027, BR-028")</f>
        <v>BR-021, BR-022, BR-023, BR-024, BR-025, BR-026, BR-027, BR-028</v>
      </c>
      <c r="C5" s="19">
        <f>IF(COUNTIFS('Main Report'!$B$11:$B1000, A5, 'Main Report'!$K$11:$K1000, "&lt;&gt;")=0, "", COUNTIFS('Main Report'!$B$11:$B1000, A5, 'Main Report'!$K$11:$K1000, "&lt;&gt;"))
</f>
        <v>8</v>
      </c>
      <c r="D5" s="19" t="str">
        <f>IF(OR(C5=0, 'Main Report'!$E$7=0), "", TEXT(C5 / 'Main Report'!$E$7 * 100, "0.00") &amp; "%")
</f>
        <v>19.05%</v>
      </c>
      <c r="E5" s="19" t="str">
        <f>"High: " &amp; COUNTIFS('Main Report'!B14:B1000, A5, 'Main Report'!K14:K1000, "High") &amp; CHAR(10) &amp;
"Medium: " &amp; COUNTIFS('Main Report'!B14:B1000, A5, 'Main Report'!K14:K1000, "Medium") &amp; CHAR(10) &amp;
"Low: " &amp; COUNTIFS('Main Report'!B14:B1000, A5, 'Main Report'!K14:K1000, "Low")</f>
        <v>High: 2
Medium: 3
Low: 3</v>
      </c>
      <c r="F5" s="17"/>
      <c r="G5" s="17"/>
      <c r="H5" s="17"/>
      <c r="I5" s="17"/>
      <c r="J5" s="17"/>
      <c r="K5" s="17"/>
      <c r="L5" s="17"/>
      <c r="M5" s="17"/>
      <c r="N5" s="17"/>
      <c r="O5" s="17"/>
      <c r="P5" s="17"/>
      <c r="Q5" s="17"/>
      <c r="R5" s="17"/>
      <c r="S5" s="17"/>
      <c r="T5" s="17"/>
      <c r="U5" s="17"/>
      <c r="V5" s="17"/>
      <c r="W5" s="17"/>
      <c r="X5" s="17"/>
      <c r="Y5" s="17"/>
      <c r="Z5" s="17"/>
    </row>
    <row r="6">
      <c r="A6" s="19" t="str">
        <f>IFERROR(__xludf.DUMMYFUNCTION("""COMPUTED_VALUE"""),"Sign Up")</f>
        <v>Sign Up</v>
      </c>
      <c r="B6" s="19" t="str">
        <f>IFERROR(__xludf.DUMMYFUNCTION("IFERROR(TEXTJOIN("", "", TRUE, FILTER('Main Report'!$A$11:$A1000, 'Main Report'!$B$11:$B1000 = A6)), """")
"),"BR-029, BR-030, BR-031, BR-032, BR-033, BR-034, BR-035, BR-036, BR-037")</f>
        <v>BR-029, BR-030, BR-031, BR-032, BR-033, BR-034, BR-035, BR-036, BR-037</v>
      </c>
      <c r="C6" s="19">
        <f>IF(COUNTIFS('Main Report'!$B$11:$B1000, A6, 'Main Report'!$K$11:$K1000, "&lt;&gt;")=0, "", COUNTIFS('Main Report'!$B$11:$B1000, A6, 'Main Report'!$K$11:$K1000, "&lt;&gt;"))
</f>
        <v>9</v>
      </c>
      <c r="D6" s="19" t="str">
        <f>IF(OR(C6=0, 'Main Report'!$E$7=0), "", TEXT(C6 / 'Main Report'!$E$7 * 100, "0.00") &amp; "%")
</f>
        <v>21.43%</v>
      </c>
      <c r="E6" s="19" t="str">
        <f>"High: " &amp; COUNTIFS('Main Report'!B15:B1000, A6, 'Main Report'!K15:K1000, "High") &amp; CHAR(10) &amp;
"Medium: " &amp; COUNTIFS('Main Report'!B15:B1000, A6, 'Main Report'!K15:K1000, "Medium") &amp; CHAR(10) &amp;
"Low: " &amp; COUNTIFS('Main Report'!B15:B1000, A6, 'Main Report'!K15:K1000, "Low")</f>
        <v>High: 2
Medium: 3
Low: 4</v>
      </c>
      <c r="F6" s="17"/>
      <c r="G6" s="17"/>
      <c r="H6" s="17"/>
      <c r="I6" s="17"/>
      <c r="J6" s="17"/>
      <c r="K6" s="17"/>
      <c r="L6" s="17"/>
      <c r="M6" s="17"/>
      <c r="N6" s="17"/>
      <c r="O6" s="17"/>
      <c r="P6" s="17"/>
      <c r="Q6" s="17"/>
      <c r="R6" s="17"/>
      <c r="S6" s="17"/>
      <c r="T6" s="17"/>
      <c r="U6" s="17"/>
      <c r="V6" s="17"/>
      <c r="W6" s="17"/>
      <c r="X6" s="17"/>
      <c r="Y6" s="17"/>
      <c r="Z6" s="17"/>
    </row>
    <row r="7">
      <c r="A7" s="19" t="str">
        <f>IFERROR(__xludf.DUMMYFUNCTION("""COMPUTED_VALUE"""),"Signin")</f>
        <v>Signin</v>
      </c>
      <c r="B7" s="19" t="str">
        <f>IFERROR(__xludf.DUMMYFUNCTION("IFERROR(TEXTJOIN("", "", TRUE, FILTER('Main Report'!$A$11:$A1000, 'Main Report'!$B$11:$B1000 = A7)), """")
"),"BR-038, BR-039, BR-040, BR-041, BR-042")</f>
        <v>BR-038, BR-039, BR-040, BR-041, BR-042</v>
      </c>
      <c r="C7" s="19">
        <f>IF(COUNTIFS('Main Report'!$B$11:$B1000, A7, 'Main Report'!$K$11:$K1000, "&lt;&gt;")=0, "", COUNTIFS('Main Report'!$B$11:$B1000, A7, 'Main Report'!$K$11:$K1000, "&lt;&gt;"))
</f>
        <v>5</v>
      </c>
      <c r="D7" s="19" t="str">
        <f>IF(OR(C7=0, 'Main Report'!$E$7=0), "", TEXT(C7 / 'Main Report'!$E$7 * 100, "0.00") &amp; "%")
</f>
        <v>11.90%</v>
      </c>
      <c r="E7" s="19" t="str">
        <f>"High: " &amp; COUNTIFS('Main Report'!B16:B1000, A7, 'Main Report'!K16:K1000, "High") &amp; CHAR(10) &amp;
"Medium: " &amp; COUNTIFS('Main Report'!B16:B1000, A7, 'Main Report'!K16:K1000, "Medium") &amp; CHAR(10) &amp;
"Low: " &amp; COUNTIFS('Main Report'!B16:B1000, A7, 'Main Report'!K16:K1000, "Low")</f>
        <v>High: 1
Medium: 2
Low: 2</v>
      </c>
      <c r="F7" s="17"/>
      <c r="G7" s="17"/>
      <c r="H7" s="17"/>
      <c r="I7" s="17"/>
      <c r="J7" s="17"/>
      <c r="K7" s="17"/>
      <c r="L7" s="17"/>
      <c r="M7" s="17"/>
      <c r="N7" s="17"/>
      <c r="O7" s="17"/>
      <c r="P7" s="17"/>
      <c r="Q7" s="17"/>
      <c r="R7" s="17"/>
      <c r="S7" s="17"/>
      <c r="T7" s="17"/>
      <c r="U7" s="17"/>
      <c r="V7" s="17"/>
      <c r="W7" s="17"/>
      <c r="X7" s="17"/>
      <c r="Y7" s="17"/>
      <c r="Z7" s="17"/>
    </row>
    <row r="8">
      <c r="A8" s="19"/>
      <c r="B8" s="19" t="str">
        <f>IFERROR(__xludf.DUMMYFUNCTION("IFERROR(TEXTJOIN("", "", TRUE, FILTER('Main Report'!$A$11:$A1000, 'Main Report'!$B$11:$B1000 = A8)), """")
"),"")</f>
        <v/>
      </c>
      <c r="C8" s="19"/>
      <c r="D8" s="19"/>
      <c r="E8" s="19"/>
      <c r="F8" s="17"/>
      <c r="G8" s="17"/>
      <c r="H8" s="17"/>
      <c r="I8" s="17"/>
      <c r="J8" s="17"/>
      <c r="K8" s="17"/>
      <c r="L8" s="17"/>
      <c r="M8" s="17"/>
      <c r="N8" s="17"/>
      <c r="O8" s="17"/>
      <c r="P8" s="17"/>
      <c r="Q8" s="17"/>
      <c r="R8" s="17"/>
      <c r="S8" s="17"/>
      <c r="T8" s="17"/>
      <c r="U8" s="17"/>
      <c r="V8" s="17"/>
      <c r="W8" s="17"/>
      <c r="X8" s="17"/>
      <c r="Y8" s="17"/>
      <c r="Z8" s="17"/>
    </row>
    <row r="9">
      <c r="A9" s="17"/>
      <c r="B9" s="17"/>
      <c r="C9" s="17"/>
      <c r="D9" s="17"/>
      <c r="E9" s="17"/>
      <c r="F9" s="17"/>
      <c r="G9" s="17"/>
      <c r="H9" s="17"/>
      <c r="I9" s="17"/>
      <c r="J9" s="17"/>
      <c r="K9" s="17"/>
      <c r="L9" s="17"/>
      <c r="M9" s="17"/>
      <c r="N9" s="17"/>
      <c r="O9" s="17"/>
      <c r="P9" s="17"/>
      <c r="Q9" s="17"/>
      <c r="R9" s="17"/>
      <c r="S9" s="17"/>
      <c r="T9" s="17"/>
      <c r="U9" s="17"/>
      <c r="V9" s="17"/>
      <c r="W9" s="17"/>
      <c r="X9" s="17"/>
      <c r="Y9" s="17"/>
      <c r="Z9" s="17"/>
    </row>
    <row r="10">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c r="A16" s="17"/>
      <c r="B16" s="17"/>
      <c r="C16" s="17"/>
      <c r="D16" s="17" t="str">
        <f>IF(OR(C16=0, 'Main Report'!$E$7=0), "", TEXT(C16 / 'Main Report'!$E$7 * 100, "0.00") &amp; "%")
</f>
        <v/>
      </c>
      <c r="E16" s="17"/>
      <c r="F16" s="17"/>
      <c r="G16" s="17"/>
      <c r="H16" s="17"/>
      <c r="I16" s="17"/>
      <c r="J16" s="17"/>
      <c r="K16" s="17"/>
      <c r="L16" s="17"/>
      <c r="M16" s="17"/>
      <c r="N16" s="17"/>
      <c r="O16" s="17"/>
      <c r="P16" s="17"/>
      <c r="Q16" s="17"/>
      <c r="R16" s="17"/>
      <c r="S16" s="17"/>
      <c r="T16" s="17"/>
      <c r="U16" s="17"/>
      <c r="V16" s="17"/>
      <c r="W16" s="17"/>
      <c r="X16" s="17"/>
      <c r="Y16" s="17"/>
      <c r="Z16" s="17"/>
    </row>
    <row r="17">
      <c r="A17" s="17"/>
      <c r="B17" s="17"/>
      <c r="C17" s="17"/>
      <c r="D17" s="17" t="str">
        <f>IF(OR(C17=0, 'Main Report'!$E$7=0), "", TEXT(C17 / 'Main Report'!$E$7 * 100, "0.00") &amp; "%")
</f>
        <v/>
      </c>
      <c r="E17" s="17"/>
      <c r="F17" s="17"/>
      <c r="G17" s="17"/>
      <c r="H17" s="17"/>
      <c r="I17" s="17"/>
      <c r="J17" s="17"/>
      <c r="K17" s="17"/>
      <c r="L17" s="17"/>
      <c r="M17" s="17"/>
      <c r="N17" s="17"/>
      <c r="O17" s="17"/>
      <c r="P17" s="17"/>
      <c r="Q17" s="17"/>
      <c r="R17" s="17"/>
      <c r="S17" s="17"/>
      <c r="T17" s="17"/>
      <c r="U17" s="17"/>
      <c r="V17" s="17"/>
      <c r="W17" s="17"/>
      <c r="X17" s="17"/>
      <c r="Y17" s="17"/>
      <c r="Z17" s="17"/>
    </row>
    <row r="18">
      <c r="A18" s="17"/>
      <c r="B18" s="17"/>
      <c r="C18" s="17"/>
      <c r="D18" s="17" t="str">
        <f>IF(OR(C18=0, 'Main Report'!$E$7=0), "", TEXT(C18 / 'Main Report'!$E$7 * 100, "0.00") &amp; "%")
</f>
        <v/>
      </c>
      <c r="E18" s="17"/>
      <c r="F18" s="17"/>
      <c r="G18" s="17"/>
      <c r="H18" s="17"/>
      <c r="I18" s="17"/>
      <c r="J18" s="17"/>
      <c r="K18" s="17"/>
      <c r="L18" s="17"/>
      <c r="M18" s="17"/>
      <c r="N18" s="17"/>
      <c r="O18" s="17"/>
      <c r="P18" s="17"/>
      <c r="Q18" s="17"/>
      <c r="R18" s="17"/>
      <c r="S18" s="17"/>
      <c r="T18" s="17"/>
      <c r="U18" s="17"/>
      <c r="V18" s="17"/>
      <c r="W18" s="17"/>
      <c r="X18" s="17"/>
      <c r="Y18" s="17"/>
      <c r="Z18" s="17"/>
    </row>
    <row r="19">
      <c r="A19" s="17"/>
      <c r="B19" s="17"/>
      <c r="C19" s="17"/>
      <c r="D19" s="17" t="str">
        <f>IF(OR(C19=0, 'Main Report'!$E$7=0), "", TEXT(C19 / 'Main Report'!$E$7 * 100, "0.00") &amp; "%")
</f>
        <v/>
      </c>
      <c r="E19" s="17"/>
      <c r="F19" s="17"/>
      <c r="G19" s="17"/>
      <c r="H19" s="17"/>
      <c r="I19" s="17"/>
      <c r="J19" s="17"/>
      <c r="K19" s="17"/>
      <c r="L19" s="17"/>
      <c r="M19" s="17"/>
      <c r="N19" s="17"/>
      <c r="O19" s="17"/>
      <c r="P19" s="17"/>
      <c r="Q19" s="17"/>
      <c r="R19" s="17"/>
      <c r="S19" s="17"/>
      <c r="T19" s="17"/>
      <c r="U19" s="17"/>
      <c r="V19" s="17"/>
      <c r="W19" s="17"/>
      <c r="X19" s="17"/>
      <c r="Y19" s="17"/>
      <c r="Z19" s="17"/>
    </row>
    <row r="20">
      <c r="A20" s="17"/>
      <c r="B20" s="17"/>
      <c r="C20" s="17"/>
      <c r="D20" s="17" t="str">
        <f>IF(OR(C20=0, 'Main Report'!$E$7=0), "", TEXT(C20 / 'Main Report'!$E$7 * 100, "0.00") &amp; "%")
</f>
        <v/>
      </c>
      <c r="E20" s="17"/>
      <c r="F20" s="17"/>
      <c r="G20" s="17"/>
      <c r="H20" s="17"/>
      <c r="I20" s="17"/>
      <c r="J20" s="17"/>
      <c r="K20" s="17"/>
      <c r="L20" s="17"/>
      <c r="M20" s="17"/>
      <c r="N20" s="17"/>
      <c r="O20" s="17"/>
      <c r="P20" s="17"/>
      <c r="Q20" s="17"/>
      <c r="R20" s="17"/>
      <c r="S20" s="17"/>
      <c r="T20" s="17"/>
      <c r="U20" s="17"/>
      <c r="V20" s="17"/>
      <c r="W20" s="17"/>
      <c r="X20" s="17"/>
      <c r="Y20" s="17"/>
      <c r="Z20" s="17"/>
    </row>
    <row r="21">
      <c r="A21" s="17"/>
      <c r="B21" s="17"/>
      <c r="C21" s="17"/>
      <c r="D21" s="17" t="str">
        <f>IF(OR(C21=0, 'Main Report'!$E$7=0), "", TEXT(C21 / 'Main Report'!$E$7 * 100, "0.00") &amp; "%")
</f>
        <v/>
      </c>
      <c r="E21" s="17"/>
      <c r="F21" s="17"/>
      <c r="G21" s="17"/>
      <c r="H21" s="17"/>
      <c r="I21" s="17"/>
      <c r="J21" s="17"/>
      <c r="K21" s="17"/>
      <c r="L21" s="17"/>
      <c r="M21" s="17"/>
      <c r="N21" s="17"/>
      <c r="O21" s="17"/>
      <c r="P21" s="17"/>
      <c r="Q21" s="17"/>
      <c r="R21" s="17"/>
      <c r="S21" s="17"/>
      <c r="T21" s="17"/>
      <c r="U21" s="17"/>
      <c r="V21" s="17"/>
      <c r="W21" s="17"/>
      <c r="X21" s="17"/>
      <c r="Y21" s="17"/>
      <c r="Z21" s="17"/>
    </row>
    <row r="22">
      <c r="A22" s="17"/>
      <c r="B22" s="17"/>
      <c r="C22" s="17"/>
      <c r="D22" s="17" t="str">
        <f>IF(OR(C22=0, 'Main Report'!$E$7=0), "", TEXT(C22 / 'Main Report'!$E$7 * 100, "0.00") &amp; "%")
</f>
        <v/>
      </c>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t="str">
        <f>IF(OR(C23=0, 'Main Report'!$E$7=0), "", TEXT(C23 / 'Main Report'!$E$7 * 100, "0.00") &amp; "%")
</f>
        <v/>
      </c>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t="str">
        <f>IF(OR(C24=0, 'Main Report'!$E$7=0), "", TEXT(C24 / 'Main Report'!$E$7 * 100, "0.00") &amp; "%")
</f>
        <v/>
      </c>
      <c r="E24" s="17"/>
      <c r="F24" s="17"/>
      <c r="G24" s="17"/>
      <c r="H24" s="17"/>
      <c r="I24" s="17"/>
      <c r="J24" s="17"/>
      <c r="K24" s="17"/>
      <c r="L24" s="17"/>
      <c r="M24" s="17"/>
      <c r="N24" s="17"/>
      <c r="O24" s="17"/>
      <c r="P24" s="17"/>
      <c r="Q24" s="17"/>
      <c r="R24" s="17"/>
      <c r="S24" s="17"/>
      <c r="T24" s="17"/>
      <c r="U24" s="17"/>
      <c r="V24" s="17"/>
      <c r="W24" s="17"/>
      <c r="X24" s="17"/>
      <c r="Y24" s="17"/>
      <c r="Z24" s="17"/>
    </row>
    <row r="25">
      <c r="A25" s="17"/>
      <c r="B25" s="17"/>
      <c r="C25" s="17"/>
      <c r="D25" s="17" t="str">
        <f>IF(OR(C25=0, 'Main Report'!$E$7=0), "", TEXT(C25 / 'Main Report'!$E$7 * 100, "0.00") &amp; "%")
</f>
        <v/>
      </c>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t="str">
        <f>IF(OR(C26=0, 'Main Report'!$E$7=0), "", TEXT(C26 / 'Main Report'!$E$7 * 100, "0.00") &amp; "%")
</f>
        <v/>
      </c>
      <c r="E26" s="17"/>
      <c r="F26" s="17"/>
      <c r="G26" s="17"/>
      <c r="H26" s="17"/>
      <c r="I26" s="17"/>
      <c r="J26" s="17"/>
      <c r="K26" s="17"/>
      <c r="L26" s="17"/>
      <c r="M26" s="17"/>
      <c r="N26" s="17"/>
      <c r="O26" s="17"/>
      <c r="P26" s="17"/>
      <c r="Q26" s="17"/>
      <c r="R26" s="17"/>
      <c r="S26" s="17"/>
      <c r="T26" s="17"/>
      <c r="U26" s="17"/>
      <c r="V26" s="17"/>
      <c r="W26" s="17"/>
      <c r="X26" s="17"/>
      <c r="Y26" s="17"/>
      <c r="Z26" s="17"/>
    </row>
    <row r="27">
      <c r="A27" s="17"/>
      <c r="B27" s="17"/>
      <c r="C27" s="17"/>
      <c r="D27" s="17" t="str">
        <f>IF(OR(C27=0, 'Main Report'!$E$7=0), "", TEXT(C27 / 'Main Report'!$E$7 * 100, "0.00") &amp; "%")
</f>
        <v/>
      </c>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7" t="str">
        <f>IF(OR(C28=0, 'Main Report'!$E$7=0), "", TEXT(C28 / 'Main Report'!$E$7 * 100, "0.00") &amp; "%")
</f>
        <v/>
      </c>
      <c r="E28" s="17"/>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7" t="str">
        <f>IF(OR(C29=0, 'Main Report'!$E$7=0), "", TEXT(C29 / 'Main Report'!$E$7 * 100, "0.00") &amp; "%")
</f>
        <v/>
      </c>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17" t="str">
        <f>IF(OR(C30=0, 'Main Report'!$E$7=0), "", TEXT(C30 / 'Main Report'!$E$7 * 100, "0.00") &amp; "%")
</f>
        <v/>
      </c>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t="str">
        <f>IF(OR(C31=0, 'Main Report'!$E$7=0), "", TEXT(C31 / 'Main Report'!$E$7 * 100, "0.00") &amp; "%")
</f>
        <v/>
      </c>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7" t="str">
        <f>IF(OR(C32=0, 'Main Report'!$E$7=0), "", TEXT(C32 / 'Main Report'!$E$7 * 100, "0.00") &amp; "%")
</f>
        <v/>
      </c>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7" t="str">
        <f>IF(OR(C33=0, 'Main Report'!$E$7=0), "", TEXT(C33 / 'Main Report'!$E$7 * 100, "0.00") &amp; "%")
</f>
        <v/>
      </c>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t="str">
        <f>IF(OR(C34=0, 'Main Report'!$E$7=0), "", TEXT(C34 / 'Main Report'!$E$7 * 100, "0.00") &amp; "%")
</f>
        <v/>
      </c>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17" t="str">
        <f>IF(OR(C35=0, 'Main Report'!$E$7=0), "", TEXT(C35 / 'Main Report'!$E$7 * 100, "0.00") &amp; "%")
</f>
        <v/>
      </c>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17" t="str">
        <f>IF(OR(C36=0, 'Main Report'!$E$7=0), "", TEXT(C36 / 'Main Report'!$E$7 * 100, "0.00") &amp; "%")
</f>
        <v/>
      </c>
      <c r="E36" s="17"/>
      <c r="F36" s="17"/>
      <c r="G36" s="17"/>
      <c r="H36" s="17"/>
      <c r="I36" s="17"/>
      <c r="J36" s="17"/>
      <c r="K36" s="17"/>
      <c r="L36" s="17"/>
      <c r="M36" s="17"/>
      <c r="N36" s="17"/>
      <c r="O36" s="17"/>
      <c r="P36" s="17"/>
      <c r="Q36" s="17"/>
      <c r="R36" s="17"/>
      <c r="S36" s="17"/>
      <c r="T36" s="17"/>
      <c r="U36" s="17"/>
      <c r="V36" s="17"/>
      <c r="W36" s="17"/>
      <c r="X36" s="17"/>
      <c r="Y36" s="17"/>
      <c r="Z36" s="17"/>
    </row>
    <row r="37">
      <c r="A37" s="17"/>
      <c r="B37" s="17"/>
      <c r="C37" s="17"/>
      <c r="D37" s="17" t="str">
        <f>IF(OR(C37=0, 'Main Report'!$E$7=0), "", TEXT(C37 / 'Main Report'!$E$7 * 100, "0.00") &amp; "%")
</f>
        <v/>
      </c>
      <c r="E37" s="17"/>
      <c r="F37" s="17"/>
      <c r="G37" s="17"/>
      <c r="H37" s="17"/>
      <c r="I37" s="17"/>
      <c r="J37" s="17"/>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drawing r:id="rId1"/>
</worksheet>
</file>