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Report" sheetId="1" r:id="rId4"/>
    <sheet state="visible" name="Fahad" sheetId="2" r:id="rId5"/>
    <sheet state="visible" name="Tahsin" sheetId="3" r:id="rId6"/>
    <sheet state="visible" name="Summary Report" sheetId="4" r:id="rId7"/>
  </sheets>
  <definedNames/>
  <calcPr/>
</workbook>
</file>

<file path=xl/sharedStrings.xml><?xml version="1.0" encoding="utf-8"?>
<sst xmlns="http://schemas.openxmlformats.org/spreadsheetml/2006/main" count="487" uniqueCount="254">
  <si>
    <t xml:space="preserve">Tester : </t>
  </si>
  <si>
    <t>Mohammed Fahad Faisal</t>
  </si>
  <si>
    <t>Severity</t>
  </si>
  <si>
    <t>Issues</t>
  </si>
  <si>
    <t>Project Name:</t>
  </si>
  <si>
    <t>Text Humanizer Pro</t>
  </si>
  <si>
    <t>High</t>
  </si>
  <si>
    <t>Project URL:</t>
  </si>
  <si>
    <r>
      <rPr>
        <color rgb="FF1155CC"/>
        <u/>
      </rPr>
      <t>Vite + React</t>
    </r>
  </si>
  <si>
    <t>Medium</t>
  </si>
  <si>
    <t xml:space="preserve"> </t>
  </si>
  <si>
    <t>Developer:</t>
  </si>
  <si>
    <t>AI-Hunter</t>
  </si>
  <si>
    <t>Low</t>
  </si>
  <si>
    <t xml:space="preserve">OS: </t>
  </si>
  <si>
    <t>Environment</t>
  </si>
  <si>
    <t>Total Test Cases:</t>
  </si>
  <si>
    <t>Test Case Solved :</t>
  </si>
  <si>
    <t>Test Case ID</t>
  </si>
  <si>
    <t>Module</t>
  </si>
  <si>
    <t>Sub Module</t>
  </si>
  <si>
    <t>Test Case Description</t>
  </si>
  <si>
    <t>Preconditions</t>
  </si>
  <si>
    <t>Test Steps</t>
  </si>
  <si>
    <t>Test Data</t>
  </si>
  <si>
    <t>Expected Result</t>
  </si>
  <si>
    <t>Actual Result</t>
  </si>
  <si>
    <t>Status</t>
  </si>
  <si>
    <t>Screen Shots</t>
  </si>
  <si>
    <t>Suggestion</t>
  </si>
  <si>
    <t>Tester</t>
  </si>
  <si>
    <t>Feedback</t>
  </si>
  <si>
    <t>Comment</t>
  </si>
  <si>
    <t>BR-002</t>
  </si>
  <si>
    <t>BR-003</t>
  </si>
  <si>
    <t>BR-004</t>
  </si>
  <si>
    <t>BR-005</t>
  </si>
  <si>
    <t>BR-006</t>
  </si>
  <si>
    <t>BR-007</t>
  </si>
  <si>
    <t>BR-008</t>
  </si>
  <si>
    <t>BR-009</t>
  </si>
  <si>
    <t>BR-010</t>
  </si>
  <si>
    <t>BR-011</t>
  </si>
  <si>
    <t>BR-012</t>
  </si>
  <si>
    <t>BR-013</t>
  </si>
  <si>
    <t>BR-014</t>
  </si>
  <si>
    <t>BR-015</t>
  </si>
  <si>
    <t>BR-016</t>
  </si>
  <si>
    <t>BR-017</t>
  </si>
  <si>
    <t>BR-018</t>
  </si>
  <si>
    <t>BR-019</t>
  </si>
  <si>
    <t>BR-020</t>
  </si>
  <si>
    <t>BR-021</t>
  </si>
  <si>
    <t>BR-022</t>
  </si>
  <si>
    <t>BR-023</t>
  </si>
  <si>
    <t>BR-024</t>
  </si>
  <si>
    <t>BR-025</t>
  </si>
  <si>
    <t>BR-026</t>
  </si>
  <si>
    <t>BR-027</t>
  </si>
  <si>
    <t>BR-028</t>
  </si>
  <si>
    <t/>
  </si>
  <si>
    <t>AI - Hunter</t>
  </si>
  <si>
    <t>Windows 11 Pro 
Version:24H2 
OS build:26100.4946</t>
  </si>
  <si>
    <t>Environment:</t>
  </si>
  <si>
    <t>Brave 1.81.135 
(Official Build) (64-bit)
Chromium: 139.0.7258.127</t>
  </si>
  <si>
    <t>Test ID</t>
  </si>
  <si>
    <t>BR_001</t>
  </si>
  <si>
    <t>Landing Page</t>
  </si>
  <si>
    <t>Header</t>
  </si>
  <si>
    <t>The logo appears to be a bit small.</t>
  </si>
  <si>
    <t>User need to be in web browser</t>
  </si>
  <si>
    <r>
      <rPr>
        <rFont val="Times New Roman"/>
        <sz val="12.0"/>
      </rPr>
      <t xml:space="preserve">1. Open </t>
    </r>
    <r>
      <rPr>
        <rFont val="Times New Roman"/>
        <color rgb="FF1155CC"/>
        <sz val="12.0"/>
        <u/>
      </rPr>
      <t>web app</t>
    </r>
  </si>
  <si>
    <t>N/A</t>
  </si>
  <si>
    <t>A website logo should grab users' attention and be visually appealing.</t>
  </si>
  <si>
    <t>A small-sized logo has been observed in the homepage header section.</t>
  </si>
  <si>
    <t>Fail</t>
  </si>
  <si>
    <t>https://jam.dev/c/627db0fc-28db-436f-a1b2-d1b8cc923450</t>
  </si>
  <si>
    <t>BR_002</t>
  </si>
  <si>
    <t>Header section size issue</t>
  </si>
  <si>
    <t>User need to be in browser</t>
  </si>
  <si>
    <r>
      <rPr>
        <rFont val="Times New Roman"/>
        <sz val="12.0"/>
      </rPr>
      <t xml:space="preserve">1. Open </t>
    </r>
    <r>
      <rPr>
        <rFont val="Times New Roman"/>
        <color rgb="FF1155CC"/>
        <sz val="12.0"/>
        <u/>
      </rPr>
      <t>web app</t>
    </r>
  </si>
  <si>
    <t>The header section size should match the client's requirements exactly.</t>
  </si>
  <si>
    <t>The header section appears to be smaller than the client's requirements.</t>
  </si>
  <si>
    <t>https://jam.dev/c/01c7fc2b-8290-4158-832a-562137b55e28</t>
  </si>
  <si>
    <t>BR_003</t>
  </si>
  <si>
    <t>Home</t>
  </si>
  <si>
    <t>Text font and color issue</t>
  </si>
  <si>
    <r>
      <rPr>
        <rFont val="Times New Roman"/>
        <sz val="12.0"/>
      </rPr>
      <t xml:space="preserve">1. Open </t>
    </r>
    <r>
      <rPr>
        <rFont val="Times New Roman"/>
        <color rgb="FF1155CC"/>
        <sz val="12.0"/>
        <u/>
      </rPr>
      <t>web app</t>
    </r>
  </si>
  <si>
    <t>The font and color should match the client's requirements.</t>
  </si>
  <si>
    <t>The font size and text color do not match the client's requirements.</t>
  </si>
  <si>
    <t>https://jam.dev/c/2637688e-9f2a-4a43-9490-d77286dc7be0</t>
  </si>
  <si>
    <t>BR_004</t>
  </si>
  <si>
    <t>The icon size is smaller than the client's requirement.</t>
  </si>
  <si>
    <r>
      <rPr>
        <rFont val="Times New Roman"/>
        <sz val="12.0"/>
      </rPr>
      <t xml:space="preserve">1. Open </t>
    </r>
    <r>
      <rPr>
        <rFont val="Times New Roman"/>
        <color rgb="FF1155CC"/>
        <sz val="12.0"/>
        <u/>
      </rPr>
      <t>web app</t>
    </r>
  </si>
  <si>
    <t>The alignment and font should match the client's requirements.</t>
  </si>
  <si>
    <t>The icon appears to be smaller than the client's requirement.</t>
  </si>
  <si>
    <t>https://jam.dev/c/9f5b1842-a1c3-4bd6-a0f0-b4e3cf772daf</t>
  </si>
  <si>
    <t>BR_005</t>
  </si>
  <si>
    <t>Content of SEO Agency banner hold different context</t>
  </si>
  <si>
    <r>
      <rPr>
        <rFont val="Times New Roman"/>
        <sz val="12.0"/>
      </rPr>
      <t xml:space="preserve">1. Open </t>
    </r>
    <r>
      <rPr>
        <rFont val="Times New Roman"/>
        <color rgb="FF1155CC"/>
        <sz val="12.0"/>
        <u/>
      </rPr>
      <t>web app</t>
    </r>
  </si>
  <si>
    <t>Banner content should match the client's requirements exactly.</t>
  </si>
  <si>
    <t>A difference in the banner content has been noticed.</t>
  </si>
  <si>
    <t>https://jam.dev/c/8f1ec445-48c1-43a2-99a3-8ae5b5b900a3</t>
  </si>
  <si>
    <t>BR_006</t>
  </si>
  <si>
    <t>Content of Student banner hold different context</t>
  </si>
  <si>
    <r>
      <rPr>
        <rFont val="Times New Roman"/>
        <sz val="12.0"/>
      </rPr>
      <t xml:space="preserve">1. Open </t>
    </r>
    <r>
      <rPr>
        <rFont val="Times New Roman"/>
        <color rgb="FF1155CC"/>
        <sz val="12.0"/>
        <u/>
      </rPr>
      <t>web app</t>
    </r>
  </si>
  <si>
    <t>https://jam.dev/c/12e60943-b415-4bc0-9433-6002453d7a32</t>
  </si>
  <si>
    <t>BR_007</t>
  </si>
  <si>
    <t>Content of Marketer banner hold different context</t>
  </si>
  <si>
    <r>
      <rPr>
        <rFont val="Times New Roman"/>
        <sz val="12.0"/>
      </rPr>
      <t xml:space="preserve">1. Open </t>
    </r>
    <r>
      <rPr>
        <rFont val="Times New Roman"/>
        <color rgb="FF1155CC"/>
        <sz val="12.0"/>
        <u/>
      </rPr>
      <t>web app</t>
    </r>
  </si>
  <si>
    <t>https://jam.dev/c/adc197c5-b754-498f-932e-33c1eaaccf48</t>
  </si>
  <si>
    <t>BR_008</t>
  </si>
  <si>
    <t>Content of Content Creator banner hold different context</t>
  </si>
  <si>
    <r>
      <rPr>
        <rFont val="Times New Roman"/>
        <sz val="12.0"/>
      </rPr>
      <t xml:space="preserve">1. Open </t>
    </r>
    <r>
      <rPr>
        <rFont val="Times New Roman"/>
        <color rgb="FF1155CC"/>
        <sz val="12.0"/>
        <u/>
      </rPr>
      <t>web app</t>
    </r>
  </si>
  <si>
    <t>https://jam.dev/c/4099e7d9-2aef-4774-bbbd-84d4ac4e3fb0</t>
  </si>
  <si>
    <t>BR_009</t>
  </si>
  <si>
    <t>Content of Resume/CV banner context missing in client requirement</t>
  </si>
  <si>
    <r>
      <rPr>
        <rFont val="Times New Roman"/>
        <sz val="12.0"/>
      </rPr>
      <t xml:space="preserve">1. Open </t>
    </r>
    <r>
      <rPr>
        <rFont val="Times New Roman"/>
        <color rgb="FF1155CC"/>
        <sz val="12.0"/>
        <u/>
      </rPr>
      <t>web app</t>
    </r>
  </si>
  <si>
    <t>https://jam.dev/c/b681f39d-9576-4240-9220-348dc31d9092</t>
  </si>
  <si>
    <t>BR_010</t>
  </si>
  <si>
    <t>Signup</t>
  </si>
  <si>
    <t>Logo seems to be small</t>
  </si>
  <si>
    <r>
      <rPr>
        <rFont val="Times New Roman"/>
        <sz val="12.0"/>
      </rPr>
      <t xml:space="preserve">1. Open </t>
    </r>
    <r>
      <rPr>
        <rFont val="Times New Roman"/>
        <color rgb="FF1155CC"/>
        <sz val="12.0"/>
        <u/>
      </rPr>
      <t>web app</t>
    </r>
  </si>
  <si>
    <t>A small-sized logo has been noticed on the signup page.</t>
  </si>
  <si>
    <t>https://jam.dev/c/1c564669-c315-4a2a-a02f-602b9132f7d5</t>
  </si>
  <si>
    <t>BR_011</t>
  </si>
  <si>
    <t>Missing the option to sign up with Apple ID.</t>
  </si>
  <si>
    <r>
      <rPr>
        <rFont val="Times New Roman"/>
        <sz val="12.0"/>
      </rPr>
      <t xml:space="preserve">1. Open </t>
    </r>
    <r>
      <rPr>
        <rFont val="Times New Roman"/>
        <color rgb="FF1155CC"/>
        <sz val="12.0"/>
        <u/>
      </rPr>
      <t>web app</t>
    </r>
  </si>
  <si>
    <t>The user should be able to signup using two methods as per the client's requirement.</t>
  </si>
  <si>
    <t>Missing Apple ID signup method on the signup page.</t>
  </si>
  <si>
    <t>https://jam.dev/c/df41064e-6b9b-4503-907e-1cd628585d14</t>
  </si>
  <si>
    <t>BR_012</t>
  </si>
  <si>
    <t>Data Policy</t>
  </si>
  <si>
    <t>Original content missing</t>
  </si>
  <si>
    <r>
      <rPr>
        <rFont val="Times New Roman"/>
        <sz val="12.0"/>
      </rPr>
      <t xml:space="preserve">1. Open </t>
    </r>
    <r>
      <rPr>
        <rFont val="Times New Roman"/>
        <color rgb="FF1155CC"/>
        <sz val="12.0"/>
        <u/>
      </rPr>
      <t>web app</t>
    </r>
  </si>
  <si>
    <t>The client should provide the data policy, and it needs to be accurate.</t>
  </si>
  <si>
    <t>The content for the data policy is missing.</t>
  </si>
  <si>
    <t>https://jam.dev/c/98dd060c-576d-4923-a95c-a990d46ecfd6</t>
  </si>
  <si>
    <t>BR_013</t>
  </si>
  <si>
    <t>Terms and use</t>
  </si>
  <si>
    <r>
      <rPr>
        <rFont val="Times New Roman"/>
        <sz val="12.0"/>
      </rPr>
      <t xml:space="preserve">1. Open </t>
    </r>
    <r>
      <rPr>
        <rFont val="Times New Roman"/>
        <color rgb="FF1155CC"/>
        <sz val="12.0"/>
        <u/>
      </rPr>
      <t>web app</t>
    </r>
  </si>
  <si>
    <t>The client should provide the terms and use, and it needs to be accurate.</t>
  </si>
  <si>
    <t>The content for the terms and use is missing.</t>
  </si>
  <si>
    <t>https://jam.dev/c/0d7a142d-483b-4d1c-ae79-9696bfda932a</t>
  </si>
  <si>
    <t>BR_014</t>
  </si>
  <si>
    <t>Failed to login with google</t>
  </si>
  <si>
    <r>
      <rPr>
        <rFont val="Times New Roman"/>
        <sz val="12.0"/>
      </rPr>
      <t xml:space="preserve">1. Open </t>
    </r>
    <r>
      <rPr>
        <rFont val="Times New Roman"/>
        <color rgb="FF1155CC"/>
        <sz val="12.0"/>
        <u/>
      </rPr>
      <t>web app</t>
    </r>
  </si>
  <si>
    <t>Users should be able to log in or sign up with their Google account.</t>
  </si>
  <si>
    <t>Unable to log in or sign up with a Google account.</t>
  </si>
  <si>
    <t>https://jam.dev/c/bcc54832-a96c-43df-a08e-750eab7e0b76</t>
  </si>
  <si>
    <t>BR_015</t>
  </si>
  <si>
    <t>Pricing</t>
  </si>
  <si>
    <t>Banner content missing</t>
  </si>
  <si>
    <r>
      <rPr>
        <rFont val="Times New Roman"/>
        <sz val="12.0"/>
      </rPr>
      <t xml:space="preserve">1. Open </t>
    </r>
    <r>
      <rPr>
        <rFont val="Times New Roman"/>
        <color rgb="FF1155CC"/>
        <sz val="12.0"/>
        <u/>
      </rPr>
      <t>web app</t>
    </r>
  </si>
  <si>
    <t>Pricing content should align exactly with the client's requirements.</t>
  </si>
  <si>
    <t>The pricing category and banner content don't align with the client's specifications.</t>
  </si>
  <si>
    <t>https://jam.dev/c/beb7985c-b9ce-4279-966f-8ddb524c65f7</t>
  </si>
  <si>
    <t>BR_016</t>
  </si>
  <si>
    <t>Popular subscription package is not appearing.</t>
  </si>
  <si>
    <r>
      <rPr>
        <rFont val="Times New Roman"/>
        <sz val="12.0"/>
      </rPr>
      <t xml:space="preserve">1. Open </t>
    </r>
    <r>
      <rPr>
        <rFont val="Times New Roman"/>
        <color rgb="FF1155CC"/>
        <sz val="12.0"/>
        <u/>
      </rPr>
      <t>web app</t>
    </r>
  </si>
  <si>
    <t>The popular package should be highlighted on the price banner to help customers find the best deal.</t>
  </si>
  <si>
    <t>The popular package is not appearing in the price banner as per the client's requirement.</t>
  </si>
  <si>
    <t>https://jam.dev/c/ac834272-815f-4f86-9bc8-5a025791cb6c</t>
  </si>
  <si>
    <t>BR_017</t>
  </si>
  <si>
    <t>Design and alignment problem.</t>
  </si>
  <si>
    <r>
      <rPr>
        <rFont val="Times New Roman"/>
        <sz val="12.0"/>
      </rPr>
      <t xml:space="preserve">1. Open </t>
    </r>
    <r>
      <rPr>
        <rFont val="Times New Roman"/>
        <color rgb="FF1155CC"/>
        <sz val="12.0"/>
        <u/>
      </rPr>
      <t>web app</t>
    </r>
  </si>
  <si>
    <t>Design and alignment should match the client's requirements.</t>
  </si>
  <si>
    <t>A different design has been noticed in the web app.</t>
  </si>
  <si>
    <t>https://jam.dev/c/7b0d1360-907f-477d-aa18-29bfa019046d</t>
  </si>
  <si>
    <t>BR_018</t>
  </si>
  <si>
    <t>Delay in the price indicator.</t>
  </si>
  <si>
    <r>
      <rPr>
        <rFont val="Times New Roman"/>
        <sz val="12.0"/>
      </rPr>
      <t xml:space="preserve">1. Open </t>
    </r>
    <r>
      <rPr>
        <rFont val="Times New Roman"/>
        <color rgb="FF1155CC"/>
        <sz val="12.0"/>
        <u/>
      </rPr>
      <t>web app</t>
    </r>
  </si>
  <si>
    <t>A dynamic response in the web app can greatly enhance client attraction.</t>
  </si>
  <si>
    <t>A delay in the price bar has been observed when the user adjusts the amount by sliding the bar.</t>
  </si>
  <si>
    <t>https://jam.dev/c/2cd07e41-ee68-4520-8712-f3cbd9183201</t>
  </si>
  <si>
    <t>BR_019</t>
  </si>
  <si>
    <t>The web app failed to load after completing the payment successfully.</t>
  </si>
  <si>
    <r>
      <rPr>
        <rFont val="Times New Roman"/>
        <sz val="12.0"/>
      </rPr>
      <t xml:space="preserve">1. Open </t>
    </r>
    <r>
      <rPr>
        <rFont val="Times New Roman"/>
        <color rgb="FF1155CC"/>
        <sz val="12.0"/>
        <u/>
      </rPr>
      <t xml:space="preserve">web app
</t>
    </r>
    <r>
      <rPr>
        <rFont val="Times New Roman"/>
        <sz val="12.0"/>
      </rPr>
      <t>2. Select price range and confirm payment</t>
    </r>
  </si>
  <si>
    <t>The user should be redirected to the home page after successfully purchasing the subscription.</t>
  </si>
  <si>
    <t>Connection failed after successfully completing the subscription purchase.</t>
  </si>
  <si>
    <t>https://jam.dev/c/c7d813c8-8ce3-411a-90a6-7d3a34ecabb5</t>
  </si>
  <si>
    <t>BR_020</t>
  </si>
  <si>
    <t>Enterprise banner is missing.</t>
  </si>
  <si>
    <r>
      <rPr>
        <rFont val="Times New Roman"/>
        <sz val="12.0"/>
      </rPr>
      <t xml:space="preserve">1. Open </t>
    </r>
    <r>
      <rPr>
        <rFont val="Times New Roman"/>
        <color rgb="FF1155CC"/>
        <sz val="12.0"/>
        <u/>
      </rPr>
      <t>web app</t>
    </r>
  </si>
  <si>
    <t>Enterprise subscription should be accessible and visible in the web app.</t>
  </si>
  <si>
    <t>The missing enterprise banner in the web app has been noticed.</t>
  </si>
  <si>
    <t>https://jam.dev/c/bbef7505-46f7-40b3-9f5e-dafa0ea62449</t>
  </si>
  <si>
    <t>BR_021</t>
  </si>
  <si>
    <t>Design and alignment issue</t>
  </si>
  <si>
    <r>
      <rPr>
        <rFont val="Times New Roman"/>
        <sz val="12.0"/>
      </rPr>
      <t xml:space="preserve">1. Open </t>
    </r>
    <r>
      <rPr>
        <rFont val="Times New Roman"/>
        <color rgb="FF1155CC"/>
        <sz val="12.0"/>
        <u/>
      </rPr>
      <t>web app</t>
    </r>
  </si>
  <si>
    <t>The design and alignment should match the client's requirements.</t>
  </si>
  <si>
    <t>A different design has been noticed in the web app, which does not align with the client's requirements.</t>
  </si>
  <si>
    <t>https://jam.dev/c/4afe52c8-6143-400d-93e4-ac8532486fb7</t>
  </si>
  <si>
    <t>BR_022</t>
  </si>
  <si>
    <t>Discount percentage missing</t>
  </si>
  <si>
    <r>
      <rPr>
        <rFont val="Times New Roman"/>
        <sz val="12.0"/>
      </rPr>
      <t xml:space="preserve">1. Open </t>
    </r>
    <r>
      <rPr>
        <rFont val="Times New Roman"/>
        <color rgb="FF1155CC"/>
        <sz val="12.0"/>
        <u/>
      </rPr>
      <t>web app</t>
    </r>
  </si>
  <si>
    <t>The subscription banner should display the discount percentage.</t>
  </si>
  <si>
    <t>The discount price is displayed, but the percentage isn’t shown in the top corner of the banner.</t>
  </si>
  <si>
    <t>https://jam.dev/c/ecb91c2f-c915-4fce-9730-a06d161d0484</t>
  </si>
  <si>
    <t>BR_023</t>
  </si>
  <si>
    <t>Dashboard</t>
  </si>
  <si>
    <t>Unable to display the user's word count.</t>
  </si>
  <si>
    <r>
      <rPr>
        <rFont val="Times New Roman"/>
        <sz val="12.0"/>
      </rPr>
      <t xml:space="preserve">1. Open </t>
    </r>
    <r>
      <rPr>
        <rFont val="Times New Roman"/>
        <color rgb="FF1155CC"/>
        <sz val="12.0"/>
        <u/>
      </rPr>
      <t>web app</t>
    </r>
  </si>
  <si>
    <t>Users should be able to see how many words they have used.</t>
  </si>
  <si>
    <t>Unable to display the word used in the dashboard.</t>
  </si>
  <si>
    <t>https://jam.dev/c/a80ccb95-52d7-4c27-a88d-856ba5635488</t>
  </si>
  <si>
    <t>BR_024</t>
  </si>
  <si>
    <t>The AI detection bar malfunctioned.</t>
  </si>
  <si>
    <r>
      <rPr>
        <rFont val="Times New Roman"/>
        <sz val="12.0"/>
      </rPr>
      <t xml:space="preserve">1. Open </t>
    </r>
    <r>
      <rPr>
        <rFont val="Times New Roman"/>
        <color rgb="FF1155CC"/>
        <sz val="12.0"/>
        <u/>
      </rPr>
      <t>web app</t>
    </r>
  </si>
  <si>
    <t>The AI detection bar should be filled based on the level of similarity detected with AI.</t>
  </si>
  <si>
    <t>Failed to fill the AI bar on the dashboard page.</t>
  </si>
  <si>
    <t>https://jam.dev/c/bec88c6d-9cac-48d5-a53d-6077b582aba4</t>
  </si>
  <si>
    <t>BR_025</t>
  </si>
  <si>
    <t>AI detection failed</t>
  </si>
  <si>
    <r>
      <rPr>
        <rFont val="Times New Roman"/>
        <sz val="12.0"/>
      </rPr>
      <t xml:space="preserve">1. Open </t>
    </r>
    <r>
      <rPr>
        <rFont val="Times New Roman"/>
        <color rgb="FF1155CC"/>
        <sz val="12.0"/>
        <u/>
      </rPr>
      <t>web app</t>
    </r>
  </si>
  <si>
    <t>If a text is generated by AI, it should indicate that it was created using artificial intelligence.</t>
  </si>
  <si>
    <t>The displayed text appears to be himazine, but it was actually generated by AI.</t>
  </si>
  <si>
    <t>https://jam.dev/c/a091e244-6fa8-4000-aeab-717f51a5d628</t>
  </si>
  <si>
    <t>BR_026</t>
  </si>
  <si>
    <t>Failed to make the text more relatable.</t>
  </si>
  <si>
    <r>
      <rPr>
        <rFont val="Times New Roman"/>
        <sz val="12.0"/>
      </rPr>
      <t xml:space="preserve">1. Open </t>
    </r>
    <r>
      <rPr>
        <rFont val="Times New Roman"/>
        <color rgb="FF1155CC"/>
        <sz val="12.0"/>
        <u/>
      </rPr>
      <t>web app</t>
    </r>
  </si>
  <si>
    <t>When users paste their text, the generation should be done properly based on the category.</t>
  </si>
  <si>
    <t>Failed to correct the generation. Simply adding "ing" to words doesn't make the text sound humanized by AI.</t>
  </si>
  <si>
    <t>https://jam.dev/c/83902d8d-9afa-4a55-bcc4-3f7ca8e84a59</t>
  </si>
  <si>
    <t>BR_027</t>
  </si>
  <si>
    <t>Account</t>
  </si>
  <si>
    <t>Profile</t>
  </si>
  <si>
    <t>Names can be assigned using numbers.</t>
  </si>
  <si>
    <r>
      <rPr>
        <rFont val="Times New Roman"/>
        <sz val="12.0"/>
      </rPr>
      <t xml:space="preserve">1. Open </t>
    </r>
    <r>
      <rPr>
        <rFont val="Times New Roman"/>
        <color rgb="FF1155CC"/>
        <sz val="12.0"/>
        <u/>
      </rPr>
      <t>web app</t>
    </r>
  </si>
  <si>
    <t>cavowog889@kwifa.com
pass: 11224455</t>
  </si>
  <si>
    <t>Only characters should be allowed as input in the name text field.</t>
  </si>
  <si>
    <t>Numbers can be used as names in the input field.</t>
  </si>
  <si>
    <t>https://jam.dev/c/4e1b9c45-87e4-4ae3-8ad0-ae76185986e5</t>
  </si>
  <si>
    <t>BR_028</t>
  </si>
  <si>
    <t>Security</t>
  </si>
  <si>
    <t>Forget password button in change password</t>
  </si>
  <si>
    <r>
      <rPr>
        <rFont val="Times New Roman"/>
        <sz val="12.0"/>
      </rPr>
      <t xml:space="preserve">1. Open </t>
    </r>
    <r>
      <rPr>
        <rFont val="Times New Roman"/>
        <color rgb="FF1155CC"/>
        <sz val="12.0"/>
        <u/>
      </rPr>
      <t>web app</t>
    </r>
  </si>
  <si>
    <t>cavowog889@kwifa.com
pass: 112244557788</t>
  </si>
  <si>
    <t>The change password page will include fields for the old password, the new password, and a confirmation for the new password.</t>
  </si>
  <si>
    <t>The "Forgot Password" button appears on the change password page, which seems irrelevant.</t>
  </si>
  <si>
    <t>https://jam.dev/c/b2451410-1448-4214-adbd-fff9ab827ae1</t>
  </si>
  <si>
    <t>BR_029</t>
  </si>
  <si>
    <t>BR_030</t>
  </si>
  <si>
    <t>BR_031</t>
  </si>
  <si>
    <t>BR_032</t>
  </si>
  <si>
    <t>BR_033</t>
  </si>
  <si>
    <t>BR_034</t>
  </si>
  <si>
    <t>BR_035</t>
  </si>
  <si>
    <t>BR_036</t>
  </si>
  <si>
    <t>BR_037</t>
  </si>
  <si>
    <t>BR_038</t>
  </si>
  <si>
    <t>Bug Count</t>
  </si>
  <si>
    <t>Bug Rate %</t>
  </si>
  <si>
    <t>Bug Severity</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</si>
</sst>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b/>
      <sz val="12.0"/>
      <color theme="1"/>
      <name val="Calibri"/>
    </font>
    <font>
      <sz val="11.0"/>
      <color theme="1"/>
      <name val="Calibri"/>
    </font>
    <font>
      <b/>
      <sz val="12.0"/>
      <color theme="1"/>
      <name val="Arial"/>
    </font>
    <font>
      <b/>
      <color rgb="FF000000"/>
      <name val="Arial"/>
      <scheme val="minor"/>
    </font>
    <font>
      <b/>
      <color theme="1"/>
      <name val="Arial"/>
    </font>
    <font>
      <u/>
      <color rgb="FF0000FF"/>
    </font>
    <font>
      <b/>
      <sz val="11.0"/>
      <color theme="1"/>
      <name val="Calibri"/>
    </font>
    <font>
      <b/>
      <sz val="15.0"/>
      <color theme="1"/>
      <name val="Calibri"/>
    </font>
    <font>
      <sz val="15.0"/>
      <color theme="1"/>
      <name val="Arial"/>
      <scheme val="minor"/>
    </font>
    <font>
      <color theme="1"/>
      <name val="Arial"/>
      <scheme val="minor"/>
    </font>
    <font>
      <u/>
      <color rgb="FF0000FF"/>
    </font>
    <font>
      <u/>
      <color rgb="FF0000FF"/>
    </font>
    <font>
      <b/>
      <sz val="12.0"/>
      <color theme="1"/>
      <name val="Times New Roman"/>
    </font>
    <font>
      <sz val="12.0"/>
      <color theme="1"/>
      <name val="Times New Roman"/>
    </font>
    <font>
      <sz val="12.0"/>
      <color rgb="FF1E2624"/>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
      <u/>
      <sz val="12.0"/>
      <color rgb="FF0000FF"/>
      <name val="Times New Roman"/>
    </font>
    <font>
      <sz val="12.0"/>
      <color rgb="FF0000FF"/>
      <name val="Times New Roman"/>
    </font>
    <font>
      <u/>
      <sz val="12.0"/>
      <color rgb="FF1155CC"/>
      <name val="Times New Roman"/>
    </font>
    <font>
      <u/>
      <color rgb="FF1155CC"/>
      <name val="Arial"/>
    </font>
    <font>
      <b/>
      <sz val="16.0"/>
      <color theme="1"/>
      <name val="Calibri"/>
    </font>
    <font>
      <sz val="12.0"/>
      <color theme="1"/>
      <name val="Calibri"/>
    </font>
    <font>
      <u/>
      <sz val="12.0"/>
      <color rgb="FF1155CC"/>
      <name val="Calibri"/>
    </font>
    <font>
      <b/>
      <sz val="13.0"/>
      <color theme="1"/>
      <name val="Times New Roman"/>
    </font>
  </fonts>
  <fills count="8">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38761D"/>
        <bgColor rgb="FF38761D"/>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right"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wrapText="1"/>
    </xf>
    <xf borderId="0" fillId="0" fontId="5"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2"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3" fontId="6" numFmtId="0" xfId="0" applyAlignment="1" applyBorder="1" applyFill="1" applyFont="1">
      <alignment horizontal="center" shrinkToFit="0" vertical="center" wrapText="1"/>
    </xf>
    <xf borderId="0" fillId="0" fontId="1" numFmtId="0" xfId="0" applyAlignment="1" applyFont="1">
      <alignment readingOrder="0"/>
    </xf>
    <xf borderId="1" fillId="0" fontId="1" numFmtId="0" xfId="0" applyAlignment="1" applyBorder="1" applyFont="1">
      <alignment horizontal="center" readingOrder="0" shrinkToFit="0" vertical="center" wrapText="1"/>
    </xf>
    <xf borderId="1" fillId="4" fontId="6" numFmtId="0" xfId="0" applyAlignment="1" applyBorder="1" applyFill="1" applyFont="1">
      <alignment horizontal="center" shrinkToFit="0" vertical="center" wrapText="1"/>
    </xf>
    <xf borderId="1" fillId="0" fontId="1" numFmtId="0" xfId="0" applyBorder="1" applyFont="1"/>
    <xf borderId="0" fillId="0" fontId="6" numFmtId="0" xfId="0" applyFont="1"/>
    <xf borderId="1" fillId="0" fontId="8" numFmtId="0" xfId="0" applyAlignment="1" applyBorder="1" applyFont="1">
      <alignment horizontal="center" shrinkToFit="0" wrapText="1"/>
    </xf>
    <xf borderId="1" fillId="0" fontId="6" numFmtId="0" xfId="0" applyAlignment="1" applyBorder="1" applyFont="1">
      <alignment horizontal="center" shrinkToFit="0" wrapText="1"/>
    </xf>
    <xf borderId="2" fillId="5" fontId="9" numFmtId="0" xfId="0" applyAlignment="1" applyBorder="1" applyFill="1" applyFont="1">
      <alignment horizontal="center" shrinkToFit="0" vertical="center" wrapText="1"/>
    </xf>
    <xf borderId="2" fillId="5" fontId="9"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xf borderId="3" fillId="0" fontId="11"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Font="1"/>
    <xf borderId="1" fillId="0" fontId="14" numFmtId="0" xfId="0" applyAlignment="1" applyBorder="1" applyFont="1">
      <alignment horizontal="right" shrinkToFit="0" vertical="center" wrapText="1"/>
    </xf>
    <xf borderId="1" fillId="0" fontId="15" numFmtId="0" xfId="0" applyAlignment="1" applyBorder="1" applyFont="1">
      <alignment horizontal="center" readingOrder="0" vertical="center"/>
    </xf>
    <xf borderId="0" fillId="0" fontId="15" numFmtId="0" xfId="0" applyFont="1"/>
    <xf borderId="1" fillId="0" fontId="15" numFmtId="0" xfId="0" applyAlignment="1" applyBorder="1" applyFont="1">
      <alignment horizontal="center" readingOrder="0" vertical="center"/>
    </xf>
    <xf borderId="1" fillId="6" fontId="16" numFmtId="0" xfId="0" applyAlignment="1" applyBorder="1" applyFill="1" applyFont="1">
      <alignment horizontal="center" readingOrder="0" vertical="center"/>
    </xf>
    <xf borderId="1" fillId="0" fontId="14" numFmtId="0" xfId="0" applyAlignment="1" applyBorder="1" applyFont="1">
      <alignment horizontal="right" readingOrder="0" vertical="center"/>
    </xf>
    <xf borderId="2" fillId="7" fontId="14" numFmtId="0" xfId="0" applyAlignment="1" applyBorder="1" applyFill="1" applyFont="1">
      <alignment horizontal="center" shrinkToFit="0" vertical="center" wrapText="1"/>
    </xf>
    <xf borderId="0" fillId="0" fontId="15" numFmtId="0" xfId="0" applyAlignment="1" applyFont="1">
      <alignment vertical="center"/>
    </xf>
    <xf borderId="4" fillId="0" fontId="15"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4" fillId="0" fontId="17" numFmtId="0" xfId="0" applyAlignment="1" applyBorder="1" applyFont="1">
      <alignment horizontal="left" readingOrder="0" shrinkToFit="0" vertical="center" wrapText="1"/>
    </xf>
    <xf borderId="5" fillId="0" fontId="18" numFmtId="0" xfId="0" applyAlignment="1" applyBorder="1" applyFont="1">
      <alignment horizontal="center" readingOrder="0" shrinkToFit="0" vertical="center" wrapText="1"/>
    </xf>
    <xf borderId="0" fillId="0" fontId="15" numFmtId="0" xfId="0" applyAlignment="1" applyFont="1">
      <alignment horizontal="center" shrinkToFit="0" vertical="center" wrapText="1"/>
    </xf>
    <xf borderId="0" fillId="0" fontId="15" numFmtId="0" xfId="0" applyAlignment="1" applyFont="1">
      <alignment horizontal="left"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15" numFmtId="0" xfId="0" applyAlignment="1" applyBorder="1" applyFont="1">
      <alignment horizontal="center" shrinkToFit="0" vertical="center" wrapText="1"/>
    </xf>
    <xf borderId="1" fillId="0" fontId="15" numFmtId="0" xfId="0" applyAlignment="1" applyBorder="1" applyFont="1">
      <alignment horizontal="center" readingOrder="0" shrinkToFit="0" vertical="center" wrapText="1"/>
    </xf>
    <xf borderId="1" fillId="0" fontId="22" numFmtId="0" xfId="0" applyAlignment="1" applyBorder="1" applyFont="1">
      <alignment horizontal="left" readingOrder="0" shrinkToFit="0" vertical="center" wrapText="1"/>
    </xf>
    <xf borderId="1" fillId="0" fontId="15" numFmtId="0" xfId="0" applyAlignment="1" applyBorder="1" applyFont="1">
      <alignment horizontal="left" shrinkToFit="0" vertical="center" wrapText="1"/>
    </xf>
    <xf borderId="1" fillId="0" fontId="23" numFmtId="0" xfId="0" applyAlignment="1" applyBorder="1" applyFont="1">
      <alignment horizontal="center" shrinkToFit="0" vertical="center" wrapText="1"/>
    </xf>
    <xf borderId="0" fillId="0" fontId="1" numFmtId="0" xfId="0" applyAlignment="1" applyFont="1">
      <alignment vertical="bottom"/>
    </xf>
    <xf borderId="1" fillId="0" fontId="2" numFmtId="0" xfId="0" applyAlignment="1" applyBorder="1" applyFont="1">
      <alignment horizontal="right" shrinkToFit="0" vertical="bottom" wrapText="1"/>
    </xf>
    <xf borderId="1" fillId="0" fontId="9" numFmtId="0" xfId="0" applyAlignment="1" applyBorder="1" applyFont="1">
      <alignment horizontal="center" vertical="bottom"/>
    </xf>
    <xf borderId="1" fillId="0" fontId="1" numFmtId="0" xfId="0" applyAlignment="1" applyBorder="1" applyFont="1">
      <alignment horizontal="center" readingOrder="0" vertical="bottom"/>
    </xf>
    <xf borderId="1" fillId="0" fontId="1" numFmtId="0" xfId="0" applyAlignment="1" applyBorder="1" applyFont="1">
      <alignment horizontal="center" shrinkToFit="0" wrapText="1"/>
    </xf>
    <xf borderId="1" fillId="0" fontId="1" numFmtId="0" xfId="0" applyAlignment="1" applyBorder="1" applyFont="1">
      <alignment horizontal="center"/>
    </xf>
    <xf borderId="1" fillId="0" fontId="24" numFmtId="0" xfId="0" applyAlignment="1" applyBorder="1" applyFont="1">
      <alignment horizontal="center" readingOrder="0" shrinkToFit="0" vertical="bottom" wrapText="1"/>
    </xf>
    <xf borderId="1" fillId="0" fontId="1" numFmtId="0" xfId="0" applyAlignment="1" applyBorder="1" applyFont="1">
      <alignment vertical="bottom"/>
    </xf>
    <xf borderId="1" fillId="0" fontId="2" numFmtId="0" xfId="0" applyAlignment="1" applyBorder="1" applyFont="1">
      <alignment horizontal="right" vertical="bottom"/>
    </xf>
    <xf borderId="1" fillId="0" fontId="8" numFmtId="0" xfId="0" applyAlignment="1" applyBorder="1" applyFont="1">
      <alignment horizontal="right" vertical="bottom"/>
    </xf>
    <xf borderId="1" fillId="0" fontId="1" numFmtId="0" xfId="0" applyAlignment="1" applyBorder="1" applyFont="1">
      <alignment horizontal="center" vertical="bottom"/>
    </xf>
    <xf borderId="1" fillId="5" fontId="25" numFmtId="0" xfId="0" applyAlignment="1" applyBorder="1" applyFont="1">
      <alignment horizontal="center" shrinkToFit="0" vertical="center" wrapText="1"/>
    </xf>
    <xf borderId="1" fillId="0" fontId="26"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0" fontId="1" numFmtId="0" xfId="0" applyAlignment="1" applyBorder="1" applyFont="1">
      <alignment horizontal="left" vertical="center"/>
    </xf>
    <xf borderId="1" fillId="0" fontId="1" numFmtId="0" xfId="0" applyAlignment="1" applyBorder="1" applyFont="1">
      <alignment horizontal="left" vertical="center"/>
    </xf>
    <xf borderId="1" fillId="0" fontId="1" numFmtId="0" xfId="0" applyAlignment="1" applyBorder="1" applyFont="1">
      <alignment horizontal="left" readingOrder="0" vertical="center"/>
    </xf>
    <xf borderId="1" fillId="0" fontId="26" numFmtId="0" xfId="0" applyAlignment="1" applyBorder="1" applyFont="1">
      <alignment horizontal="left" shrinkToFit="0" vertical="center" wrapText="1"/>
    </xf>
    <xf borderId="6" fillId="0" fontId="26"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0" fillId="0" fontId="26" numFmtId="0" xfId="0" applyAlignment="1" applyFont="1">
      <alignment horizontal="left" readingOrder="0" shrinkToFit="0" vertical="center" wrapText="1"/>
    </xf>
    <xf borderId="0" fillId="0" fontId="26" numFmtId="0" xfId="0" applyAlignment="1" applyFont="1">
      <alignment horizontal="left" readingOrder="0" shrinkToFit="0" vertical="center" wrapText="1"/>
    </xf>
    <xf borderId="0" fillId="0" fontId="26" numFmtId="0" xfId="0" applyAlignment="1" applyFont="1">
      <alignment horizontal="left" shrinkToFit="0" vertical="center" wrapText="1"/>
    </xf>
    <xf borderId="0" fillId="0" fontId="26" numFmtId="0" xfId="0" applyAlignment="1" applyFont="1">
      <alignment readingOrder="0" shrinkToFit="0" vertical="center" wrapText="1"/>
    </xf>
    <xf borderId="1" fillId="0" fontId="26" numFmtId="0" xfId="0" applyAlignment="1" applyBorder="1" applyFont="1">
      <alignment readingOrder="0" shrinkToFit="0" vertical="center" wrapText="1"/>
    </xf>
    <xf borderId="1" fillId="0" fontId="26" numFmtId="0" xfId="0" applyAlignment="1" applyBorder="1" applyFont="1">
      <alignment readingOrder="0" shrinkToFit="0" vertical="center" wrapText="1"/>
    </xf>
    <xf borderId="6" fillId="0" fontId="26" numFmtId="0" xfId="0" applyAlignment="1" applyBorder="1" applyFont="1">
      <alignment readingOrder="0" shrinkToFit="0" vertical="center" wrapText="1"/>
    </xf>
    <xf borderId="0" fillId="0" fontId="26" numFmtId="0" xfId="0" applyAlignment="1" applyFont="1">
      <alignment readingOrder="0" shrinkToFit="0" vertical="center" wrapText="1"/>
    </xf>
    <xf borderId="0" fillId="0" fontId="26" numFmtId="0" xfId="0" applyAlignment="1" applyFont="1">
      <alignment shrinkToFit="0" vertical="center" wrapText="1"/>
    </xf>
    <xf borderId="2" fillId="5" fontId="28" numFmtId="0" xfId="0" applyAlignment="1" applyBorder="1" applyFont="1">
      <alignment horizontal="center" shrinkToFit="0" vertical="center" wrapText="1"/>
    </xf>
    <xf borderId="2" fillId="5" fontId="28" numFmtId="0" xfId="0" applyAlignment="1" applyBorder="1" applyFont="1">
      <alignment horizontal="center" readingOrder="0" shrinkToFit="0" vertical="center" wrapText="1"/>
    </xf>
    <xf borderId="2" fillId="5" fontId="28"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dPt>
            <c:idx val="0"/>
            <c:spPr>
              <a:solidFill>
                <a:srgbClr val="FF0000"/>
              </a:solidFill>
            </c:spPr>
          </c:dPt>
          <c:dPt>
            <c:idx val="1"/>
            <c:spPr>
              <a:solidFill>
                <a:srgbClr val="FFFF00"/>
              </a:solidFill>
            </c:spPr>
          </c:dPt>
          <c:dPt>
            <c:idx val="2"/>
            <c:spPr>
              <a:solidFill>
                <a:srgbClr val="6AA84F"/>
              </a:solidFill>
            </c:spPr>
          </c:dPt>
          <c:dLbls>
            <c:showLegendKey val="0"/>
            <c:showVal val="1"/>
            <c:showCatName val="0"/>
            <c:showSerName val="0"/>
            <c:showPercent val="0"/>
            <c:showBubbleSize val="0"/>
            <c:showLeaderLines val="1"/>
          </c:dLbls>
          <c:cat>
            <c:strRef>
              <c:f>'Main Report'!$D$3:$D$5</c:f>
            </c:strRef>
          </c:cat>
          <c:val>
            <c:numRef>
              <c:f>'Main Report'!$E$3:$E$5</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Arial black"/>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9525</xdr:rowOff>
    </xdr:from>
    <xdr:ext cx="3981450" cy="1952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jam.dev/c/2cd07e41-ee68-4520-8712-f3cbd9183201" TargetMode="External"/><Relationship Id="rId22" Type="http://schemas.openxmlformats.org/officeDocument/2006/relationships/hyperlink" Target="https://jam.dev/c/bbef7505-46f7-40b3-9f5e-dafa0ea62449" TargetMode="External"/><Relationship Id="rId21" Type="http://schemas.openxmlformats.org/officeDocument/2006/relationships/hyperlink" Target="https://jam.dev/c/c7d813c8-8ce3-411a-90a6-7d3a34ecabb5" TargetMode="External"/><Relationship Id="rId24" Type="http://schemas.openxmlformats.org/officeDocument/2006/relationships/hyperlink" Target="https://jam.dev/c/ecb91c2f-c915-4fce-9730-a06d161d0484" TargetMode="External"/><Relationship Id="rId23" Type="http://schemas.openxmlformats.org/officeDocument/2006/relationships/hyperlink" Target="https://jam.dev/c/4afe52c8-6143-400d-93e4-ac8532486fb7" TargetMode="External"/><Relationship Id="rId1" Type="http://schemas.openxmlformats.org/officeDocument/2006/relationships/hyperlink" Target="https://luxury-kleicha-c8c530.netlify.app/" TargetMode="External"/><Relationship Id="rId2" Type="http://schemas.openxmlformats.org/officeDocument/2006/relationships/hyperlink" Target="https://jam.dev/c/4e1b9c45-87e4-4ae3-8ad0-ae76185986e5" TargetMode="External"/><Relationship Id="rId3" Type="http://schemas.openxmlformats.org/officeDocument/2006/relationships/hyperlink" Target="https://jam.dev/c/b2451410-1448-4214-adbd-fff9ab827ae1" TargetMode="External"/><Relationship Id="rId4" Type="http://schemas.openxmlformats.org/officeDocument/2006/relationships/hyperlink" Target="https://jam.dev/c/a80ccb95-52d7-4c27-a88d-856ba5635488" TargetMode="External"/><Relationship Id="rId9" Type="http://schemas.openxmlformats.org/officeDocument/2006/relationships/hyperlink" Target="https://jam.dev/c/01c7fc2b-8290-4158-832a-562137b55e28" TargetMode="External"/><Relationship Id="rId26" Type="http://schemas.openxmlformats.org/officeDocument/2006/relationships/hyperlink" Target="https://jam.dev/c/1c564669-c315-4a2a-a02f-602b9132f7d5" TargetMode="External"/><Relationship Id="rId25" Type="http://schemas.openxmlformats.org/officeDocument/2006/relationships/hyperlink" Target="https://jam.dev/c/98dd060c-576d-4923-a95c-a990d46ecfd6" TargetMode="External"/><Relationship Id="rId28" Type="http://schemas.openxmlformats.org/officeDocument/2006/relationships/hyperlink" Target="https://jam.dev/c/bcc54832-a96c-43df-a08e-750eab7e0b76" TargetMode="External"/><Relationship Id="rId27" Type="http://schemas.openxmlformats.org/officeDocument/2006/relationships/hyperlink" Target="https://jam.dev/c/df41064e-6b9b-4503-907e-1cd628585d14" TargetMode="External"/><Relationship Id="rId5" Type="http://schemas.openxmlformats.org/officeDocument/2006/relationships/hyperlink" Target="https://jam.dev/c/bec88c6d-9cac-48d5-a53d-6077b582aba4" TargetMode="External"/><Relationship Id="rId6" Type="http://schemas.openxmlformats.org/officeDocument/2006/relationships/hyperlink" Target="https://jam.dev/c/a091e244-6fa8-4000-aeab-717f51a5d628" TargetMode="External"/><Relationship Id="rId29" Type="http://schemas.openxmlformats.org/officeDocument/2006/relationships/hyperlink" Target="https://jam.dev/c/0d7a142d-483b-4d1c-ae79-9696bfda932a" TargetMode="External"/><Relationship Id="rId7" Type="http://schemas.openxmlformats.org/officeDocument/2006/relationships/hyperlink" Target="https://jam.dev/c/83902d8d-9afa-4a55-bcc4-3f7ca8e84a59" TargetMode="External"/><Relationship Id="rId8" Type="http://schemas.openxmlformats.org/officeDocument/2006/relationships/hyperlink" Target="https://jam.dev/c/627db0fc-28db-436f-a1b2-d1b8cc923450" TargetMode="External"/><Relationship Id="rId30" Type="http://schemas.openxmlformats.org/officeDocument/2006/relationships/drawing" Target="../drawings/drawing1.xml"/><Relationship Id="rId11" Type="http://schemas.openxmlformats.org/officeDocument/2006/relationships/hyperlink" Target="https://jam.dev/c/9f5b1842-a1c3-4bd6-a0f0-b4e3cf772daf" TargetMode="External"/><Relationship Id="rId10" Type="http://schemas.openxmlformats.org/officeDocument/2006/relationships/hyperlink" Target="https://jam.dev/c/2637688e-9f2a-4a43-9490-d77286dc7be0" TargetMode="External"/><Relationship Id="rId13" Type="http://schemas.openxmlformats.org/officeDocument/2006/relationships/hyperlink" Target="https://jam.dev/c/12e60943-b415-4bc0-9433-6002453d7a32" TargetMode="External"/><Relationship Id="rId12" Type="http://schemas.openxmlformats.org/officeDocument/2006/relationships/hyperlink" Target="https://jam.dev/c/8f1ec445-48c1-43a2-99a3-8ae5b5b900a3" TargetMode="External"/><Relationship Id="rId15" Type="http://schemas.openxmlformats.org/officeDocument/2006/relationships/hyperlink" Target="https://jam.dev/c/4099e7d9-2aef-4774-bbbd-84d4ac4e3fb0" TargetMode="External"/><Relationship Id="rId14" Type="http://schemas.openxmlformats.org/officeDocument/2006/relationships/hyperlink" Target="https://jam.dev/c/adc197c5-b754-498f-932e-33c1eaaccf48" TargetMode="External"/><Relationship Id="rId17" Type="http://schemas.openxmlformats.org/officeDocument/2006/relationships/hyperlink" Target="https://jam.dev/c/beb7985c-b9ce-4279-966f-8ddb524c65f7" TargetMode="External"/><Relationship Id="rId16" Type="http://schemas.openxmlformats.org/officeDocument/2006/relationships/hyperlink" Target="https://jam.dev/c/b681f39d-9576-4240-9220-348dc31d9092" TargetMode="External"/><Relationship Id="rId19" Type="http://schemas.openxmlformats.org/officeDocument/2006/relationships/hyperlink" Target="https://jam.dev/c/7b0d1360-907f-477d-aa18-29bfa019046d" TargetMode="External"/><Relationship Id="rId18" Type="http://schemas.openxmlformats.org/officeDocument/2006/relationships/hyperlink" Target="https://jam.dev/c/ac834272-815f-4f86-9bc8-5a025791cb6c"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jam.dev/c/bbef7505-46f7-40b3-9f5e-dafa0ea62449" TargetMode="External"/><Relationship Id="rId42" Type="http://schemas.openxmlformats.org/officeDocument/2006/relationships/hyperlink" Target="https://jam.dev/c/4afe52c8-6143-400d-93e4-ac8532486fb7" TargetMode="External"/><Relationship Id="rId41" Type="http://schemas.openxmlformats.org/officeDocument/2006/relationships/hyperlink" Target="https://luxury-kleicha-c8c530.netlify.app/pricing" TargetMode="External"/><Relationship Id="rId44" Type="http://schemas.openxmlformats.org/officeDocument/2006/relationships/hyperlink" Target="https://jam.dev/c/ecb91c2f-c915-4fce-9730-a06d161d0484" TargetMode="External"/><Relationship Id="rId43" Type="http://schemas.openxmlformats.org/officeDocument/2006/relationships/hyperlink" Target="https://luxury-kleicha-c8c530.netlify.app/pricing" TargetMode="External"/><Relationship Id="rId46" Type="http://schemas.openxmlformats.org/officeDocument/2006/relationships/hyperlink" Target="https://jam.dev/c/a80ccb95-52d7-4c27-a88d-856ba5635488" TargetMode="External"/><Relationship Id="rId45" Type="http://schemas.openxmlformats.org/officeDocument/2006/relationships/hyperlink" Target="https://luxury-kleicha-c8c530.netlify.app/user_dashboard" TargetMode="External"/><Relationship Id="rId1" Type="http://schemas.openxmlformats.org/officeDocument/2006/relationships/hyperlink" Target="https://luxury-kleicha-c8c530.netlify.app/" TargetMode="External"/><Relationship Id="rId2" Type="http://schemas.openxmlformats.org/officeDocument/2006/relationships/hyperlink" Target="https://jam.dev/c/627db0fc-28db-436f-a1b2-d1b8cc923450" TargetMode="External"/><Relationship Id="rId3" Type="http://schemas.openxmlformats.org/officeDocument/2006/relationships/hyperlink" Target="https://luxury-kleicha-c8c530.netlify.app/" TargetMode="External"/><Relationship Id="rId4" Type="http://schemas.openxmlformats.org/officeDocument/2006/relationships/hyperlink" Target="https://jam.dev/c/01c7fc2b-8290-4158-832a-562137b55e28" TargetMode="External"/><Relationship Id="rId9" Type="http://schemas.openxmlformats.org/officeDocument/2006/relationships/hyperlink" Target="https://luxury-kleicha-c8c530.netlify.app/" TargetMode="External"/><Relationship Id="rId48" Type="http://schemas.openxmlformats.org/officeDocument/2006/relationships/hyperlink" Target="https://jam.dev/c/bec88c6d-9cac-48d5-a53d-6077b582aba4" TargetMode="External"/><Relationship Id="rId47" Type="http://schemas.openxmlformats.org/officeDocument/2006/relationships/hyperlink" Target="https://luxury-kleicha-c8c530.netlify.app/user_dashboard" TargetMode="External"/><Relationship Id="rId49" Type="http://schemas.openxmlformats.org/officeDocument/2006/relationships/hyperlink" Target="https://luxury-kleicha-c8c530.netlify.app/user_dashboard" TargetMode="External"/><Relationship Id="rId5" Type="http://schemas.openxmlformats.org/officeDocument/2006/relationships/hyperlink" Target="https://luxury-kleicha-c8c530.netlify.app/" TargetMode="External"/><Relationship Id="rId6" Type="http://schemas.openxmlformats.org/officeDocument/2006/relationships/hyperlink" Target="https://jam.dev/c/2637688e-9f2a-4a43-9490-d77286dc7be0" TargetMode="External"/><Relationship Id="rId7" Type="http://schemas.openxmlformats.org/officeDocument/2006/relationships/hyperlink" Target="https://luxury-kleicha-c8c530.netlify.app/" TargetMode="External"/><Relationship Id="rId8" Type="http://schemas.openxmlformats.org/officeDocument/2006/relationships/hyperlink" Target="https://jam.dev/c/9f5b1842-a1c3-4bd6-a0f0-b4e3cf772daf" TargetMode="External"/><Relationship Id="rId31" Type="http://schemas.openxmlformats.org/officeDocument/2006/relationships/hyperlink" Target="https://luxury-kleicha-c8c530.netlify.app/pricing" TargetMode="External"/><Relationship Id="rId30" Type="http://schemas.openxmlformats.org/officeDocument/2006/relationships/hyperlink" Target="https://jam.dev/c/beb7985c-b9ce-4279-966f-8ddb524c65f7" TargetMode="External"/><Relationship Id="rId33" Type="http://schemas.openxmlformats.org/officeDocument/2006/relationships/hyperlink" Target="https://luxury-kleicha-c8c530.netlify.app/pricing" TargetMode="External"/><Relationship Id="rId32" Type="http://schemas.openxmlformats.org/officeDocument/2006/relationships/hyperlink" Target="https://jam.dev/c/ac834272-815f-4f86-9bc8-5a025791cb6c" TargetMode="External"/><Relationship Id="rId35" Type="http://schemas.openxmlformats.org/officeDocument/2006/relationships/hyperlink" Target="https://luxury-kleicha-c8c530.netlify.app/pricing" TargetMode="External"/><Relationship Id="rId34" Type="http://schemas.openxmlformats.org/officeDocument/2006/relationships/hyperlink" Target="https://jam.dev/c/7b0d1360-907f-477d-aa18-29bfa019046d" TargetMode="External"/><Relationship Id="rId37" Type="http://schemas.openxmlformats.org/officeDocument/2006/relationships/hyperlink" Target="https://luxury-kleicha-c8c530.netlify.app/pricing" TargetMode="External"/><Relationship Id="rId36" Type="http://schemas.openxmlformats.org/officeDocument/2006/relationships/hyperlink" Target="https://jam.dev/c/2cd07e41-ee68-4520-8712-f3cbd9183201" TargetMode="External"/><Relationship Id="rId39" Type="http://schemas.openxmlformats.org/officeDocument/2006/relationships/hyperlink" Target="https://luxury-kleicha-c8c530.netlify.app/pricing" TargetMode="External"/><Relationship Id="rId38" Type="http://schemas.openxmlformats.org/officeDocument/2006/relationships/hyperlink" Target="https://jam.dev/c/c7d813c8-8ce3-411a-90a6-7d3a34ecabb5" TargetMode="External"/><Relationship Id="rId20" Type="http://schemas.openxmlformats.org/officeDocument/2006/relationships/hyperlink" Target="https://jam.dev/c/1c564669-c315-4a2a-a02f-602b9132f7d5" TargetMode="External"/><Relationship Id="rId22" Type="http://schemas.openxmlformats.org/officeDocument/2006/relationships/hyperlink" Target="https://jam.dev/c/df41064e-6b9b-4503-907e-1cd628585d14" TargetMode="External"/><Relationship Id="rId21" Type="http://schemas.openxmlformats.org/officeDocument/2006/relationships/hyperlink" Target="https://luxury-kleicha-c8c530.netlify.app/sign_up" TargetMode="External"/><Relationship Id="rId24" Type="http://schemas.openxmlformats.org/officeDocument/2006/relationships/hyperlink" Target="https://jam.dev/c/98dd060c-576d-4923-a95c-a990d46ecfd6" TargetMode="External"/><Relationship Id="rId23" Type="http://schemas.openxmlformats.org/officeDocument/2006/relationships/hyperlink" Target="https://luxury-kleicha-c8c530.netlify.app/data_policy" TargetMode="External"/><Relationship Id="rId26" Type="http://schemas.openxmlformats.org/officeDocument/2006/relationships/hyperlink" Target="https://jam.dev/c/0d7a142d-483b-4d1c-ae79-9696bfda932a" TargetMode="External"/><Relationship Id="rId25" Type="http://schemas.openxmlformats.org/officeDocument/2006/relationships/hyperlink" Target="https://luxury-kleicha-c8c530.netlify.app/terms_use" TargetMode="External"/><Relationship Id="rId28" Type="http://schemas.openxmlformats.org/officeDocument/2006/relationships/hyperlink" Target="https://jam.dev/c/bcc54832-a96c-43df-a08e-750eab7e0b76" TargetMode="External"/><Relationship Id="rId27" Type="http://schemas.openxmlformats.org/officeDocument/2006/relationships/hyperlink" Target="https://luxury-kleicha-c8c530.netlify.app/signin" TargetMode="External"/><Relationship Id="rId29" Type="http://schemas.openxmlformats.org/officeDocument/2006/relationships/hyperlink" Target="https://luxury-kleicha-c8c530.netlify.app/pricing" TargetMode="External"/><Relationship Id="rId51" Type="http://schemas.openxmlformats.org/officeDocument/2006/relationships/hyperlink" Target="https://luxury-kleicha-c8c530.netlify.app/user_dashboard" TargetMode="External"/><Relationship Id="rId50" Type="http://schemas.openxmlformats.org/officeDocument/2006/relationships/hyperlink" Target="https://jam.dev/c/a091e244-6fa8-4000-aeab-717f51a5d628" TargetMode="External"/><Relationship Id="rId53" Type="http://schemas.openxmlformats.org/officeDocument/2006/relationships/hyperlink" Target="https://luxury-kleicha-c8c530.netlify.app/user_dashboard/user_setting" TargetMode="External"/><Relationship Id="rId52" Type="http://schemas.openxmlformats.org/officeDocument/2006/relationships/hyperlink" Target="https://jam.dev/c/83902d8d-9afa-4a55-bcc4-3f7ca8e84a59" TargetMode="External"/><Relationship Id="rId11" Type="http://schemas.openxmlformats.org/officeDocument/2006/relationships/hyperlink" Target="https://luxury-kleicha-c8c530.netlify.app/" TargetMode="External"/><Relationship Id="rId55" Type="http://schemas.openxmlformats.org/officeDocument/2006/relationships/hyperlink" Target="https://luxury-kleicha-c8c530.netlify.app/user_dashboard/user_setting" TargetMode="External"/><Relationship Id="rId10" Type="http://schemas.openxmlformats.org/officeDocument/2006/relationships/hyperlink" Target="https://jam.dev/c/8f1ec445-48c1-43a2-99a3-8ae5b5b900a3" TargetMode="External"/><Relationship Id="rId54" Type="http://schemas.openxmlformats.org/officeDocument/2006/relationships/hyperlink" Target="https://jam.dev/c/4e1b9c45-87e4-4ae3-8ad0-ae76185986e5" TargetMode="External"/><Relationship Id="rId13" Type="http://schemas.openxmlformats.org/officeDocument/2006/relationships/hyperlink" Target="https://luxury-kleicha-c8c530.netlify.app/" TargetMode="External"/><Relationship Id="rId57" Type="http://schemas.openxmlformats.org/officeDocument/2006/relationships/drawing" Target="../drawings/drawing2.xml"/><Relationship Id="rId12" Type="http://schemas.openxmlformats.org/officeDocument/2006/relationships/hyperlink" Target="https://jam.dev/c/12e60943-b415-4bc0-9433-6002453d7a32" TargetMode="External"/><Relationship Id="rId56" Type="http://schemas.openxmlformats.org/officeDocument/2006/relationships/hyperlink" Target="https://jam.dev/c/b2451410-1448-4214-adbd-fff9ab827ae1" TargetMode="External"/><Relationship Id="rId15" Type="http://schemas.openxmlformats.org/officeDocument/2006/relationships/hyperlink" Target="https://luxury-kleicha-c8c530.netlify.app/" TargetMode="External"/><Relationship Id="rId14" Type="http://schemas.openxmlformats.org/officeDocument/2006/relationships/hyperlink" Target="https://jam.dev/c/adc197c5-b754-498f-932e-33c1eaaccf48" TargetMode="External"/><Relationship Id="rId17" Type="http://schemas.openxmlformats.org/officeDocument/2006/relationships/hyperlink" Target="https://luxury-kleicha-c8c530.netlify.app/" TargetMode="External"/><Relationship Id="rId16" Type="http://schemas.openxmlformats.org/officeDocument/2006/relationships/hyperlink" Target="https://jam.dev/c/4099e7d9-2aef-4774-bbbd-84d4ac4e3fb0" TargetMode="External"/><Relationship Id="rId19" Type="http://schemas.openxmlformats.org/officeDocument/2006/relationships/hyperlink" Target="https://luxury-kleicha-c8c530.netlify.app/sign_up" TargetMode="External"/><Relationship Id="rId18" Type="http://schemas.openxmlformats.org/officeDocument/2006/relationships/hyperlink" Target="https://jam.dev/c/b681f39d-9576-4240-9220-348dc31d909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0.25"/>
    <col customWidth="1" min="3" max="3" width="14.38"/>
    <col customWidth="1" min="4" max="4" width="24.5"/>
    <col customWidth="1" min="5" max="5" width="17.13"/>
    <col customWidth="1" min="6" max="6" width="20.0"/>
    <col customWidth="1" min="8" max="8" width="19.88"/>
    <col customWidth="1" min="9" max="9" width="16.25"/>
    <col customWidth="1" min="10" max="10" width="14.13"/>
    <col customWidth="1" min="12" max="12" width="16.13"/>
    <col customWidth="1" min="13" max="13" width="18.75"/>
    <col customWidth="1" min="14" max="15" width="15.25"/>
    <col customWidth="1" min="16" max="16" width="17.25"/>
  </cols>
  <sheetData>
    <row r="1">
      <c r="A1" s="1"/>
      <c r="B1" s="1"/>
      <c r="C1" s="1"/>
      <c r="D1" s="1"/>
      <c r="E1" s="1"/>
      <c r="F1" s="1"/>
      <c r="G1" s="1"/>
      <c r="H1" s="1"/>
      <c r="I1" s="1"/>
      <c r="J1" s="1"/>
      <c r="K1" s="1"/>
      <c r="L1" s="1"/>
      <c r="M1" s="1"/>
      <c r="N1" s="1"/>
      <c r="O1" s="1"/>
    </row>
    <row r="2">
      <c r="A2" s="2" t="s">
        <v>0</v>
      </c>
      <c r="B2" s="3" t="s">
        <v>1</v>
      </c>
      <c r="C2" s="1"/>
      <c r="D2" s="4" t="s">
        <v>2</v>
      </c>
      <c r="E2" s="4" t="s">
        <v>3</v>
      </c>
      <c r="F2" s="1"/>
      <c r="G2" s="1"/>
      <c r="H2" s="5"/>
      <c r="I2" s="5"/>
      <c r="J2" s="5"/>
      <c r="K2" s="5"/>
      <c r="L2" s="5"/>
      <c r="M2" s="5"/>
      <c r="N2" s="1"/>
      <c r="O2" s="1"/>
    </row>
    <row r="3">
      <c r="A3" s="2" t="s">
        <v>4</v>
      </c>
      <c r="B3" s="6" t="s">
        <v>5</v>
      </c>
      <c r="C3" s="1"/>
      <c r="D3" s="7" t="s">
        <v>6</v>
      </c>
      <c r="E3" s="8">
        <f>COUNTIF(Tahsin!K14:K1005, "High") + COUNTIF(Fahad!K8:K1004, "High")</f>
        <v>13</v>
      </c>
      <c r="F3" s="1"/>
      <c r="G3" s="1"/>
      <c r="H3" s="1"/>
      <c r="I3" s="1"/>
      <c r="J3" s="1"/>
      <c r="K3" s="1"/>
      <c r="L3" s="1"/>
      <c r="M3" s="1"/>
      <c r="N3" s="1"/>
      <c r="O3" s="1"/>
    </row>
    <row r="4">
      <c r="A4" s="2" t="s">
        <v>7</v>
      </c>
      <c r="B4" s="9" t="s">
        <v>8</v>
      </c>
      <c r="C4" s="1"/>
      <c r="D4" s="10" t="s">
        <v>9</v>
      </c>
      <c r="E4" s="8">
        <f>COUNTIF(Tahsin!K14:K1006, "Medium") + COUNTIF(Fahad!K8:K1005, "Medium")</f>
        <v>10</v>
      </c>
      <c r="F4" s="1"/>
      <c r="G4" s="1"/>
      <c r="H4" s="1"/>
      <c r="I4" s="1"/>
      <c r="J4" s="1"/>
      <c r="K4" s="11" t="s">
        <v>10</v>
      </c>
      <c r="L4" s="1"/>
      <c r="M4" s="1"/>
      <c r="N4" s="1"/>
      <c r="O4" s="1"/>
    </row>
    <row r="5">
      <c r="A5" s="2" t="s">
        <v>11</v>
      </c>
      <c r="B5" s="12" t="s">
        <v>12</v>
      </c>
      <c r="C5" s="1"/>
      <c r="D5" s="13" t="s">
        <v>13</v>
      </c>
      <c r="E5" s="8">
        <f>COUNTIF(Fahad!K8:K1006, "Low") + COUNTIF(Tahsin!K14:K1009, "Low")</f>
        <v>5</v>
      </c>
      <c r="F5" s="1"/>
      <c r="G5" s="1"/>
      <c r="H5" s="1"/>
      <c r="I5" s="1"/>
      <c r="J5" s="1"/>
      <c r="K5" s="1"/>
      <c r="L5" s="1"/>
      <c r="M5" s="1"/>
      <c r="N5" s="1"/>
      <c r="O5" s="1"/>
    </row>
    <row r="6">
      <c r="A6" s="2" t="s">
        <v>14</v>
      </c>
      <c r="B6" s="14"/>
      <c r="C6" s="1"/>
      <c r="D6" s="15"/>
      <c r="E6" s="15"/>
      <c r="F6" s="1"/>
      <c r="G6" s="1"/>
      <c r="H6" s="1"/>
      <c r="I6" s="1"/>
      <c r="J6" s="1"/>
      <c r="K6" s="1"/>
      <c r="L6" s="1"/>
      <c r="M6" s="1"/>
      <c r="N6" s="1"/>
      <c r="O6" s="1"/>
    </row>
    <row r="7">
      <c r="A7" s="2" t="s">
        <v>15</v>
      </c>
      <c r="B7" s="14"/>
      <c r="C7" s="1"/>
      <c r="D7" s="16" t="s">
        <v>16</v>
      </c>
      <c r="E7" s="17">
        <f>SUM(E3:E5)</f>
        <v>28</v>
      </c>
      <c r="F7" s="1"/>
      <c r="G7" s="1"/>
      <c r="H7" s="1"/>
      <c r="I7" s="1"/>
      <c r="J7" s="1"/>
      <c r="K7" s="1"/>
      <c r="L7" s="1"/>
      <c r="M7" s="1"/>
      <c r="N7" s="1"/>
      <c r="O7" s="1"/>
    </row>
    <row r="8">
      <c r="A8" s="1"/>
      <c r="B8" s="1"/>
      <c r="C8" s="1"/>
      <c r="D8" s="16" t="s">
        <v>17</v>
      </c>
      <c r="E8" s="17">
        <f>COUNTIF(N11:N964, "Solved")</f>
        <v>0</v>
      </c>
      <c r="F8" s="1"/>
      <c r="G8" s="1"/>
      <c r="H8" s="1"/>
      <c r="I8" s="1"/>
      <c r="J8" s="1"/>
      <c r="K8" s="1"/>
      <c r="L8" s="1"/>
      <c r="M8" s="1"/>
      <c r="N8" s="1"/>
      <c r="O8" s="1"/>
    </row>
    <row r="9">
      <c r="A9" s="1"/>
      <c r="B9" s="1"/>
      <c r="C9" s="1"/>
      <c r="D9" s="1"/>
      <c r="E9" s="1"/>
      <c r="F9" s="1"/>
      <c r="G9" s="1"/>
      <c r="H9" s="1"/>
      <c r="I9" s="1"/>
      <c r="J9" s="1"/>
      <c r="K9" s="1"/>
      <c r="L9" s="1"/>
      <c r="M9" s="1"/>
      <c r="N9" s="1"/>
      <c r="O9" s="1"/>
    </row>
    <row r="10">
      <c r="A10" s="18" t="s">
        <v>18</v>
      </c>
      <c r="B10" s="18" t="s">
        <v>19</v>
      </c>
      <c r="C10" s="18" t="s">
        <v>20</v>
      </c>
      <c r="D10" s="18" t="s">
        <v>21</v>
      </c>
      <c r="E10" s="18" t="s">
        <v>22</v>
      </c>
      <c r="F10" s="18" t="s">
        <v>23</v>
      </c>
      <c r="G10" s="18" t="s">
        <v>24</v>
      </c>
      <c r="H10" s="18" t="s">
        <v>25</v>
      </c>
      <c r="I10" s="18" t="s">
        <v>26</v>
      </c>
      <c r="J10" s="18" t="s">
        <v>27</v>
      </c>
      <c r="K10" s="18" t="s">
        <v>2</v>
      </c>
      <c r="L10" s="18" t="s">
        <v>28</v>
      </c>
      <c r="M10" s="18" t="s">
        <v>29</v>
      </c>
      <c r="N10" s="19" t="s">
        <v>30</v>
      </c>
      <c r="O10" s="19" t="s">
        <v>31</v>
      </c>
      <c r="P10" s="19" t="s">
        <v>32</v>
      </c>
      <c r="Q10" s="20"/>
      <c r="R10" s="20"/>
      <c r="S10" s="20"/>
      <c r="T10" s="20"/>
      <c r="U10" s="20"/>
      <c r="V10" s="20"/>
      <c r="W10" s="20"/>
      <c r="X10" s="20"/>
      <c r="Y10" s="20"/>
      <c r="Z10" s="20"/>
      <c r="AA10" s="20"/>
    </row>
    <row r="11">
      <c r="A11" s="21" t="str">
        <f t="array" ref="A11:A61">IF((LEN(B11:B61)+LEN(C11:C61))&gt;0, "BR-" &amp; TEXT(ROW(B11:B61)-ROW(B11)+1,"000"), "")
</f>
        <v>BR-001</v>
      </c>
      <c r="B11" s="22" t="str">
        <f>IFERROR(__xludf.DUMMYFUNCTION("QUERY(
  {
    ARRAYFORMULA({TRIM(Fahad!B8:B960), Fahad!C8:M960, IF(LEN(Fahad!B8:B960), ""Fahad"", """")});
    ARRAYFORMULA({TRIM(Tahsin!B15:B960), Tahsin!C15:M960, IF(LEN(Tahsin!B15:B960), ""Tahsin"", """")})
  },
  ""SELECT * WHERE Col1 IS NOT NULL ORD"&amp;"ER BY Col1 ASC, Col2 ASC"",
  0
)
"),"Account")</f>
        <v>Account</v>
      </c>
      <c r="C11" s="22" t="str">
        <f>IFERROR(__xludf.DUMMYFUNCTION("""COMPUTED_VALUE"""),"Profile")</f>
        <v>Profile</v>
      </c>
      <c r="D11" s="22" t="str">
        <f>IFERROR(__xludf.DUMMYFUNCTION("""COMPUTED_VALUE"""),"Names can be assigned using numbers.")</f>
        <v>Names can be assigned using numbers.</v>
      </c>
      <c r="E11" s="22" t="str">
        <f>IFERROR(__xludf.DUMMYFUNCTION("""COMPUTED_VALUE"""),"User need to be in browser")</f>
        <v>User need to be in browser</v>
      </c>
      <c r="F11" s="22" t="str">
        <f>IFERROR(__xludf.DUMMYFUNCTION("""COMPUTED_VALUE"""),"1. Open web app")</f>
        <v>1. Open web app</v>
      </c>
      <c r="G11" s="22" t="str">
        <f>IFERROR(__xludf.DUMMYFUNCTION("""COMPUTED_VALUE"""),"cavowog889@kwifa.com
pass: 11224455")</f>
        <v>cavowog889@kwifa.com
pass: 11224455</v>
      </c>
      <c r="H11" s="22" t="str">
        <f>IFERROR(__xludf.DUMMYFUNCTION("""COMPUTED_VALUE"""),"Only characters should be allowed as input in the name text field.")</f>
        <v>Only characters should be allowed as input in the name text field.</v>
      </c>
      <c r="I11" s="22" t="str">
        <f>IFERROR(__xludf.DUMMYFUNCTION("""COMPUTED_VALUE"""),"Numbers can be used as names in the input field.")</f>
        <v>Numbers can be used as names in the input field.</v>
      </c>
      <c r="J11" s="22" t="str">
        <f>IFERROR(__xludf.DUMMYFUNCTION("""COMPUTED_VALUE"""),"Fail")</f>
        <v>Fail</v>
      </c>
      <c r="K11" s="22" t="str">
        <f>IFERROR(__xludf.DUMMYFUNCTION("""COMPUTED_VALUE"""),"High")</f>
        <v>High</v>
      </c>
      <c r="L11" s="23" t="str">
        <f>IFERROR(__xludf.DUMMYFUNCTION("""COMPUTED_VALUE"""),"https://jam.dev/c/4e1b9c45-87e4-4ae3-8ad0-ae76185986e5")</f>
        <v>https://jam.dev/c/4e1b9c45-87e4-4ae3-8ad0-ae76185986e5</v>
      </c>
      <c r="M11" s="22"/>
      <c r="N11" s="24" t="str">
        <f>IFERROR(__xludf.DUMMYFUNCTION("""COMPUTED_VALUE"""),"Fahad")</f>
        <v>Fahad</v>
      </c>
      <c r="O11" s="24"/>
      <c r="P11" s="24"/>
      <c r="Q11" s="25"/>
      <c r="R11" s="25"/>
      <c r="S11" s="25"/>
      <c r="T11" s="25"/>
      <c r="U11" s="25"/>
      <c r="V11" s="25"/>
      <c r="W11" s="25"/>
      <c r="X11" s="25"/>
      <c r="Y11" s="25"/>
      <c r="Z11" s="25"/>
      <c r="AA11" s="25"/>
    </row>
    <row r="12">
      <c r="A12" s="26" t="s">
        <v>33</v>
      </c>
      <c r="B12" s="27" t="str">
        <f>IFERROR(__xludf.DUMMYFUNCTION("""COMPUTED_VALUE"""),"Account")</f>
        <v>Account</v>
      </c>
      <c r="C12" s="27" t="str">
        <f>IFERROR(__xludf.DUMMYFUNCTION("""COMPUTED_VALUE"""),"Security")</f>
        <v>Security</v>
      </c>
      <c r="D12" s="27" t="str">
        <f>IFERROR(__xludf.DUMMYFUNCTION("""COMPUTED_VALUE"""),"Forget password button in change password")</f>
        <v>Forget password button in change password</v>
      </c>
      <c r="E12" s="27" t="str">
        <f>IFERROR(__xludf.DUMMYFUNCTION("""COMPUTED_VALUE"""),"User need to be in browser")</f>
        <v>User need to be in browser</v>
      </c>
      <c r="F12" s="27" t="str">
        <f>IFERROR(__xludf.DUMMYFUNCTION("""COMPUTED_VALUE"""),"1. Open web app")</f>
        <v>1. Open web app</v>
      </c>
      <c r="G12" s="27" t="str">
        <f>IFERROR(__xludf.DUMMYFUNCTION("""COMPUTED_VALUE"""),"cavowog889@kwifa.com
pass: 112244557788")</f>
        <v>cavowog889@kwifa.com
pass: 112244557788</v>
      </c>
      <c r="H12" s="27" t="str">
        <f>IFERROR(__xludf.DUMMYFUNCTION("""COMPUTED_VALUE"""),"The change password page will include fields for the old password, the new password, and a confirmation for the new password.")</f>
        <v>The change password page will include fields for the old password, the new password, and a confirmation for the new password.</v>
      </c>
      <c r="I12" s="27" t="str">
        <f>IFERROR(__xludf.DUMMYFUNCTION("""COMPUTED_VALUE"""),"The ""Forgot Password"" button appears on the change password page, which seems irrelevant.")</f>
        <v>The "Forgot Password" button appears on the change password page, which seems irrelevant.</v>
      </c>
      <c r="J12" s="27" t="str">
        <f>IFERROR(__xludf.DUMMYFUNCTION("""COMPUTED_VALUE"""),"Fail")</f>
        <v>Fail</v>
      </c>
      <c r="K12" s="27" t="str">
        <f>IFERROR(__xludf.DUMMYFUNCTION("""COMPUTED_VALUE"""),"Medium")</f>
        <v>Medium</v>
      </c>
      <c r="L12" s="28" t="str">
        <f>IFERROR(__xludf.DUMMYFUNCTION("""COMPUTED_VALUE"""),"https://jam.dev/c/b2451410-1448-4214-adbd-fff9ab827ae1")</f>
        <v>https://jam.dev/c/b2451410-1448-4214-adbd-fff9ab827ae1</v>
      </c>
      <c r="M12" s="27"/>
      <c r="N12" s="27" t="str">
        <f>IFERROR(__xludf.DUMMYFUNCTION("""COMPUTED_VALUE"""),"Fahad")</f>
        <v>Fahad</v>
      </c>
      <c r="O12" s="26"/>
      <c r="P12" s="27"/>
      <c r="Q12" s="25"/>
      <c r="R12" s="25"/>
      <c r="S12" s="25"/>
      <c r="T12" s="25"/>
      <c r="U12" s="25"/>
      <c r="V12" s="25"/>
      <c r="W12" s="25"/>
      <c r="X12" s="25"/>
      <c r="Y12" s="25"/>
      <c r="Z12" s="25"/>
      <c r="AA12" s="25"/>
    </row>
    <row r="13">
      <c r="A13" s="26" t="s">
        <v>34</v>
      </c>
      <c r="B13" s="27" t="str">
        <f>IFERROR(__xludf.DUMMYFUNCTION("""COMPUTED_VALUE"""),"Dashboard")</f>
        <v>Dashboard</v>
      </c>
      <c r="C13" s="27" t="str">
        <f>IFERROR(__xludf.DUMMYFUNCTION("""COMPUTED_VALUE"""),"Dashboard")</f>
        <v>Dashboard</v>
      </c>
      <c r="D13" s="27" t="str">
        <f>IFERROR(__xludf.DUMMYFUNCTION("""COMPUTED_VALUE"""),"Unable to display the user's word count.")</f>
        <v>Unable to display the user's word count.</v>
      </c>
      <c r="E13" s="27" t="str">
        <f>IFERROR(__xludf.DUMMYFUNCTION("""COMPUTED_VALUE"""),"User need to be in browser")</f>
        <v>User need to be in browser</v>
      </c>
      <c r="F13" s="27" t="str">
        <f>IFERROR(__xludf.DUMMYFUNCTION("""COMPUTED_VALUE"""),"1. Open web app")</f>
        <v>1. Open web app</v>
      </c>
      <c r="G13" s="27" t="str">
        <f>IFERROR(__xludf.DUMMYFUNCTION("""COMPUTED_VALUE"""),"N/A")</f>
        <v>N/A</v>
      </c>
      <c r="H13" s="27" t="str">
        <f>IFERROR(__xludf.DUMMYFUNCTION("""COMPUTED_VALUE"""),"Users should be able to see how many words they have used.")</f>
        <v>Users should be able to see how many words they have used.</v>
      </c>
      <c r="I13" s="27" t="str">
        <f>IFERROR(__xludf.DUMMYFUNCTION("""COMPUTED_VALUE"""),"Unable to display the word used in the dashboard.")</f>
        <v>Unable to display the word used in the dashboard.</v>
      </c>
      <c r="J13" s="27" t="str">
        <f>IFERROR(__xludf.DUMMYFUNCTION("""COMPUTED_VALUE"""),"Fail")</f>
        <v>Fail</v>
      </c>
      <c r="K13" s="27" t="str">
        <f>IFERROR(__xludf.DUMMYFUNCTION("""COMPUTED_VALUE"""),"High")</f>
        <v>High</v>
      </c>
      <c r="L13" s="28" t="str">
        <f>IFERROR(__xludf.DUMMYFUNCTION("""COMPUTED_VALUE"""),"https://jam.dev/c/a80ccb95-52d7-4c27-a88d-856ba5635488")</f>
        <v>https://jam.dev/c/a80ccb95-52d7-4c27-a88d-856ba5635488</v>
      </c>
      <c r="M13" s="27"/>
      <c r="N13" s="27" t="str">
        <f>IFERROR(__xludf.DUMMYFUNCTION("""COMPUTED_VALUE"""),"Fahad")</f>
        <v>Fahad</v>
      </c>
      <c r="O13" s="27"/>
      <c r="P13" s="27"/>
      <c r="Q13" s="25"/>
      <c r="R13" s="25"/>
      <c r="S13" s="25"/>
      <c r="T13" s="25"/>
      <c r="U13" s="25"/>
      <c r="V13" s="25"/>
      <c r="W13" s="25"/>
      <c r="X13" s="25"/>
      <c r="Y13" s="25"/>
      <c r="Z13" s="25"/>
      <c r="AA13" s="25"/>
    </row>
    <row r="14">
      <c r="A14" s="26" t="s">
        <v>35</v>
      </c>
      <c r="B14" s="27" t="str">
        <f>IFERROR(__xludf.DUMMYFUNCTION("""COMPUTED_VALUE"""),"Dashboard")</f>
        <v>Dashboard</v>
      </c>
      <c r="C14" s="27" t="str">
        <f>IFERROR(__xludf.DUMMYFUNCTION("""COMPUTED_VALUE"""),"Dashboard")</f>
        <v>Dashboard</v>
      </c>
      <c r="D14" s="27" t="str">
        <f>IFERROR(__xludf.DUMMYFUNCTION("""COMPUTED_VALUE"""),"The AI detection bar malfunctioned.")</f>
        <v>The AI detection bar malfunctioned.</v>
      </c>
      <c r="E14" s="27" t="str">
        <f>IFERROR(__xludf.DUMMYFUNCTION("""COMPUTED_VALUE"""),"User need to be in browser")</f>
        <v>User need to be in browser</v>
      </c>
      <c r="F14" s="27" t="str">
        <f>IFERROR(__xludf.DUMMYFUNCTION("""COMPUTED_VALUE"""),"1. Open web app")</f>
        <v>1. Open web app</v>
      </c>
      <c r="G14" s="27" t="str">
        <f>IFERROR(__xludf.DUMMYFUNCTION("""COMPUTED_VALUE"""),"N/A")</f>
        <v>N/A</v>
      </c>
      <c r="H14" s="27" t="str">
        <f>IFERROR(__xludf.DUMMYFUNCTION("""COMPUTED_VALUE"""),"The AI detection bar should be filled based on the level of similarity detected with AI.")</f>
        <v>The AI detection bar should be filled based on the level of similarity detected with AI.</v>
      </c>
      <c r="I14" s="27" t="str">
        <f>IFERROR(__xludf.DUMMYFUNCTION("""COMPUTED_VALUE"""),"Failed to fill the AI bar on the dashboard page.")</f>
        <v>Failed to fill the AI bar on the dashboard page.</v>
      </c>
      <c r="J14" s="27" t="str">
        <f>IFERROR(__xludf.DUMMYFUNCTION("""COMPUTED_VALUE"""),"Fail")</f>
        <v>Fail</v>
      </c>
      <c r="K14" s="27" t="str">
        <f>IFERROR(__xludf.DUMMYFUNCTION("""COMPUTED_VALUE"""),"High")</f>
        <v>High</v>
      </c>
      <c r="L14" s="28" t="str">
        <f>IFERROR(__xludf.DUMMYFUNCTION("""COMPUTED_VALUE"""),"https://jam.dev/c/bec88c6d-9cac-48d5-a53d-6077b582aba4")</f>
        <v>https://jam.dev/c/bec88c6d-9cac-48d5-a53d-6077b582aba4</v>
      </c>
      <c r="M14" s="27"/>
      <c r="N14" s="27" t="str">
        <f>IFERROR(__xludf.DUMMYFUNCTION("""COMPUTED_VALUE"""),"Fahad")</f>
        <v>Fahad</v>
      </c>
      <c r="O14" s="27"/>
      <c r="P14" s="27"/>
      <c r="Q14" s="25"/>
      <c r="R14" s="25"/>
      <c r="S14" s="25"/>
      <c r="T14" s="25"/>
      <c r="U14" s="25"/>
      <c r="V14" s="25"/>
      <c r="W14" s="25"/>
      <c r="X14" s="25"/>
      <c r="Y14" s="25"/>
      <c r="Z14" s="25"/>
      <c r="AA14" s="25"/>
    </row>
    <row r="15">
      <c r="A15" s="26" t="s">
        <v>36</v>
      </c>
      <c r="B15" s="27" t="str">
        <f>IFERROR(__xludf.DUMMYFUNCTION("""COMPUTED_VALUE"""),"Dashboard")</f>
        <v>Dashboard</v>
      </c>
      <c r="C15" s="27" t="str">
        <f>IFERROR(__xludf.DUMMYFUNCTION("""COMPUTED_VALUE"""),"Dashboard")</f>
        <v>Dashboard</v>
      </c>
      <c r="D15" s="27" t="str">
        <f>IFERROR(__xludf.DUMMYFUNCTION("""COMPUTED_VALUE"""),"AI detection failed")</f>
        <v>AI detection failed</v>
      </c>
      <c r="E15" s="27" t="str">
        <f>IFERROR(__xludf.DUMMYFUNCTION("""COMPUTED_VALUE"""),"User need to be in browser")</f>
        <v>User need to be in browser</v>
      </c>
      <c r="F15" s="27" t="str">
        <f>IFERROR(__xludf.DUMMYFUNCTION("""COMPUTED_VALUE"""),"1. Open web app")</f>
        <v>1. Open web app</v>
      </c>
      <c r="G15" s="27" t="str">
        <f>IFERROR(__xludf.DUMMYFUNCTION("""COMPUTED_VALUE"""),"N/A")</f>
        <v>N/A</v>
      </c>
      <c r="H15" s="27" t="str">
        <f>IFERROR(__xludf.DUMMYFUNCTION("""COMPUTED_VALUE"""),"If a text is generated by AI, it should indicate that it was created using artificial intelligence.")</f>
        <v>If a text is generated by AI, it should indicate that it was created using artificial intelligence.</v>
      </c>
      <c r="I15" s="27" t="str">
        <f>IFERROR(__xludf.DUMMYFUNCTION("""COMPUTED_VALUE"""),"The displayed text appears to be himazine, but it was actually generated by AI.")</f>
        <v>The displayed text appears to be himazine, but it was actually generated by AI.</v>
      </c>
      <c r="J15" s="27" t="str">
        <f>IFERROR(__xludf.DUMMYFUNCTION("""COMPUTED_VALUE"""),"Fail")</f>
        <v>Fail</v>
      </c>
      <c r="K15" s="27" t="str">
        <f>IFERROR(__xludf.DUMMYFUNCTION("""COMPUTED_VALUE"""),"High")</f>
        <v>High</v>
      </c>
      <c r="L15" s="28" t="str">
        <f>IFERROR(__xludf.DUMMYFUNCTION("""COMPUTED_VALUE"""),"https://jam.dev/c/a091e244-6fa8-4000-aeab-717f51a5d628")</f>
        <v>https://jam.dev/c/a091e244-6fa8-4000-aeab-717f51a5d628</v>
      </c>
      <c r="M15" s="27"/>
      <c r="N15" s="27" t="str">
        <f>IFERROR(__xludf.DUMMYFUNCTION("""COMPUTED_VALUE"""),"Fahad")</f>
        <v>Fahad</v>
      </c>
      <c r="O15" s="27"/>
      <c r="P15" s="27"/>
      <c r="Q15" s="25"/>
      <c r="R15" s="25"/>
      <c r="S15" s="25"/>
      <c r="T15" s="25"/>
      <c r="U15" s="25"/>
      <c r="V15" s="25"/>
      <c r="W15" s="25"/>
      <c r="X15" s="25"/>
      <c r="Y15" s="25"/>
      <c r="Z15" s="25"/>
      <c r="AA15" s="25"/>
    </row>
    <row r="16">
      <c r="A16" s="26" t="s">
        <v>37</v>
      </c>
      <c r="B16" s="27" t="str">
        <f>IFERROR(__xludf.DUMMYFUNCTION("""COMPUTED_VALUE"""),"Dashboard")</f>
        <v>Dashboard</v>
      </c>
      <c r="C16" s="27" t="str">
        <f>IFERROR(__xludf.DUMMYFUNCTION("""COMPUTED_VALUE"""),"Dashboard")</f>
        <v>Dashboard</v>
      </c>
      <c r="D16" s="27" t="str">
        <f>IFERROR(__xludf.DUMMYFUNCTION("""COMPUTED_VALUE"""),"Failed to make the text more relatable.")</f>
        <v>Failed to make the text more relatable.</v>
      </c>
      <c r="E16" s="27" t="str">
        <f>IFERROR(__xludf.DUMMYFUNCTION("""COMPUTED_VALUE"""),"User need to be in browser")</f>
        <v>User need to be in browser</v>
      </c>
      <c r="F16" s="27" t="str">
        <f>IFERROR(__xludf.DUMMYFUNCTION("""COMPUTED_VALUE"""),"1. Open web app")</f>
        <v>1. Open web app</v>
      </c>
      <c r="G16" s="27" t="str">
        <f>IFERROR(__xludf.DUMMYFUNCTION("""COMPUTED_VALUE"""),"N/A")</f>
        <v>N/A</v>
      </c>
      <c r="H16" s="27" t="str">
        <f>IFERROR(__xludf.DUMMYFUNCTION("""COMPUTED_VALUE"""),"When users paste their text, the generation should be done properly based on the category.")</f>
        <v>When users paste their text, the generation should be done properly based on the category.</v>
      </c>
      <c r="I16" s="27" t="str">
        <f>IFERROR(__xludf.DUMMYFUNCTION("""COMPUTED_VALUE"""),"Failed to correct the generation. Simply adding ""ing"" to words doesn't make the text sound humanized by AI.")</f>
        <v>Failed to correct the generation. Simply adding "ing" to words doesn't make the text sound humanized by AI.</v>
      </c>
      <c r="J16" s="27" t="str">
        <f>IFERROR(__xludf.DUMMYFUNCTION("""COMPUTED_VALUE"""),"Fail")</f>
        <v>Fail</v>
      </c>
      <c r="K16" s="27" t="str">
        <f>IFERROR(__xludf.DUMMYFUNCTION("""COMPUTED_VALUE"""),"High")</f>
        <v>High</v>
      </c>
      <c r="L16" s="28" t="str">
        <f>IFERROR(__xludf.DUMMYFUNCTION("""COMPUTED_VALUE"""),"https://jam.dev/c/83902d8d-9afa-4a55-bcc4-3f7ca8e84a59")</f>
        <v>https://jam.dev/c/83902d8d-9afa-4a55-bcc4-3f7ca8e84a59</v>
      </c>
      <c r="M16" s="27"/>
      <c r="N16" s="27" t="str">
        <f>IFERROR(__xludf.DUMMYFUNCTION("""COMPUTED_VALUE"""),"Fahad")</f>
        <v>Fahad</v>
      </c>
      <c r="O16" s="27"/>
      <c r="P16" s="27"/>
      <c r="Q16" s="25"/>
      <c r="R16" s="25"/>
      <c r="S16" s="25"/>
      <c r="T16" s="25"/>
      <c r="U16" s="25"/>
      <c r="V16" s="25"/>
      <c r="W16" s="25"/>
      <c r="X16" s="25"/>
      <c r="Y16" s="25"/>
      <c r="Z16" s="25"/>
      <c r="AA16" s="25"/>
    </row>
    <row r="17">
      <c r="A17" s="26" t="s">
        <v>38</v>
      </c>
      <c r="B17" s="27" t="str">
        <f>IFERROR(__xludf.DUMMYFUNCTION("""COMPUTED_VALUE"""),"Landing Page")</f>
        <v>Landing Page</v>
      </c>
      <c r="C17" s="27" t="str">
        <f>IFERROR(__xludf.DUMMYFUNCTION("""COMPUTED_VALUE"""),"Header")</f>
        <v>Header</v>
      </c>
      <c r="D17" s="27" t="str">
        <f>IFERROR(__xludf.DUMMYFUNCTION("""COMPUTED_VALUE"""),"The logo appears to be a bit small.")</f>
        <v>The logo appears to be a bit small.</v>
      </c>
      <c r="E17" s="27" t="str">
        <f>IFERROR(__xludf.DUMMYFUNCTION("""COMPUTED_VALUE"""),"User need to be in web browser")</f>
        <v>User need to be in web browser</v>
      </c>
      <c r="F17" s="27" t="str">
        <f>IFERROR(__xludf.DUMMYFUNCTION("""COMPUTED_VALUE"""),"1. Open web app")</f>
        <v>1. Open web app</v>
      </c>
      <c r="G17" s="27" t="str">
        <f>IFERROR(__xludf.DUMMYFUNCTION("""COMPUTED_VALUE"""),"N/A")</f>
        <v>N/A</v>
      </c>
      <c r="H17" s="27" t="str">
        <f>IFERROR(__xludf.DUMMYFUNCTION("""COMPUTED_VALUE"""),"A website logo should grab users' attention and be visually appealing.")</f>
        <v>A website logo should grab users' attention and be visually appealing.</v>
      </c>
      <c r="I17" s="27" t="str">
        <f>IFERROR(__xludf.DUMMYFUNCTION("""COMPUTED_VALUE"""),"A small-sized logo has been observed in the homepage header section.")</f>
        <v>A small-sized logo has been observed in the homepage header section.</v>
      </c>
      <c r="J17" s="27" t="str">
        <f>IFERROR(__xludf.DUMMYFUNCTION("""COMPUTED_VALUE"""),"Fail")</f>
        <v>Fail</v>
      </c>
      <c r="K17" s="27" t="str">
        <f>IFERROR(__xludf.DUMMYFUNCTION("""COMPUTED_VALUE"""),"Low")</f>
        <v>Low</v>
      </c>
      <c r="L17" s="28" t="str">
        <f>IFERROR(__xludf.DUMMYFUNCTION("""COMPUTED_VALUE"""),"https://jam.dev/c/627db0fc-28db-436f-a1b2-d1b8cc923450")</f>
        <v>https://jam.dev/c/627db0fc-28db-436f-a1b2-d1b8cc923450</v>
      </c>
      <c r="M17" s="27"/>
      <c r="N17" s="27" t="str">
        <f>IFERROR(__xludf.DUMMYFUNCTION("""COMPUTED_VALUE"""),"Fahad")</f>
        <v>Fahad</v>
      </c>
      <c r="O17" s="27"/>
      <c r="P17" s="27"/>
      <c r="Q17" s="25"/>
      <c r="R17" s="25"/>
      <c r="S17" s="25"/>
      <c r="T17" s="25"/>
      <c r="U17" s="25"/>
      <c r="V17" s="25"/>
      <c r="W17" s="25"/>
      <c r="X17" s="25"/>
      <c r="Y17" s="25"/>
      <c r="Z17" s="25"/>
      <c r="AA17" s="25"/>
    </row>
    <row r="18">
      <c r="A18" s="26" t="s">
        <v>39</v>
      </c>
      <c r="B18" s="27" t="str">
        <f>IFERROR(__xludf.DUMMYFUNCTION("""COMPUTED_VALUE"""),"Landing Page")</f>
        <v>Landing Page</v>
      </c>
      <c r="C18" s="27" t="str">
        <f>IFERROR(__xludf.DUMMYFUNCTION("""COMPUTED_VALUE"""),"Header")</f>
        <v>Header</v>
      </c>
      <c r="D18" s="27" t="str">
        <f>IFERROR(__xludf.DUMMYFUNCTION("""COMPUTED_VALUE"""),"Header section size issue")</f>
        <v>Header section size issue</v>
      </c>
      <c r="E18" s="27" t="str">
        <f>IFERROR(__xludf.DUMMYFUNCTION("""COMPUTED_VALUE"""),"User need to be in browser")</f>
        <v>User need to be in browser</v>
      </c>
      <c r="F18" s="27" t="str">
        <f>IFERROR(__xludf.DUMMYFUNCTION("""COMPUTED_VALUE"""),"1. Open web app")</f>
        <v>1. Open web app</v>
      </c>
      <c r="G18" s="27" t="str">
        <f>IFERROR(__xludf.DUMMYFUNCTION("""COMPUTED_VALUE"""),"N/A")</f>
        <v>N/A</v>
      </c>
      <c r="H18" s="27" t="str">
        <f>IFERROR(__xludf.DUMMYFUNCTION("""COMPUTED_VALUE"""),"The header section size should match the client's requirements exactly.")</f>
        <v>The header section size should match the client's requirements exactly.</v>
      </c>
      <c r="I18" s="27" t="str">
        <f>IFERROR(__xludf.DUMMYFUNCTION("""COMPUTED_VALUE"""),"The header section appears to be smaller than the client's requirements.")</f>
        <v>The header section appears to be smaller than the client's requirements.</v>
      </c>
      <c r="J18" s="27" t="str">
        <f>IFERROR(__xludf.DUMMYFUNCTION("""COMPUTED_VALUE"""),"Fail")</f>
        <v>Fail</v>
      </c>
      <c r="K18" s="27" t="str">
        <f>IFERROR(__xludf.DUMMYFUNCTION("""COMPUTED_VALUE"""),"Low")</f>
        <v>Low</v>
      </c>
      <c r="L18" s="28" t="str">
        <f>IFERROR(__xludf.DUMMYFUNCTION("""COMPUTED_VALUE"""),"https://jam.dev/c/01c7fc2b-8290-4158-832a-562137b55e28")</f>
        <v>https://jam.dev/c/01c7fc2b-8290-4158-832a-562137b55e28</v>
      </c>
      <c r="M18" s="27"/>
      <c r="N18" s="27" t="str">
        <f>IFERROR(__xludf.DUMMYFUNCTION("""COMPUTED_VALUE"""),"Fahad")</f>
        <v>Fahad</v>
      </c>
      <c r="O18" s="27"/>
      <c r="P18" s="27"/>
      <c r="Q18" s="25"/>
      <c r="R18" s="25"/>
      <c r="S18" s="25"/>
      <c r="T18" s="25"/>
      <c r="U18" s="25"/>
      <c r="V18" s="25"/>
      <c r="W18" s="25"/>
      <c r="X18" s="25"/>
      <c r="Y18" s="25"/>
      <c r="Z18" s="25"/>
      <c r="AA18" s="25"/>
    </row>
    <row r="19">
      <c r="A19" s="26" t="s">
        <v>40</v>
      </c>
      <c r="B19" s="27" t="str">
        <f>IFERROR(__xludf.DUMMYFUNCTION("""COMPUTED_VALUE"""),"Landing Page")</f>
        <v>Landing Page</v>
      </c>
      <c r="C19" s="27" t="str">
        <f>IFERROR(__xludf.DUMMYFUNCTION("""COMPUTED_VALUE"""),"Home")</f>
        <v>Home</v>
      </c>
      <c r="D19" s="27" t="str">
        <f>IFERROR(__xludf.DUMMYFUNCTION("""COMPUTED_VALUE"""),"Text font and color issue")</f>
        <v>Text font and color issue</v>
      </c>
      <c r="E19" s="27" t="str">
        <f>IFERROR(__xludf.DUMMYFUNCTION("""COMPUTED_VALUE"""),"User need to be in browser")</f>
        <v>User need to be in browser</v>
      </c>
      <c r="F19" s="27" t="str">
        <f>IFERROR(__xludf.DUMMYFUNCTION("""COMPUTED_VALUE"""),"1. Open web app")</f>
        <v>1. Open web app</v>
      </c>
      <c r="G19" s="27" t="str">
        <f>IFERROR(__xludf.DUMMYFUNCTION("""COMPUTED_VALUE"""),"N/A")</f>
        <v>N/A</v>
      </c>
      <c r="H19" s="27" t="str">
        <f>IFERROR(__xludf.DUMMYFUNCTION("""COMPUTED_VALUE"""),"The font and color should match the client's requirements.")</f>
        <v>The font and color should match the client's requirements.</v>
      </c>
      <c r="I19" s="27" t="str">
        <f>IFERROR(__xludf.DUMMYFUNCTION("""COMPUTED_VALUE"""),"The font size and text color do not match the client's requirements.")</f>
        <v>The font size and text color do not match the client's requirements.</v>
      </c>
      <c r="J19" s="27" t="str">
        <f>IFERROR(__xludf.DUMMYFUNCTION("""COMPUTED_VALUE"""),"Fail")</f>
        <v>Fail</v>
      </c>
      <c r="K19" s="27" t="str">
        <f>IFERROR(__xludf.DUMMYFUNCTION("""COMPUTED_VALUE"""),"Low")</f>
        <v>Low</v>
      </c>
      <c r="L19" s="28" t="str">
        <f>IFERROR(__xludf.DUMMYFUNCTION("""COMPUTED_VALUE"""),"https://jam.dev/c/2637688e-9f2a-4a43-9490-d77286dc7be0")</f>
        <v>https://jam.dev/c/2637688e-9f2a-4a43-9490-d77286dc7be0</v>
      </c>
      <c r="M19" s="27"/>
      <c r="N19" s="27" t="str">
        <f>IFERROR(__xludf.DUMMYFUNCTION("""COMPUTED_VALUE"""),"Fahad")</f>
        <v>Fahad</v>
      </c>
      <c r="O19" s="27"/>
      <c r="P19" s="27"/>
      <c r="Q19" s="25"/>
      <c r="R19" s="25"/>
      <c r="S19" s="25"/>
      <c r="T19" s="25"/>
      <c r="U19" s="25"/>
      <c r="V19" s="25"/>
      <c r="W19" s="25"/>
      <c r="X19" s="25"/>
      <c r="Y19" s="25"/>
      <c r="Z19" s="25"/>
      <c r="AA19" s="25"/>
    </row>
    <row r="20">
      <c r="A20" s="26" t="s">
        <v>41</v>
      </c>
      <c r="B20" s="27" t="str">
        <f>IFERROR(__xludf.DUMMYFUNCTION("""COMPUTED_VALUE"""),"Landing Page")</f>
        <v>Landing Page</v>
      </c>
      <c r="C20" s="27" t="str">
        <f>IFERROR(__xludf.DUMMYFUNCTION("""COMPUTED_VALUE"""),"Home")</f>
        <v>Home</v>
      </c>
      <c r="D20" s="27" t="str">
        <f>IFERROR(__xludf.DUMMYFUNCTION("""COMPUTED_VALUE"""),"The icon size is smaller than the client's requirement.")</f>
        <v>The icon size is smaller than the client's requirement.</v>
      </c>
      <c r="E20" s="27" t="str">
        <f>IFERROR(__xludf.DUMMYFUNCTION("""COMPUTED_VALUE"""),"User need to be in browser")</f>
        <v>User need to be in browser</v>
      </c>
      <c r="F20" s="27" t="str">
        <f>IFERROR(__xludf.DUMMYFUNCTION("""COMPUTED_VALUE"""),"1. Open web app")</f>
        <v>1. Open web app</v>
      </c>
      <c r="G20" s="27" t="str">
        <f>IFERROR(__xludf.DUMMYFUNCTION("""COMPUTED_VALUE"""),"N/A")</f>
        <v>N/A</v>
      </c>
      <c r="H20" s="27" t="str">
        <f>IFERROR(__xludf.DUMMYFUNCTION("""COMPUTED_VALUE"""),"The alignment and font should match the client's requirements.")</f>
        <v>The alignment and font should match the client's requirements.</v>
      </c>
      <c r="I20" s="27" t="str">
        <f>IFERROR(__xludf.DUMMYFUNCTION("""COMPUTED_VALUE"""),"The icon appears to be smaller than the client's requirement.")</f>
        <v>The icon appears to be smaller than the client's requirement.</v>
      </c>
      <c r="J20" s="27" t="str">
        <f>IFERROR(__xludf.DUMMYFUNCTION("""COMPUTED_VALUE"""),"Fail")</f>
        <v>Fail</v>
      </c>
      <c r="K20" s="27" t="str">
        <f>IFERROR(__xludf.DUMMYFUNCTION("""COMPUTED_VALUE"""),"Low")</f>
        <v>Low</v>
      </c>
      <c r="L20" s="28" t="str">
        <f>IFERROR(__xludf.DUMMYFUNCTION("""COMPUTED_VALUE"""),"https://jam.dev/c/9f5b1842-a1c3-4bd6-a0f0-b4e3cf772daf")</f>
        <v>https://jam.dev/c/9f5b1842-a1c3-4bd6-a0f0-b4e3cf772daf</v>
      </c>
      <c r="M20" s="27"/>
      <c r="N20" s="27" t="str">
        <f>IFERROR(__xludf.DUMMYFUNCTION("""COMPUTED_VALUE"""),"Fahad")</f>
        <v>Fahad</v>
      </c>
      <c r="O20" s="27"/>
      <c r="P20" s="27"/>
      <c r="Q20" s="25"/>
      <c r="R20" s="25"/>
      <c r="S20" s="25"/>
      <c r="T20" s="25"/>
      <c r="U20" s="25"/>
      <c r="V20" s="25"/>
      <c r="W20" s="25"/>
      <c r="X20" s="25"/>
      <c r="Y20" s="25"/>
      <c r="Z20" s="25"/>
      <c r="AA20" s="25"/>
    </row>
    <row r="21">
      <c r="A21" s="26" t="s">
        <v>42</v>
      </c>
      <c r="B21" s="27" t="str">
        <f>IFERROR(__xludf.DUMMYFUNCTION("""COMPUTED_VALUE"""),"Landing Page")</f>
        <v>Landing Page</v>
      </c>
      <c r="C21" s="27" t="str">
        <f>IFERROR(__xludf.DUMMYFUNCTION("""COMPUTED_VALUE"""),"Home")</f>
        <v>Home</v>
      </c>
      <c r="D21" s="27" t="str">
        <f>IFERROR(__xludf.DUMMYFUNCTION("""COMPUTED_VALUE"""),"Content of SEO Agency banner hold different context")</f>
        <v>Content of SEO Agency banner hold different context</v>
      </c>
      <c r="E21" s="27" t="str">
        <f>IFERROR(__xludf.DUMMYFUNCTION("""COMPUTED_VALUE"""),"User need to be in browser")</f>
        <v>User need to be in browser</v>
      </c>
      <c r="F21" s="27" t="str">
        <f>IFERROR(__xludf.DUMMYFUNCTION("""COMPUTED_VALUE"""),"1. Open web app")</f>
        <v>1. Open web app</v>
      </c>
      <c r="G21" s="27" t="str">
        <f>IFERROR(__xludf.DUMMYFUNCTION("""COMPUTED_VALUE"""),"N/A")</f>
        <v>N/A</v>
      </c>
      <c r="H21" s="27" t="str">
        <f>IFERROR(__xludf.DUMMYFUNCTION("""COMPUTED_VALUE"""),"Banner content should match the client's requirements exactly.")</f>
        <v>Banner content should match the client's requirements exactly.</v>
      </c>
      <c r="I21" s="27" t="str">
        <f>IFERROR(__xludf.DUMMYFUNCTION("""COMPUTED_VALUE"""),"A difference in the banner content has been noticed.")</f>
        <v>A difference in the banner content has been noticed.</v>
      </c>
      <c r="J21" s="27" t="str">
        <f>IFERROR(__xludf.DUMMYFUNCTION("""COMPUTED_VALUE"""),"Fail")</f>
        <v>Fail</v>
      </c>
      <c r="K21" s="27" t="str">
        <f>IFERROR(__xludf.DUMMYFUNCTION("""COMPUTED_VALUE"""),"Medium")</f>
        <v>Medium</v>
      </c>
      <c r="L21" s="28" t="str">
        <f>IFERROR(__xludf.DUMMYFUNCTION("""COMPUTED_VALUE"""),"https://jam.dev/c/8f1ec445-48c1-43a2-99a3-8ae5b5b900a3")</f>
        <v>https://jam.dev/c/8f1ec445-48c1-43a2-99a3-8ae5b5b900a3</v>
      </c>
      <c r="M21" s="27"/>
      <c r="N21" s="27" t="str">
        <f>IFERROR(__xludf.DUMMYFUNCTION("""COMPUTED_VALUE"""),"Fahad")</f>
        <v>Fahad</v>
      </c>
      <c r="O21" s="27"/>
      <c r="P21" s="27"/>
      <c r="Q21" s="25"/>
      <c r="R21" s="25"/>
      <c r="S21" s="25"/>
      <c r="T21" s="25"/>
      <c r="U21" s="25"/>
      <c r="V21" s="25"/>
      <c r="W21" s="25"/>
      <c r="X21" s="25"/>
      <c r="Y21" s="25"/>
      <c r="Z21" s="25"/>
      <c r="AA21" s="25"/>
    </row>
    <row r="22">
      <c r="A22" s="26" t="s">
        <v>43</v>
      </c>
      <c r="B22" s="27" t="str">
        <f>IFERROR(__xludf.DUMMYFUNCTION("""COMPUTED_VALUE"""),"Landing Page")</f>
        <v>Landing Page</v>
      </c>
      <c r="C22" s="27" t="str">
        <f>IFERROR(__xludf.DUMMYFUNCTION("""COMPUTED_VALUE"""),"Home")</f>
        <v>Home</v>
      </c>
      <c r="D22" s="27" t="str">
        <f>IFERROR(__xludf.DUMMYFUNCTION("""COMPUTED_VALUE"""),"Content of Student banner hold different context")</f>
        <v>Content of Student banner hold different context</v>
      </c>
      <c r="E22" s="27" t="str">
        <f>IFERROR(__xludf.DUMMYFUNCTION("""COMPUTED_VALUE"""),"User need to be in browser")</f>
        <v>User need to be in browser</v>
      </c>
      <c r="F22" s="27" t="str">
        <f>IFERROR(__xludf.DUMMYFUNCTION("""COMPUTED_VALUE"""),"1. Open web app")</f>
        <v>1. Open web app</v>
      </c>
      <c r="G22" s="27" t="str">
        <f>IFERROR(__xludf.DUMMYFUNCTION("""COMPUTED_VALUE"""),"N/A")</f>
        <v>N/A</v>
      </c>
      <c r="H22" s="27" t="str">
        <f>IFERROR(__xludf.DUMMYFUNCTION("""COMPUTED_VALUE"""),"Banner content should match the client's requirements exactly.")</f>
        <v>Banner content should match the client's requirements exactly.</v>
      </c>
      <c r="I22" s="27" t="str">
        <f>IFERROR(__xludf.DUMMYFUNCTION("""COMPUTED_VALUE"""),"A difference in the banner content has been noticed.")</f>
        <v>A difference in the banner content has been noticed.</v>
      </c>
      <c r="J22" s="27" t="str">
        <f>IFERROR(__xludf.DUMMYFUNCTION("""COMPUTED_VALUE"""),"Fail")</f>
        <v>Fail</v>
      </c>
      <c r="K22" s="27" t="str">
        <f>IFERROR(__xludf.DUMMYFUNCTION("""COMPUTED_VALUE"""),"Medium")</f>
        <v>Medium</v>
      </c>
      <c r="L22" s="28" t="str">
        <f>IFERROR(__xludf.DUMMYFUNCTION("""COMPUTED_VALUE"""),"https://jam.dev/c/12e60943-b415-4bc0-9433-6002453d7a32")</f>
        <v>https://jam.dev/c/12e60943-b415-4bc0-9433-6002453d7a32</v>
      </c>
      <c r="M22" s="27"/>
      <c r="N22" s="27" t="str">
        <f>IFERROR(__xludf.DUMMYFUNCTION("""COMPUTED_VALUE"""),"Fahad")</f>
        <v>Fahad</v>
      </c>
      <c r="O22" s="27"/>
      <c r="P22" s="27"/>
      <c r="Q22" s="25"/>
      <c r="R22" s="25"/>
      <c r="S22" s="25"/>
      <c r="T22" s="25"/>
      <c r="U22" s="25"/>
      <c r="V22" s="25"/>
      <c r="W22" s="25"/>
      <c r="X22" s="25"/>
      <c r="Y22" s="25"/>
      <c r="Z22" s="25"/>
      <c r="AA22" s="25"/>
    </row>
    <row r="23">
      <c r="A23" s="26" t="s">
        <v>44</v>
      </c>
      <c r="B23" s="27" t="str">
        <f>IFERROR(__xludf.DUMMYFUNCTION("""COMPUTED_VALUE"""),"Landing Page")</f>
        <v>Landing Page</v>
      </c>
      <c r="C23" s="27" t="str">
        <f>IFERROR(__xludf.DUMMYFUNCTION("""COMPUTED_VALUE"""),"Home")</f>
        <v>Home</v>
      </c>
      <c r="D23" s="27" t="str">
        <f>IFERROR(__xludf.DUMMYFUNCTION("""COMPUTED_VALUE"""),"Content of Marketer banner hold different context")</f>
        <v>Content of Marketer banner hold different context</v>
      </c>
      <c r="E23" s="27" t="str">
        <f>IFERROR(__xludf.DUMMYFUNCTION("""COMPUTED_VALUE"""),"User need to be in browser")</f>
        <v>User need to be in browser</v>
      </c>
      <c r="F23" s="27" t="str">
        <f>IFERROR(__xludf.DUMMYFUNCTION("""COMPUTED_VALUE"""),"1. Open web app")</f>
        <v>1. Open web app</v>
      </c>
      <c r="G23" s="27" t="str">
        <f>IFERROR(__xludf.DUMMYFUNCTION("""COMPUTED_VALUE"""),"N/A")</f>
        <v>N/A</v>
      </c>
      <c r="H23" s="27" t="str">
        <f>IFERROR(__xludf.DUMMYFUNCTION("""COMPUTED_VALUE"""),"Banner content should match the client's requirements exactly.")</f>
        <v>Banner content should match the client's requirements exactly.</v>
      </c>
      <c r="I23" s="27" t="str">
        <f>IFERROR(__xludf.DUMMYFUNCTION("""COMPUTED_VALUE"""),"A difference in the banner content has been noticed.")</f>
        <v>A difference in the banner content has been noticed.</v>
      </c>
      <c r="J23" s="27" t="str">
        <f>IFERROR(__xludf.DUMMYFUNCTION("""COMPUTED_VALUE"""),"Fail")</f>
        <v>Fail</v>
      </c>
      <c r="K23" s="27" t="str">
        <f>IFERROR(__xludf.DUMMYFUNCTION("""COMPUTED_VALUE"""),"Medium")</f>
        <v>Medium</v>
      </c>
      <c r="L23" s="28" t="str">
        <f>IFERROR(__xludf.DUMMYFUNCTION("""COMPUTED_VALUE"""),"https://jam.dev/c/adc197c5-b754-498f-932e-33c1eaaccf48")</f>
        <v>https://jam.dev/c/adc197c5-b754-498f-932e-33c1eaaccf48</v>
      </c>
      <c r="M23" s="27"/>
      <c r="N23" s="27" t="str">
        <f>IFERROR(__xludf.DUMMYFUNCTION("""COMPUTED_VALUE"""),"Fahad")</f>
        <v>Fahad</v>
      </c>
      <c r="O23" s="27"/>
      <c r="P23" s="27"/>
      <c r="Q23" s="25"/>
      <c r="R23" s="25"/>
      <c r="S23" s="25"/>
      <c r="T23" s="25"/>
      <c r="U23" s="25"/>
      <c r="V23" s="25"/>
      <c r="W23" s="25"/>
      <c r="X23" s="25"/>
      <c r="Y23" s="25"/>
      <c r="Z23" s="25"/>
      <c r="AA23" s="25"/>
    </row>
    <row r="24">
      <c r="A24" s="26" t="s">
        <v>45</v>
      </c>
      <c r="B24" s="27" t="str">
        <f>IFERROR(__xludf.DUMMYFUNCTION("""COMPUTED_VALUE"""),"Landing Page")</f>
        <v>Landing Page</v>
      </c>
      <c r="C24" s="27" t="str">
        <f>IFERROR(__xludf.DUMMYFUNCTION("""COMPUTED_VALUE"""),"Home")</f>
        <v>Home</v>
      </c>
      <c r="D24" s="27" t="str">
        <f>IFERROR(__xludf.DUMMYFUNCTION("""COMPUTED_VALUE"""),"Content of Content Creator banner hold different context")</f>
        <v>Content of Content Creator banner hold different context</v>
      </c>
      <c r="E24" s="27" t="str">
        <f>IFERROR(__xludf.DUMMYFUNCTION("""COMPUTED_VALUE"""),"User need to be in browser")</f>
        <v>User need to be in browser</v>
      </c>
      <c r="F24" s="27" t="str">
        <f>IFERROR(__xludf.DUMMYFUNCTION("""COMPUTED_VALUE"""),"1. Open web app")</f>
        <v>1. Open web app</v>
      </c>
      <c r="G24" s="27" t="str">
        <f>IFERROR(__xludf.DUMMYFUNCTION("""COMPUTED_VALUE"""),"N/A")</f>
        <v>N/A</v>
      </c>
      <c r="H24" s="27" t="str">
        <f>IFERROR(__xludf.DUMMYFUNCTION("""COMPUTED_VALUE"""),"Banner content should match the client's requirements exactly.")</f>
        <v>Banner content should match the client's requirements exactly.</v>
      </c>
      <c r="I24" s="27" t="str">
        <f>IFERROR(__xludf.DUMMYFUNCTION("""COMPUTED_VALUE"""),"A difference in the banner content has been noticed.")</f>
        <v>A difference in the banner content has been noticed.</v>
      </c>
      <c r="J24" s="27" t="str">
        <f>IFERROR(__xludf.DUMMYFUNCTION("""COMPUTED_VALUE"""),"Fail")</f>
        <v>Fail</v>
      </c>
      <c r="K24" s="27" t="str">
        <f>IFERROR(__xludf.DUMMYFUNCTION("""COMPUTED_VALUE"""),"Medium")</f>
        <v>Medium</v>
      </c>
      <c r="L24" s="28" t="str">
        <f>IFERROR(__xludf.DUMMYFUNCTION("""COMPUTED_VALUE"""),"https://jam.dev/c/4099e7d9-2aef-4774-bbbd-84d4ac4e3fb0")</f>
        <v>https://jam.dev/c/4099e7d9-2aef-4774-bbbd-84d4ac4e3fb0</v>
      </c>
      <c r="M24" s="27"/>
      <c r="N24" s="27" t="str">
        <f>IFERROR(__xludf.DUMMYFUNCTION("""COMPUTED_VALUE"""),"Fahad")</f>
        <v>Fahad</v>
      </c>
      <c r="O24" s="27"/>
      <c r="P24" s="27"/>
      <c r="Q24" s="25"/>
      <c r="R24" s="25"/>
      <c r="S24" s="25"/>
      <c r="T24" s="25"/>
      <c r="U24" s="25"/>
      <c r="V24" s="25"/>
      <c r="W24" s="25"/>
      <c r="X24" s="25"/>
      <c r="Y24" s="25"/>
      <c r="Z24" s="25"/>
      <c r="AA24" s="25"/>
    </row>
    <row r="25">
      <c r="A25" s="26" t="s">
        <v>46</v>
      </c>
      <c r="B25" s="27" t="str">
        <f>IFERROR(__xludf.DUMMYFUNCTION("""COMPUTED_VALUE"""),"Landing Page")</f>
        <v>Landing Page</v>
      </c>
      <c r="C25" s="27" t="str">
        <f>IFERROR(__xludf.DUMMYFUNCTION("""COMPUTED_VALUE"""),"Home")</f>
        <v>Home</v>
      </c>
      <c r="D25" s="27" t="str">
        <f>IFERROR(__xludf.DUMMYFUNCTION("""COMPUTED_VALUE"""),"Content of Resume/CV banner context missing in client requirement")</f>
        <v>Content of Resume/CV banner context missing in client requirement</v>
      </c>
      <c r="E25" s="27" t="str">
        <f>IFERROR(__xludf.DUMMYFUNCTION("""COMPUTED_VALUE"""),"User need to be in browser")</f>
        <v>User need to be in browser</v>
      </c>
      <c r="F25" s="27" t="str">
        <f>IFERROR(__xludf.DUMMYFUNCTION("""COMPUTED_VALUE"""),"1. Open web app")</f>
        <v>1. Open web app</v>
      </c>
      <c r="G25" s="27" t="str">
        <f>IFERROR(__xludf.DUMMYFUNCTION("""COMPUTED_VALUE"""),"N/A")</f>
        <v>N/A</v>
      </c>
      <c r="H25" s="27" t="str">
        <f>IFERROR(__xludf.DUMMYFUNCTION("""COMPUTED_VALUE"""),"Banner content should match the client's requirements exactly.")</f>
        <v>Banner content should match the client's requirements exactly.</v>
      </c>
      <c r="I25" s="27" t="str">
        <f>IFERROR(__xludf.DUMMYFUNCTION("""COMPUTED_VALUE"""),"A difference in the banner content has been noticed.")</f>
        <v>A difference in the banner content has been noticed.</v>
      </c>
      <c r="J25" s="27" t="str">
        <f>IFERROR(__xludf.DUMMYFUNCTION("""COMPUTED_VALUE"""),"Fail")</f>
        <v>Fail</v>
      </c>
      <c r="K25" s="27" t="str">
        <f>IFERROR(__xludf.DUMMYFUNCTION("""COMPUTED_VALUE"""),"Medium")</f>
        <v>Medium</v>
      </c>
      <c r="L25" s="28" t="str">
        <f>IFERROR(__xludf.DUMMYFUNCTION("""COMPUTED_VALUE"""),"https://jam.dev/c/b681f39d-9576-4240-9220-348dc31d9092")</f>
        <v>https://jam.dev/c/b681f39d-9576-4240-9220-348dc31d9092</v>
      </c>
      <c r="M25" s="27"/>
      <c r="N25" s="27" t="str">
        <f>IFERROR(__xludf.DUMMYFUNCTION("""COMPUTED_VALUE"""),"Fahad")</f>
        <v>Fahad</v>
      </c>
      <c r="O25" s="27"/>
      <c r="P25" s="27"/>
      <c r="Q25" s="25"/>
      <c r="R25" s="25"/>
      <c r="S25" s="25"/>
      <c r="T25" s="25"/>
      <c r="U25" s="25"/>
      <c r="V25" s="25"/>
      <c r="W25" s="25"/>
      <c r="X25" s="25"/>
      <c r="Y25" s="25"/>
      <c r="Z25" s="25"/>
      <c r="AA25" s="25"/>
    </row>
    <row r="26">
      <c r="A26" s="26" t="s">
        <v>47</v>
      </c>
      <c r="B26" s="27" t="str">
        <f>IFERROR(__xludf.DUMMYFUNCTION("""COMPUTED_VALUE"""),"Pricing")</f>
        <v>Pricing</v>
      </c>
      <c r="C26" s="27" t="str">
        <f>IFERROR(__xludf.DUMMYFUNCTION("""COMPUTED_VALUE"""),"Pricing")</f>
        <v>Pricing</v>
      </c>
      <c r="D26" s="27" t="str">
        <f>IFERROR(__xludf.DUMMYFUNCTION("""COMPUTED_VALUE"""),"Banner content missing")</f>
        <v>Banner content missing</v>
      </c>
      <c r="E26" s="27" t="str">
        <f>IFERROR(__xludf.DUMMYFUNCTION("""COMPUTED_VALUE"""),"User need to be in browser")</f>
        <v>User need to be in browser</v>
      </c>
      <c r="F26" s="27" t="str">
        <f>IFERROR(__xludf.DUMMYFUNCTION("""COMPUTED_VALUE"""),"1. Open web app")</f>
        <v>1. Open web app</v>
      </c>
      <c r="G26" s="27" t="str">
        <f>IFERROR(__xludf.DUMMYFUNCTION("""COMPUTED_VALUE"""),"N/A")</f>
        <v>N/A</v>
      </c>
      <c r="H26" s="27" t="str">
        <f>IFERROR(__xludf.DUMMYFUNCTION("""COMPUTED_VALUE"""),"Pricing content should align exactly with the client's requirements.")</f>
        <v>Pricing content should align exactly with the client's requirements.</v>
      </c>
      <c r="I26" s="27" t="str">
        <f>IFERROR(__xludf.DUMMYFUNCTION("""COMPUTED_VALUE"""),"The pricing category and banner content don't align with the client's specifications.")</f>
        <v>The pricing category and banner content don't align with the client's specifications.</v>
      </c>
      <c r="J26" s="27" t="str">
        <f>IFERROR(__xludf.DUMMYFUNCTION("""COMPUTED_VALUE"""),"Fail")</f>
        <v>Fail</v>
      </c>
      <c r="K26" s="27" t="str">
        <f>IFERROR(__xludf.DUMMYFUNCTION("""COMPUTED_VALUE"""),"High")</f>
        <v>High</v>
      </c>
      <c r="L26" s="28" t="str">
        <f>IFERROR(__xludf.DUMMYFUNCTION("""COMPUTED_VALUE"""),"https://jam.dev/c/beb7985c-b9ce-4279-966f-8ddb524c65f7")</f>
        <v>https://jam.dev/c/beb7985c-b9ce-4279-966f-8ddb524c65f7</v>
      </c>
      <c r="M26" s="27"/>
      <c r="N26" s="27" t="str">
        <f>IFERROR(__xludf.DUMMYFUNCTION("""COMPUTED_VALUE"""),"Fahad")</f>
        <v>Fahad</v>
      </c>
      <c r="O26" s="27"/>
      <c r="P26" s="27"/>
      <c r="Q26" s="25"/>
      <c r="R26" s="25"/>
      <c r="S26" s="25"/>
      <c r="T26" s="25"/>
      <c r="U26" s="25"/>
      <c r="V26" s="25"/>
      <c r="W26" s="25"/>
      <c r="X26" s="25"/>
      <c r="Y26" s="25"/>
      <c r="Z26" s="25"/>
      <c r="AA26" s="25"/>
    </row>
    <row r="27">
      <c r="A27" s="26" t="s">
        <v>48</v>
      </c>
      <c r="B27" s="27" t="str">
        <f>IFERROR(__xludf.DUMMYFUNCTION("""COMPUTED_VALUE"""),"Pricing")</f>
        <v>Pricing</v>
      </c>
      <c r="C27" s="27" t="str">
        <f>IFERROR(__xludf.DUMMYFUNCTION("""COMPUTED_VALUE"""),"Pricing")</f>
        <v>Pricing</v>
      </c>
      <c r="D27" s="27" t="str">
        <f>IFERROR(__xludf.DUMMYFUNCTION("""COMPUTED_VALUE"""),"Popular subscription package is not appearing.")</f>
        <v>Popular subscription package is not appearing.</v>
      </c>
      <c r="E27" s="27" t="str">
        <f>IFERROR(__xludf.DUMMYFUNCTION("""COMPUTED_VALUE"""),"User need to be in browser")</f>
        <v>User need to be in browser</v>
      </c>
      <c r="F27" s="27" t="str">
        <f>IFERROR(__xludf.DUMMYFUNCTION("""COMPUTED_VALUE"""),"1. Open web app")</f>
        <v>1. Open web app</v>
      </c>
      <c r="G27" s="27" t="str">
        <f>IFERROR(__xludf.DUMMYFUNCTION("""COMPUTED_VALUE"""),"N/A")</f>
        <v>N/A</v>
      </c>
      <c r="H27" s="27" t="str">
        <f>IFERROR(__xludf.DUMMYFUNCTION("""COMPUTED_VALUE"""),"The popular package should be highlighted on the price banner to help customers find the best deal.")</f>
        <v>The popular package should be highlighted on the price banner to help customers find the best deal.</v>
      </c>
      <c r="I27" s="27" t="str">
        <f>IFERROR(__xludf.DUMMYFUNCTION("""COMPUTED_VALUE"""),"The popular package is not appearing in the price banner as per the client's requirement.")</f>
        <v>The popular package is not appearing in the price banner as per the client's requirement.</v>
      </c>
      <c r="J27" s="27" t="str">
        <f>IFERROR(__xludf.DUMMYFUNCTION("""COMPUTED_VALUE"""),"Fail")</f>
        <v>Fail</v>
      </c>
      <c r="K27" s="27" t="str">
        <f>IFERROR(__xludf.DUMMYFUNCTION("""COMPUTED_VALUE"""),"Medium")</f>
        <v>Medium</v>
      </c>
      <c r="L27" s="28" t="str">
        <f>IFERROR(__xludf.DUMMYFUNCTION("""COMPUTED_VALUE"""),"https://jam.dev/c/ac834272-815f-4f86-9bc8-5a025791cb6c")</f>
        <v>https://jam.dev/c/ac834272-815f-4f86-9bc8-5a025791cb6c</v>
      </c>
      <c r="M27" s="27"/>
      <c r="N27" s="27" t="str">
        <f>IFERROR(__xludf.DUMMYFUNCTION("""COMPUTED_VALUE"""),"Fahad")</f>
        <v>Fahad</v>
      </c>
      <c r="O27" s="27"/>
      <c r="P27" s="27"/>
      <c r="Q27" s="25"/>
      <c r="R27" s="25"/>
      <c r="S27" s="25"/>
      <c r="T27" s="25"/>
      <c r="U27" s="25"/>
      <c r="V27" s="25"/>
      <c r="W27" s="25"/>
      <c r="X27" s="25"/>
      <c r="Y27" s="25"/>
      <c r="Z27" s="25"/>
      <c r="AA27" s="25"/>
    </row>
    <row r="28">
      <c r="A28" s="26" t="s">
        <v>49</v>
      </c>
      <c r="B28" s="27" t="str">
        <f>IFERROR(__xludf.DUMMYFUNCTION("""COMPUTED_VALUE"""),"Pricing")</f>
        <v>Pricing</v>
      </c>
      <c r="C28" s="27" t="str">
        <f>IFERROR(__xludf.DUMMYFUNCTION("""COMPUTED_VALUE"""),"Pricing")</f>
        <v>Pricing</v>
      </c>
      <c r="D28" s="27" t="str">
        <f>IFERROR(__xludf.DUMMYFUNCTION("""COMPUTED_VALUE"""),"Design and alignment problem.")</f>
        <v>Design and alignment problem.</v>
      </c>
      <c r="E28" s="27" t="str">
        <f>IFERROR(__xludf.DUMMYFUNCTION("""COMPUTED_VALUE"""),"User need to be in browser")</f>
        <v>User need to be in browser</v>
      </c>
      <c r="F28" s="27" t="str">
        <f>IFERROR(__xludf.DUMMYFUNCTION("""COMPUTED_VALUE"""),"1. Open web app")</f>
        <v>1. Open web app</v>
      </c>
      <c r="G28" s="27" t="str">
        <f>IFERROR(__xludf.DUMMYFUNCTION("""COMPUTED_VALUE"""),"N/A")</f>
        <v>N/A</v>
      </c>
      <c r="H28" s="27" t="str">
        <f>IFERROR(__xludf.DUMMYFUNCTION("""COMPUTED_VALUE"""),"Design and alignment should match the client's requirements.")</f>
        <v>Design and alignment should match the client's requirements.</v>
      </c>
      <c r="I28" s="27" t="str">
        <f>IFERROR(__xludf.DUMMYFUNCTION("""COMPUTED_VALUE"""),"A different design has been noticed in the web app.")</f>
        <v>A different design has been noticed in the web app.</v>
      </c>
      <c r="J28" s="27" t="str">
        <f>IFERROR(__xludf.DUMMYFUNCTION("""COMPUTED_VALUE"""),"Fail")</f>
        <v>Fail</v>
      </c>
      <c r="K28" s="27" t="str">
        <f>IFERROR(__xludf.DUMMYFUNCTION("""COMPUTED_VALUE"""),"Medium")</f>
        <v>Medium</v>
      </c>
      <c r="L28" s="28" t="str">
        <f>IFERROR(__xludf.DUMMYFUNCTION("""COMPUTED_VALUE"""),"https://jam.dev/c/7b0d1360-907f-477d-aa18-29bfa019046d")</f>
        <v>https://jam.dev/c/7b0d1360-907f-477d-aa18-29bfa019046d</v>
      </c>
      <c r="M28" s="27"/>
      <c r="N28" s="27" t="str">
        <f>IFERROR(__xludf.DUMMYFUNCTION("""COMPUTED_VALUE"""),"Fahad")</f>
        <v>Fahad</v>
      </c>
      <c r="O28" s="27"/>
      <c r="P28" s="27"/>
      <c r="Q28" s="25"/>
      <c r="R28" s="25"/>
      <c r="S28" s="25"/>
      <c r="T28" s="25"/>
      <c r="U28" s="25"/>
      <c r="V28" s="25"/>
      <c r="W28" s="25"/>
      <c r="X28" s="25"/>
      <c r="Y28" s="25"/>
      <c r="Z28" s="25"/>
      <c r="AA28" s="25"/>
    </row>
    <row r="29">
      <c r="A29" s="26" t="s">
        <v>50</v>
      </c>
      <c r="B29" s="27" t="str">
        <f>IFERROR(__xludf.DUMMYFUNCTION("""COMPUTED_VALUE"""),"Pricing")</f>
        <v>Pricing</v>
      </c>
      <c r="C29" s="27" t="str">
        <f>IFERROR(__xludf.DUMMYFUNCTION("""COMPUTED_VALUE"""),"Pricing")</f>
        <v>Pricing</v>
      </c>
      <c r="D29" s="27" t="str">
        <f>IFERROR(__xludf.DUMMYFUNCTION("""COMPUTED_VALUE"""),"Delay in the price indicator.")</f>
        <v>Delay in the price indicator.</v>
      </c>
      <c r="E29" s="27" t="str">
        <f>IFERROR(__xludf.DUMMYFUNCTION("""COMPUTED_VALUE"""),"User need to be in browser")</f>
        <v>User need to be in browser</v>
      </c>
      <c r="F29" s="27" t="str">
        <f>IFERROR(__xludf.DUMMYFUNCTION("""COMPUTED_VALUE"""),"1. Open web app")</f>
        <v>1. Open web app</v>
      </c>
      <c r="G29" s="27" t="str">
        <f>IFERROR(__xludf.DUMMYFUNCTION("""COMPUTED_VALUE"""),"N/A")</f>
        <v>N/A</v>
      </c>
      <c r="H29" s="27" t="str">
        <f>IFERROR(__xludf.DUMMYFUNCTION("""COMPUTED_VALUE"""),"A dynamic response in the web app can greatly enhance client attraction.")</f>
        <v>A dynamic response in the web app can greatly enhance client attraction.</v>
      </c>
      <c r="I29" s="27" t="str">
        <f>IFERROR(__xludf.DUMMYFUNCTION("""COMPUTED_VALUE"""),"A delay in the price bar has been observed when the user adjusts the amount by sliding the bar.")</f>
        <v>A delay in the price bar has been observed when the user adjusts the amount by sliding the bar.</v>
      </c>
      <c r="J29" s="27" t="str">
        <f>IFERROR(__xludf.DUMMYFUNCTION("""COMPUTED_VALUE"""),"Fail")</f>
        <v>Fail</v>
      </c>
      <c r="K29" s="27" t="str">
        <f>IFERROR(__xludf.DUMMYFUNCTION("""COMPUTED_VALUE"""),"High")</f>
        <v>High</v>
      </c>
      <c r="L29" s="28" t="str">
        <f>IFERROR(__xludf.DUMMYFUNCTION("""COMPUTED_VALUE"""),"https://jam.dev/c/2cd07e41-ee68-4520-8712-f3cbd9183201")</f>
        <v>https://jam.dev/c/2cd07e41-ee68-4520-8712-f3cbd9183201</v>
      </c>
      <c r="M29" s="27"/>
      <c r="N29" s="27" t="str">
        <f>IFERROR(__xludf.DUMMYFUNCTION("""COMPUTED_VALUE"""),"Fahad")</f>
        <v>Fahad</v>
      </c>
      <c r="O29" s="27"/>
      <c r="P29" s="27"/>
      <c r="Q29" s="25"/>
      <c r="R29" s="25"/>
      <c r="S29" s="25"/>
      <c r="T29" s="25"/>
      <c r="U29" s="25"/>
      <c r="V29" s="25"/>
      <c r="W29" s="25"/>
      <c r="X29" s="25"/>
      <c r="Y29" s="25"/>
      <c r="Z29" s="25"/>
      <c r="AA29" s="25"/>
    </row>
    <row r="30">
      <c r="A30" s="26" t="s">
        <v>51</v>
      </c>
      <c r="B30" s="27" t="str">
        <f>IFERROR(__xludf.DUMMYFUNCTION("""COMPUTED_VALUE"""),"Pricing")</f>
        <v>Pricing</v>
      </c>
      <c r="C30" s="27" t="str">
        <f>IFERROR(__xludf.DUMMYFUNCTION("""COMPUTED_VALUE"""),"Pricing")</f>
        <v>Pricing</v>
      </c>
      <c r="D30" s="27" t="str">
        <f>IFERROR(__xludf.DUMMYFUNCTION("""COMPUTED_VALUE"""),"The web app failed to load after completing the payment successfully.")</f>
        <v>The web app failed to load after completing the payment successfully.</v>
      </c>
      <c r="E30" s="27" t="str">
        <f>IFERROR(__xludf.DUMMYFUNCTION("""COMPUTED_VALUE"""),"User need to be in browser")</f>
        <v>User need to be in browser</v>
      </c>
      <c r="F30" s="27" t="str">
        <f>IFERROR(__xludf.DUMMYFUNCTION("""COMPUTED_VALUE"""),"1. Open web app
2. Select price range and confirm payment")</f>
        <v>1. Open web app
2. Select price range and confirm payment</v>
      </c>
      <c r="G30" s="27" t="str">
        <f>IFERROR(__xludf.DUMMYFUNCTION("""COMPUTED_VALUE"""),"N/A")</f>
        <v>N/A</v>
      </c>
      <c r="H30" s="27" t="str">
        <f>IFERROR(__xludf.DUMMYFUNCTION("""COMPUTED_VALUE"""),"The user should be redirected to the home page after successfully purchasing the subscription.")</f>
        <v>The user should be redirected to the home page after successfully purchasing the subscription.</v>
      </c>
      <c r="I30" s="27" t="str">
        <f>IFERROR(__xludf.DUMMYFUNCTION("""COMPUTED_VALUE"""),"Connection failed after successfully completing the subscription purchase.")</f>
        <v>Connection failed after successfully completing the subscription purchase.</v>
      </c>
      <c r="J30" s="27" t="str">
        <f>IFERROR(__xludf.DUMMYFUNCTION("""COMPUTED_VALUE"""),"Fail")</f>
        <v>Fail</v>
      </c>
      <c r="K30" s="27" t="str">
        <f>IFERROR(__xludf.DUMMYFUNCTION("""COMPUTED_VALUE"""),"High")</f>
        <v>High</v>
      </c>
      <c r="L30" s="28" t="str">
        <f>IFERROR(__xludf.DUMMYFUNCTION("""COMPUTED_VALUE"""),"https://jam.dev/c/c7d813c8-8ce3-411a-90a6-7d3a34ecabb5")</f>
        <v>https://jam.dev/c/c7d813c8-8ce3-411a-90a6-7d3a34ecabb5</v>
      </c>
      <c r="M30" s="27"/>
      <c r="N30" s="27" t="str">
        <f>IFERROR(__xludf.DUMMYFUNCTION("""COMPUTED_VALUE"""),"Fahad")</f>
        <v>Fahad</v>
      </c>
      <c r="O30" s="27"/>
      <c r="P30" s="27"/>
      <c r="Q30" s="25"/>
      <c r="R30" s="25"/>
      <c r="S30" s="25"/>
      <c r="T30" s="25"/>
      <c r="U30" s="25"/>
      <c r="V30" s="25"/>
      <c r="W30" s="25"/>
      <c r="X30" s="25"/>
      <c r="Y30" s="25"/>
      <c r="Z30" s="25"/>
      <c r="AA30" s="25"/>
    </row>
    <row r="31">
      <c r="A31" s="26" t="s">
        <v>52</v>
      </c>
      <c r="B31" s="27" t="str">
        <f>IFERROR(__xludf.DUMMYFUNCTION("""COMPUTED_VALUE"""),"Pricing")</f>
        <v>Pricing</v>
      </c>
      <c r="C31" s="27" t="str">
        <f>IFERROR(__xludf.DUMMYFUNCTION("""COMPUTED_VALUE"""),"Pricing")</f>
        <v>Pricing</v>
      </c>
      <c r="D31" s="27" t="str">
        <f>IFERROR(__xludf.DUMMYFUNCTION("""COMPUTED_VALUE"""),"Enterprise banner is missing.")</f>
        <v>Enterprise banner is missing.</v>
      </c>
      <c r="E31" s="27" t="str">
        <f>IFERROR(__xludf.DUMMYFUNCTION("""COMPUTED_VALUE"""),"User need to be in browser")</f>
        <v>User need to be in browser</v>
      </c>
      <c r="F31" s="27" t="str">
        <f>IFERROR(__xludf.DUMMYFUNCTION("""COMPUTED_VALUE"""),"1. Open web app")</f>
        <v>1. Open web app</v>
      </c>
      <c r="G31" s="27" t="str">
        <f>IFERROR(__xludf.DUMMYFUNCTION("""COMPUTED_VALUE"""),"N/A")</f>
        <v>N/A</v>
      </c>
      <c r="H31" s="27" t="str">
        <f>IFERROR(__xludf.DUMMYFUNCTION("""COMPUTED_VALUE"""),"Enterprise subscription should be accessible and visible in the web app.")</f>
        <v>Enterprise subscription should be accessible and visible in the web app.</v>
      </c>
      <c r="I31" s="27" t="str">
        <f>IFERROR(__xludf.DUMMYFUNCTION("""COMPUTED_VALUE"""),"The missing enterprise banner in the web app has been noticed.")</f>
        <v>The missing enterprise banner in the web app has been noticed.</v>
      </c>
      <c r="J31" s="27" t="str">
        <f>IFERROR(__xludf.DUMMYFUNCTION("""COMPUTED_VALUE"""),"Fail")</f>
        <v>Fail</v>
      </c>
      <c r="K31" s="27" t="str">
        <f>IFERROR(__xludf.DUMMYFUNCTION("""COMPUTED_VALUE"""),"High")</f>
        <v>High</v>
      </c>
      <c r="L31" s="28" t="str">
        <f>IFERROR(__xludf.DUMMYFUNCTION("""COMPUTED_VALUE"""),"https://jam.dev/c/bbef7505-46f7-40b3-9f5e-dafa0ea62449")</f>
        <v>https://jam.dev/c/bbef7505-46f7-40b3-9f5e-dafa0ea62449</v>
      </c>
      <c r="M31" s="27"/>
      <c r="N31" s="27" t="str">
        <f>IFERROR(__xludf.DUMMYFUNCTION("""COMPUTED_VALUE"""),"Fahad")</f>
        <v>Fahad</v>
      </c>
      <c r="O31" s="27"/>
      <c r="P31" s="27"/>
      <c r="Q31" s="25"/>
      <c r="R31" s="25"/>
      <c r="S31" s="25"/>
      <c r="T31" s="25"/>
      <c r="U31" s="25"/>
      <c r="V31" s="25"/>
      <c r="W31" s="25"/>
      <c r="X31" s="25"/>
      <c r="Y31" s="25"/>
      <c r="Z31" s="25"/>
      <c r="AA31" s="25"/>
    </row>
    <row r="32">
      <c r="A32" s="26" t="s">
        <v>53</v>
      </c>
      <c r="B32" s="27" t="str">
        <f>IFERROR(__xludf.DUMMYFUNCTION("""COMPUTED_VALUE"""),"Pricing")</f>
        <v>Pricing</v>
      </c>
      <c r="C32" s="27" t="str">
        <f>IFERROR(__xludf.DUMMYFUNCTION("""COMPUTED_VALUE"""),"Pricing")</f>
        <v>Pricing</v>
      </c>
      <c r="D32" s="27" t="str">
        <f>IFERROR(__xludf.DUMMYFUNCTION("""COMPUTED_VALUE"""),"Design and alignment issue")</f>
        <v>Design and alignment issue</v>
      </c>
      <c r="E32" s="27" t="str">
        <f>IFERROR(__xludf.DUMMYFUNCTION("""COMPUTED_VALUE"""),"User need to be in browser")</f>
        <v>User need to be in browser</v>
      </c>
      <c r="F32" s="27" t="str">
        <f>IFERROR(__xludf.DUMMYFUNCTION("""COMPUTED_VALUE"""),"1. Open web app")</f>
        <v>1. Open web app</v>
      </c>
      <c r="G32" s="27" t="str">
        <f>IFERROR(__xludf.DUMMYFUNCTION("""COMPUTED_VALUE"""),"N/A")</f>
        <v>N/A</v>
      </c>
      <c r="H32" s="27" t="str">
        <f>IFERROR(__xludf.DUMMYFUNCTION("""COMPUTED_VALUE"""),"The design and alignment should match the client's requirements.")</f>
        <v>The design and alignment should match the client's requirements.</v>
      </c>
      <c r="I32" s="27" t="str">
        <f>IFERROR(__xludf.DUMMYFUNCTION("""COMPUTED_VALUE"""),"A different design has been noticed in the web app, which does not align with the client's requirements.")</f>
        <v>A different design has been noticed in the web app, which does not align with the client's requirements.</v>
      </c>
      <c r="J32" s="27" t="str">
        <f>IFERROR(__xludf.DUMMYFUNCTION("""COMPUTED_VALUE"""),"Fail")</f>
        <v>Fail</v>
      </c>
      <c r="K32" s="27" t="str">
        <f>IFERROR(__xludf.DUMMYFUNCTION("""COMPUTED_VALUE"""),"Medium")</f>
        <v>Medium</v>
      </c>
      <c r="L32" s="28" t="str">
        <f>IFERROR(__xludf.DUMMYFUNCTION("""COMPUTED_VALUE"""),"https://jam.dev/c/4afe52c8-6143-400d-93e4-ac8532486fb7")</f>
        <v>https://jam.dev/c/4afe52c8-6143-400d-93e4-ac8532486fb7</v>
      </c>
      <c r="M32" s="27"/>
      <c r="N32" s="27" t="str">
        <f>IFERROR(__xludf.DUMMYFUNCTION("""COMPUTED_VALUE"""),"Fahad")</f>
        <v>Fahad</v>
      </c>
      <c r="O32" s="27"/>
      <c r="P32" s="27"/>
      <c r="Q32" s="25"/>
      <c r="R32" s="25"/>
      <c r="S32" s="25"/>
      <c r="T32" s="25"/>
      <c r="U32" s="25"/>
      <c r="V32" s="25"/>
      <c r="W32" s="25"/>
      <c r="X32" s="25"/>
      <c r="Y32" s="25"/>
      <c r="Z32" s="25"/>
      <c r="AA32" s="25"/>
    </row>
    <row r="33">
      <c r="A33" s="26" t="s">
        <v>54</v>
      </c>
      <c r="B33" s="27" t="str">
        <f>IFERROR(__xludf.DUMMYFUNCTION("""COMPUTED_VALUE"""),"Pricing")</f>
        <v>Pricing</v>
      </c>
      <c r="C33" s="27" t="str">
        <f>IFERROR(__xludf.DUMMYFUNCTION("""COMPUTED_VALUE"""),"Pricing")</f>
        <v>Pricing</v>
      </c>
      <c r="D33" s="27" t="str">
        <f>IFERROR(__xludf.DUMMYFUNCTION("""COMPUTED_VALUE"""),"Discount percentage missing")</f>
        <v>Discount percentage missing</v>
      </c>
      <c r="E33" s="27" t="str">
        <f>IFERROR(__xludf.DUMMYFUNCTION("""COMPUTED_VALUE"""),"User need to be in browser")</f>
        <v>User need to be in browser</v>
      </c>
      <c r="F33" s="27" t="str">
        <f>IFERROR(__xludf.DUMMYFUNCTION("""COMPUTED_VALUE"""),"1. Open web app")</f>
        <v>1. Open web app</v>
      </c>
      <c r="G33" s="27" t="str">
        <f>IFERROR(__xludf.DUMMYFUNCTION("""COMPUTED_VALUE"""),"N/A")</f>
        <v>N/A</v>
      </c>
      <c r="H33" s="27" t="str">
        <f>IFERROR(__xludf.DUMMYFUNCTION("""COMPUTED_VALUE"""),"The subscription banner should display the discount percentage.")</f>
        <v>The subscription banner should display the discount percentage.</v>
      </c>
      <c r="I33" s="27" t="str">
        <f>IFERROR(__xludf.DUMMYFUNCTION("""COMPUTED_VALUE"""),"The discount price is displayed, but the percentage isn’t shown in the top corner of the banner.")</f>
        <v>The discount price is displayed, but the percentage isn’t shown in the top corner of the banner.</v>
      </c>
      <c r="J33" s="27" t="str">
        <f>IFERROR(__xludf.DUMMYFUNCTION("""COMPUTED_VALUE"""),"Fail")</f>
        <v>Fail</v>
      </c>
      <c r="K33" s="27" t="str">
        <f>IFERROR(__xludf.DUMMYFUNCTION("""COMPUTED_VALUE"""),"Medium")</f>
        <v>Medium</v>
      </c>
      <c r="L33" s="28" t="str">
        <f>IFERROR(__xludf.DUMMYFUNCTION("""COMPUTED_VALUE"""),"https://jam.dev/c/ecb91c2f-c915-4fce-9730-a06d161d0484")</f>
        <v>https://jam.dev/c/ecb91c2f-c915-4fce-9730-a06d161d0484</v>
      </c>
      <c r="M33" s="27"/>
      <c r="N33" s="27" t="str">
        <f>IFERROR(__xludf.DUMMYFUNCTION("""COMPUTED_VALUE"""),"Fahad")</f>
        <v>Fahad</v>
      </c>
      <c r="O33" s="27"/>
      <c r="P33" s="27"/>
      <c r="Q33" s="25"/>
      <c r="R33" s="25"/>
      <c r="S33" s="25"/>
      <c r="T33" s="25"/>
      <c r="U33" s="25"/>
      <c r="V33" s="25"/>
      <c r="W33" s="25"/>
      <c r="X33" s="25"/>
      <c r="Y33" s="25"/>
      <c r="Z33" s="25"/>
      <c r="AA33" s="25"/>
    </row>
    <row r="34">
      <c r="A34" s="26" t="s">
        <v>55</v>
      </c>
      <c r="B34" s="27" t="str">
        <f>IFERROR(__xludf.DUMMYFUNCTION("""COMPUTED_VALUE"""),"Signup")</f>
        <v>Signup</v>
      </c>
      <c r="C34" s="27" t="str">
        <f>IFERROR(__xludf.DUMMYFUNCTION("""COMPUTED_VALUE"""),"Data Policy")</f>
        <v>Data Policy</v>
      </c>
      <c r="D34" s="27" t="str">
        <f>IFERROR(__xludf.DUMMYFUNCTION("""COMPUTED_VALUE"""),"Original content missing")</f>
        <v>Original content missing</v>
      </c>
      <c r="E34" s="27" t="str">
        <f>IFERROR(__xludf.DUMMYFUNCTION("""COMPUTED_VALUE"""),"User need to be in browser")</f>
        <v>User need to be in browser</v>
      </c>
      <c r="F34" s="27" t="str">
        <f>IFERROR(__xludf.DUMMYFUNCTION("""COMPUTED_VALUE"""),"1. Open web app")</f>
        <v>1. Open web app</v>
      </c>
      <c r="G34" s="27" t="str">
        <f>IFERROR(__xludf.DUMMYFUNCTION("""COMPUTED_VALUE"""),"N/A")</f>
        <v>N/A</v>
      </c>
      <c r="H34" s="27" t="str">
        <f>IFERROR(__xludf.DUMMYFUNCTION("""COMPUTED_VALUE"""),"The client should provide the data policy, and it needs to be accurate.")</f>
        <v>The client should provide the data policy, and it needs to be accurate.</v>
      </c>
      <c r="I34" s="27" t="str">
        <f>IFERROR(__xludf.DUMMYFUNCTION("""COMPUTED_VALUE"""),"The content for the data policy is missing.")</f>
        <v>The content for the data policy is missing.</v>
      </c>
      <c r="J34" s="27" t="str">
        <f>IFERROR(__xludf.DUMMYFUNCTION("""COMPUTED_VALUE"""),"Fail")</f>
        <v>Fail</v>
      </c>
      <c r="K34" s="27" t="str">
        <f>IFERROR(__xludf.DUMMYFUNCTION("""COMPUTED_VALUE"""),"High")</f>
        <v>High</v>
      </c>
      <c r="L34" s="28" t="str">
        <f>IFERROR(__xludf.DUMMYFUNCTION("""COMPUTED_VALUE"""),"https://jam.dev/c/98dd060c-576d-4923-a95c-a990d46ecfd6")</f>
        <v>https://jam.dev/c/98dd060c-576d-4923-a95c-a990d46ecfd6</v>
      </c>
      <c r="M34" s="27"/>
      <c r="N34" s="27" t="str">
        <f>IFERROR(__xludf.DUMMYFUNCTION("""COMPUTED_VALUE"""),"Fahad")</f>
        <v>Fahad</v>
      </c>
      <c r="O34" s="27"/>
      <c r="P34" s="27"/>
      <c r="Q34" s="25"/>
      <c r="R34" s="25"/>
      <c r="S34" s="25"/>
      <c r="T34" s="25"/>
      <c r="U34" s="25"/>
      <c r="V34" s="25"/>
      <c r="W34" s="25"/>
      <c r="X34" s="25"/>
      <c r="Y34" s="25"/>
      <c r="Z34" s="25"/>
      <c r="AA34" s="25"/>
    </row>
    <row r="35">
      <c r="A35" s="26" t="s">
        <v>56</v>
      </c>
      <c r="B35" s="27" t="str">
        <f>IFERROR(__xludf.DUMMYFUNCTION("""COMPUTED_VALUE"""),"Signup")</f>
        <v>Signup</v>
      </c>
      <c r="C35" s="27" t="str">
        <f>IFERROR(__xludf.DUMMYFUNCTION("""COMPUTED_VALUE"""),"Signup")</f>
        <v>Signup</v>
      </c>
      <c r="D35" s="27" t="str">
        <f>IFERROR(__xludf.DUMMYFUNCTION("""COMPUTED_VALUE"""),"Logo seems to be small")</f>
        <v>Logo seems to be small</v>
      </c>
      <c r="E35" s="27" t="str">
        <f>IFERROR(__xludf.DUMMYFUNCTION("""COMPUTED_VALUE"""),"User need to be in browser")</f>
        <v>User need to be in browser</v>
      </c>
      <c r="F35" s="27" t="str">
        <f>IFERROR(__xludf.DUMMYFUNCTION("""COMPUTED_VALUE"""),"1. Open web app")</f>
        <v>1. Open web app</v>
      </c>
      <c r="G35" s="27" t="str">
        <f>IFERROR(__xludf.DUMMYFUNCTION("""COMPUTED_VALUE"""),"N/A")</f>
        <v>N/A</v>
      </c>
      <c r="H35" s="27" t="str">
        <f>IFERROR(__xludf.DUMMYFUNCTION("""COMPUTED_VALUE"""),"A website logo should grab users' attention and be visually appealing.")</f>
        <v>A website logo should grab users' attention and be visually appealing.</v>
      </c>
      <c r="I35" s="27" t="str">
        <f>IFERROR(__xludf.DUMMYFUNCTION("""COMPUTED_VALUE"""),"A small-sized logo has been noticed on the signup page.")</f>
        <v>A small-sized logo has been noticed on the signup page.</v>
      </c>
      <c r="J35" s="27" t="str">
        <f>IFERROR(__xludf.DUMMYFUNCTION("""COMPUTED_VALUE"""),"Fail")</f>
        <v>Fail</v>
      </c>
      <c r="K35" s="27" t="str">
        <f>IFERROR(__xludf.DUMMYFUNCTION("""COMPUTED_VALUE"""),"Low")</f>
        <v>Low</v>
      </c>
      <c r="L35" s="28" t="str">
        <f>IFERROR(__xludf.DUMMYFUNCTION("""COMPUTED_VALUE"""),"https://jam.dev/c/1c564669-c315-4a2a-a02f-602b9132f7d5")</f>
        <v>https://jam.dev/c/1c564669-c315-4a2a-a02f-602b9132f7d5</v>
      </c>
      <c r="M35" s="27"/>
      <c r="N35" s="27" t="str">
        <f>IFERROR(__xludf.DUMMYFUNCTION("""COMPUTED_VALUE"""),"Fahad")</f>
        <v>Fahad</v>
      </c>
      <c r="O35" s="27"/>
      <c r="P35" s="27"/>
      <c r="Q35" s="25"/>
      <c r="R35" s="25"/>
      <c r="S35" s="25"/>
      <c r="T35" s="25"/>
      <c r="U35" s="25"/>
      <c r="V35" s="25"/>
      <c r="W35" s="25"/>
      <c r="X35" s="25"/>
      <c r="Y35" s="25"/>
      <c r="Z35" s="25"/>
      <c r="AA35" s="25"/>
    </row>
    <row r="36">
      <c r="A36" s="26" t="s">
        <v>57</v>
      </c>
      <c r="B36" s="27" t="str">
        <f>IFERROR(__xludf.DUMMYFUNCTION("""COMPUTED_VALUE"""),"Signup")</f>
        <v>Signup</v>
      </c>
      <c r="C36" s="27" t="str">
        <f>IFERROR(__xludf.DUMMYFUNCTION("""COMPUTED_VALUE"""),"Signup")</f>
        <v>Signup</v>
      </c>
      <c r="D36" s="27" t="str">
        <f>IFERROR(__xludf.DUMMYFUNCTION("""COMPUTED_VALUE"""),"Missing the option to sign up with Apple ID.")</f>
        <v>Missing the option to sign up with Apple ID.</v>
      </c>
      <c r="E36" s="27" t="str">
        <f>IFERROR(__xludf.DUMMYFUNCTION("""COMPUTED_VALUE"""),"User need to be in browser")</f>
        <v>User need to be in browser</v>
      </c>
      <c r="F36" s="27" t="str">
        <f>IFERROR(__xludf.DUMMYFUNCTION("""COMPUTED_VALUE"""),"1. Open web app")</f>
        <v>1. Open web app</v>
      </c>
      <c r="G36" s="27" t="str">
        <f>IFERROR(__xludf.DUMMYFUNCTION("""COMPUTED_VALUE"""),"N/A")</f>
        <v>N/A</v>
      </c>
      <c r="H36" s="27" t="str">
        <f>IFERROR(__xludf.DUMMYFUNCTION("""COMPUTED_VALUE"""),"The user should be able to signup using two methods as per the client's requirement.")</f>
        <v>The user should be able to signup using two methods as per the client's requirement.</v>
      </c>
      <c r="I36" s="27" t="str">
        <f>IFERROR(__xludf.DUMMYFUNCTION("""COMPUTED_VALUE"""),"Missing Apple ID signup method on the signup page.")</f>
        <v>Missing Apple ID signup method on the signup page.</v>
      </c>
      <c r="J36" s="27" t="str">
        <f>IFERROR(__xludf.DUMMYFUNCTION("""COMPUTED_VALUE"""),"Fail")</f>
        <v>Fail</v>
      </c>
      <c r="K36" s="27" t="str">
        <f>IFERROR(__xludf.DUMMYFUNCTION("""COMPUTED_VALUE"""),"High")</f>
        <v>High</v>
      </c>
      <c r="L36" s="28" t="str">
        <f>IFERROR(__xludf.DUMMYFUNCTION("""COMPUTED_VALUE"""),"https://jam.dev/c/df41064e-6b9b-4503-907e-1cd628585d14")</f>
        <v>https://jam.dev/c/df41064e-6b9b-4503-907e-1cd628585d14</v>
      </c>
      <c r="M36" s="27"/>
      <c r="N36" s="27" t="str">
        <f>IFERROR(__xludf.DUMMYFUNCTION("""COMPUTED_VALUE"""),"Fahad")</f>
        <v>Fahad</v>
      </c>
      <c r="O36" s="27"/>
      <c r="P36" s="27"/>
      <c r="Q36" s="25"/>
      <c r="R36" s="25"/>
      <c r="S36" s="25"/>
      <c r="T36" s="25"/>
      <c r="U36" s="25"/>
      <c r="V36" s="25"/>
      <c r="W36" s="25"/>
      <c r="X36" s="25"/>
      <c r="Y36" s="25"/>
      <c r="Z36" s="25"/>
      <c r="AA36" s="25"/>
    </row>
    <row r="37">
      <c r="A37" s="26" t="s">
        <v>58</v>
      </c>
      <c r="B37" s="27" t="str">
        <f>IFERROR(__xludf.DUMMYFUNCTION("""COMPUTED_VALUE"""),"Signup")</f>
        <v>Signup</v>
      </c>
      <c r="C37" s="27" t="str">
        <f>IFERROR(__xludf.DUMMYFUNCTION("""COMPUTED_VALUE"""),"Signup")</f>
        <v>Signup</v>
      </c>
      <c r="D37" s="27" t="str">
        <f>IFERROR(__xludf.DUMMYFUNCTION("""COMPUTED_VALUE"""),"Failed to login with google")</f>
        <v>Failed to login with google</v>
      </c>
      <c r="E37" s="27" t="str">
        <f>IFERROR(__xludf.DUMMYFUNCTION("""COMPUTED_VALUE"""),"User need to be in browser")</f>
        <v>User need to be in browser</v>
      </c>
      <c r="F37" s="27" t="str">
        <f>IFERROR(__xludf.DUMMYFUNCTION("""COMPUTED_VALUE"""),"1. Open web app")</f>
        <v>1. Open web app</v>
      </c>
      <c r="G37" s="27" t="str">
        <f>IFERROR(__xludf.DUMMYFUNCTION("""COMPUTED_VALUE"""),"N/A")</f>
        <v>N/A</v>
      </c>
      <c r="H37" s="27" t="str">
        <f>IFERROR(__xludf.DUMMYFUNCTION("""COMPUTED_VALUE"""),"Users should be able to log in or sign up with their Google account.")</f>
        <v>Users should be able to log in or sign up with their Google account.</v>
      </c>
      <c r="I37" s="27" t="str">
        <f>IFERROR(__xludf.DUMMYFUNCTION("""COMPUTED_VALUE"""),"Unable to log in or sign up with a Google account.")</f>
        <v>Unable to log in or sign up with a Google account.</v>
      </c>
      <c r="J37" s="27" t="str">
        <f>IFERROR(__xludf.DUMMYFUNCTION("""COMPUTED_VALUE"""),"Fail")</f>
        <v>Fail</v>
      </c>
      <c r="K37" s="27" t="str">
        <f>IFERROR(__xludf.DUMMYFUNCTION("""COMPUTED_VALUE"""),"High")</f>
        <v>High</v>
      </c>
      <c r="L37" s="28" t="str">
        <f>IFERROR(__xludf.DUMMYFUNCTION("""COMPUTED_VALUE"""),"https://jam.dev/c/bcc54832-a96c-43df-a08e-750eab7e0b76")</f>
        <v>https://jam.dev/c/bcc54832-a96c-43df-a08e-750eab7e0b76</v>
      </c>
      <c r="M37" s="27"/>
      <c r="N37" s="27" t="str">
        <f>IFERROR(__xludf.DUMMYFUNCTION("""COMPUTED_VALUE"""),"Fahad")</f>
        <v>Fahad</v>
      </c>
      <c r="O37" s="27"/>
      <c r="P37" s="27"/>
      <c r="Q37" s="25"/>
      <c r="R37" s="25"/>
      <c r="S37" s="25"/>
      <c r="T37" s="25"/>
      <c r="U37" s="25"/>
      <c r="V37" s="25"/>
      <c r="W37" s="25"/>
      <c r="X37" s="25"/>
      <c r="Y37" s="25"/>
      <c r="Z37" s="25"/>
      <c r="AA37" s="25"/>
    </row>
    <row r="38">
      <c r="A38" s="26" t="s">
        <v>59</v>
      </c>
      <c r="B38" s="27" t="str">
        <f>IFERROR(__xludf.DUMMYFUNCTION("""COMPUTED_VALUE"""),"Signup")</f>
        <v>Signup</v>
      </c>
      <c r="C38" s="27" t="str">
        <f>IFERROR(__xludf.DUMMYFUNCTION("""COMPUTED_VALUE"""),"Terms and use")</f>
        <v>Terms and use</v>
      </c>
      <c r="D38" s="27" t="str">
        <f>IFERROR(__xludf.DUMMYFUNCTION("""COMPUTED_VALUE"""),"Original content missing")</f>
        <v>Original content missing</v>
      </c>
      <c r="E38" s="27" t="str">
        <f>IFERROR(__xludf.DUMMYFUNCTION("""COMPUTED_VALUE"""),"User need to be in browser")</f>
        <v>User need to be in browser</v>
      </c>
      <c r="F38" s="27" t="str">
        <f>IFERROR(__xludf.DUMMYFUNCTION("""COMPUTED_VALUE"""),"1. Open web app")</f>
        <v>1. Open web app</v>
      </c>
      <c r="G38" s="27" t="str">
        <f>IFERROR(__xludf.DUMMYFUNCTION("""COMPUTED_VALUE"""),"N/A")</f>
        <v>N/A</v>
      </c>
      <c r="H38" s="27" t="str">
        <f>IFERROR(__xludf.DUMMYFUNCTION("""COMPUTED_VALUE"""),"The client should provide the terms and use, and it needs to be accurate.")</f>
        <v>The client should provide the terms and use, and it needs to be accurate.</v>
      </c>
      <c r="I38" s="27" t="str">
        <f>IFERROR(__xludf.DUMMYFUNCTION("""COMPUTED_VALUE"""),"The content for the terms and use is missing.")</f>
        <v>The content for the terms and use is missing.</v>
      </c>
      <c r="J38" s="27" t="str">
        <f>IFERROR(__xludf.DUMMYFUNCTION("""COMPUTED_VALUE"""),"Fail")</f>
        <v>Fail</v>
      </c>
      <c r="K38" s="27" t="str">
        <f>IFERROR(__xludf.DUMMYFUNCTION("""COMPUTED_VALUE"""),"High")</f>
        <v>High</v>
      </c>
      <c r="L38" s="28" t="str">
        <f>IFERROR(__xludf.DUMMYFUNCTION("""COMPUTED_VALUE"""),"https://jam.dev/c/0d7a142d-483b-4d1c-ae79-9696bfda932a")</f>
        <v>https://jam.dev/c/0d7a142d-483b-4d1c-ae79-9696bfda932a</v>
      </c>
      <c r="M38" s="27"/>
      <c r="N38" s="27" t="str">
        <f>IFERROR(__xludf.DUMMYFUNCTION("""COMPUTED_VALUE"""),"Fahad")</f>
        <v>Fahad</v>
      </c>
      <c r="O38" s="27"/>
      <c r="P38" s="27"/>
      <c r="Q38" s="25"/>
      <c r="R38" s="25"/>
      <c r="S38" s="25"/>
      <c r="T38" s="25"/>
      <c r="U38" s="25"/>
      <c r="V38" s="25"/>
      <c r="W38" s="25"/>
      <c r="X38" s="25"/>
      <c r="Y38" s="25"/>
      <c r="Z38" s="25"/>
      <c r="AA38" s="25"/>
    </row>
    <row r="39">
      <c r="A39" s="26" t="s">
        <v>60</v>
      </c>
      <c r="B39" s="27"/>
      <c r="C39" s="27"/>
      <c r="D39" s="27"/>
      <c r="E39" s="27"/>
      <c r="F39" s="27"/>
      <c r="G39" s="27"/>
      <c r="H39" s="27"/>
      <c r="I39" s="27"/>
      <c r="J39" s="27"/>
      <c r="K39" s="27"/>
      <c r="L39" s="27"/>
      <c r="M39" s="27"/>
      <c r="N39" s="27"/>
      <c r="O39" s="27"/>
      <c r="P39" s="27"/>
      <c r="Q39" s="25"/>
      <c r="R39" s="25"/>
      <c r="S39" s="25"/>
      <c r="T39" s="25"/>
      <c r="U39" s="25"/>
      <c r="V39" s="25"/>
      <c r="W39" s="25"/>
      <c r="X39" s="25"/>
      <c r="Y39" s="25"/>
      <c r="Z39" s="25"/>
      <c r="AA39" s="25"/>
    </row>
    <row r="40">
      <c r="A40" s="29" t="s">
        <v>60</v>
      </c>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c r="A41" s="29" t="s">
        <v>60</v>
      </c>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c r="A42" s="29" t="s">
        <v>60</v>
      </c>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c r="A43" s="29" t="s">
        <v>60</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c r="A44" s="29" t="s">
        <v>60</v>
      </c>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c r="A45" s="29" t="s">
        <v>60</v>
      </c>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c r="A46" s="29" t="s">
        <v>60</v>
      </c>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c r="A47" s="29" t="s">
        <v>60</v>
      </c>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c r="A48" s="29" t="s">
        <v>60</v>
      </c>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c r="A49" s="29" t="s">
        <v>60</v>
      </c>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c r="A50" s="29" t="s">
        <v>60</v>
      </c>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c r="A51" s="29" t="s">
        <v>60</v>
      </c>
    </row>
    <row r="52">
      <c r="A52" s="29" t="s">
        <v>60</v>
      </c>
    </row>
    <row r="53">
      <c r="A53" s="29" t="s">
        <v>60</v>
      </c>
    </row>
    <row r="54">
      <c r="A54" s="29" t="s">
        <v>60</v>
      </c>
    </row>
    <row r="55">
      <c r="A55" s="29" t="s">
        <v>60</v>
      </c>
    </row>
    <row r="56">
      <c r="A56" s="29" t="s">
        <v>60</v>
      </c>
    </row>
    <row r="57">
      <c r="A57" s="29" t="s">
        <v>60</v>
      </c>
    </row>
    <row r="58">
      <c r="A58" s="29" t="s">
        <v>60</v>
      </c>
    </row>
    <row r="59">
      <c r="A59" s="29" t="s">
        <v>60</v>
      </c>
    </row>
    <row r="60">
      <c r="A60" s="29" t="s">
        <v>60</v>
      </c>
    </row>
    <row r="61">
      <c r="A61" s="30" t="s">
        <v>60</v>
      </c>
    </row>
  </sheetData>
  <conditionalFormatting sqref="M11">
    <cfRule type="notContainsBlanks" dxfId="0" priority="1">
      <formula>LEN(TRIM(M11))&gt;0</formula>
    </cfRule>
  </conditionalFormatting>
  <dataValidations>
    <dataValidation type="list" allowBlank="1" showErrorMessage="1" sqref="J11:J39">
      <formula1>"Fail,Pass"</formula1>
    </dataValidation>
    <dataValidation type="list" allowBlank="1" showErrorMessage="1" sqref="O11:O39">
      <formula1>"Solved,Unsolved"</formula1>
    </dataValidation>
    <dataValidation type="list" allowBlank="1" showErrorMessage="1" sqref="K11:K39">
      <formula1>"Low,Medium,High"</formula1>
    </dataValidation>
  </dataValidations>
  <hyperlinks>
    <hyperlink r:id="rId1" ref="B4"/>
    <hyperlink r:id="rId2" ref="L11"/>
    <hyperlink r:id="rId3" ref="L12"/>
    <hyperlink r:id="rId4" ref="L13"/>
    <hyperlink r:id="rId5" ref="L14"/>
    <hyperlink r:id="rId6" ref="L15"/>
    <hyperlink r:id="rId7" ref="L16"/>
    <hyperlink r:id="rId8" ref="L17"/>
    <hyperlink r:id="rId9" ref="L18"/>
    <hyperlink r:id="rId10" ref="L19"/>
    <hyperlink r:id="rId11" ref="L20"/>
    <hyperlink r:id="rId12" ref="L21"/>
    <hyperlink r:id="rId13" ref="L22"/>
    <hyperlink r:id="rId14" ref="L23"/>
    <hyperlink r:id="rId15" ref="L24"/>
    <hyperlink r:id="rId16" ref="L25"/>
    <hyperlink r:id="rId17" ref="L26"/>
    <hyperlink r:id="rId18" ref="L27"/>
    <hyperlink r:id="rId19" ref="L28"/>
    <hyperlink r:id="rId20" ref="L29"/>
    <hyperlink r:id="rId21" ref="L30"/>
    <hyperlink r:id="rId22" ref="L31"/>
    <hyperlink r:id="rId23" ref="L32"/>
    <hyperlink r:id="rId24" ref="L33"/>
    <hyperlink r:id="rId25" ref="L34"/>
    <hyperlink r:id="rId26" ref="L35"/>
    <hyperlink r:id="rId27" ref="L36"/>
    <hyperlink r:id="rId28" ref="L37"/>
    <hyperlink r:id="rId29" ref="L38"/>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2.88"/>
    <col customWidth="1" min="3" max="3" width="12.5"/>
    <col customWidth="1" min="4" max="4" width="16.5"/>
    <col customWidth="1" min="5" max="5" width="15.38"/>
    <col customWidth="1" min="6" max="6" width="16.88"/>
    <col customWidth="1" min="7" max="7" width="18.63"/>
    <col customWidth="1" min="8" max="8" width="17.63"/>
    <col customWidth="1" min="9" max="9" width="16.5"/>
    <col customWidth="1" min="10" max="10" width="11.13"/>
    <col customWidth="1" min="11" max="11" width="13.25"/>
    <col customWidth="1" min="12" max="12" width="14.63"/>
    <col customWidth="1" min="13" max="13" width="12.25"/>
    <col customWidth="1" min="14" max="14" width="14.38"/>
  </cols>
  <sheetData>
    <row r="1">
      <c r="A1" s="31" t="s">
        <v>0</v>
      </c>
      <c r="B1" s="32" t="s">
        <v>1</v>
      </c>
      <c r="C1" s="33"/>
      <c r="D1" s="33"/>
      <c r="E1" s="33"/>
      <c r="F1" s="33"/>
      <c r="G1" s="33"/>
      <c r="H1" s="33"/>
      <c r="I1" s="33"/>
      <c r="J1" s="33"/>
      <c r="K1" s="33"/>
      <c r="L1" s="33"/>
      <c r="M1" s="33"/>
      <c r="N1" s="33"/>
      <c r="O1" s="33"/>
      <c r="P1" s="33"/>
      <c r="Q1" s="33"/>
      <c r="R1" s="33"/>
      <c r="S1" s="33"/>
      <c r="T1" s="33"/>
      <c r="U1" s="33"/>
      <c r="V1" s="33"/>
      <c r="W1" s="33"/>
      <c r="X1" s="33"/>
      <c r="Y1" s="33"/>
      <c r="Z1" s="33"/>
    </row>
    <row r="2">
      <c r="A2" s="31" t="s">
        <v>4</v>
      </c>
      <c r="B2" s="34" t="s">
        <v>5</v>
      </c>
      <c r="C2" s="33"/>
      <c r="D2" s="33"/>
      <c r="E2" s="33"/>
      <c r="F2" s="33"/>
      <c r="G2" s="33"/>
      <c r="H2" s="33"/>
      <c r="I2" s="33"/>
      <c r="J2" s="33"/>
      <c r="K2" s="33"/>
      <c r="L2" s="33"/>
      <c r="M2" s="33"/>
      <c r="N2" s="33"/>
      <c r="O2" s="33"/>
      <c r="P2" s="33"/>
      <c r="Q2" s="33"/>
      <c r="R2" s="33"/>
      <c r="S2" s="33"/>
      <c r="T2" s="33"/>
      <c r="U2" s="33"/>
      <c r="V2" s="33"/>
      <c r="W2" s="33"/>
      <c r="X2" s="33"/>
      <c r="Y2" s="33"/>
      <c r="Z2" s="33"/>
    </row>
    <row r="3">
      <c r="A3" s="31" t="s">
        <v>11</v>
      </c>
      <c r="B3" s="32" t="s">
        <v>61</v>
      </c>
      <c r="C3" s="33"/>
      <c r="D3" s="33"/>
      <c r="E3" s="33"/>
      <c r="F3" s="33"/>
      <c r="G3" s="33"/>
      <c r="H3" s="33"/>
      <c r="I3" s="33"/>
      <c r="J3" s="33"/>
      <c r="K3" s="33"/>
      <c r="L3" s="33"/>
      <c r="M3" s="33"/>
      <c r="N3" s="33"/>
      <c r="O3" s="33"/>
      <c r="P3" s="33"/>
      <c r="Q3" s="33"/>
      <c r="R3" s="33"/>
      <c r="S3" s="33"/>
      <c r="T3" s="33"/>
      <c r="U3" s="33"/>
      <c r="V3" s="33"/>
      <c r="W3" s="33"/>
      <c r="X3" s="33"/>
      <c r="Y3" s="33"/>
      <c r="Z3" s="33"/>
    </row>
    <row r="4">
      <c r="A4" s="31" t="s">
        <v>14</v>
      </c>
      <c r="B4" s="35" t="s">
        <v>62</v>
      </c>
      <c r="C4" s="33"/>
      <c r="D4" s="33"/>
      <c r="E4" s="33"/>
      <c r="F4" s="33"/>
      <c r="G4" s="33"/>
      <c r="H4" s="33"/>
      <c r="I4" s="33"/>
      <c r="J4" s="33"/>
      <c r="K4" s="33"/>
      <c r="L4" s="33"/>
      <c r="M4" s="33"/>
      <c r="N4" s="33"/>
      <c r="O4" s="33"/>
      <c r="P4" s="33"/>
      <c r="Q4" s="33"/>
      <c r="R4" s="33"/>
      <c r="S4" s="33"/>
      <c r="T4" s="33"/>
      <c r="U4" s="33"/>
      <c r="V4" s="33"/>
      <c r="W4" s="33"/>
      <c r="X4" s="33"/>
      <c r="Y4" s="33"/>
      <c r="Z4" s="33"/>
    </row>
    <row r="5">
      <c r="A5" s="36" t="s">
        <v>63</v>
      </c>
      <c r="B5" s="35" t="s">
        <v>64</v>
      </c>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7" t="s">
        <v>65</v>
      </c>
      <c r="B7" s="37" t="s">
        <v>19</v>
      </c>
      <c r="C7" s="37" t="s">
        <v>20</v>
      </c>
      <c r="D7" s="37" t="s">
        <v>21</v>
      </c>
      <c r="E7" s="37" t="s">
        <v>22</v>
      </c>
      <c r="F7" s="37" t="s">
        <v>23</v>
      </c>
      <c r="G7" s="37" t="s">
        <v>24</v>
      </c>
      <c r="H7" s="37" t="s">
        <v>25</v>
      </c>
      <c r="I7" s="37" t="s">
        <v>26</v>
      </c>
      <c r="J7" s="37" t="s">
        <v>27</v>
      </c>
      <c r="K7" s="37" t="s">
        <v>2</v>
      </c>
      <c r="L7" s="37" t="s">
        <v>28</v>
      </c>
      <c r="M7" s="37" t="s">
        <v>29</v>
      </c>
      <c r="N7" s="37" t="s">
        <v>31</v>
      </c>
      <c r="O7" s="38"/>
      <c r="P7" s="38"/>
      <c r="Q7" s="38"/>
      <c r="R7" s="38"/>
      <c r="S7" s="38"/>
      <c r="T7" s="38"/>
      <c r="U7" s="38"/>
      <c r="V7" s="38"/>
      <c r="W7" s="38"/>
      <c r="X7" s="38"/>
      <c r="Y7" s="38"/>
      <c r="Z7" s="38"/>
    </row>
    <row r="8">
      <c r="A8" s="39" t="s">
        <v>66</v>
      </c>
      <c r="B8" s="40" t="s">
        <v>67</v>
      </c>
      <c r="C8" s="40" t="s">
        <v>68</v>
      </c>
      <c r="D8" s="39" t="s">
        <v>69</v>
      </c>
      <c r="E8" s="39" t="s">
        <v>70</v>
      </c>
      <c r="F8" s="41" t="s">
        <v>71</v>
      </c>
      <c r="G8" s="39" t="s">
        <v>72</v>
      </c>
      <c r="H8" s="39" t="s">
        <v>73</v>
      </c>
      <c r="I8" s="39" t="s">
        <v>74</v>
      </c>
      <c r="J8" s="39" t="s">
        <v>75</v>
      </c>
      <c r="K8" s="39" t="s">
        <v>13</v>
      </c>
      <c r="L8" s="42" t="s">
        <v>76</v>
      </c>
      <c r="M8" s="39"/>
      <c r="N8" s="39"/>
      <c r="O8" s="43"/>
      <c r="P8" s="43"/>
      <c r="Q8" s="43"/>
      <c r="R8" s="43"/>
      <c r="S8" s="43"/>
      <c r="T8" s="43"/>
      <c r="U8" s="43"/>
      <c r="V8" s="43"/>
      <c r="W8" s="43"/>
      <c r="X8" s="43"/>
      <c r="Y8" s="43"/>
      <c r="Z8" s="43"/>
    </row>
    <row r="9">
      <c r="A9" s="43"/>
      <c r="B9" s="43"/>
      <c r="C9" s="43"/>
      <c r="D9" s="43"/>
      <c r="E9" s="43"/>
      <c r="F9" s="44"/>
      <c r="G9" s="43"/>
      <c r="H9" s="43"/>
      <c r="I9" s="43"/>
      <c r="J9" s="43"/>
      <c r="K9" s="43"/>
      <c r="L9" s="43"/>
      <c r="M9" s="43"/>
      <c r="N9" s="43"/>
      <c r="O9" s="43"/>
      <c r="P9" s="43"/>
      <c r="Q9" s="43"/>
      <c r="R9" s="43"/>
      <c r="S9" s="43"/>
      <c r="T9" s="43"/>
      <c r="U9" s="43"/>
      <c r="V9" s="43"/>
      <c r="W9" s="43"/>
      <c r="X9" s="43"/>
      <c r="Y9" s="43"/>
      <c r="Z9" s="43"/>
    </row>
    <row r="10">
      <c r="A10" s="40" t="s">
        <v>77</v>
      </c>
      <c r="B10" s="40" t="s">
        <v>67</v>
      </c>
      <c r="C10" s="40" t="s">
        <v>68</v>
      </c>
      <c r="D10" s="40" t="s">
        <v>78</v>
      </c>
      <c r="E10" s="40" t="s">
        <v>79</v>
      </c>
      <c r="F10" s="45" t="s">
        <v>80</v>
      </c>
      <c r="G10" s="40" t="s">
        <v>72</v>
      </c>
      <c r="H10" s="40" t="s">
        <v>81</v>
      </c>
      <c r="I10" s="40" t="s">
        <v>82</v>
      </c>
      <c r="J10" s="40" t="s">
        <v>75</v>
      </c>
      <c r="K10" s="40" t="s">
        <v>13</v>
      </c>
      <c r="L10" s="46" t="s">
        <v>83</v>
      </c>
      <c r="M10" s="40"/>
      <c r="N10" s="40"/>
      <c r="O10" s="43"/>
      <c r="P10" s="43"/>
      <c r="Q10" s="43"/>
      <c r="R10" s="43"/>
      <c r="S10" s="43"/>
      <c r="T10" s="43"/>
      <c r="U10" s="43"/>
      <c r="V10" s="43"/>
      <c r="W10" s="43"/>
      <c r="X10" s="43"/>
      <c r="Y10" s="43"/>
      <c r="Z10" s="43"/>
    </row>
    <row r="11">
      <c r="A11" s="43"/>
      <c r="B11" s="43"/>
      <c r="C11" s="43"/>
      <c r="D11" s="43"/>
      <c r="E11" s="43"/>
      <c r="F11" s="44"/>
      <c r="G11" s="43"/>
      <c r="H11" s="43"/>
      <c r="I11" s="43"/>
      <c r="J11" s="43"/>
      <c r="K11" s="43"/>
      <c r="L11" s="43"/>
      <c r="M11" s="43"/>
      <c r="N11" s="43"/>
      <c r="O11" s="43"/>
      <c r="P11" s="43"/>
      <c r="Q11" s="43"/>
      <c r="R11" s="43"/>
      <c r="S11" s="43"/>
      <c r="T11" s="43"/>
      <c r="U11" s="43"/>
      <c r="V11" s="43"/>
      <c r="W11" s="43"/>
      <c r="X11" s="43"/>
      <c r="Y11" s="43"/>
      <c r="Z11" s="43"/>
    </row>
    <row r="12">
      <c r="A12" s="40" t="s">
        <v>84</v>
      </c>
      <c r="B12" s="40" t="s">
        <v>67</v>
      </c>
      <c r="C12" s="40" t="s">
        <v>85</v>
      </c>
      <c r="D12" s="40" t="s">
        <v>86</v>
      </c>
      <c r="E12" s="40" t="s">
        <v>79</v>
      </c>
      <c r="F12" s="45" t="s">
        <v>87</v>
      </c>
      <c r="G12" s="40" t="s">
        <v>72</v>
      </c>
      <c r="H12" s="40" t="s">
        <v>88</v>
      </c>
      <c r="I12" s="40" t="s">
        <v>89</v>
      </c>
      <c r="J12" s="40" t="s">
        <v>75</v>
      </c>
      <c r="K12" s="40" t="s">
        <v>13</v>
      </c>
      <c r="L12" s="47" t="s">
        <v>90</v>
      </c>
      <c r="M12" s="48"/>
      <c r="N12" s="40"/>
      <c r="O12" s="43"/>
      <c r="P12" s="43"/>
      <c r="Q12" s="43"/>
      <c r="R12" s="43"/>
      <c r="S12" s="43"/>
      <c r="T12" s="43"/>
      <c r="U12" s="43"/>
      <c r="V12" s="43"/>
      <c r="W12" s="43"/>
      <c r="X12" s="43"/>
      <c r="Y12" s="43"/>
      <c r="Z12" s="43"/>
    </row>
    <row r="13">
      <c r="A13" s="43"/>
      <c r="B13" s="43"/>
      <c r="C13" s="43"/>
      <c r="D13" s="43"/>
      <c r="E13" s="43"/>
      <c r="F13" s="44"/>
      <c r="G13" s="43"/>
      <c r="H13" s="43"/>
      <c r="I13" s="43"/>
      <c r="J13" s="43"/>
      <c r="K13" s="43"/>
      <c r="L13" s="43"/>
      <c r="M13" s="43"/>
      <c r="N13" s="43"/>
      <c r="O13" s="43"/>
      <c r="P13" s="43"/>
      <c r="Q13" s="43"/>
      <c r="R13" s="43"/>
      <c r="S13" s="43"/>
      <c r="T13" s="43"/>
      <c r="U13" s="43"/>
      <c r="V13" s="43"/>
      <c r="W13" s="43"/>
      <c r="X13" s="43"/>
      <c r="Y13" s="43"/>
      <c r="Z13" s="43"/>
    </row>
    <row r="14">
      <c r="A14" s="40" t="s">
        <v>91</v>
      </c>
      <c r="B14" s="40" t="s">
        <v>67</v>
      </c>
      <c r="C14" s="40" t="s">
        <v>85</v>
      </c>
      <c r="D14" s="40" t="s">
        <v>92</v>
      </c>
      <c r="E14" s="40" t="s">
        <v>79</v>
      </c>
      <c r="F14" s="45" t="s">
        <v>93</v>
      </c>
      <c r="G14" s="40" t="s">
        <v>72</v>
      </c>
      <c r="H14" s="40" t="s">
        <v>94</v>
      </c>
      <c r="I14" s="40" t="s">
        <v>95</v>
      </c>
      <c r="J14" s="40" t="s">
        <v>75</v>
      </c>
      <c r="K14" s="40" t="s">
        <v>13</v>
      </c>
      <c r="L14" s="46" t="s">
        <v>96</v>
      </c>
      <c r="M14" s="49"/>
      <c r="N14" s="40"/>
      <c r="O14" s="43"/>
      <c r="P14" s="43"/>
      <c r="Q14" s="43"/>
      <c r="R14" s="43"/>
      <c r="S14" s="43"/>
      <c r="T14" s="43"/>
      <c r="U14" s="43"/>
      <c r="V14" s="43"/>
      <c r="W14" s="43"/>
      <c r="X14" s="43"/>
      <c r="Y14" s="43"/>
      <c r="Z14" s="43"/>
    </row>
    <row r="15">
      <c r="A15" s="43"/>
      <c r="B15" s="43"/>
      <c r="C15" s="43"/>
      <c r="D15" s="43"/>
      <c r="E15" s="43"/>
      <c r="F15" s="44"/>
      <c r="G15" s="43"/>
      <c r="H15" s="43"/>
      <c r="I15" s="43"/>
      <c r="J15" s="43"/>
      <c r="K15" s="43"/>
      <c r="L15" s="43"/>
      <c r="M15" s="43"/>
      <c r="N15" s="43"/>
      <c r="O15" s="43"/>
      <c r="P15" s="43"/>
      <c r="Q15" s="43"/>
      <c r="R15" s="43"/>
      <c r="S15" s="43"/>
      <c r="T15" s="43"/>
      <c r="U15" s="43"/>
      <c r="V15" s="43"/>
      <c r="W15" s="43"/>
      <c r="X15" s="43"/>
      <c r="Y15" s="43"/>
      <c r="Z15" s="43"/>
    </row>
    <row r="16">
      <c r="A16" s="40" t="s">
        <v>97</v>
      </c>
      <c r="B16" s="40" t="s">
        <v>67</v>
      </c>
      <c r="C16" s="40" t="s">
        <v>85</v>
      </c>
      <c r="D16" s="40" t="s">
        <v>98</v>
      </c>
      <c r="E16" s="40" t="s">
        <v>79</v>
      </c>
      <c r="F16" s="45" t="s">
        <v>99</v>
      </c>
      <c r="G16" s="40" t="s">
        <v>72</v>
      </c>
      <c r="H16" s="40" t="s">
        <v>100</v>
      </c>
      <c r="I16" s="40" t="s">
        <v>101</v>
      </c>
      <c r="J16" s="40" t="s">
        <v>75</v>
      </c>
      <c r="K16" s="40" t="s">
        <v>9</v>
      </c>
      <c r="L16" s="46" t="s">
        <v>102</v>
      </c>
      <c r="M16" s="48"/>
      <c r="N16" s="40"/>
      <c r="O16" s="43"/>
      <c r="P16" s="43"/>
      <c r="Q16" s="43"/>
      <c r="R16" s="43"/>
      <c r="S16" s="43"/>
      <c r="T16" s="43"/>
      <c r="U16" s="43"/>
      <c r="V16" s="43"/>
      <c r="W16" s="43"/>
      <c r="X16" s="43"/>
      <c r="Y16" s="43"/>
      <c r="Z16" s="43"/>
    </row>
    <row r="17">
      <c r="A17" s="43"/>
      <c r="B17" s="43"/>
      <c r="C17" s="43"/>
      <c r="D17" s="43"/>
      <c r="E17" s="43"/>
      <c r="F17" s="44"/>
      <c r="G17" s="43"/>
      <c r="H17" s="43"/>
      <c r="I17" s="43"/>
      <c r="J17" s="43"/>
      <c r="K17" s="43"/>
      <c r="L17" s="43"/>
      <c r="M17" s="43"/>
      <c r="N17" s="43"/>
      <c r="O17" s="43"/>
      <c r="P17" s="43"/>
      <c r="Q17" s="43"/>
      <c r="R17" s="43"/>
      <c r="S17" s="43"/>
      <c r="T17" s="43"/>
      <c r="U17" s="43"/>
      <c r="V17" s="43"/>
      <c r="W17" s="43"/>
      <c r="X17" s="43"/>
      <c r="Y17" s="43"/>
      <c r="Z17" s="43"/>
    </row>
    <row r="18">
      <c r="A18" s="40" t="s">
        <v>103</v>
      </c>
      <c r="B18" s="40" t="s">
        <v>67</v>
      </c>
      <c r="C18" s="40" t="s">
        <v>85</v>
      </c>
      <c r="D18" s="40" t="s">
        <v>104</v>
      </c>
      <c r="E18" s="40" t="s">
        <v>79</v>
      </c>
      <c r="F18" s="45" t="s">
        <v>105</v>
      </c>
      <c r="G18" s="40" t="s">
        <v>72</v>
      </c>
      <c r="H18" s="40" t="s">
        <v>100</v>
      </c>
      <c r="I18" s="40" t="s">
        <v>101</v>
      </c>
      <c r="J18" s="40" t="s">
        <v>75</v>
      </c>
      <c r="K18" s="40" t="s">
        <v>9</v>
      </c>
      <c r="L18" s="46" t="s">
        <v>106</v>
      </c>
      <c r="M18" s="48"/>
      <c r="N18" s="40"/>
      <c r="O18" s="43"/>
      <c r="P18" s="43"/>
      <c r="Q18" s="43"/>
      <c r="R18" s="43"/>
      <c r="S18" s="43"/>
      <c r="T18" s="43"/>
      <c r="U18" s="43"/>
      <c r="V18" s="43"/>
      <c r="W18" s="43"/>
      <c r="X18" s="43"/>
      <c r="Y18" s="43"/>
      <c r="Z18" s="43"/>
    </row>
    <row r="19">
      <c r="A19" s="43"/>
      <c r="B19" s="43"/>
      <c r="C19" s="43"/>
      <c r="D19" s="43"/>
      <c r="E19" s="43"/>
      <c r="F19" s="44"/>
      <c r="G19" s="43"/>
      <c r="H19" s="43"/>
      <c r="I19" s="43"/>
      <c r="J19" s="43"/>
      <c r="K19" s="43"/>
      <c r="L19" s="43"/>
      <c r="M19" s="43"/>
      <c r="N19" s="43"/>
      <c r="O19" s="43"/>
      <c r="P19" s="43"/>
      <c r="Q19" s="43"/>
      <c r="R19" s="43"/>
      <c r="S19" s="43"/>
      <c r="T19" s="43"/>
      <c r="U19" s="43"/>
      <c r="V19" s="43"/>
      <c r="W19" s="43"/>
      <c r="X19" s="43"/>
      <c r="Y19" s="43"/>
      <c r="Z19" s="43"/>
    </row>
    <row r="20">
      <c r="A20" s="40" t="s">
        <v>107</v>
      </c>
      <c r="B20" s="40" t="s">
        <v>67</v>
      </c>
      <c r="C20" s="40" t="s">
        <v>85</v>
      </c>
      <c r="D20" s="40" t="s">
        <v>108</v>
      </c>
      <c r="E20" s="40" t="s">
        <v>79</v>
      </c>
      <c r="F20" s="45" t="s">
        <v>109</v>
      </c>
      <c r="G20" s="40" t="s">
        <v>72</v>
      </c>
      <c r="H20" s="40" t="s">
        <v>100</v>
      </c>
      <c r="I20" s="40" t="s">
        <v>101</v>
      </c>
      <c r="J20" s="40" t="s">
        <v>75</v>
      </c>
      <c r="K20" s="40" t="s">
        <v>9</v>
      </c>
      <c r="L20" s="46" t="s">
        <v>110</v>
      </c>
      <c r="M20" s="48"/>
      <c r="N20" s="40"/>
      <c r="O20" s="43"/>
      <c r="P20" s="43"/>
      <c r="Q20" s="43"/>
      <c r="R20" s="43"/>
      <c r="S20" s="43"/>
      <c r="T20" s="43"/>
      <c r="U20" s="43"/>
      <c r="V20" s="43"/>
      <c r="W20" s="43"/>
      <c r="X20" s="43"/>
      <c r="Y20" s="43"/>
      <c r="Z20" s="43"/>
    </row>
    <row r="21">
      <c r="A21" s="43"/>
      <c r="B21" s="43"/>
      <c r="C21" s="43"/>
      <c r="D21" s="43"/>
      <c r="E21" s="43"/>
      <c r="F21" s="44"/>
      <c r="G21" s="43"/>
      <c r="H21" s="43"/>
      <c r="I21" s="43"/>
      <c r="J21" s="43"/>
      <c r="K21" s="43"/>
      <c r="L21" s="43"/>
      <c r="M21" s="43"/>
      <c r="N21" s="43"/>
      <c r="O21" s="43"/>
      <c r="P21" s="43"/>
      <c r="Q21" s="43"/>
      <c r="R21" s="43"/>
      <c r="S21" s="43"/>
      <c r="T21" s="43"/>
      <c r="U21" s="43"/>
      <c r="V21" s="43"/>
      <c r="W21" s="43"/>
      <c r="X21" s="43"/>
      <c r="Y21" s="43"/>
      <c r="Z21" s="43"/>
    </row>
    <row r="22">
      <c r="A22" s="40" t="s">
        <v>111</v>
      </c>
      <c r="B22" s="40" t="s">
        <v>67</v>
      </c>
      <c r="C22" s="40" t="s">
        <v>85</v>
      </c>
      <c r="D22" s="40" t="s">
        <v>112</v>
      </c>
      <c r="E22" s="40" t="s">
        <v>79</v>
      </c>
      <c r="F22" s="45" t="s">
        <v>113</v>
      </c>
      <c r="G22" s="40" t="s">
        <v>72</v>
      </c>
      <c r="H22" s="40" t="s">
        <v>100</v>
      </c>
      <c r="I22" s="40" t="s">
        <v>101</v>
      </c>
      <c r="J22" s="40" t="s">
        <v>75</v>
      </c>
      <c r="K22" s="40" t="s">
        <v>9</v>
      </c>
      <c r="L22" s="46" t="s">
        <v>114</v>
      </c>
      <c r="M22" s="48"/>
      <c r="N22" s="40"/>
      <c r="O22" s="43"/>
      <c r="P22" s="43"/>
      <c r="Q22" s="43"/>
      <c r="R22" s="43"/>
      <c r="S22" s="43"/>
      <c r="T22" s="43"/>
      <c r="U22" s="43"/>
      <c r="V22" s="43"/>
      <c r="W22" s="43"/>
      <c r="X22" s="43"/>
      <c r="Y22" s="43"/>
      <c r="Z22" s="43"/>
    </row>
    <row r="23">
      <c r="A23" s="43"/>
      <c r="B23" s="43"/>
      <c r="C23" s="43"/>
      <c r="D23" s="43"/>
      <c r="E23" s="43"/>
      <c r="F23" s="44"/>
      <c r="G23" s="43"/>
      <c r="H23" s="43"/>
      <c r="I23" s="43"/>
      <c r="J23" s="43"/>
      <c r="K23" s="43"/>
      <c r="L23" s="43"/>
      <c r="M23" s="43"/>
      <c r="N23" s="43"/>
      <c r="O23" s="43"/>
      <c r="P23" s="43"/>
      <c r="Q23" s="43"/>
      <c r="R23" s="43"/>
      <c r="S23" s="43"/>
      <c r="T23" s="43"/>
      <c r="U23" s="43"/>
      <c r="V23" s="43"/>
      <c r="W23" s="43"/>
      <c r="X23" s="43"/>
      <c r="Y23" s="43"/>
      <c r="Z23" s="43"/>
    </row>
    <row r="24">
      <c r="A24" s="40" t="s">
        <v>115</v>
      </c>
      <c r="B24" s="40" t="s">
        <v>67</v>
      </c>
      <c r="C24" s="40" t="s">
        <v>85</v>
      </c>
      <c r="D24" s="40" t="s">
        <v>116</v>
      </c>
      <c r="E24" s="40" t="s">
        <v>79</v>
      </c>
      <c r="F24" s="45" t="s">
        <v>117</v>
      </c>
      <c r="G24" s="40" t="s">
        <v>72</v>
      </c>
      <c r="H24" s="40" t="s">
        <v>100</v>
      </c>
      <c r="I24" s="40" t="s">
        <v>101</v>
      </c>
      <c r="J24" s="40" t="s">
        <v>75</v>
      </c>
      <c r="K24" s="40" t="s">
        <v>9</v>
      </c>
      <c r="L24" s="46" t="s">
        <v>118</v>
      </c>
      <c r="M24" s="48"/>
      <c r="N24" s="48"/>
      <c r="O24" s="43"/>
      <c r="P24" s="43"/>
      <c r="Q24" s="43"/>
      <c r="R24" s="43"/>
      <c r="S24" s="43"/>
      <c r="T24" s="43"/>
      <c r="U24" s="43"/>
      <c r="V24" s="43"/>
      <c r="W24" s="43"/>
      <c r="X24" s="43"/>
      <c r="Y24" s="43"/>
      <c r="Z24" s="43"/>
    </row>
    <row r="25">
      <c r="A25" s="43"/>
      <c r="B25" s="43"/>
      <c r="C25" s="43"/>
      <c r="D25" s="43"/>
      <c r="E25" s="43"/>
      <c r="F25" s="44"/>
      <c r="G25" s="43"/>
      <c r="H25" s="43"/>
      <c r="I25" s="43"/>
      <c r="J25" s="43"/>
      <c r="K25" s="43"/>
      <c r="L25" s="43"/>
      <c r="M25" s="43"/>
      <c r="N25" s="43"/>
      <c r="O25" s="43"/>
      <c r="P25" s="43"/>
      <c r="Q25" s="43"/>
      <c r="R25" s="43"/>
      <c r="S25" s="43"/>
      <c r="T25" s="43"/>
      <c r="U25" s="43"/>
      <c r="V25" s="43"/>
      <c r="W25" s="43"/>
      <c r="X25" s="43"/>
      <c r="Y25" s="43"/>
      <c r="Z25" s="43"/>
    </row>
    <row r="26">
      <c r="A26" s="40" t="s">
        <v>119</v>
      </c>
      <c r="B26" s="40" t="s">
        <v>120</v>
      </c>
      <c r="C26" s="40" t="s">
        <v>120</v>
      </c>
      <c r="D26" s="40" t="s">
        <v>121</v>
      </c>
      <c r="E26" s="40" t="s">
        <v>79</v>
      </c>
      <c r="F26" s="50" t="s">
        <v>122</v>
      </c>
      <c r="G26" s="40" t="s">
        <v>72</v>
      </c>
      <c r="H26" s="40" t="s">
        <v>73</v>
      </c>
      <c r="I26" s="40" t="s">
        <v>123</v>
      </c>
      <c r="J26" s="40" t="s">
        <v>75</v>
      </c>
      <c r="K26" s="40" t="s">
        <v>13</v>
      </c>
      <c r="L26" s="47" t="s">
        <v>124</v>
      </c>
      <c r="M26" s="48"/>
      <c r="N26" s="48"/>
      <c r="O26" s="43"/>
      <c r="P26" s="43"/>
      <c r="Q26" s="43"/>
      <c r="R26" s="43"/>
      <c r="S26" s="43"/>
      <c r="T26" s="43"/>
      <c r="U26" s="43"/>
      <c r="V26" s="43"/>
      <c r="W26" s="43"/>
      <c r="X26" s="43"/>
      <c r="Y26" s="43"/>
      <c r="Z26" s="43"/>
    </row>
    <row r="27">
      <c r="A27" s="43"/>
      <c r="B27" s="43"/>
      <c r="C27" s="43"/>
      <c r="D27" s="43"/>
      <c r="E27" s="43"/>
      <c r="F27" s="44"/>
      <c r="G27" s="43"/>
      <c r="H27" s="43"/>
      <c r="I27" s="43"/>
      <c r="J27" s="43"/>
      <c r="K27" s="43"/>
      <c r="L27" s="43"/>
      <c r="M27" s="43"/>
      <c r="N27" s="43"/>
      <c r="O27" s="43"/>
      <c r="P27" s="43"/>
      <c r="Q27" s="43"/>
      <c r="R27" s="43"/>
      <c r="S27" s="43"/>
      <c r="T27" s="43"/>
      <c r="U27" s="43"/>
      <c r="V27" s="43"/>
      <c r="W27" s="43"/>
      <c r="X27" s="43"/>
      <c r="Y27" s="43"/>
      <c r="Z27" s="43"/>
    </row>
    <row r="28">
      <c r="A28" s="40" t="s">
        <v>125</v>
      </c>
      <c r="B28" s="40" t="s">
        <v>120</v>
      </c>
      <c r="C28" s="40" t="s">
        <v>120</v>
      </c>
      <c r="D28" s="40" t="s">
        <v>126</v>
      </c>
      <c r="E28" s="40" t="s">
        <v>79</v>
      </c>
      <c r="F28" s="50" t="s">
        <v>127</v>
      </c>
      <c r="G28" s="40" t="s">
        <v>72</v>
      </c>
      <c r="H28" s="40" t="s">
        <v>128</v>
      </c>
      <c r="I28" s="40" t="s">
        <v>129</v>
      </c>
      <c r="J28" s="40" t="s">
        <v>75</v>
      </c>
      <c r="K28" s="40" t="s">
        <v>6</v>
      </c>
      <c r="L28" s="46" t="s">
        <v>130</v>
      </c>
      <c r="M28" s="48"/>
      <c r="N28" s="48"/>
      <c r="O28" s="43"/>
      <c r="P28" s="43"/>
      <c r="Q28" s="43"/>
      <c r="R28" s="43"/>
      <c r="S28" s="43"/>
      <c r="T28" s="43"/>
      <c r="U28" s="43"/>
      <c r="V28" s="43"/>
      <c r="W28" s="43"/>
      <c r="X28" s="43"/>
      <c r="Y28" s="43"/>
      <c r="Z28" s="43"/>
    </row>
    <row r="29">
      <c r="A29" s="43"/>
      <c r="B29" s="43"/>
      <c r="C29" s="43"/>
      <c r="D29" s="43"/>
      <c r="E29" s="43"/>
      <c r="F29" s="44"/>
      <c r="G29" s="43"/>
      <c r="H29" s="43"/>
      <c r="I29" s="43"/>
      <c r="J29" s="43"/>
      <c r="K29" s="43"/>
      <c r="L29" s="43"/>
      <c r="M29" s="43"/>
      <c r="N29" s="43"/>
      <c r="O29" s="43"/>
      <c r="P29" s="43"/>
      <c r="Q29" s="43"/>
      <c r="R29" s="43"/>
      <c r="S29" s="43"/>
      <c r="T29" s="43"/>
      <c r="U29" s="43"/>
      <c r="V29" s="43"/>
      <c r="W29" s="43"/>
      <c r="X29" s="43"/>
      <c r="Y29" s="43"/>
      <c r="Z29" s="43"/>
    </row>
    <row r="30">
      <c r="A30" s="40" t="s">
        <v>131</v>
      </c>
      <c r="B30" s="40" t="s">
        <v>120</v>
      </c>
      <c r="C30" s="40" t="s">
        <v>132</v>
      </c>
      <c r="D30" s="40" t="s">
        <v>133</v>
      </c>
      <c r="E30" s="40" t="s">
        <v>79</v>
      </c>
      <c r="F30" s="50" t="s">
        <v>134</v>
      </c>
      <c r="G30" s="40" t="s">
        <v>72</v>
      </c>
      <c r="H30" s="40" t="s">
        <v>135</v>
      </c>
      <c r="I30" s="40" t="s">
        <v>136</v>
      </c>
      <c r="J30" s="40" t="s">
        <v>75</v>
      </c>
      <c r="K30" s="40" t="s">
        <v>6</v>
      </c>
      <c r="L30" s="46" t="s">
        <v>137</v>
      </c>
      <c r="M30" s="48"/>
      <c r="N30" s="48"/>
      <c r="O30" s="43"/>
      <c r="P30" s="43"/>
      <c r="Q30" s="43"/>
      <c r="R30" s="43"/>
      <c r="S30" s="43"/>
      <c r="T30" s="43"/>
      <c r="U30" s="43"/>
      <c r="V30" s="43"/>
      <c r="W30" s="43"/>
      <c r="X30" s="43"/>
      <c r="Y30" s="43"/>
      <c r="Z30" s="43"/>
    </row>
    <row r="31">
      <c r="A31" s="43"/>
      <c r="B31" s="43"/>
      <c r="C31" s="43"/>
      <c r="D31" s="43"/>
      <c r="E31" s="43"/>
      <c r="F31" s="44"/>
      <c r="G31" s="43"/>
      <c r="H31" s="43"/>
      <c r="I31" s="43"/>
      <c r="J31" s="43"/>
      <c r="K31" s="43"/>
      <c r="L31" s="43"/>
      <c r="M31" s="43"/>
      <c r="N31" s="43"/>
      <c r="O31" s="43"/>
      <c r="P31" s="43"/>
      <c r="Q31" s="43"/>
      <c r="R31" s="43"/>
      <c r="S31" s="43"/>
      <c r="T31" s="43"/>
      <c r="U31" s="43"/>
      <c r="V31" s="43"/>
      <c r="W31" s="43"/>
      <c r="X31" s="43"/>
      <c r="Y31" s="43"/>
      <c r="Z31" s="43"/>
    </row>
    <row r="32">
      <c r="A32" s="40" t="s">
        <v>138</v>
      </c>
      <c r="B32" s="40" t="s">
        <v>120</v>
      </c>
      <c r="C32" s="40" t="s">
        <v>139</v>
      </c>
      <c r="D32" s="40" t="s">
        <v>133</v>
      </c>
      <c r="E32" s="40" t="s">
        <v>79</v>
      </c>
      <c r="F32" s="50" t="s">
        <v>140</v>
      </c>
      <c r="G32" s="40" t="s">
        <v>72</v>
      </c>
      <c r="H32" s="40" t="s">
        <v>141</v>
      </c>
      <c r="I32" s="40" t="s">
        <v>142</v>
      </c>
      <c r="J32" s="40" t="s">
        <v>75</v>
      </c>
      <c r="K32" s="40" t="s">
        <v>6</v>
      </c>
      <c r="L32" s="46" t="s">
        <v>143</v>
      </c>
      <c r="M32" s="48"/>
      <c r="N32" s="48"/>
      <c r="O32" s="43"/>
      <c r="P32" s="43"/>
      <c r="Q32" s="43"/>
      <c r="R32" s="43"/>
      <c r="S32" s="43"/>
      <c r="T32" s="43"/>
      <c r="U32" s="43"/>
      <c r="V32" s="43"/>
      <c r="W32" s="43"/>
      <c r="X32" s="43"/>
      <c r="Y32" s="43"/>
      <c r="Z32" s="43"/>
    </row>
    <row r="33">
      <c r="A33" s="43"/>
      <c r="B33" s="43"/>
      <c r="C33" s="43"/>
      <c r="D33" s="43"/>
      <c r="E33" s="43"/>
      <c r="F33" s="44"/>
      <c r="G33" s="43"/>
      <c r="H33" s="43"/>
      <c r="I33" s="43"/>
      <c r="J33" s="43"/>
      <c r="K33" s="43"/>
      <c r="L33" s="43"/>
      <c r="M33" s="43"/>
      <c r="N33" s="43"/>
      <c r="O33" s="43"/>
      <c r="P33" s="43"/>
      <c r="Q33" s="43"/>
      <c r="R33" s="43"/>
      <c r="S33" s="43"/>
      <c r="T33" s="43"/>
      <c r="U33" s="43"/>
      <c r="V33" s="43"/>
      <c r="W33" s="43"/>
      <c r="X33" s="43"/>
      <c r="Y33" s="43"/>
      <c r="Z33" s="43"/>
    </row>
    <row r="34">
      <c r="A34" s="40" t="s">
        <v>144</v>
      </c>
      <c r="B34" s="40" t="s">
        <v>120</v>
      </c>
      <c r="C34" s="40" t="s">
        <v>120</v>
      </c>
      <c r="D34" s="40" t="s">
        <v>145</v>
      </c>
      <c r="E34" s="40" t="s">
        <v>79</v>
      </c>
      <c r="F34" s="50" t="s">
        <v>146</v>
      </c>
      <c r="G34" s="40" t="s">
        <v>72</v>
      </c>
      <c r="H34" s="40" t="s">
        <v>147</v>
      </c>
      <c r="I34" s="40" t="s">
        <v>148</v>
      </c>
      <c r="J34" s="40" t="s">
        <v>75</v>
      </c>
      <c r="K34" s="40" t="s">
        <v>6</v>
      </c>
      <c r="L34" s="46" t="s">
        <v>149</v>
      </c>
      <c r="M34" s="48"/>
      <c r="N34" s="48"/>
      <c r="O34" s="43"/>
      <c r="P34" s="43"/>
      <c r="Q34" s="43"/>
      <c r="R34" s="43"/>
      <c r="S34" s="43"/>
      <c r="T34" s="43"/>
      <c r="U34" s="43"/>
      <c r="V34" s="43"/>
      <c r="W34" s="43"/>
      <c r="X34" s="43"/>
      <c r="Y34" s="43"/>
      <c r="Z34" s="43"/>
    </row>
    <row r="35">
      <c r="A35" s="43"/>
      <c r="B35" s="43"/>
      <c r="C35" s="43"/>
      <c r="D35" s="43"/>
      <c r="E35" s="43"/>
      <c r="F35" s="44"/>
      <c r="G35" s="43"/>
      <c r="H35" s="43"/>
      <c r="I35" s="43"/>
      <c r="J35" s="43"/>
      <c r="K35" s="43"/>
      <c r="L35" s="43"/>
      <c r="M35" s="43"/>
      <c r="N35" s="43"/>
      <c r="O35" s="43"/>
      <c r="P35" s="43"/>
      <c r="Q35" s="43"/>
      <c r="R35" s="43"/>
      <c r="S35" s="43"/>
      <c r="T35" s="43"/>
      <c r="U35" s="43"/>
      <c r="V35" s="43"/>
      <c r="W35" s="43"/>
      <c r="X35" s="43"/>
      <c r="Y35" s="43"/>
      <c r="Z35" s="43"/>
    </row>
    <row r="36">
      <c r="A36" s="40" t="s">
        <v>150</v>
      </c>
      <c r="B36" s="40" t="s">
        <v>151</v>
      </c>
      <c r="C36" s="40" t="s">
        <v>151</v>
      </c>
      <c r="D36" s="40" t="s">
        <v>152</v>
      </c>
      <c r="E36" s="40" t="s">
        <v>79</v>
      </c>
      <c r="F36" s="50" t="s">
        <v>153</v>
      </c>
      <c r="G36" s="40" t="s">
        <v>72</v>
      </c>
      <c r="H36" s="40" t="s">
        <v>154</v>
      </c>
      <c r="I36" s="40" t="s">
        <v>155</v>
      </c>
      <c r="J36" s="40" t="s">
        <v>75</v>
      </c>
      <c r="K36" s="40" t="s">
        <v>6</v>
      </c>
      <c r="L36" s="46" t="s">
        <v>156</v>
      </c>
      <c r="M36" s="48"/>
      <c r="N36" s="48"/>
      <c r="O36" s="43"/>
      <c r="P36" s="43"/>
      <c r="Q36" s="43"/>
      <c r="R36" s="43"/>
      <c r="S36" s="43"/>
      <c r="T36" s="43"/>
      <c r="U36" s="43"/>
      <c r="V36" s="43"/>
      <c r="W36" s="43"/>
      <c r="X36" s="43"/>
      <c r="Y36" s="43"/>
      <c r="Z36" s="43"/>
    </row>
    <row r="37">
      <c r="A37" s="43"/>
      <c r="B37" s="43"/>
      <c r="C37" s="43"/>
      <c r="D37" s="43"/>
      <c r="E37" s="43"/>
      <c r="F37" s="44"/>
      <c r="G37" s="43"/>
      <c r="H37" s="43"/>
      <c r="I37" s="43"/>
      <c r="J37" s="43"/>
      <c r="K37" s="43"/>
      <c r="L37" s="43"/>
      <c r="M37" s="43"/>
      <c r="N37" s="43"/>
      <c r="O37" s="43"/>
      <c r="P37" s="43"/>
      <c r="Q37" s="43"/>
      <c r="R37" s="43"/>
      <c r="S37" s="43"/>
      <c r="T37" s="43"/>
      <c r="U37" s="43"/>
      <c r="V37" s="43"/>
      <c r="W37" s="43"/>
      <c r="X37" s="43"/>
      <c r="Y37" s="43"/>
      <c r="Z37" s="43"/>
    </row>
    <row r="38">
      <c r="A38" s="40" t="s">
        <v>157</v>
      </c>
      <c r="B38" s="40" t="s">
        <v>151</v>
      </c>
      <c r="C38" s="40" t="s">
        <v>151</v>
      </c>
      <c r="D38" s="40" t="s">
        <v>158</v>
      </c>
      <c r="E38" s="40" t="s">
        <v>79</v>
      </c>
      <c r="F38" s="50" t="s">
        <v>159</v>
      </c>
      <c r="G38" s="40" t="s">
        <v>72</v>
      </c>
      <c r="H38" s="40" t="s">
        <v>160</v>
      </c>
      <c r="I38" s="40" t="s">
        <v>161</v>
      </c>
      <c r="J38" s="40" t="s">
        <v>75</v>
      </c>
      <c r="K38" s="40" t="s">
        <v>9</v>
      </c>
      <c r="L38" s="46" t="s">
        <v>162</v>
      </c>
      <c r="M38" s="48"/>
      <c r="N38" s="48"/>
      <c r="O38" s="43"/>
      <c r="P38" s="43"/>
      <c r="Q38" s="43"/>
      <c r="R38" s="43"/>
      <c r="S38" s="43"/>
      <c r="T38" s="43"/>
      <c r="U38" s="43"/>
      <c r="V38" s="43"/>
      <c r="W38" s="43"/>
      <c r="X38" s="43"/>
      <c r="Y38" s="43"/>
      <c r="Z38" s="43"/>
    </row>
    <row r="39">
      <c r="A39" s="43"/>
      <c r="B39" s="43"/>
      <c r="C39" s="43"/>
      <c r="D39" s="43"/>
      <c r="E39" s="43"/>
      <c r="F39" s="44"/>
      <c r="G39" s="43"/>
      <c r="H39" s="43"/>
      <c r="I39" s="43"/>
      <c r="J39" s="43"/>
      <c r="K39" s="43"/>
      <c r="L39" s="43"/>
      <c r="M39" s="43"/>
      <c r="N39" s="43"/>
      <c r="O39" s="43"/>
      <c r="P39" s="43"/>
      <c r="Q39" s="43"/>
      <c r="R39" s="43"/>
      <c r="S39" s="43"/>
      <c r="T39" s="43"/>
      <c r="U39" s="43"/>
      <c r="V39" s="43"/>
      <c r="W39" s="43"/>
      <c r="X39" s="43"/>
      <c r="Y39" s="43"/>
      <c r="Z39" s="43"/>
    </row>
    <row r="40">
      <c r="A40" s="40" t="s">
        <v>163</v>
      </c>
      <c r="B40" s="40" t="s">
        <v>151</v>
      </c>
      <c r="C40" s="40" t="s">
        <v>151</v>
      </c>
      <c r="D40" s="40" t="s">
        <v>164</v>
      </c>
      <c r="E40" s="40" t="s">
        <v>79</v>
      </c>
      <c r="F40" s="50" t="s">
        <v>165</v>
      </c>
      <c r="G40" s="40" t="s">
        <v>72</v>
      </c>
      <c r="H40" s="40" t="s">
        <v>166</v>
      </c>
      <c r="I40" s="40" t="s">
        <v>167</v>
      </c>
      <c r="J40" s="40" t="s">
        <v>75</v>
      </c>
      <c r="K40" s="40" t="s">
        <v>9</v>
      </c>
      <c r="L40" s="46" t="s">
        <v>168</v>
      </c>
      <c r="M40" s="48"/>
      <c r="N40" s="48"/>
      <c r="O40" s="43"/>
      <c r="P40" s="43"/>
      <c r="Q40" s="43"/>
      <c r="R40" s="43"/>
      <c r="S40" s="43"/>
      <c r="T40" s="43"/>
      <c r="U40" s="43"/>
      <c r="V40" s="43"/>
      <c r="W40" s="43"/>
      <c r="X40" s="43"/>
      <c r="Y40" s="43"/>
      <c r="Z40" s="43"/>
    </row>
    <row r="41">
      <c r="A41" s="43"/>
      <c r="B41" s="43"/>
      <c r="C41" s="43"/>
      <c r="D41" s="43"/>
      <c r="E41" s="43"/>
      <c r="F41" s="44"/>
      <c r="G41" s="43"/>
      <c r="H41" s="43"/>
      <c r="I41" s="43"/>
      <c r="J41" s="43"/>
      <c r="K41" s="43"/>
      <c r="L41" s="43"/>
      <c r="M41" s="43"/>
      <c r="N41" s="43"/>
      <c r="O41" s="43"/>
      <c r="P41" s="43"/>
      <c r="Q41" s="43"/>
      <c r="R41" s="43"/>
      <c r="S41" s="43"/>
      <c r="T41" s="43"/>
      <c r="U41" s="43"/>
      <c r="V41" s="43"/>
      <c r="W41" s="43"/>
      <c r="X41" s="43"/>
      <c r="Y41" s="43"/>
      <c r="Z41" s="43"/>
    </row>
    <row r="42">
      <c r="A42" s="40" t="s">
        <v>169</v>
      </c>
      <c r="B42" s="40" t="s">
        <v>151</v>
      </c>
      <c r="C42" s="40" t="s">
        <v>151</v>
      </c>
      <c r="D42" s="40" t="s">
        <v>170</v>
      </c>
      <c r="E42" s="40" t="s">
        <v>79</v>
      </c>
      <c r="F42" s="50" t="s">
        <v>171</v>
      </c>
      <c r="G42" s="40" t="s">
        <v>72</v>
      </c>
      <c r="H42" s="40" t="s">
        <v>172</v>
      </c>
      <c r="I42" s="40" t="s">
        <v>173</v>
      </c>
      <c r="J42" s="40" t="s">
        <v>75</v>
      </c>
      <c r="K42" s="40" t="s">
        <v>6</v>
      </c>
      <c r="L42" s="46" t="s">
        <v>174</v>
      </c>
      <c r="M42" s="48"/>
      <c r="N42" s="48"/>
      <c r="O42" s="43"/>
      <c r="P42" s="43"/>
      <c r="Q42" s="43"/>
      <c r="R42" s="43"/>
      <c r="S42" s="43"/>
      <c r="T42" s="43"/>
      <c r="U42" s="43"/>
      <c r="V42" s="43"/>
      <c r="W42" s="43"/>
      <c r="X42" s="43"/>
      <c r="Y42" s="43"/>
      <c r="Z42" s="43"/>
    </row>
    <row r="43">
      <c r="A43" s="43"/>
      <c r="B43" s="43"/>
      <c r="C43" s="43"/>
      <c r="D43" s="43"/>
      <c r="E43" s="43"/>
      <c r="F43" s="44"/>
      <c r="G43" s="43"/>
      <c r="H43" s="43"/>
      <c r="I43" s="43"/>
      <c r="J43" s="43"/>
      <c r="K43" s="43"/>
      <c r="L43" s="43"/>
      <c r="M43" s="43"/>
      <c r="N43" s="43"/>
      <c r="O43" s="43"/>
      <c r="P43" s="43"/>
      <c r="Q43" s="43"/>
      <c r="R43" s="43"/>
      <c r="S43" s="43"/>
      <c r="T43" s="43"/>
      <c r="U43" s="43"/>
      <c r="V43" s="43"/>
      <c r="W43" s="43"/>
      <c r="X43" s="43"/>
      <c r="Y43" s="43"/>
      <c r="Z43" s="43"/>
    </row>
    <row r="44">
      <c r="A44" s="40" t="s">
        <v>175</v>
      </c>
      <c r="B44" s="40" t="s">
        <v>151</v>
      </c>
      <c r="C44" s="40" t="s">
        <v>151</v>
      </c>
      <c r="D44" s="40" t="s">
        <v>176</v>
      </c>
      <c r="E44" s="40" t="s">
        <v>79</v>
      </c>
      <c r="F44" s="50" t="s">
        <v>177</v>
      </c>
      <c r="G44" s="40" t="s">
        <v>72</v>
      </c>
      <c r="H44" s="40" t="s">
        <v>178</v>
      </c>
      <c r="I44" s="40" t="s">
        <v>179</v>
      </c>
      <c r="J44" s="40" t="s">
        <v>75</v>
      </c>
      <c r="K44" s="40" t="s">
        <v>6</v>
      </c>
      <c r="L44" s="46" t="s">
        <v>180</v>
      </c>
      <c r="M44" s="48"/>
      <c r="N44" s="48"/>
      <c r="O44" s="43"/>
      <c r="P44" s="43"/>
      <c r="Q44" s="43"/>
      <c r="R44" s="43"/>
      <c r="S44" s="43"/>
      <c r="T44" s="43"/>
      <c r="U44" s="43"/>
      <c r="V44" s="43"/>
      <c r="W44" s="43"/>
      <c r="X44" s="43"/>
      <c r="Y44" s="43"/>
      <c r="Z44" s="43"/>
    </row>
    <row r="45">
      <c r="A45" s="43"/>
      <c r="B45" s="43"/>
      <c r="C45" s="43"/>
      <c r="D45" s="43"/>
      <c r="E45" s="43"/>
      <c r="F45" s="44"/>
      <c r="G45" s="43"/>
      <c r="H45" s="43"/>
      <c r="I45" s="43"/>
      <c r="J45" s="43"/>
      <c r="K45" s="43"/>
      <c r="L45" s="43"/>
      <c r="M45" s="43"/>
      <c r="N45" s="43"/>
      <c r="O45" s="43"/>
      <c r="P45" s="43"/>
      <c r="Q45" s="43"/>
      <c r="R45" s="43"/>
      <c r="S45" s="43"/>
      <c r="T45" s="43"/>
      <c r="U45" s="43"/>
      <c r="V45" s="43"/>
      <c r="W45" s="43"/>
      <c r="X45" s="43"/>
      <c r="Y45" s="43"/>
      <c r="Z45" s="43"/>
    </row>
    <row r="46">
      <c r="A46" s="40" t="s">
        <v>181</v>
      </c>
      <c r="B46" s="40" t="s">
        <v>151</v>
      </c>
      <c r="C46" s="40" t="s">
        <v>151</v>
      </c>
      <c r="D46" s="40" t="s">
        <v>182</v>
      </c>
      <c r="E46" s="40" t="s">
        <v>79</v>
      </c>
      <c r="F46" s="50" t="s">
        <v>183</v>
      </c>
      <c r="G46" s="40" t="s">
        <v>72</v>
      </c>
      <c r="H46" s="40" t="s">
        <v>184</v>
      </c>
      <c r="I46" s="40" t="s">
        <v>185</v>
      </c>
      <c r="J46" s="40" t="s">
        <v>75</v>
      </c>
      <c r="K46" s="40" t="s">
        <v>6</v>
      </c>
      <c r="L46" s="46" t="s">
        <v>186</v>
      </c>
      <c r="M46" s="48"/>
      <c r="N46" s="48"/>
      <c r="O46" s="43"/>
      <c r="P46" s="43"/>
      <c r="Q46" s="43"/>
      <c r="R46" s="43"/>
      <c r="S46" s="43"/>
      <c r="T46" s="43"/>
      <c r="U46" s="43"/>
      <c r="V46" s="43"/>
      <c r="W46" s="43"/>
      <c r="X46" s="43"/>
      <c r="Y46" s="43"/>
      <c r="Z46" s="43"/>
    </row>
    <row r="47">
      <c r="A47" s="43"/>
      <c r="B47" s="43"/>
      <c r="C47" s="43"/>
      <c r="D47" s="43"/>
      <c r="E47" s="43"/>
      <c r="F47" s="44"/>
      <c r="G47" s="43"/>
      <c r="H47" s="43"/>
      <c r="I47" s="43"/>
      <c r="J47" s="43"/>
      <c r="K47" s="43"/>
      <c r="L47" s="43"/>
      <c r="M47" s="43"/>
      <c r="N47" s="43"/>
      <c r="O47" s="43"/>
      <c r="P47" s="43"/>
      <c r="Q47" s="43"/>
      <c r="R47" s="43"/>
      <c r="S47" s="43"/>
      <c r="T47" s="43"/>
      <c r="U47" s="43"/>
      <c r="V47" s="43"/>
      <c r="W47" s="43"/>
      <c r="X47" s="43"/>
      <c r="Y47" s="43"/>
      <c r="Z47" s="43"/>
    </row>
    <row r="48">
      <c r="A48" s="40" t="s">
        <v>187</v>
      </c>
      <c r="B48" s="40" t="s">
        <v>151</v>
      </c>
      <c r="C48" s="40" t="s">
        <v>151</v>
      </c>
      <c r="D48" s="40" t="s">
        <v>188</v>
      </c>
      <c r="E48" s="40" t="s">
        <v>79</v>
      </c>
      <c r="F48" s="50" t="s">
        <v>189</v>
      </c>
      <c r="G48" s="40" t="s">
        <v>72</v>
      </c>
      <c r="H48" s="40" t="s">
        <v>190</v>
      </c>
      <c r="I48" s="40" t="s">
        <v>191</v>
      </c>
      <c r="J48" s="40" t="s">
        <v>75</v>
      </c>
      <c r="K48" s="40" t="s">
        <v>9</v>
      </c>
      <c r="L48" s="46" t="s">
        <v>192</v>
      </c>
      <c r="M48" s="40"/>
      <c r="N48" s="48"/>
      <c r="O48" s="43"/>
      <c r="P48" s="43"/>
      <c r="Q48" s="43"/>
      <c r="R48" s="43"/>
      <c r="S48" s="43"/>
      <c r="T48" s="43"/>
      <c r="U48" s="43"/>
      <c r="V48" s="43"/>
      <c r="W48" s="43"/>
      <c r="X48" s="43"/>
      <c r="Y48" s="43"/>
      <c r="Z48" s="43"/>
    </row>
    <row r="49">
      <c r="A49" s="43"/>
      <c r="B49" s="43"/>
      <c r="C49" s="43"/>
      <c r="D49" s="43"/>
      <c r="E49" s="43"/>
      <c r="F49" s="44"/>
      <c r="G49" s="43"/>
      <c r="H49" s="43"/>
      <c r="I49" s="43"/>
      <c r="J49" s="43"/>
      <c r="K49" s="43"/>
      <c r="L49" s="43"/>
      <c r="M49" s="43"/>
      <c r="N49" s="43"/>
      <c r="O49" s="43"/>
      <c r="P49" s="43"/>
      <c r="Q49" s="43"/>
      <c r="R49" s="43"/>
      <c r="S49" s="43"/>
      <c r="T49" s="43"/>
      <c r="U49" s="43"/>
      <c r="V49" s="43"/>
      <c r="W49" s="43"/>
      <c r="X49" s="43"/>
      <c r="Y49" s="43"/>
      <c r="Z49" s="43"/>
    </row>
    <row r="50">
      <c r="A50" s="40" t="s">
        <v>193</v>
      </c>
      <c r="B50" s="40" t="s">
        <v>151</v>
      </c>
      <c r="C50" s="40" t="s">
        <v>151</v>
      </c>
      <c r="D50" s="40" t="s">
        <v>194</v>
      </c>
      <c r="E50" s="40" t="s">
        <v>79</v>
      </c>
      <c r="F50" s="50" t="s">
        <v>195</v>
      </c>
      <c r="G50" s="40" t="s">
        <v>72</v>
      </c>
      <c r="H50" s="40" t="s">
        <v>196</v>
      </c>
      <c r="I50" s="40" t="s">
        <v>197</v>
      </c>
      <c r="J50" s="40" t="s">
        <v>75</v>
      </c>
      <c r="K50" s="40" t="s">
        <v>9</v>
      </c>
      <c r="L50" s="46" t="s">
        <v>198</v>
      </c>
      <c r="M50" s="48"/>
      <c r="N50" s="48"/>
      <c r="O50" s="43"/>
      <c r="P50" s="43"/>
      <c r="Q50" s="43"/>
      <c r="R50" s="43"/>
      <c r="S50" s="43"/>
      <c r="T50" s="43"/>
      <c r="U50" s="43"/>
      <c r="V50" s="43"/>
      <c r="W50" s="43"/>
      <c r="X50" s="43"/>
      <c r="Y50" s="43"/>
      <c r="Z50" s="43"/>
    </row>
    <row r="51">
      <c r="A51" s="43"/>
      <c r="B51" s="43"/>
      <c r="C51" s="43"/>
      <c r="D51" s="43"/>
      <c r="E51" s="43"/>
      <c r="F51" s="44"/>
      <c r="G51" s="43"/>
      <c r="H51" s="43"/>
      <c r="I51" s="43"/>
      <c r="J51" s="43"/>
      <c r="K51" s="43"/>
      <c r="L51" s="43"/>
      <c r="M51" s="43"/>
      <c r="N51" s="43"/>
      <c r="O51" s="43"/>
      <c r="P51" s="43"/>
      <c r="Q51" s="43"/>
      <c r="R51" s="43"/>
      <c r="S51" s="43"/>
      <c r="T51" s="43"/>
      <c r="U51" s="43"/>
      <c r="V51" s="43"/>
      <c r="W51" s="43"/>
      <c r="X51" s="43"/>
      <c r="Y51" s="43"/>
      <c r="Z51" s="43"/>
    </row>
    <row r="52">
      <c r="A52" s="40" t="s">
        <v>199</v>
      </c>
      <c r="B52" s="40" t="s">
        <v>200</v>
      </c>
      <c r="C52" s="40" t="s">
        <v>200</v>
      </c>
      <c r="D52" s="40" t="s">
        <v>201</v>
      </c>
      <c r="E52" s="40" t="s">
        <v>79</v>
      </c>
      <c r="F52" s="50" t="s">
        <v>202</v>
      </c>
      <c r="G52" s="40" t="s">
        <v>72</v>
      </c>
      <c r="H52" s="40" t="s">
        <v>203</v>
      </c>
      <c r="I52" s="40" t="s">
        <v>204</v>
      </c>
      <c r="J52" s="40" t="s">
        <v>75</v>
      </c>
      <c r="K52" s="40" t="s">
        <v>6</v>
      </c>
      <c r="L52" s="47" t="s">
        <v>205</v>
      </c>
      <c r="M52" s="48"/>
      <c r="N52" s="48"/>
      <c r="O52" s="43"/>
      <c r="P52" s="43"/>
      <c r="Q52" s="43"/>
      <c r="R52" s="43"/>
      <c r="S52" s="43"/>
      <c r="T52" s="43"/>
      <c r="U52" s="43"/>
      <c r="V52" s="43"/>
      <c r="W52" s="43"/>
      <c r="X52" s="43"/>
      <c r="Y52" s="43"/>
      <c r="Z52" s="43"/>
    </row>
    <row r="53">
      <c r="A53" s="43"/>
      <c r="B53" s="43"/>
      <c r="C53" s="43"/>
      <c r="D53" s="43"/>
      <c r="E53" s="43"/>
      <c r="F53" s="44"/>
      <c r="G53" s="43"/>
      <c r="H53" s="43"/>
      <c r="I53" s="43"/>
      <c r="J53" s="43"/>
      <c r="K53" s="43"/>
      <c r="L53" s="43"/>
      <c r="M53" s="43"/>
      <c r="N53" s="43"/>
      <c r="O53" s="43"/>
      <c r="P53" s="43"/>
      <c r="Q53" s="43"/>
      <c r="R53" s="43"/>
      <c r="S53" s="43"/>
      <c r="T53" s="43"/>
      <c r="U53" s="43"/>
      <c r="V53" s="43"/>
      <c r="W53" s="43"/>
      <c r="X53" s="43"/>
      <c r="Y53" s="43"/>
      <c r="Z53" s="43"/>
    </row>
    <row r="54">
      <c r="A54" s="40" t="s">
        <v>206</v>
      </c>
      <c r="B54" s="40" t="s">
        <v>200</v>
      </c>
      <c r="C54" s="40" t="s">
        <v>200</v>
      </c>
      <c r="D54" s="40" t="s">
        <v>207</v>
      </c>
      <c r="E54" s="40" t="s">
        <v>79</v>
      </c>
      <c r="F54" s="50" t="s">
        <v>208</v>
      </c>
      <c r="G54" s="40" t="s">
        <v>72</v>
      </c>
      <c r="H54" s="40" t="s">
        <v>209</v>
      </c>
      <c r="I54" s="40" t="s">
        <v>210</v>
      </c>
      <c r="J54" s="40" t="s">
        <v>75</v>
      </c>
      <c r="K54" s="40" t="s">
        <v>6</v>
      </c>
      <c r="L54" s="46" t="s">
        <v>211</v>
      </c>
      <c r="M54" s="48"/>
      <c r="N54" s="48"/>
      <c r="O54" s="43"/>
      <c r="P54" s="43"/>
      <c r="Q54" s="43"/>
      <c r="R54" s="43"/>
      <c r="S54" s="43"/>
      <c r="T54" s="43"/>
      <c r="U54" s="43"/>
      <c r="V54" s="43"/>
      <c r="W54" s="43"/>
      <c r="X54" s="43"/>
      <c r="Y54" s="43"/>
      <c r="Z54" s="43"/>
    </row>
    <row r="55">
      <c r="A55" s="43"/>
      <c r="B55" s="43"/>
      <c r="C55" s="43"/>
      <c r="D55" s="43"/>
      <c r="E55" s="43"/>
      <c r="F55" s="44"/>
      <c r="G55" s="43"/>
      <c r="H55" s="43"/>
      <c r="I55" s="43"/>
      <c r="J55" s="43"/>
      <c r="K55" s="43"/>
      <c r="L55" s="43"/>
      <c r="M55" s="43"/>
      <c r="N55" s="43"/>
      <c r="O55" s="43"/>
      <c r="P55" s="43"/>
      <c r="Q55" s="43"/>
      <c r="R55" s="43"/>
      <c r="S55" s="43"/>
      <c r="T55" s="43"/>
      <c r="U55" s="43"/>
      <c r="V55" s="43"/>
      <c r="W55" s="43"/>
      <c r="X55" s="43"/>
      <c r="Y55" s="43"/>
      <c r="Z55" s="43"/>
    </row>
    <row r="56">
      <c r="A56" s="40" t="s">
        <v>212</v>
      </c>
      <c r="B56" s="40" t="s">
        <v>200</v>
      </c>
      <c r="C56" s="40" t="s">
        <v>200</v>
      </c>
      <c r="D56" s="40" t="s">
        <v>213</v>
      </c>
      <c r="E56" s="40" t="s">
        <v>79</v>
      </c>
      <c r="F56" s="50" t="s">
        <v>214</v>
      </c>
      <c r="G56" s="40" t="s">
        <v>72</v>
      </c>
      <c r="H56" s="40" t="s">
        <v>215</v>
      </c>
      <c r="I56" s="40" t="s">
        <v>216</v>
      </c>
      <c r="J56" s="40" t="s">
        <v>75</v>
      </c>
      <c r="K56" s="40" t="s">
        <v>6</v>
      </c>
      <c r="L56" s="46" t="s">
        <v>217</v>
      </c>
      <c r="M56" s="48"/>
      <c r="N56" s="48"/>
      <c r="O56" s="43"/>
      <c r="P56" s="43"/>
      <c r="Q56" s="43"/>
      <c r="R56" s="43"/>
      <c r="S56" s="43"/>
      <c r="T56" s="43"/>
      <c r="U56" s="43"/>
      <c r="V56" s="43"/>
      <c r="W56" s="43"/>
      <c r="X56" s="43"/>
      <c r="Y56" s="43"/>
      <c r="Z56" s="43"/>
    </row>
    <row r="57">
      <c r="A57" s="43"/>
      <c r="B57" s="43"/>
      <c r="C57" s="43"/>
      <c r="D57" s="43"/>
      <c r="E57" s="43"/>
      <c r="F57" s="44"/>
      <c r="G57" s="43"/>
      <c r="H57" s="43"/>
      <c r="I57" s="43"/>
      <c r="J57" s="43"/>
      <c r="K57" s="43"/>
      <c r="L57" s="43"/>
      <c r="M57" s="43"/>
      <c r="N57" s="43"/>
      <c r="O57" s="43"/>
      <c r="P57" s="43"/>
      <c r="Q57" s="43"/>
      <c r="R57" s="43"/>
      <c r="S57" s="43"/>
      <c r="T57" s="43"/>
      <c r="U57" s="43"/>
      <c r="V57" s="43"/>
      <c r="W57" s="43"/>
      <c r="X57" s="43"/>
      <c r="Y57" s="43"/>
      <c r="Z57" s="43"/>
    </row>
    <row r="58">
      <c r="A58" s="40" t="s">
        <v>218</v>
      </c>
      <c r="B58" s="40" t="s">
        <v>200</v>
      </c>
      <c r="C58" s="40" t="s">
        <v>200</v>
      </c>
      <c r="D58" s="40" t="s">
        <v>219</v>
      </c>
      <c r="E58" s="40" t="s">
        <v>79</v>
      </c>
      <c r="F58" s="50" t="s">
        <v>220</v>
      </c>
      <c r="G58" s="40" t="s">
        <v>72</v>
      </c>
      <c r="H58" s="40" t="s">
        <v>221</v>
      </c>
      <c r="I58" s="40" t="s">
        <v>222</v>
      </c>
      <c r="J58" s="40" t="s">
        <v>75</v>
      </c>
      <c r="K58" s="40" t="s">
        <v>6</v>
      </c>
      <c r="L58" s="46" t="s">
        <v>223</v>
      </c>
      <c r="M58" s="48"/>
      <c r="N58" s="48"/>
      <c r="O58" s="43"/>
      <c r="P58" s="43"/>
      <c r="Q58" s="43"/>
      <c r="R58" s="43"/>
      <c r="S58" s="43"/>
      <c r="T58" s="43"/>
      <c r="U58" s="43"/>
      <c r="V58" s="43"/>
      <c r="W58" s="43"/>
      <c r="X58" s="43"/>
      <c r="Y58" s="43"/>
      <c r="Z58" s="43"/>
    </row>
    <row r="59">
      <c r="A59" s="43"/>
      <c r="B59" s="43"/>
      <c r="C59" s="43"/>
      <c r="D59" s="43"/>
      <c r="E59" s="43"/>
      <c r="F59" s="44"/>
      <c r="G59" s="43"/>
      <c r="H59" s="43"/>
      <c r="I59" s="43"/>
      <c r="J59" s="43"/>
      <c r="K59" s="43"/>
      <c r="L59" s="43"/>
      <c r="M59" s="43"/>
      <c r="N59" s="43"/>
      <c r="O59" s="43"/>
      <c r="P59" s="43"/>
      <c r="Q59" s="43"/>
      <c r="R59" s="43"/>
      <c r="S59" s="43"/>
      <c r="T59" s="43"/>
      <c r="U59" s="43"/>
      <c r="V59" s="43"/>
      <c r="W59" s="43"/>
      <c r="X59" s="43"/>
      <c r="Y59" s="43"/>
      <c r="Z59" s="43"/>
    </row>
    <row r="60">
      <c r="A60" s="40" t="s">
        <v>224</v>
      </c>
      <c r="B60" s="40" t="s">
        <v>225</v>
      </c>
      <c r="C60" s="40" t="s">
        <v>226</v>
      </c>
      <c r="D60" s="40" t="s">
        <v>227</v>
      </c>
      <c r="E60" s="40" t="s">
        <v>79</v>
      </c>
      <c r="F60" s="50" t="s">
        <v>228</v>
      </c>
      <c r="G60" s="40" t="s">
        <v>229</v>
      </c>
      <c r="H60" s="40" t="s">
        <v>230</v>
      </c>
      <c r="I60" s="40" t="s">
        <v>231</v>
      </c>
      <c r="J60" s="40" t="s">
        <v>75</v>
      </c>
      <c r="K60" s="40" t="s">
        <v>6</v>
      </c>
      <c r="L60" s="46" t="s">
        <v>232</v>
      </c>
      <c r="M60" s="48"/>
      <c r="N60" s="48"/>
      <c r="O60" s="43"/>
      <c r="P60" s="43"/>
      <c r="Q60" s="43"/>
      <c r="R60" s="43"/>
      <c r="S60" s="43"/>
      <c r="T60" s="43"/>
      <c r="U60" s="43"/>
      <c r="V60" s="43"/>
      <c r="W60" s="43"/>
      <c r="X60" s="43"/>
      <c r="Y60" s="43"/>
      <c r="Z60" s="43"/>
    </row>
    <row r="61">
      <c r="A61" s="43"/>
      <c r="B61" s="43"/>
      <c r="C61" s="43"/>
      <c r="D61" s="43"/>
      <c r="E61" s="43"/>
      <c r="F61" s="44"/>
      <c r="G61" s="43"/>
      <c r="H61" s="43"/>
      <c r="I61" s="43"/>
      <c r="J61" s="43"/>
      <c r="K61" s="43"/>
      <c r="L61" s="43"/>
      <c r="M61" s="43"/>
      <c r="N61" s="43"/>
      <c r="O61" s="43"/>
      <c r="P61" s="43"/>
      <c r="Q61" s="43"/>
      <c r="R61" s="43"/>
      <c r="S61" s="43"/>
      <c r="T61" s="43"/>
      <c r="U61" s="43"/>
      <c r="V61" s="43"/>
      <c r="W61" s="43"/>
      <c r="X61" s="43"/>
      <c r="Y61" s="43"/>
      <c r="Z61" s="43"/>
    </row>
    <row r="62">
      <c r="A62" s="40" t="s">
        <v>233</v>
      </c>
      <c r="B62" s="40" t="s">
        <v>225</v>
      </c>
      <c r="C62" s="40" t="s">
        <v>234</v>
      </c>
      <c r="D62" s="40" t="s">
        <v>235</v>
      </c>
      <c r="E62" s="40" t="s">
        <v>79</v>
      </c>
      <c r="F62" s="50" t="s">
        <v>236</v>
      </c>
      <c r="G62" s="40" t="s">
        <v>237</v>
      </c>
      <c r="H62" s="40" t="s">
        <v>238</v>
      </c>
      <c r="I62" s="40" t="s">
        <v>239</v>
      </c>
      <c r="J62" s="40" t="s">
        <v>75</v>
      </c>
      <c r="K62" s="40" t="s">
        <v>9</v>
      </c>
      <c r="L62" s="46" t="s">
        <v>240</v>
      </c>
      <c r="M62" s="48"/>
      <c r="N62" s="48"/>
      <c r="O62" s="43"/>
      <c r="P62" s="43"/>
      <c r="Q62" s="43"/>
      <c r="R62" s="43"/>
      <c r="S62" s="43"/>
      <c r="T62" s="43"/>
      <c r="U62" s="43"/>
      <c r="V62" s="43"/>
      <c r="W62" s="43"/>
      <c r="X62" s="43"/>
      <c r="Y62" s="43"/>
      <c r="Z62" s="43"/>
    </row>
    <row r="63">
      <c r="A63" s="43"/>
      <c r="B63" s="43"/>
      <c r="C63" s="43"/>
      <c r="D63" s="43"/>
      <c r="E63" s="43"/>
      <c r="F63" s="44"/>
      <c r="G63" s="43"/>
      <c r="H63" s="43"/>
      <c r="I63" s="43"/>
      <c r="J63" s="43"/>
      <c r="K63" s="43"/>
      <c r="L63" s="43"/>
      <c r="M63" s="43"/>
      <c r="N63" s="43"/>
      <c r="O63" s="43"/>
      <c r="P63" s="43"/>
      <c r="Q63" s="43"/>
      <c r="R63" s="43"/>
      <c r="S63" s="43"/>
      <c r="T63" s="43"/>
      <c r="U63" s="43"/>
      <c r="V63" s="43"/>
      <c r="W63" s="43"/>
      <c r="X63" s="43"/>
      <c r="Y63" s="43"/>
      <c r="Z63" s="43"/>
    </row>
    <row r="64">
      <c r="A64" s="40" t="s">
        <v>241</v>
      </c>
      <c r="B64" s="48"/>
      <c r="C64" s="48"/>
      <c r="D64" s="48"/>
      <c r="E64" s="48"/>
      <c r="F64" s="51"/>
      <c r="G64" s="48"/>
      <c r="H64" s="48"/>
      <c r="I64" s="48"/>
      <c r="J64" s="48"/>
      <c r="K64" s="48"/>
      <c r="L64" s="52"/>
      <c r="M64" s="48"/>
      <c r="N64" s="48"/>
      <c r="O64" s="43"/>
      <c r="P64" s="43"/>
      <c r="Q64" s="43"/>
      <c r="R64" s="43"/>
      <c r="S64" s="43"/>
      <c r="T64" s="43"/>
      <c r="U64" s="43"/>
      <c r="V64" s="43"/>
      <c r="W64" s="43"/>
      <c r="X64" s="43"/>
      <c r="Y64" s="43"/>
      <c r="Z64" s="43"/>
    </row>
    <row r="65">
      <c r="A65" s="43"/>
      <c r="B65" s="43"/>
      <c r="C65" s="43"/>
      <c r="D65" s="43"/>
      <c r="E65" s="43"/>
      <c r="F65" s="44"/>
      <c r="G65" s="43"/>
      <c r="H65" s="43"/>
      <c r="I65" s="43"/>
      <c r="J65" s="43"/>
      <c r="K65" s="43"/>
      <c r="L65" s="43"/>
      <c r="M65" s="43"/>
      <c r="N65" s="43"/>
      <c r="O65" s="43"/>
      <c r="P65" s="43"/>
      <c r="Q65" s="43"/>
      <c r="R65" s="43"/>
      <c r="S65" s="43"/>
      <c r="T65" s="43"/>
      <c r="U65" s="43"/>
      <c r="V65" s="43"/>
      <c r="W65" s="43"/>
      <c r="X65" s="43"/>
      <c r="Y65" s="43"/>
      <c r="Z65" s="43"/>
    </row>
    <row r="66">
      <c r="A66" s="40" t="s">
        <v>242</v>
      </c>
      <c r="B66" s="48"/>
      <c r="C66" s="48"/>
      <c r="D66" s="48"/>
      <c r="E66" s="48"/>
      <c r="F66" s="51"/>
      <c r="G66" s="48"/>
      <c r="H66" s="48"/>
      <c r="I66" s="48"/>
      <c r="J66" s="48"/>
      <c r="K66" s="48"/>
      <c r="L66" s="52"/>
      <c r="M66" s="48"/>
      <c r="N66" s="48"/>
      <c r="O66" s="43"/>
      <c r="P66" s="43"/>
      <c r="Q66" s="43"/>
      <c r="R66" s="43"/>
      <c r="S66" s="43"/>
      <c r="T66" s="43"/>
      <c r="U66" s="43"/>
      <c r="V66" s="43"/>
      <c r="W66" s="43"/>
      <c r="X66" s="43"/>
      <c r="Y66" s="43"/>
      <c r="Z66" s="43"/>
    </row>
    <row r="67">
      <c r="A67" s="43"/>
      <c r="B67" s="43"/>
      <c r="C67" s="43"/>
      <c r="D67" s="43"/>
      <c r="E67" s="43"/>
      <c r="F67" s="44"/>
      <c r="G67" s="43"/>
      <c r="H67" s="43"/>
      <c r="I67" s="43"/>
      <c r="J67" s="43"/>
      <c r="K67" s="43"/>
      <c r="L67" s="43"/>
      <c r="M67" s="43"/>
      <c r="N67" s="43"/>
      <c r="O67" s="43"/>
      <c r="P67" s="43"/>
      <c r="Q67" s="43"/>
      <c r="R67" s="43"/>
      <c r="S67" s="43"/>
      <c r="T67" s="43"/>
      <c r="U67" s="43"/>
      <c r="V67" s="43"/>
      <c r="W67" s="43"/>
      <c r="X67" s="43"/>
      <c r="Y67" s="43"/>
      <c r="Z67" s="43"/>
    </row>
    <row r="68">
      <c r="A68" s="40" t="s">
        <v>243</v>
      </c>
      <c r="B68" s="48"/>
      <c r="C68" s="48"/>
      <c r="D68" s="48"/>
      <c r="E68" s="48"/>
      <c r="F68" s="51"/>
      <c r="G68" s="48"/>
      <c r="H68" s="48"/>
      <c r="I68" s="48"/>
      <c r="J68" s="48"/>
      <c r="K68" s="48"/>
      <c r="L68" s="52"/>
      <c r="M68" s="48"/>
      <c r="N68" s="48"/>
      <c r="O68" s="43"/>
      <c r="P68" s="43"/>
      <c r="Q68" s="43"/>
      <c r="R68" s="43"/>
      <c r="S68" s="43"/>
      <c r="T68" s="43"/>
      <c r="U68" s="43"/>
      <c r="V68" s="43"/>
      <c r="W68" s="43"/>
      <c r="X68" s="43"/>
      <c r="Y68" s="43"/>
      <c r="Z68" s="43"/>
    </row>
    <row r="69">
      <c r="A69" s="43"/>
      <c r="B69" s="43"/>
      <c r="C69" s="43"/>
      <c r="D69" s="43"/>
      <c r="E69" s="43"/>
      <c r="F69" s="44"/>
      <c r="G69" s="43"/>
      <c r="H69" s="43"/>
      <c r="I69" s="43"/>
      <c r="J69" s="43"/>
      <c r="K69" s="43"/>
      <c r="L69" s="43"/>
      <c r="M69" s="43"/>
      <c r="N69" s="43"/>
      <c r="O69" s="43"/>
      <c r="P69" s="43"/>
      <c r="Q69" s="43"/>
      <c r="R69" s="43"/>
      <c r="S69" s="43"/>
      <c r="T69" s="43"/>
      <c r="U69" s="43"/>
      <c r="V69" s="43"/>
      <c r="W69" s="43"/>
      <c r="X69" s="43"/>
      <c r="Y69" s="43"/>
      <c r="Z69" s="43"/>
    </row>
    <row r="70">
      <c r="A70" s="40" t="s">
        <v>244</v>
      </c>
      <c r="B70" s="48"/>
      <c r="C70" s="48"/>
      <c r="D70" s="48"/>
      <c r="E70" s="48"/>
      <c r="F70" s="51"/>
      <c r="G70" s="48"/>
      <c r="H70" s="48"/>
      <c r="I70" s="48"/>
      <c r="J70" s="48"/>
      <c r="K70" s="48"/>
      <c r="L70" s="52"/>
      <c r="M70" s="48"/>
      <c r="N70" s="48"/>
      <c r="O70" s="43"/>
      <c r="P70" s="43"/>
      <c r="Q70" s="43"/>
      <c r="R70" s="43"/>
      <c r="S70" s="43"/>
      <c r="T70" s="43"/>
      <c r="U70" s="43"/>
      <c r="V70" s="43"/>
      <c r="W70" s="43"/>
      <c r="X70" s="43"/>
      <c r="Y70" s="43"/>
      <c r="Z70" s="43"/>
    </row>
    <row r="71">
      <c r="A71" s="43"/>
      <c r="B71" s="43"/>
      <c r="C71" s="43"/>
      <c r="D71" s="43"/>
      <c r="E71" s="43"/>
      <c r="F71" s="44"/>
      <c r="G71" s="43"/>
      <c r="H71" s="43"/>
      <c r="I71" s="43"/>
      <c r="J71" s="43"/>
      <c r="K71" s="43"/>
      <c r="L71" s="43"/>
      <c r="M71" s="43"/>
      <c r="N71" s="43"/>
      <c r="O71" s="43"/>
      <c r="P71" s="43"/>
      <c r="Q71" s="43"/>
      <c r="R71" s="43"/>
      <c r="S71" s="43"/>
      <c r="T71" s="43"/>
      <c r="U71" s="43"/>
      <c r="V71" s="43"/>
      <c r="W71" s="43"/>
      <c r="X71" s="43"/>
      <c r="Y71" s="43"/>
      <c r="Z71" s="43"/>
    </row>
    <row r="72">
      <c r="A72" s="40" t="s">
        <v>245</v>
      </c>
      <c r="B72" s="48"/>
      <c r="C72" s="48"/>
      <c r="D72" s="48"/>
      <c r="E72" s="48"/>
      <c r="F72" s="51"/>
      <c r="G72" s="48"/>
      <c r="H72" s="48"/>
      <c r="I72" s="48"/>
      <c r="J72" s="48"/>
      <c r="K72" s="48"/>
      <c r="L72" s="52"/>
      <c r="M72" s="48"/>
      <c r="N72" s="48"/>
      <c r="O72" s="43"/>
      <c r="P72" s="43"/>
      <c r="Q72" s="43"/>
      <c r="R72" s="43"/>
      <c r="S72" s="43"/>
      <c r="T72" s="43"/>
      <c r="U72" s="43"/>
      <c r="V72" s="43"/>
      <c r="W72" s="43"/>
      <c r="X72" s="43"/>
      <c r="Y72" s="43"/>
      <c r="Z72" s="43"/>
    </row>
    <row r="73">
      <c r="A73" s="43"/>
      <c r="B73" s="43"/>
      <c r="C73" s="43"/>
      <c r="D73" s="43"/>
      <c r="E73" s="43"/>
      <c r="F73" s="44"/>
      <c r="G73" s="43"/>
      <c r="H73" s="43"/>
      <c r="I73" s="43"/>
      <c r="J73" s="43"/>
      <c r="K73" s="43"/>
      <c r="L73" s="43"/>
      <c r="M73" s="43"/>
      <c r="N73" s="43"/>
      <c r="O73" s="43"/>
      <c r="P73" s="43"/>
      <c r="Q73" s="43"/>
      <c r="R73" s="43"/>
      <c r="S73" s="43"/>
      <c r="T73" s="43"/>
      <c r="U73" s="43"/>
      <c r="V73" s="43"/>
      <c r="W73" s="43"/>
      <c r="X73" s="43"/>
      <c r="Y73" s="43"/>
      <c r="Z73" s="43"/>
    </row>
    <row r="74">
      <c r="A74" s="40" t="s">
        <v>246</v>
      </c>
      <c r="B74" s="48"/>
      <c r="C74" s="48"/>
      <c r="D74" s="48"/>
      <c r="E74" s="48"/>
      <c r="F74" s="51"/>
      <c r="G74" s="48"/>
      <c r="H74" s="48"/>
      <c r="I74" s="48"/>
      <c r="J74" s="48"/>
      <c r="K74" s="48"/>
      <c r="L74" s="52"/>
      <c r="M74" s="48"/>
      <c r="N74" s="48"/>
      <c r="O74" s="43"/>
      <c r="P74" s="43"/>
      <c r="Q74" s="43"/>
      <c r="R74" s="43"/>
      <c r="S74" s="43"/>
      <c r="T74" s="43"/>
      <c r="U74" s="43"/>
      <c r="V74" s="43"/>
      <c r="W74" s="43"/>
      <c r="X74" s="43"/>
      <c r="Y74" s="43"/>
      <c r="Z74" s="43"/>
    </row>
    <row r="75">
      <c r="A75" s="43"/>
      <c r="B75" s="43"/>
      <c r="C75" s="43"/>
      <c r="D75" s="43"/>
      <c r="E75" s="43"/>
      <c r="F75" s="44"/>
      <c r="G75" s="43"/>
      <c r="H75" s="43"/>
      <c r="I75" s="43"/>
      <c r="J75" s="43"/>
      <c r="K75" s="43"/>
      <c r="L75" s="43"/>
      <c r="M75" s="43"/>
      <c r="N75" s="43"/>
      <c r="O75" s="43"/>
      <c r="P75" s="43"/>
      <c r="Q75" s="43"/>
      <c r="R75" s="43"/>
      <c r="S75" s="43"/>
      <c r="T75" s="43"/>
      <c r="U75" s="43"/>
      <c r="V75" s="43"/>
      <c r="W75" s="43"/>
      <c r="X75" s="43"/>
      <c r="Y75" s="43"/>
      <c r="Z75" s="43"/>
    </row>
    <row r="76">
      <c r="A76" s="40" t="s">
        <v>247</v>
      </c>
      <c r="B76" s="48"/>
      <c r="C76" s="48"/>
      <c r="D76" s="48"/>
      <c r="E76" s="48"/>
      <c r="F76" s="51"/>
      <c r="G76" s="48"/>
      <c r="H76" s="48"/>
      <c r="I76" s="48"/>
      <c r="J76" s="48"/>
      <c r="K76" s="48"/>
      <c r="L76" s="52"/>
      <c r="M76" s="48"/>
      <c r="N76" s="48"/>
      <c r="O76" s="43"/>
      <c r="P76" s="43"/>
      <c r="Q76" s="43"/>
      <c r="R76" s="43"/>
      <c r="S76" s="43"/>
      <c r="T76" s="43"/>
      <c r="U76" s="43"/>
      <c r="V76" s="43"/>
      <c r="W76" s="43"/>
      <c r="X76" s="43"/>
      <c r="Y76" s="43"/>
      <c r="Z76" s="43"/>
    </row>
    <row r="77">
      <c r="A77" s="43"/>
      <c r="B77" s="43"/>
      <c r="C77" s="43"/>
      <c r="D77" s="43"/>
      <c r="E77" s="43"/>
      <c r="F77" s="44"/>
      <c r="G77" s="43"/>
      <c r="H77" s="43"/>
      <c r="I77" s="43"/>
      <c r="J77" s="43"/>
      <c r="K77" s="43"/>
      <c r="L77" s="43"/>
      <c r="M77" s="43"/>
      <c r="N77" s="43"/>
      <c r="O77" s="43"/>
      <c r="P77" s="43"/>
      <c r="Q77" s="43"/>
      <c r="R77" s="43"/>
      <c r="S77" s="43"/>
      <c r="T77" s="43"/>
      <c r="U77" s="43"/>
      <c r="V77" s="43"/>
      <c r="W77" s="43"/>
      <c r="X77" s="43"/>
      <c r="Y77" s="43"/>
      <c r="Z77" s="43"/>
    </row>
    <row r="78">
      <c r="A78" s="40" t="s">
        <v>248</v>
      </c>
      <c r="B78" s="48"/>
      <c r="C78" s="48"/>
      <c r="D78" s="48"/>
      <c r="E78" s="48"/>
      <c r="F78" s="51"/>
      <c r="G78" s="48"/>
      <c r="H78" s="48"/>
      <c r="I78" s="48"/>
      <c r="J78" s="48"/>
      <c r="K78" s="48"/>
      <c r="L78" s="52"/>
      <c r="M78" s="48"/>
      <c r="N78" s="48"/>
      <c r="O78" s="43"/>
      <c r="P78" s="43"/>
      <c r="Q78" s="43"/>
      <c r="R78" s="43"/>
      <c r="S78" s="43"/>
      <c r="T78" s="43"/>
      <c r="U78" s="43"/>
      <c r="V78" s="43"/>
      <c r="W78" s="43"/>
      <c r="X78" s="43"/>
      <c r="Y78" s="43"/>
      <c r="Z78" s="43"/>
    </row>
    <row r="79">
      <c r="A79" s="43"/>
      <c r="B79" s="43"/>
      <c r="C79" s="43"/>
      <c r="D79" s="43"/>
      <c r="E79" s="43"/>
      <c r="F79" s="44"/>
      <c r="G79" s="43"/>
      <c r="H79" s="43"/>
      <c r="I79" s="43"/>
      <c r="J79" s="43"/>
      <c r="K79" s="43"/>
      <c r="L79" s="43"/>
      <c r="M79" s="43"/>
      <c r="N79" s="43"/>
      <c r="O79" s="43"/>
      <c r="P79" s="43"/>
      <c r="Q79" s="43"/>
      <c r="R79" s="43"/>
      <c r="S79" s="43"/>
      <c r="T79" s="43"/>
      <c r="U79" s="43"/>
      <c r="V79" s="43"/>
      <c r="W79" s="43"/>
      <c r="X79" s="43"/>
      <c r="Y79" s="43"/>
      <c r="Z79" s="43"/>
    </row>
    <row r="80">
      <c r="A80" s="40" t="s">
        <v>249</v>
      </c>
      <c r="B80" s="48"/>
      <c r="C80" s="48"/>
      <c r="D80" s="48"/>
      <c r="E80" s="48"/>
      <c r="F80" s="51"/>
      <c r="G80" s="48"/>
      <c r="H80" s="48"/>
      <c r="I80" s="48"/>
      <c r="J80" s="48"/>
      <c r="K80" s="48"/>
      <c r="L80" s="52"/>
      <c r="M80" s="48"/>
      <c r="N80" s="48"/>
      <c r="O80" s="43"/>
      <c r="P80" s="43"/>
      <c r="Q80" s="43"/>
      <c r="R80" s="43"/>
      <c r="S80" s="43"/>
      <c r="T80" s="43"/>
      <c r="U80" s="43"/>
      <c r="V80" s="43"/>
      <c r="W80" s="43"/>
      <c r="X80" s="43"/>
      <c r="Y80" s="43"/>
      <c r="Z80" s="43"/>
    </row>
    <row r="81">
      <c r="A81" s="43"/>
      <c r="B81" s="43"/>
      <c r="C81" s="43"/>
      <c r="D81" s="43"/>
      <c r="E81" s="43"/>
      <c r="F81" s="44"/>
      <c r="G81" s="43"/>
      <c r="H81" s="43"/>
      <c r="I81" s="43"/>
      <c r="J81" s="43"/>
      <c r="K81" s="43"/>
      <c r="L81" s="43"/>
      <c r="M81" s="43"/>
      <c r="N81" s="43"/>
      <c r="O81" s="43"/>
      <c r="P81" s="43"/>
      <c r="Q81" s="43"/>
      <c r="R81" s="43"/>
      <c r="S81" s="43"/>
      <c r="T81" s="43"/>
      <c r="U81" s="43"/>
      <c r="V81" s="43"/>
      <c r="W81" s="43"/>
      <c r="X81" s="43"/>
      <c r="Y81" s="43"/>
      <c r="Z81" s="43"/>
    </row>
    <row r="82">
      <c r="A82" s="40" t="s">
        <v>250</v>
      </c>
      <c r="B82" s="48"/>
      <c r="C82" s="48"/>
      <c r="D82" s="48"/>
      <c r="E82" s="48"/>
      <c r="F82" s="48"/>
      <c r="G82" s="48"/>
      <c r="H82" s="48"/>
      <c r="I82" s="48"/>
      <c r="J82" s="48"/>
      <c r="K82" s="48"/>
      <c r="L82" s="52"/>
      <c r="M82" s="48"/>
      <c r="N82" s="48"/>
      <c r="O82" s="43"/>
      <c r="P82" s="43"/>
      <c r="Q82" s="43"/>
      <c r="R82" s="43"/>
      <c r="S82" s="43"/>
      <c r="T82" s="43"/>
      <c r="U82" s="43"/>
      <c r="V82" s="43"/>
      <c r="W82" s="43"/>
      <c r="X82" s="43"/>
      <c r="Y82" s="43"/>
      <c r="Z82" s="4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sheetData>
  <dataValidations>
    <dataValidation type="list" allowBlank="1" showErrorMessage="1" sqref="N8 N10 N12 N14 N16 N18 N20 N22 N24 N26 N28 N30 N32 N34 N36 N38 N40 N42 N44 N46 N48 N50 N52 N54 N56 N58 N60 N62 N64 N66 N68 N70 N72 N74 N76 N78 N80 N82">
      <formula1>"Solved,Unsolve"</formula1>
    </dataValidation>
    <dataValidation type="list" allowBlank="1" showErrorMessage="1" sqref="J8 J10 J12 J14 J16 J18 J20 J22 J24 J26 J28 J30 J32 J34 J36 J38 J40 J42 J44 J46 J48 J50 J52 J54 J56 J58 J60 J62 J64 J66 J68 J70 J72 J74 J76 J78 J80 J82">
      <formula1>"Pass,Fail"</formula1>
    </dataValidation>
    <dataValidation type="list" allowBlank="1" showErrorMessage="1" sqref="K8 K10 K12 K14 K16 K18 K20 K22 K24 K26 K28 K30 K32 K34 K36 K38 K40 K42 K44 K46 K48 K50 K52 K54 K56 K58 K60 K62 K64 K66 K68 K70 K72 K74 K76 K78 K80 K82">
      <formula1>"High,Medium,Low"</formula1>
    </dataValidation>
  </dataValidations>
  <hyperlinks>
    <hyperlink r:id="rId1" ref="F8"/>
    <hyperlink r:id="rId2" ref="L8"/>
    <hyperlink r:id="rId3" ref="F10"/>
    <hyperlink r:id="rId4" ref="L10"/>
    <hyperlink r:id="rId5" ref="F12"/>
    <hyperlink r:id="rId6" ref="L12"/>
    <hyperlink r:id="rId7" ref="F14"/>
    <hyperlink r:id="rId8" ref="L14"/>
    <hyperlink r:id="rId9" ref="F16"/>
    <hyperlink r:id="rId10" ref="L16"/>
    <hyperlink r:id="rId11" ref="F18"/>
    <hyperlink r:id="rId12" ref="L18"/>
    <hyperlink r:id="rId13" ref="F20"/>
    <hyperlink r:id="rId14" ref="L20"/>
    <hyperlink r:id="rId15" ref="F22"/>
    <hyperlink r:id="rId16" ref="L22"/>
    <hyperlink r:id="rId17" ref="F24"/>
    <hyperlink r:id="rId18" ref="L24"/>
    <hyperlink r:id="rId19" ref="F26"/>
    <hyperlink r:id="rId20" ref="L26"/>
    <hyperlink r:id="rId21" ref="F28"/>
    <hyperlink r:id="rId22" ref="L28"/>
    <hyperlink r:id="rId23" ref="F30"/>
    <hyperlink r:id="rId24" ref="L30"/>
    <hyperlink r:id="rId25" ref="F32"/>
    <hyperlink r:id="rId26" ref="L32"/>
    <hyperlink r:id="rId27" ref="F34"/>
    <hyperlink r:id="rId28" ref="L34"/>
    <hyperlink r:id="rId29" ref="F36"/>
    <hyperlink r:id="rId30" ref="L36"/>
    <hyperlink r:id="rId31" ref="F38"/>
    <hyperlink r:id="rId32" ref="L38"/>
    <hyperlink r:id="rId33" ref="F40"/>
    <hyperlink r:id="rId34" ref="L40"/>
    <hyperlink r:id="rId35" ref="F42"/>
    <hyperlink r:id="rId36" ref="L42"/>
    <hyperlink r:id="rId37" ref="F44"/>
    <hyperlink r:id="rId38" ref="L44"/>
    <hyperlink r:id="rId39" ref="F46"/>
    <hyperlink r:id="rId40" ref="L46"/>
    <hyperlink r:id="rId41" ref="F48"/>
    <hyperlink r:id="rId42" ref="L48"/>
    <hyperlink r:id="rId43" ref="F50"/>
    <hyperlink r:id="rId44" ref="L50"/>
    <hyperlink r:id="rId45" ref="F52"/>
    <hyperlink r:id="rId46" ref="L52"/>
    <hyperlink r:id="rId47" ref="F54"/>
    <hyperlink r:id="rId48" ref="L54"/>
    <hyperlink r:id="rId49" ref="F56"/>
    <hyperlink r:id="rId50" ref="L56"/>
    <hyperlink r:id="rId51" ref="F58"/>
    <hyperlink r:id="rId52" ref="L58"/>
    <hyperlink r:id="rId53" ref="F60"/>
    <hyperlink r:id="rId54" ref="L60"/>
    <hyperlink r:id="rId55" ref="F62"/>
    <hyperlink r:id="rId56" ref="L62"/>
  </hyperlinks>
  <drawing r:id="rId5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9.5"/>
    <col customWidth="1" min="3" max="3" width="15.75"/>
    <col customWidth="1" min="4" max="4" width="21.63"/>
    <col customWidth="1" min="5" max="5" width="17.13"/>
    <col customWidth="1" min="6" max="6" width="23.13"/>
    <col customWidth="1" min="8" max="8" width="19.63"/>
    <col customWidth="1" min="9" max="9" width="15.88"/>
    <col customWidth="1" min="11" max="11" width="16.0"/>
    <col customWidth="1" min="12" max="12" width="16.5"/>
    <col customWidth="1" min="13" max="13" width="17.13"/>
    <col customWidth="1" min="14" max="14" width="14.13"/>
  </cols>
  <sheetData>
    <row r="1">
      <c r="A1" s="53"/>
      <c r="B1" s="53"/>
      <c r="C1" s="53"/>
      <c r="D1" s="53"/>
      <c r="E1" s="1"/>
      <c r="F1" s="1"/>
      <c r="G1" s="53"/>
      <c r="H1" s="53"/>
      <c r="I1" s="53"/>
      <c r="J1" s="53"/>
      <c r="K1" s="53"/>
      <c r="L1" s="53"/>
      <c r="M1" s="53"/>
      <c r="N1" s="53"/>
      <c r="O1" s="53"/>
      <c r="P1" s="53"/>
    </row>
    <row r="2">
      <c r="A2" s="54" t="s">
        <v>0</v>
      </c>
      <c r="B2" s="55"/>
      <c r="C2" s="53"/>
      <c r="D2" s="4" t="s">
        <v>2</v>
      </c>
      <c r="E2" s="4" t="s">
        <v>3</v>
      </c>
      <c r="F2" s="53"/>
      <c r="G2" s="53"/>
      <c r="H2" s="53"/>
      <c r="I2" s="53"/>
      <c r="J2" s="53"/>
      <c r="K2" s="53"/>
      <c r="L2" s="53"/>
      <c r="M2" s="53"/>
      <c r="N2" s="53"/>
      <c r="O2" s="53"/>
      <c r="P2" s="53"/>
    </row>
    <row r="3">
      <c r="A3" s="54" t="s">
        <v>4</v>
      </c>
      <c r="B3" s="56"/>
      <c r="C3" s="53"/>
      <c r="D3" s="57" t="s">
        <v>6</v>
      </c>
      <c r="E3" s="58">
        <f>COUNTIF(K14:K1005, "High")</f>
        <v>0</v>
      </c>
      <c r="F3" s="53"/>
      <c r="G3" s="53"/>
      <c r="H3" s="53"/>
      <c r="I3" s="53"/>
      <c r="J3" s="53"/>
      <c r="K3" s="53"/>
      <c r="L3" s="53"/>
      <c r="M3" s="53"/>
      <c r="N3" s="53"/>
      <c r="O3" s="53"/>
      <c r="P3" s="53"/>
    </row>
    <row r="4">
      <c r="A4" s="54" t="s">
        <v>7</v>
      </c>
      <c r="B4" s="59"/>
      <c r="C4" s="53"/>
      <c r="D4" s="57" t="s">
        <v>9</v>
      </c>
      <c r="E4" s="58">
        <f>COUNTIF(K14:K1006, "Medium")</f>
        <v>0</v>
      </c>
      <c r="F4" s="53"/>
      <c r="G4" s="53"/>
      <c r="H4" s="53"/>
      <c r="I4" s="53"/>
      <c r="J4" s="53"/>
      <c r="K4" s="53"/>
      <c r="L4" s="53"/>
      <c r="M4" s="53"/>
      <c r="N4" s="53"/>
      <c r="O4" s="53"/>
      <c r="P4" s="53"/>
    </row>
    <row r="5">
      <c r="A5" s="54" t="s">
        <v>11</v>
      </c>
      <c r="B5" s="60"/>
      <c r="C5" s="53"/>
      <c r="D5" s="57" t="s">
        <v>13</v>
      </c>
      <c r="E5" s="58">
        <f>COUNTIF(K14:K1007, "Low") </f>
        <v>0</v>
      </c>
      <c r="F5" s="53"/>
      <c r="G5" s="53"/>
      <c r="H5" s="53"/>
      <c r="I5" s="53"/>
      <c r="J5" s="53"/>
      <c r="K5" s="53"/>
      <c r="L5" s="53"/>
      <c r="M5" s="53"/>
      <c r="N5" s="53"/>
      <c r="O5" s="53"/>
      <c r="P5" s="53"/>
    </row>
    <row r="6">
      <c r="A6" s="54" t="s">
        <v>14</v>
      </c>
      <c r="B6" s="60"/>
      <c r="C6" s="53"/>
      <c r="D6" s="53"/>
      <c r="E6" s="53"/>
      <c r="F6" s="53"/>
      <c r="G6" s="53"/>
      <c r="H6" s="53"/>
      <c r="I6" s="53"/>
      <c r="J6" s="53"/>
      <c r="K6" s="53"/>
      <c r="L6" s="53"/>
      <c r="M6" s="53"/>
      <c r="N6" s="53"/>
      <c r="O6" s="53"/>
      <c r="P6" s="53"/>
    </row>
    <row r="7">
      <c r="A7" s="61" t="s">
        <v>15</v>
      </c>
      <c r="B7" s="60"/>
      <c r="C7" s="53"/>
      <c r="D7" s="62" t="s">
        <v>16</v>
      </c>
      <c r="E7" s="63">
        <f>SUM(E3:E5)</f>
        <v>0</v>
      </c>
      <c r="F7" s="53"/>
      <c r="G7" s="53"/>
      <c r="H7" s="53"/>
      <c r="I7" s="53"/>
      <c r="J7" s="53"/>
      <c r="K7" s="53"/>
      <c r="L7" s="53"/>
      <c r="M7" s="53"/>
      <c r="N7" s="53"/>
      <c r="O7" s="53"/>
      <c r="P7" s="53"/>
    </row>
    <row r="8">
      <c r="A8" s="53"/>
      <c r="B8" s="53"/>
      <c r="C8" s="53"/>
      <c r="D8" s="62" t="s">
        <v>17</v>
      </c>
      <c r="E8" s="60"/>
      <c r="F8" s="53"/>
      <c r="G8" s="53"/>
      <c r="H8" s="53"/>
      <c r="I8" s="53"/>
      <c r="J8" s="53"/>
      <c r="K8" s="53"/>
      <c r="L8" s="53"/>
      <c r="M8" s="53"/>
      <c r="N8" s="53"/>
      <c r="O8" s="53"/>
      <c r="P8" s="53"/>
    </row>
    <row r="9">
      <c r="A9" s="53"/>
      <c r="B9" s="53"/>
      <c r="C9" s="53"/>
      <c r="D9" s="53"/>
      <c r="E9" s="53"/>
      <c r="F9" s="53"/>
      <c r="G9" s="53"/>
      <c r="H9" s="53"/>
      <c r="I9" s="53"/>
      <c r="J9" s="53"/>
      <c r="K9" s="53"/>
      <c r="L9" s="53"/>
      <c r="M9" s="53"/>
      <c r="N9" s="53"/>
      <c r="O9" s="53"/>
      <c r="P9" s="53"/>
    </row>
    <row r="10">
      <c r="A10" s="53"/>
      <c r="B10" s="53"/>
      <c r="C10" s="53"/>
      <c r="D10" s="53"/>
      <c r="E10" s="53"/>
      <c r="F10" s="53"/>
      <c r="G10" s="53"/>
      <c r="H10" s="53"/>
      <c r="I10" s="53"/>
      <c r="J10" s="53"/>
      <c r="K10" s="53"/>
      <c r="L10" s="53"/>
      <c r="M10" s="53"/>
      <c r="N10" s="53"/>
      <c r="O10" s="53"/>
      <c r="P10" s="53"/>
    </row>
    <row r="11">
      <c r="A11" s="53"/>
      <c r="B11" s="53"/>
      <c r="C11" s="53"/>
      <c r="D11" s="53"/>
      <c r="E11" s="53"/>
      <c r="F11" s="53"/>
      <c r="G11" s="53"/>
      <c r="H11" s="53"/>
      <c r="I11" s="53"/>
      <c r="J11" s="53"/>
      <c r="K11" s="53"/>
      <c r="L11" s="53"/>
      <c r="M11" s="53"/>
      <c r="N11" s="53"/>
      <c r="O11" s="53"/>
      <c r="P11" s="53"/>
    </row>
    <row r="12">
      <c r="A12" s="53"/>
      <c r="B12" s="53"/>
      <c r="C12" s="53"/>
      <c r="D12" s="53"/>
      <c r="E12" s="53"/>
      <c r="F12" s="53"/>
      <c r="G12" s="53"/>
      <c r="H12" s="53"/>
      <c r="I12" s="53"/>
      <c r="J12" s="53"/>
      <c r="K12" s="53"/>
      <c r="L12" s="53"/>
      <c r="M12" s="53"/>
      <c r="N12" s="53"/>
      <c r="O12" s="53"/>
      <c r="P12" s="53"/>
    </row>
    <row r="13">
      <c r="A13" s="53"/>
      <c r="B13" s="53"/>
      <c r="C13" s="53"/>
      <c r="D13" s="53"/>
      <c r="E13" s="53"/>
      <c r="F13" s="53"/>
      <c r="G13" s="53"/>
      <c r="H13" s="53"/>
      <c r="I13" s="53"/>
      <c r="J13" s="53"/>
      <c r="K13" s="53"/>
      <c r="L13" s="53"/>
      <c r="M13" s="53"/>
      <c r="N13" s="53"/>
      <c r="O13" s="53"/>
      <c r="P13" s="53"/>
    </row>
    <row r="14">
      <c r="A14" s="64" t="s">
        <v>18</v>
      </c>
      <c r="B14" s="64" t="s">
        <v>19</v>
      </c>
      <c r="C14" s="64" t="s">
        <v>20</v>
      </c>
      <c r="D14" s="64" t="s">
        <v>21</v>
      </c>
      <c r="E14" s="64" t="s">
        <v>22</v>
      </c>
      <c r="F14" s="64" t="s">
        <v>23</v>
      </c>
      <c r="G14" s="64" t="s">
        <v>24</v>
      </c>
      <c r="H14" s="64" t="s">
        <v>25</v>
      </c>
      <c r="I14" s="64" t="s">
        <v>26</v>
      </c>
      <c r="J14" s="64" t="s">
        <v>27</v>
      </c>
      <c r="K14" s="64" t="s">
        <v>2</v>
      </c>
      <c r="L14" s="64" t="s">
        <v>28</v>
      </c>
      <c r="M14" s="64" t="s">
        <v>29</v>
      </c>
      <c r="N14" s="64" t="s">
        <v>31</v>
      </c>
      <c r="O14" s="53"/>
      <c r="P14" s="53"/>
    </row>
    <row r="15">
      <c r="A15" s="65"/>
      <c r="B15" s="65"/>
      <c r="C15" s="65"/>
      <c r="D15" s="65"/>
      <c r="E15" s="65"/>
      <c r="F15" s="65"/>
      <c r="G15" s="65"/>
      <c r="H15" s="65"/>
      <c r="I15" s="65"/>
      <c r="J15" s="65"/>
      <c r="K15" s="65"/>
      <c r="L15" s="66"/>
      <c r="M15" s="67"/>
      <c r="N15" s="67"/>
      <c r="O15" s="53"/>
      <c r="P15" s="53"/>
    </row>
    <row r="16">
      <c r="A16" s="65"/>
      <c r="B16" s="65"/>
      <c r="C16" s="65"/>
      <c r="D16" s="65"/>
      <c r="E16" s="65"/>
      <c r="F16" s="65"/>
      <c r="G16" s="65"/>
      <c r="H16" s="65"/>
      <c r="I16" s="65"/>
      <c r="J16" s="65"/>
      <c r="K16" s="65"/>
      <c r="L16" s="66"/>
      <c r="M16" s="67"/>
      <c r="N16" s="68"/>
      <c r="O16" s="53"/>
      <c r="P16" s="53"/>
    </row>
    <row r="17">
      <c r="A17" s="65"/>
      <c r="B17" s="65"/>
      <c r="C17" s="65"/>
      <c r="D17" s="65"/>
      <c r="E17" s="65"/>
      <c r="F17" s="65"/>
      <c r="G17" s="65"/>
      <c r="H17" s="65"/>
      <c r="I17" s="65"/>
      <c r="J17" s="65"/>
      <c r="K17" s="65"/>
      <c r="L17" s="66"/>
      <c r="M17" s="67"/>
      <c r="N17" s="67"/>
      <c r="O17" s="53"/>
      <c r="P17" s="53"/>
    </row>
    <row r="18">
      <c r="A18" s="65"/>
      <c r="B18" s="65"/>
      <c r="C18" s="65"/>
      <c r="D18" s="65"/>
      <c r="E18" s="65"/>
      <c r="F18" s="65"/>
      <c r="G18" s="69"/>
      <c r="H18" s="65"/>
      <c r="I18" s="65"/>
      <c r="J18" s="65"/>
      <c r="K18" s="65"/>
      <c r="L18" s="66"/>
      <c r="M18" s="67"/>
      <c r="N18" s="68"/>
      <c r="O18" s="53"/>
      <c r="P18" s="53"/>
    </row>
    <row r="19">
      <c r="A19" s="65"/>
      <c r="B19" s="65"/>
      <c r="C19" s="65"/>
      <c r="D19" s="65"/>
      <c r="E19" s="65"/>
      <c r="F19" s="65"/>
      <c r="G19" s="65"/>
      <c r="H19" s="65"/>
      <c r="I19" s="65"/>
      <c r="J19" s="65"/>
      <c r="K19" s="65"/>
      <c r="L19" s="66"/>
      <c r="M19" s="67"/>
      <c r="N19" s="67"/>
      <c r="O19" s="53"/>
      <c r="P19" s="53"/>
    </row>
    <row r="20">
      <c r="A20" s="65"/>
      <c r="B20" s="65"/>
      <c r="C20" s="65"/>
      <c r="D20" s="65"/>
      <c r="E20" s="65"/>
      <c r="F20" s="65"/>
      <c r="G20" s="65"/>
      <c r="H20" s="65"/>
      <c r="I20" s="65"/>
      <c r="J20" s="65"/>
      <c r="K20" s="65"/>
      <c r="L20" s="66"/>
      <c r="M20" s="67"/>
      <c r="N20" s="68"/>
      <c r="O20" s="53"/>
      <c r="P20" s="53"/>
    </row>
    <row r="21">
      <c r="A21" s="65"/>
      <c r="B21" s="65"/>
      <c r="C21" s="65"/>
      <c r="D21" s="65"/>
      <c r="E21" s="65"/>
      <c r="F21" s="65"/>
      <c r="G21" s="65"/>
      <c r="H21" s="65"/>
      <c r="I21" s="65"/>
      <c r="J21" s="65"/>
      <c r="K21" s="65"/>
      <c r="L21" s="66"/>
      <c r="M21" s="67"/>
      <c r="N21" s="67"/>
      <c r="O21" s="53"/>
      <c r="P21" s="53"/>
    </row>
    <row r="22">
      <c r="A22" s="65"/>
      <c r="B22" s="65"/>
      <c r="C22" s="65"/>
      <c r="D22" s="65"/>
      <c r="E22" s="65"/>
      <c r="F22" s="65"/>
      <c r="G22" s="65"/>
      <c r="H22" s="65"/>
      <c r="I22" s="65"/>
      <c r="J22" s="65"/>
      <c r="K22" s="65"/>
      <c r="L22" s="66"/>
      <c r="M22" s="67"/>
      <c r="N22" s="68"/>
      <c r="O22" s="53"/>
      <c r="P22" s="53"/>
    </row>
    <row r="23">
      <c r="A23" s="65"/>
      <c r="B23" s="65"/>
      <c r="C23" s="65"/>
      <c r="D23" s="65"/>
      <c r="E23" s="65"/>
      <c r="F23" s="65"/>
      <c r="G23" s="65"/>
      <c r="H23" s="65"/>
      <c r="I23" s="65"/>
      <c r="J23" s="65"/>
      <c r="K23" s="65"/>
      <c r="L23" s="65"/>
      <c r="M23" s="70"/>
      <c r="N23" s="67"/>
      <c r="O23" s="53"/>
      <c r="P23" s="53"/>
    </row>
    <row r="24">
      <c r="A24" s="65"/>
      <c r="B24" s="65"/>
      <c r="C24" s="65"/>
      <c r="D24" s="65"/>
      <c r="E24" s="65"/>
      <c r="F24" s="65"/>
      <c r="G24" s="65"/>
      <c r="H24" s="65"/>
      <c r="I24" s="65"/>
      <c r="J24" s="65"/>
      <c r="K24" s="65"/>
      <c r="L24" s="65"/>
      <c r="M24" s="70"/>
      <c r="N24" s="68"/>
      <c r="O24" s="53"/>
      <c r="P24" s="53"/>
    </row>
    <row r="25">
      <c r="A25" s="65"/>
      <c r="B25" s="65"/>
      <c r="C25" s="65"/>
      <c r="D25" s="65"/>
      <c r="E25" s="65"/>
      <c r="F25" s="65"/>
      <c r="G25" s="65"/>
      <c r="H25" s="65"/>
      <c r="I25" s="65"/>
      <c r="J25" s="65"/>
      <c r="K25" s="65"/>
      <c r="L25" s="65"/>
      <c r="M25" s="70"/>
      <c r="N25" s="67"/>
      <c r="O25" s="53"/>
      <c r="P25" s="53"/>
    </row>
    <row r="26">
      <c r="A26" s="65"/>
      <c r="B26" s="65"/>
      <c r="C26" s="65"/>
      <c r="D26" s="65"/>
      <c r="E26" s="65"/>
      <c r="F26" s="65"/>
      <c r="G26" s="65"/>
      <c r="H26" s="65"/>
      <c r="I26" s="65"/>
      <c r="J26" s="65"/>
      <c r="K26" s="65"/>
      <c r="L26" s="65"/>
      <c r="M26" s="70"/>
      <c r="N26" s="68"/>
      <c r="O26" s="53"/>
      <c r="P26" s="53"/>
    </row>
    <row r="27">
      <c r="A27" s="65"/>
      <c r="B27" s="65"/>
      <c r="C27" s="65"/>
      <c r="D27" s="65"/>
      <c r="E27" s="65"/>
      <c r="F27" s="65"/>
      <c r="G27" s="65"/>
      <c r="H27" s="65"/>
      <c r="I27" s="65"/>
      <c r="J27" s="65"/>
      <c r="K27" s="65"/>
      <c r="L27" s="65"/>
      <c r="M27" s="70"/>
      <c r="N27" s="67"/>
      <c r="O27" s="53"/>
      <c r="P27" s="53"/>
    </row>
    <row r="28">
      <c r="A28" s="65"/>
      <c r="B28" s="65"/>
      <c r="C28" s="65"/>
      <c r="D28" s="65"/>
      <c r="E28" s="65"/>
      <c r="F28" s="65"/>
      <c r="G28" s="65"/>
      <c r="H28" s="65"/>
      <c r="I28" s="65"/>
      <c r="J28" s="65"/>
      <c r="K28" s="65"/>
      <c r="L28" s="65"/>
      <c r="M28" s="70"/>
      <c r="N28" s="68"/>
      <c r="O28" s="53"/>
      <c r="P28" s="53"/>
    </row>
    <row r="29">
      <c r="A29" s="65"/>
      <c r="B29" s="65"/>
      <c r="C29" s="65"/>
      <c r="D29" s="65"/>
      <c r="E29" s="65"/>
      <c r="F29" s="65"/>
      <c r="G29" s="65"/>
      <c r="H29" s="65"/>
      <c r="I29" s="65"/>
      <c r="J29" s="65"/>
      <c r="K29" s="65"/>
      <c r="L29" s="65"/>
      <c r="M29" s="70"/>
      <c r="N29" s="67"/>
      <c r="O29" s="53"/>
      <c r="P29" s="53"/>
    </row>
    <row r="30">
      <c r="A30" s="65"/>
      <c r="B30" s="70"/>
      <c r="C30" s="70"/>
      <c r="D30" s="70"/>
      <c r="E30" s="70"/>
      <c r="F30" s="70"/>
      <c r="G30" s="70"/>
      <c r="H30" s="70"/>
      <c r="I30" s="70"/>
      <c r="J30" s="70"/>
      <c r="K30" s="70"/>
      <c r="L30" s="70"/>
      <c r="M30" s="70"/>
      <c r="N30" s="68"/>
      <c r="O30" s="53"/>
      <c r="P30" s="53"/>
    </row>
    <row r="31">
      <c r="A31" s="65"/>
      <c r="B31" s="70"/>
      <c r="C31" s="70"/>
      <c r="D31" s="70"/>
      <c r="E31" s="70"/>
      <c r="F31" s="70"/>
      <c r="G31" s="70"/>
      <c r="H31" s="70"/>
      <c r="I31" s="70"/>
      <c r="J31" s="70"/>
      <c r="K31" s="70"/>
      <c r="L31" s="70"/>
      <c r="M31" s="70"/>
      <c r="N31" s="67"/>
      <c r="O31" s="53"/>
      <c r="P31" s="53"/>
    </row>
    <row r="32">
      <c r="A32" s="65"/>
      <c r="B32" s="70"/>
      <c r="C32" s="70"/>
      <c r="D32" s="70"/>
      <c r="E32" s="70"/>
      <c r="F32" s="70"/>
      <c r="G32" s="70"/>
      <c r="H32" s="70"/>
      <c r="I32" s="70"/>
      <c r="J32" s="70"/>
      <c r="K32" s="70"/>
      <c r="L32" s="70"/>
      <c r="M32" s="70"/>
      <c r="N32" s="68"/>
      <c r="O32" s="53"/>
      <c r="P32" s="53"/>
    </row>
    <row r="33">
      <c r="A33" s="65"/>
      <c r="B33" s="70"/>
      <c r="C33" s="70"/>
      <c r="D33" s="70"/>
      <c r="E33" s="70"/>
      <c r="F33" s="70"/>
      <c r="G33" s="70"/>
      <c r="H33" s="70"/>
      <c r="I33" s="70"/>
      <c r="J33" s="70"/>
      <c r="K33" s="70"/>
      <c r="L33" s="70"/>
      <c r="M33" s="70"/>
      <c r="N33" s="67"/>
      <c r="O33" s="53"/>
      <c r="P33" s="53"/>
    </row>
    <row r="34">
      <c r="A34" s="65"/>
      <c r="B34" s="70"/>
      <c r="C34" s="70"/>
      <c r="D34" s="70"/>
      <c r="E34" s="70"/>
      <c r="F34" s="70"/>
      <c r="G34" s="70"/>
      <c r="H34" s="70"/>
      <c r="I34" s="70"/>
      <c r="J34" s="70"/>
      <c r="K34" s="70"/>
      <c r="L34" s="70"/>
      <c r="M34" s="70"/>
      <c r="N34" s="68"/>
      <c r="O34" s="53"/>
      <c r="P34" s="53"/>
    </row>
    <row r="35">
      <c r="A35" s="65"/>
      <c r="B35" s="70"/>
      <c r="C35" s="70"/>
      <c r="D35" s="70"/>
      <c r="E35" s="70"/>
      <c r="F35" s="70"/>
      <c r="G35" s="70"/>
      <c r="H35" s="70"/>
      <c r="I35" s="70"/>
      <c r="J35" s="70"/>
      <c r="K35" s="70"/>
      <c r="L35" s="70"/>
      <c r="M35" s="70"/>
      <c r="N35" s="67"/>
      <c r="O35" s="53"/>
      <c r="P35" s="53"/>
    </row>
    <row r="36">
      <c r="A36" s="65"/>
      <c r="B36" s="70"/>
      <c r="C36" s="70"/>
      <c r="D36" s="70"/>
      <c r="E36" s="70"/>
      <c r="F36" s="70"/>
      <c r="G36" s="70"/>
      <c r="H36" s="70"/>
      <c r="I36" s="70"/>
      <c r="J36" s="70"/>
      <c r="K36" s="70"/>
      <c r="L36" s="70"/>
      <c r="M36" s="70"/>
      <c r="N36" s="68"/>
      <c r="O36" s="53"/>
      <c r="P36" s="53"/>
    </row>
    <row r="37">
      <c r="A37" s="65"/>
      <c r="B37" s="70"/>
      <c r="C37" s="70"/>
      <c r="D37" s="70"/>
      <c r="E37" s="70"/>
      <c r="F37" s="70"/>
      <c r="G37" s="70"/>
      <c r="H37" s="70"/>
      <c r="I37" s="70"/>
      <c r="J37" s="70"/>
      <c r="K37" s="70"/>
      <c r="L37" s="70"/>
      <c r="M37" s="70"/>
      <c r="N37" s="67"/>
      <c r="O37" s="53"/>
      <c r="P37" s="53"/>
    </row>
    <row r="38">
      <c r="A38" s="65"/>
      <c r="B38" s="70"/>
      <c r="C38" s="70"/>
      <c r="D38" s="70"/>
      <c r="E38" s="70"/>
      <c r="F38" s="70"/>
      <c r="G38" s="70"/>
      <c r="H38" s="70"/>
      <c r="I38" s="70"/>
      <c r="J38" s="70"/>
      <c r="K38" s="70"/>
      <c r="L38" s="70"/>
      <c r="M38" s="70"/>
      <c r="N38" s="68"/>
      <c r="O38" s="53"/>
      <c r="P38" s="53"/>
    </row>
    <row r="39">
      <c r="A39" s="65"/>
      <c r="B39" s="70"/>
      <c r="C39" s="70"/>
      <c r="D39" s="70"/>
      <c r="E39" s="70"/>
      <c r="F39" s="70"/>
      <c r="G39" s="70"/>
      <c r="H39" s="70"/>
      <c r="I39" s="70"/>
      <c r="J39" s="70"/>
      <c r="K39" s="70"/>
      <c r="L39" s="70"/>
      <c r="M39" s="70"/>
      <c r="N39" s="67"/>
      <c r="O39" s="53"/>
      <c r="P39" s="53"/>
    </row>
    <row r="40">
      <c r="A40" s="65"/>
      <c r="B40" s="70"/>
      <c r="C40" s="70"/>
      <c r="D40" s="70"/>
      <c r="E40" s="70"/>
      <c r="F40" s="70"/>
      <c r="G40" s="70"/>
      <c r="H40" s="70"/>
      <c r="I40" s="70"/>
      <c r="J40" s="70"/>
      <c r="K40" s="70"/>
      <c r="L40" s="70"/>
      <c r="M40" s="70"/>
      <c r="N40" s="68"/>
      <c r="O40" s="53"/>
      <c r="P40" s="53"/>
    </row>
    <row r="41">
      <c r="A41" s="65"/>
      <c r="B41" s="70"/>
      <c r="C41" s="70"/>
      <c r="D41" s="70"/>
      <c r="E41" s="70"/>
      <c r="F41" s="70"/>
      <c r="G41" s="70"/>
      <c r="H41" s="70"/>
      <c r="I41" s="70"/>
      <c r="J41" s="70"/>
      <c r="K41" s="70"/>
      <c r="L41" s="70"/>
      <c r="M41" s="70"/>
      <c r="N41" s="67"/>
      <c r="O41" s="53"/>
      <c r="P41" s="53"/>
    </row>
    <row r="42">
      <c r="A42" s="65"/>
      <c r="B42" s="70"/>
      <c r="C42" s="70"/>
      <c r="D42" s="70"/>
      <c r="E42" s="70"/>
      <c r="F42" s="70"/>
      <c r="G42" s="70"/>
      <c r="H42" s="70"/>
      <c r="I42" s="70"/>
      <c r="J42" s="70"/>
      <c r="K42" s="70"/>
      <c r="L42" s="70"/>
      <c r="M42" s="70"/>
      <c r="N42" s="68"/>
      <c r="O42" s="53"/>
      <c r="P42" s="53"/>
    </row>
    <row r="43">
      <c r="A43" s="65"/>
      <c r="B43" s="70"/>
      <c r="C43" s="70"/>
      <c r="D43" s="70"/>
      <c r="E43" s="70"/>
      <c r="F43" s="70"/>
      <c r="G43" s="70"/>
      <c r="H43" s="70"/>
      <c r="I43" s="70"/>
      <c r="J43" s="70"/>
      <c r="K43" s="70"/>
      <c r="L43" s="70"/>
      <c r="M43" s="70"/>
      <c r="N43" s="67"/>
      <c r="O43" s="53"/>
      <c r="P43" s="53"/>
    </row>
    <row r="44">
      <c r="A44" s="65"/>
      <c r="B44" s="70"/>
      <c r="C44" s="70"/>
      <c r="D44" s="70"/>
      <c r="E44" s="70"/>
      <c r="F44" s="70"/>
      <c r="G44" s="70"/>
      <c r="H44" s="70"/>
      <c r="I44" s="70"/>
      <c r="J44" s="70"/>
      <c r="K44" s="70"/>
      <c r="L44" s="70"/>
      <c r="M44" s="70"/>
      <c r="N44" s="68"/>
      <c r="O44" s="53"/>
      <c r="P44" s="53"/>
    </row>
    <row r="45">
      <c r="A45" s="65"/>
      <c r="B45" s="70"/>
      <c r="C45" s="70"/>
      <c r="D45" s="70"/>
      <c r="E45" s="70"/>
      <c r="F45" s="70"/>
      <c r="G45" s="70"/>
      <c r="H45" s="70"/>
      <c r="I45" s="70"/>
      <c r="J45" s="70"/>
      <c r="K45" s="70"/>
      <c r="L45" s="70"/>
      <c r="M45" s="70"/>
      <c r="N45" s="67"/>
      <c r="O45" s="53"/>
      <c r="P45" s="53"/>
    </row>
    <row r="46">
      <c r="A46" s="65"/>
      <c r="B46" s="70"/>
      <c r="C46" s="70"/>
      <c r="D46" s="70"/>
      <c r="E46" s="70"/>
      <c r="F46" s="70"/>
      <c r="G46" s="70"/>
      <c r="H46" s="70"/>
      <c r="I46" s="70"/>
      <c r="J46" s="70"/>
      <c r="K46" s="70"/>
      <c r="L46" s="70"/>
      <c r="M46" s="70"/>
      <c r="N46" s="68"/>
      <c r="O46" s="53"/>
      <c r="P46" s="53"/>
    </row>
    <row r="47">
      <c r="A47" s="65"/>
      <c r="B47" s="70"/>
      <c r="C47" s="70"/>
      <c r="D47" s="70"/>
      <c r="E47" s="70"/>
      <c r="F47" s="70"/>
      <c r="G47" s="70"/>
      <c r="H47" s="70"/>
      <c r="I47" s="70"/>
      <c r="J47" s="70"/>
      <c r="K47" s="70"/>
      <c r="L47" s="70"/>
      <c r="M47" s="70"/>
      <c r="N47" s="67"/>
      <c r="O47" s="53"/>
      <c r="P47" s="53"/>
    </row>
    <row r="48">
      <c r="A48" s="65"/>
      <c r="B48" s="70"/>
      <c r="C48" s="70"/>
      <c r="D48" s="70"/>
      <c r="E48" s="70"/>
      <c r="F48" s="70"/>
      <c r="G48" s="70"/>
      <c r="H48" s="70"/>
      <c r="I48" s="70"/>
      <c r="J48" s="70"/>
      <c r="K48" s="70"/>
      <c r="L48" s="70"/>
      <c r="M48" s="70"/>
      <c r="N48" s="68"/>
      <c r="O48" s="53"/>
      <c r="P48" s="53"/>
    </row>
    <row r="49">
      <c r="A49" s="65"/>
      <c r="B49" s="70"/>
      <c r="C49" s="70"/>
      <c r="D49" s="70"/>
      <c r="E49" s="70"/>
      <c r="F49" s="70"/>
      <c r="G49" s="70"/>
      <c r="H49" s="70"/>
      <c r="I49" s="70"/>
      <c r="J49" s="70"/>
      <c r="K49" s="70"/>
      <c r="L49" s="70"/>
      <c r="M49" s="70"/>
      <c r="N49" s="67"/>
      <c r="O49" s="53"/>
      <c r="P49" s="53"/>
    </row>
    <row r="50">
      <c r="A50" s="65"/>
      <c r="B50" s="70"/>
      <c r="C50" s="70"/>
      <c r="D50" s="70"/>
      <c r="E50" s="70"/>
      <c r="F50" s="70"/>
      <c r="G50" s="70"/>
      <c r="H50" s="70"/>
      <c r="I50" s="70"/>
      <c r="J50" s="70"/>
      <c r="K50" s="70"/>
      <c r="L50" s="70"/>
      <c r="M50" s="70"/>
      <c r="N50" s="68"/>
      <c r="O50" s="53"/>
      <c r="P50" s="53"/>
    </row>
    <row r="51">
      <c r="A51" s="65"/>
      <c r="B51" s="70"/>
      <c r="C51" s="70"/>
      <c r="D51" s="70"/>
      <c r="E51" s="70"/>
      <c r="F51" s="70"/>
      <c r="G51" s="70"/>
      <c r="H51" s="70"/>
      <c r="I51" s="70"/>
      <c r="J51" s="70"/>
      <c r="K51" s="70"/>
      <c r="L51" s="70"/>
      <c r="M51" s="70"/>
      <c r="N51" s="67"/>
      <c r="O51" s="53"/>
      <c r="P51" s="53"/>
    </row>
    <row r="52">
      <c r="A52" s="65"/>
      <c r="B52" s="70"/>
      <c r="C52" s="70"/>
      <c r="D52" s="70"/>
      <c r="E52" s="70"/>
      <c r="F52" s="70"/>
      <c r="G52" s="70"/>
      <c r="H52" s="70"/>
      <c r="I52" s="70"/>
      <c r="J52" s="70"/>
      <c r="K52" s="70"/>
      <c r="L52" s="70"/>
      <c r="M52" s="70"/>
      <c r="N52" s="68"/>
      <c r="O52" s="53"/>
      <c r="P52" s="53"/>
    </row>
    <row r="53">
      <c r="A53" s="65"/>
      <c r="B53" s="70"/>
      <c r="C53" s="70"/>
      <c r="D53" s="70"/>
      <c r="E53" s="70"/>
      <c r="F53" s="70"/>
      <c r="G53" s="70"/>
      <c r="H53" s="70"/>
      <c r="I53" s="70"/>
      <c r="J53" s="70"/>
      <c r="K53" s="70"/>
      <c r="L53" s="70"/>
      <c r="M53" s="70"/>
      <c r="N53" s="67"/>
      <c r="O53" s="53"/>
      <c r="P53" s="53"/>
    </row>
    <row r="54">
      <c r="A54" s="65"/>
      <c r="B54" s="70"/>
      <c r="C54" s="70"/>
      <c r="D54" s="70"/>
      <c r="E54" s="70"/>
      <c r="F54" s="70"/>
      <c r="G54" s="70"/>
      <c r="H54" s="70"/>
      <c r="I54" s="70"/>
      <c r="J54" s="70"/>
      <c r="K54" s="70"/>
      <c r="L54" s="70"/>
      <c r="M54" s="70"/>
      <c r="N54" s="68"/>
      <c r="O54" s="53"/>
      <c r="P54" s="53"/>
    </row>
    <row r="55">
      <c r="A55" s="65"/>
      <c r="B55" s="70"/>
      <c r="C55" s="70"/>
      <c r="D55" s="70"/>
      <c r="E55" s="70"/>
      <c r="F55" s="70"/>
      <c r="G55" s="70"/>
      <c r="H55" s="70"/>
      <c r="I55" s="70"/>
      <c r="J55" s="70"/>
      <c r="K55" s="70"/>
      <c r="L55" s="70"/>
      <c r="M55" s="70"/>
      <c r="N55" s="67"/>
      <c r="O55" s="53"/>
      <c r="P55" s="53"/>
    </row>
    <row r="56">
      <c r="A56" s="65"/>
      <c r="B56" s="70"/>
      <c r="C56" s="70"/>
      <c r="D56" s="70"/>
      <c r="E56" s="70"/>
      <c r="F56" s="70"/>
      <c r="G56" s="70"/>
      <c r="H56" s="70"/>
      <c r="I56" s="70"/>
      <c r="J56" s="70"/>
      <c r="K56" s="70"/>
      <c r="L56" s="70"/>
      <c r="M56" s="70"/>
      <c r="N56" s="68"/>
      <c r="O56" s="53"/>
      <c r="P56" s="53"/>
    </row>
    <row r="57">
      <c r="A57" s="65"/>
      <c r="B57" s="70"/>
      <c r="C57" s="70"/>
      <c r="D57" s="70"/>
      <c r="E57" s="70"/>
      <c r="F57" s="70"/>
      <c r="G57" s="70"/>
      <c r="H57" s="70"/>
      <c r="I57" s="70"/>
      <c r="J57" s="70"/>
      <c r="K57" s="70"/>
      <c r="L57" s="70"/>
      <c r="M57" s="70"/>
      <c r="N57" s="67"/>
      <c r="O57" s="53"/>
      <c r="P57" s="53"/>
    </row>
    <row r="58">
      <c r="A58" s="65"/>
      <c r="B58" s="70"/>
      <c r="C58" s="70"/>
      <c r="D58" s="70"/>
      <c r="E58" s="70"/>
      <c r="F58" s="70"/>
      <c r="G58" s="70"/>
      <c r="H58" s="70"/>
      <c r="I58" s="70"/>
      <c r="J58" s="70"/>
      <c r="K58" s="70"/>
      <c r="L58" s="70"/>
      <c r="M58" s="70"/>
      <c r="N58" s="68"/>
      <c r="O58" s="53"/>
      <c r="P58" s="53"/>
    </row>
    <row r="59">
      <c r="A59" s="65"/>
      <c r="B59" s="70"/>
      <c r="C59" s="70"/>
      <c r="D59" s="70"/>
      <c r="E59" s="70"/>
      <c r="F59" s="70"/>
      <c r="G59" s="70"/>
      <c r="H59" s="70"/>
      <c r="I59" s="70"/>
      <c r="J59" s="70"/>
      <c r="K59" s="70"/>
      <c r="L59" s="70"/>
      <c r="M59" s="70"/>
      <c r="N59" s="67"/>
      <c r="O59" s="53"/>
      <c r="P59" s="53"/>
    </row>
    <row r="60">
      <c r="A60" s="65"/>
      <c r="B60" s="70"/>
      <c r="C60" s="70"/>
      <c r="D60" s="70"/>
      <c r="E60" s="70"/>
      <c r="F60" s="70"/>
      <c r="G60" s="70"/>
      <c r="H60" s="70"/>
      <c r="I60" s="70"/>
      <c r="J60" s="70"/>
      <c r="K60" s="70"/>
      <c r="L60" s="70"/>
      <c r="M60" s="70"/>
      <c r="N60" s="68"/>
      <c r="O60" s="53"/>
      <c r="P60" s="53"/>
    </row>
    <row r="61">
      <c r="A61" s="65"/>
      <c r="B61" s="70"/>
      <c r="C61" s="70"/>
      <c r="D61" s="70"/>
      <c r="E61" s="70"/>
      <c r="F61" s="70"/>
      <c r="G61" s="70"/>
      <c r="H61" s="70"/>
      <c r="I61" s="70"/>
      <c r="J61" s="70"/>
      <c r="K61" s="70"/>
      <c r="L61" s="70"/>
      <c r="M61" s="70"/>
      <c r="N61" s="67"/>
      <c r="O61" s="53"/>
      <c r="P61" s="53"/>
    </row>
    <row r="62">
      <c r="A62" s="65"/>
      <c r="B62" s="70"/>
      <c r="C62" s="70"/>
      <c r="D62" s="70"/>
      <c r="E62" s="70"/>
      <c r="F62" s="70"/>
      <c r="G62" s="70"/>
      <c r="H62" s="70"/>
      <c r="I62" s="70"/>
      <c r="J62" s="70"/>
      <c r="K62" s="70"/>
      <c r="L62" s="70"/>
      <c r="M62" s="70"/>
      <c r="N62" s="68"/>
      <c r="O62" s="53"/>
      <c r="P62" s="53"/>
    </row>
    <row r="63">
      <c r="A63" s="65"/>
      <c r="B63" s="70"/>
      <c r="C63" s="70"/>
      <c r="D63" s="70"/>
      <c r="E63" s="70"/>
      <c r="F63" s="70"/>
      <c r="G63" s="70"/>
      <c r="H63" s="70"/>
      <c r="I63" s="70"/>
      <c r="J63" s="70"/>
      <c r="K63" s="70"/>
      <c r="L63" s="70"/>
      <c r="M63" s="70"/>
      <c r="N63" s="67"/>
      <c r="O63" s="53"/>
      <c r="P63" s="53"/>
    </row>
    <row r="64">
      <c r="A64" s="65"/>
      <c r="B64" s="70"/>
      <c r="C64" s="70"/>
      <c r="D64" s="70"/>
      <c r="E64" s="70"/>
      <c r="F64" s="70"/>
      <c r="G64" s="70"/>
      <c r="H64" s="70"/>
      <c r="I64" s="70"/>
      <c r="J64" s="70"/>
      <c r="K64" s="70"/>
      <c r="L64" s="70"/>
      <c r="M64" s="70"/>
      <c r="N64" s="68"/>
      <c r="O64" s="53"/>
      <c r="P64" s="53"/>
    </row>
    <row r="65">
      <c r="A65" s="65"/>
      <c r="B65" s="67"/>
      <c r="C65" s="67"/>
      <c r="D65" s="67"/>
      <c r="E65" s="67"/>
      <c r="F65" s="67"/>
      <c r="G65" s="67"/>
      <c r="H65" s="67"/>
      <c r="I65" s="67"/>
      <c r="J65" s="67"/>
      <c r="K65" s="67"/>
      <c r="L65" s="67"/>
      <c r="M65" s="67"/>
      <c r="N65" s="67"/>
      <c r="O65" s="53"/>
      <c r="P65" s="53"/>
    </row>
    <row r="66">
      <c r="A66" s="65"/>
      <c r="B66" s="67"/>
      <c r="C66" s="67"/>
      <c r="D66" s="67"/>
      <c r="E66" s="67"/>
      <c r="F66" s="67"/>
      <c r="G66" s="67"/>
      <c r="H66" s="67"/>
      <c r="I66" s="67"/>
      <c r="J66" s="67"/>
      <c r="K66" s="67"/>
      <c r="L66" s="67"/>
      <c r="M66" s="67"/>
      <c r="N66" s="68"/>
      <c r="O66" s="53"/>
      <c r="P66" s="53"/>
    </row>
    <row r="67">
      <c r="A67" s="65"/>
      <c r="B67" s="67"/>
      <c r="C67" s="67"/>
      <c r="D67" s="67"/>
      <c r="E67" s="67"/>
      <c r="F67" s="67"/>
      <c r="G67" s="67"/>
      <c r="H67" s="67"/>
      <c r="I67" s="67"/>
      <c r="J67" s="67"/>
      <c r="K67" s="67"/>
      <c r="L67" s="67"/>
      <c r="M67" s="67"/>
      <c r="N67" s="67"/>
      <c r="O67" s="53"/>
      <c r="P67" s="53"/>
    </row>
    <row r="68">
      <c r="A68" s="65"/>
      <c r="B68" s="67"/>
      <c r="C68" s="67"/>
      <c r="D68" s="67"/>
      <c r="E68" s="67"/>
      <c r="F68" s="67"/>
      <c r="G68" s="67"/>
      <c r="H68" s="67"/>
      <c r="I68" s="67"/>
      <c r="J68" s="67"/>
      <c r="K68" s="67"/>
      <c r="L68" s="67"/>
      <c r="M68" s="67"/>
      <c r="N68" s="68"/>
      <c r="O68" s="53"/>
      <c r="P68" s="53"/>
    </row>
    <row r="69">
      <c r="A69" s="65"/>
      <c r="B69" s="67"/>
      <c r="C69" s="67"/>
      <c r="D69" s="67"/>
      <c r="E69" s="67"/>
      <c r="F69" s="67"/>
      <c r="G69" s="67"/>
      <c r="H69" s="67"/>
      <c r="I69" s="67"/>
      <c r="J69" s="67"/>
      <c r="K69" s="67"/>
      <c r="L69" s="67"/>
      <c r="M69" s="67"/>
      <c r="N69" s="67"/>
      <c r="O69" s="53"/>
      <c r="P69" s="53"/>
    </row>
    <row r="70">
      <c r="A70" s="65"/>
      <c r="B70" s="67"/>
      <c r="C70" s="67"/>
      <c r="D70" s="67"/>
      <c r="E70" s="67"/>
      <c r="F70" s="67"/>
      <c r="G70" s="67"/>
      <c r="H70" s="67"/>
      <c r="I70" s="67"/>
      <c r="J70" s="67"/>
      <c r="K70" s="67"/>
      <c r="L70" s="67"/>
      <c r="M70" s="67"/>
      <c r="N70" s="68"/>
      <c r="O70" s="53"/>
      <c r="P70" s="53"/>
    </row>
    <row r="71">
      <c r="A71" s="65"/>
      <c r="B71" s="67"/>
      <c r="C71" s="67"/>
      <c r="D71" s="67"/>
      <c r="E71" s="67"/>
      <c r="F71" s="67"/>
      <c r="G71" s="67"/>
      <c r="H71" s="67"/>
      <c r="I71" s="67"/>
      <c r="J71" s="67"/>
      <c r="K71" s="67"/>
      <c r="L71" s="67"/>
      <c r="M71" s="67"/>
      <c r="N71" s="67"/>
      <c r="O71" s="53"/>
      <c r="P71" s="53"/>
    </row>
    <row r="72">
      <c r="A72" s="65"/>
      <c r="B72" s="67"/>
      <c r="C72" s="67"/>
      <c r="D72" s="67"/>
      <c r="E72" s="67"/>
      <c r="F72" s="67"/>
      <c r="G72" s="67"/>
      <c r="H72" s="67"/>
      <c r="I72" s="67"/>
      <c r="J72" s="67"/>
      <c r="K72" s="67"/>
      <c r="L72" s="67"/>
      <c r="M72" s="67"/>
      <c r="N72" s="68"/>
      <c r="O72" s="53"/>
      <c r="P72" s="53"/>
    </row>
    <row r="73">
      <c r="A73" s="65"/>
      <c r="B73" s="67"/>
      <c r="C73" s="67"/>
      <c r="D73" s="67"/>
      <c r="E73" s="67"/>
      <c r="F73" s="67"/>
      <c r="G73" s="67"/>
      <c r="H73" s="67"/>
      <c r="I73" s="67"/>
      <c r="J73" s="67"/>
      <c r="K73" s="67"/>
      <c r="L73" s="67"/>
      <c r="M73" s="67"/>
      <c r="N73" s="67"/>
      <c r="O73" s="53"/>
      <c r="P73" s="53"/>
    </row>
    <row r="74">
      <c r="A74" s="65"/>
      <c r="B74" s="67"/>
      <c r="C74" s="67"/>
      <c r="D74" s="67"/>
      <c r="E74" s="67"/>
      <c r="F74" s="67"/>
      <c r="G74" s="67"/>
      <c r="H74" s="67"/>
      <c r="I74" s="67"/>
      <c r="J74" s="67"/>
      <c r="K74" s="67"/>
      <c r="L74" s="67"/>
      <c r="M74" s="67"/>
      <c r="N74" s="68"/>
      <c r="O74" s="53"/>
      <c r="P74" s="53"/>
    </row>
    <row r="75">
      <c r="A75" s="65"/>
      <c r="B75" s="67"/>
      <c r="C75" s="67"/>
      <c r="D75" s="67"/>
      <c r="E75" s="67"/>
      <c r="F75" s="67"/>
      <c r="G75" s="67"/>
      <c r="H75" s="67"/>
      <c r="I75" s="67"/>
      <c r="J75" s="67"/>
      <c r="K75" s="67"/>
      <c r="L75" s="67"/>
      <c r="M75" s="67"/>
      <c r="N75" s="67"/>
      <c r="O75" s="53"/>
      <c r="P75" s="53"/>
    </row>
    <row r="76">
      <c r="A76" s="65"/>
      <c r="B76" s="67"/>
      <c r="C76" s="67"/>
      <c r="D76" s="67"/>
      <c r="E76" s="67"/>
      <c r="F76" s="67"/>
      <c r="G76" s="67"/>
      <c r="H76" s="67"/>
      <c r="I76" s="67"/>
      <c r="J76" s="67"/>
      <c r="K76" s="67"/>
      <c r="L76" s="67"/>
      <c r="M76" s="67"/>
      <c r="N76" s="68"/>
      <c r="O76" s="53"/>
      <c r="P76" s="53"/>
    </row>
    <row r="77">
      <c r="A77" s="65"/>
      <c r="B77" s="67"/>
      <c r="C77" s="67"/>
      <c r="D77" s="67"/>
      <c r="E77" s="67"/>
      <c r="F77" s="67"/>
      <c r="G77" s="67"/>
      <c r="H77" s="67"/>
      <c r="I77" s="67"/>
      <c r="J77" s="67"/>
      <c r="K77" s="67"/>
      <c r="L77" s="67"/>
      <c r="M77" s="67"/>
      <c r="N77" s="67"/>
      <c r="O77" s="53"/>
      <c r="P77" s="53"/>
    </row>
    <row r="78">
      <c r="A78" s="65"/>
      <c r="B78" s="67"/>
      <c r="C78" s="67"/>
      <c r="D78" s="67"/>
      <c r="E78" s="67"/>
      <c r="F78" s="67"/>
      <c r="G78" s="67"/>
      <c r="H78" s="67"/>
      <c r="I78" s="67"/>
      <c r="J78" s="67"/>
      <c r="K78" s="67"/>
      <c r="L78" s="67"/>
      <c r="M78" s="67"/>
      <c r="N78" s="68"/>
      <c r="O78" s="53"/>
      <c r="P78" s="53"/>
    </row>
    <row r="79">
      <c r="A79" s="70"/>
      <c r="B79" s="67"/>
      <c r="C79" s="67"/>
      <c r="D79" s="67"/>
      <c r="E79" s="67"/>
      <c r="F79" s="67"/>
      <c r="G79" s="67"/>
      <c r="H79" s="67"/>
      <c r="I79" s="67"/>
      <c r="J79" s="67"/>
      <c r="K79" s="67"/>
      <c r="L79" s="67"/>
      <c r="M79" s="67"/>
      <c r="N79" s="67"/>
      <c r="O79" s="53"/>
      <c r="P79" s="53"/>
    </row>
    <row r="80">
      <c r="A80" s="67"/>
      <c r="B80" s="67"/>
      <c r="C80" s="67"/>
      <c r="D80" s="67"/>
      <c r="E80" s="67"/>
      <c r="F80" s="67"/>
      <c r="G80" s="67"/>
      <c r="H80" s="67"/>
      <c r="I80" s="67"/>
      <c r="J80" s="67"/>
      <c r="K80" s="67"/>
      <c r="L80" s="67"/>
      <c r="M80" s="67"/>
      <c r="N80" s="68"/>
      <c r="O80" s="53"/>
      <c r="P80" s="53"/>
    </row>
    <row r="81">
      <c r="A81" s="67"/>
      <c r="B81" s="67"/>
      <c r="C81" s="67"/>
      <c r="D81" s="67"/>
      <c r="E81" s="67"/>
      <c r="F81" s="67"/>
      <c r="G81" s="67"/>
      <c r="H81" s="67"/>
      <c r="I81" s="67"/>
      <c r="J81" s="67"/>
      <c r="K81" s="67"/>
      <c r="L81" s="67"/>
      <c r="M81" s="67"/>
      <c r="N81" s="67"/>
      <c r="O81" s="53"/>
      <c r="P81" s="53"/>
    </row>
    <row r="82">
      <c r="A82" s="67"/>
      <c r="B82" s="67"/>
      <c r="C82" s="67"/>
      <c r="D82" s="67"/>
      <c r="E82" s="67"/>
      <c r="F82" s="67"/>
      <c r="G82" s="67"/>
      <c r="H82" s="67"/>
      <c r="I82" s="67"/>
      <c r="J82" s="67"/>
      <c r="K82" s="67"/>
      <c r="L82" s="67"/>
      <c r="M82" s="67"/>
      <c r="N82" s="68"/>
      <c r="O82" s="53"/>
      <c r="P82" s="53"/>
    </row>
    <row r="83">
      <c r="A83" s="67"/>
      <c r="B83" s="67"/>
      <c r="C83" s="67"/>
      <c r="D83" s="67"/>
      <c r="E83" s="67"/>
      <c r="F83" s="67"/>
      <c r="G83" s="67"/>
      <c r="H83" s="67"/>
      <c r="I83" s="67"/>
      <c r="J83" s="67"/>
      <c r="K83" s="67"/>
      <c r="L83" s="67"/>
      <c r="M83" s="67"/>
      <c r="N83" s="67"/>
      <c r="O83" s="53"/>
      <c r="P83" s="53"/>
    </row>
    <row r="84">
      <c r="A84" s="67"/>
      <c r="B84" s="67"/>
      <c r="C84" s="67"/>
      <c r="D84" s="67"/>
      <c r="E84" s="67"/>
      <c r="F84" s="67"/>
      <c r="G84" s="67"/>
      <c r="H84" s="67"/>
      <c r="I84" s="67"/>
      <c r="J84" s="67"/>
      <c r="K84" s="67"/>
      <c r="L84" s="67"/>
      <c r="M84" s="67"/>
      <c r="N84" s="68"/>
      <c r="O84" s="53"/>
      <c r="P84" s="53"/>
    </row>
    <row r="85">
      <c r="A85" s="67"/>
      <c r="B85" s="67"/>
      <c r="C85" s="67"/>
      <c r="D85" s="67"/>
      <c r="E85" s="67"/>
      <c r="F85" s="67"/>
      <c r="G85" s="67"/>
      <c r="H85" s="67"/>
      <c r="I85" s="67"/>
      <c r="J85" s="67"/>
      <c r="K85" s="67"/>
      <c r="L85" s="67"/>
      <c r="M85" s="67"/>
      <c r="N85" s="67"/>
      <c r="O85" s="53"/>
      <c r="P85" s="53"/>
    </row>
    <row r="86">
      <c r="A86" s="67"/>
      <c r="B86" s="67"/>
      <c r="C86" s="67"/>
      <c r="D86" s="67"/>
      <c r="E86" s="67"/>
      <c r="F86" s="67"/>
      <c r="G86" s="67"/>
      <c r="H86" s="67"/>
      <c r="I86" s="67"/>
      <c r="J86" s="67"/>
      <c r="K86" s="67"/>
      <c r="L86" s="67"/>
      <c r="M86" s="67"/>
      <c r="N86" s="68"/>
      <c r="O86" s="53"/>
      <c r="P86" s="53"/>
    </row>
    <row r="87">
      <c r="A87" s="67"/>
      <c r="B87" s="67"/>
      <c r="C87" s="67"/>
      <c r="D87" s="67"/>
      <c r="E87" s="67"/>
      <c r="F87" s="67"/>
      <c r="G87" s="67"/>
      <c r="H87" s="67"/>
      <c r="I87" s="67"/>
      <c r="J87" s="67"/>
      <c r="K87" s="67"/>
      <c r="L87" s="67"/>
      <c r="M87" s="67"/>
      <c r="N87" s="67"/>
      <c r="O87" s="53"/>
      <c r="P87" s="53"/>
    </row>
    <row r="88">
      <c r="A88" s="67"/>
      <c r="B88" s="67"/>
      <c r="C88" s="67"/>
      <c r="D88" s="67"/>
      <c r="E88" s="67"/>
      <c r="F88" s="67"/>
      <c r="G88" s="67"/>
      <c r="H88" s="67"/>
      <c r="I88" s="67"/>
      <c r="J88" s="67"/>
      <c r="K88" s="67"/>
      <c r="L88" s="67"/>
      <c r="M88" s="67"/>
      <c r="N88" s="68"/>
      <c r="O88" s="53"/>
      <c r="P88" s="53"/>
    </row>
    <row r="89">
      <c r="A89" s="67"/>
      <c r="B89" s="67"/>
      <c r="C89" s="67"/>
      <c r="D89" s="67"/>
      <c r="E89" s="67"/>
      <c r="F89" s="67"/>
      <c r="G89" s="67"/>
      <c r="H89" s="67"/>
      <c r="I89" s="67"/>
      <c r="J89" s="67"/>
      <c r="K89" s="67"/>
      <c r="L89" s="67"/>
      <c r="M89" s="67"/>
      <c r="N89" s="67"/>
      <c r="O89" s="53"/>
      <c r="P89" s="53"/>
    </row>
    <row r="90">
      <c r="A90" s="67"/>
      <c r="B90" s="67"/>
      <c r="C90" s="67"/>
      <c r="D90" s="67"/>
      <c r="E90" s="67"/>
      <c r="F90" s="67"/>
      <c r="G90" s="67"/>
      <c r="H90" s="67"/>
      <c r="I90" s="67"/>
      <c r="J90" s="67"/>
      <c r="K90" s="67"/>
      <c r="L90" s="67"/>
      <c r="M90" s="67"/>
      <c r="N90" s="68"/>
      <c r="O90" s="53"/>
      <c r="P90" s="53"/>
    </row>
    <row r="91">
      <c r="A91" s="67"/>
      <c r="B91" s="67"/>
      <c r="C91" s="67"/>
      <c r="D91" s="67"/>
      <c r="E91" s="67"/>
      <c r="F91" s="67"/>
      <c r="G91" s="67"/>
      <c r="H91" s="67"/>
      <c r="I91" s="67"/>
      <c r="J91" s="67"/>
      <c r="K91" s="67"/>
      <c r="L91" s="67"/>
      <c r="M91" s="67"/>
      <c r="N91" s="67"/>
      <c r="O91" s="53"/>
      <c r="P91" s="53"/>
    </row>
    <row r="92">
      <c r="A92" s="67"/>
      <c r="B92" s="67"/>
      <c r="C92" s="67"/>
      <c r="D92" s="67"/>
      <c r="E92" s="67"/>
      <c r="F92" s="67"/>
      <c r="G92" s="67"/>
      <c r="H92" s="67"/>
      <c r="I92" s="67"/>
      <c r="J92" s="67"/>
      <c r="K92" s="67"/>
      <c r="L92" s="67"/>
      <c r="M92" s="67"/>
      <c r="N92" s="68"/>
      <c r="O92" s="53"/>
      <c r="P92" s="53"/>
    </row>
    <row r="93">
      <c r="A93" s="67"/>
      <c r="B93" s="67"/>
      <c r="C93" s="67"/>
      <c r="D93" s="67"/>
      <c r="E93" s="67"/>
      <c r="F93" s="67"/>
      <c r="G93" s="67"/>
      <c r="H93" s="67"/>
      <c r="I93" s="67"/>
      <c r="J93" s="67"/>
      <c r="K93" s="67"/>
      <c r="L93" s="67"/>
      <c r="M93" s="67"/>
      <c r="N93" s="67"/>
      <c r="O93" s="53"/>
      <c r="P93" s="53"/>
    </row>
    <row r="94">
      <c r="A94" s="67"/>
      <c r="B94" s="67"/>
      <c r="C94" s="67"/>
      <c r="D94" s="67"/>
      <c r="E94" s="67"/>
      <c r="F94" s="67"/>
      <c r="G94" s="67"/>
      <c r="H94" s="67"/>
      <c r="I94" s="67"/>
      <c r="J94" s="67"/>
      <c r="K94" s="67"/>
      <c r="L94" s="67"/>
      <c r="M94" s="67"/>
      <c r="N94" s="68"/>
      <c r="O94" s="53"/>
      <c r="P94" s="53"/>
    </row>
    <row r="95">
      <c r="A95" s="71"/>
      <c r="B95" s="65"/>
      <c r="C95" s="65"/>
      <c r="D95" s="65"/>
      <c r="E95" s="65"/>
      <c r="F95" s="65"/>
      <c r="G95" s="65"/>
      <c r="H95" s="65"/>
      <c r="I95" s="65"/>
      <c r="J95" s="65"/>
      <c r="K95" s="65"/>
      <c r="L95" s="72"/>
      <c r="M95" s="65"/>
      <c r="N95" s="65"/>
      <c r="O95" s="53"/>
      <c r="P95" s="53"/>
    </row>
    <row r="96">
      <c r="A96" s="65"/>
      <c r="B96" s="73"/>
      <c r="C96" s="73"/>
      <c r="D96" s="73"/>
      <c r="E96" s="73"/>
      <c r="F96" s="73"/>
      <c r="G96" s="73"/>
      <c r="H96" s="73"/>
      <c r="I96" s="73"/>
      <c r="J96" s="73"/>
      <c r="K96" s="73"/>
      <c r="L96" s="74"/>
      <c r="M96" s="73"/>
      <c r="N96" s="75"/>
      <c r="O96" s="53"/>
      <c r="P96" s="53"/>
    </row>
    <row r="97">
      <c r="A97" s="76"/>
      <c r="B97" s="77"/>
      <c r="C97" s="77"/>
      <c r="D97" s="77"/>
      <c r="E97" s="77"/>
      <c r="F97" s="77"/>
      <c r="G97" s="77"/>
      <c r="H97" s="77"/>
      <c r="I97" s="77"/>
      <c r="J97" s="77"/>
      <c r="K97" s="77"/>
      <c r="L97" s="78"/>
      <c r="M97" s="77"/>
      <c r="N97" s="77"/>
      <c r="O97" s="53"/>
      <c r="P97" s="53"/>
    </row>
    <row r="98">
      <c r="A98" s="79"/>
      <c r="B98" s="76"/>
      <c r="C98" s="76"/>
      <c r="D98" s="76"/>
      <c r="E98" s="76"/>
      <c r="F98" s="76"/>
      <c r="G98" s="76"/>
      <c r="H98" s="76"/>
      <c r="I98" s="76"/>
      <c r="J98" s="76"/>
      <c r="K98" s="76"/>
      <c r="L98" s="80"/>
      <c r="M98" s="76"/>
      <c r="N98" s="81"/>
      <c r="O98" s="53"/>
      <c r="P98" s="53"/>
    </row>
    <row r="99">
      <c r="A99" s="77"/>
      <c r="B99" s="77"/>
      <c r="C99" s="77"/>
      <c r="D99" s="77"/>
      <c r="E99" s="77"/>
      <c r="F99" s="77"/>
      <c r="G99" s="77"/>
      <c r="H99" s="77"/>
      <c r="I99" s="77"/>
      <c r="J99" s="77"/>
      <c r="K99" s="77"/>
      <c r="L99" s="78"/>
      <c r="M99" s="77"/>
      <c r="N99" s="77"/>
      <c r="O99" s="53"/>
      <c r="P99" s="53"/>
    </row>
    <row r="100">
      <c r="A100" s="53"/>
      <c r="B100" s="53"/>
      <c r="C100" s="53"/>
      <c r="D100" s="53"/>
      <c r="E100" s="53"/>
      <c r="F100" s="53"/>
      <c r="G100" s="53"/>
      <c r="H100" s="53"/>
      <c r="I100" s="53"/>
      <c r="J100" s="53"/>
      <c r="K100" s="53"/>
      <c r="L100" s="53"/>
      <c r="M100" s="53"/>
      <c r="N100" s="53"/>
      <c r="O100" s="53"/>
      <c r="P100" s="53"/>
    </row>
    <row r="101">
      <c r="A101" s="53"/>
      <c r="B101" s="53"/>
      <c r="C101" s="53"/>
      <c r="D101" s="53"/>
      <c r="E101" s="53"/>
      <c r="F101" s="53"/>
      <c r="G101" s="53"/>
      <c r="H101" s="53"/>
      <c r="I101" s="53"/>
      <c r="J101" s="53"/>
      <c r="K101" s="53"/>
      <c r="L101" s="53"/>
      <c r="M101" s="53"/>
      <c r="N101" s="53"/>
      <c r="O101" s="53"/>
      <c r="P101" s="53"/>
    </row>
    <row r="102">
      <c r="A102" s="53"/>
      <c r="B102" s="53"/>
      <c r="C102" s="53"/>
      <c r="D102" s="53"/>
      <c r="E102" s="53"/>
      <c r="F102" s="53"/>
      <c r="G102" s="53"/>
      <c r="H102" s="53"/>
      <c r="I102" s="53"/>
      <c r="J102" s="53"/>
      <c r="K102" s="53"/>
      <c r="L102" s="53"/>
      <c r="M102" s="53"/>
      <c r="N102" s="53"/>
      <c r="O102" s="53"/>
      <c r="P102" s="53"/>
    </row>
    <row r="103">
      <c r="A103" s="53"/>
      <c r="B103" s="53"/>
      <c r="C103" s="53"/>
      <c r="D103" s="53"/>
      <c r="E103" s="53"/>
      <c r="F103" s="53"/>
      <c r="G103" s="53"/>
      <c r="H103" s="53"/>
      <c r="I103" s="53"/>
      <c r="J103" s="53"/>
      <c r="K103" s="53"/>
      <c r="L103" s="53"/>
      <c r="M103" s="53"/>
      <c r="N103" s="53"/>
      <c r="O103" s="53"/>
      <c r="P103" s="53"/>
    </row>
    <row r="104">
      <c r="A104" s="53"/>
      <c r="B104" s="53"/>
      <c r="C104" s="53"/>
      <c r="D104" s="53"/>
      <c r="E104" s="53"/>
      <c r="F104" s="53"/>
      <c r="G104" s="53"/>
      <c r="H104" s="53"/>
      <c r="I104" s="53"/>
      <c r="J104" s="53"/>
      <c r="K104" s="53"/>
      <c r="L104" s="53"/>
      <c r="M104" s="53"/>
      <c r="N104" s="53"/>
      <c r="O104" s="53"/>
      <c r="P104" s="53"/>
    </row>
    <row r="105">
      <c r="A105" s="53"/>
      <c r="B105" s="53"/>
      <c r="C105" s="53"/>
      <c r="D105" s="53"/>
      <c r="E105" s="53"/>
      <c r="F105" s="53"/>
      <c r="G105" s="53"/>
      <c r="H105" s="53"/>
      <c r="I105" s="53"/>
      <c r="J105" s="53"/>
      <c r="K105" s="53"/>
      <c r="L105" s="53"/>
      <c r="M105" s="53"/>
      <c r="N105" s="53"/>
      <c r="O105" s="53"/>
      <c r="P105" s="53"/>
    </row>
  </sheetData>
  <dataValidations>
    <dataValidation type="list" allowBlank="1" showErrorMessage="1" sqref="K17">
      <formula1>"High,Medium,Low"</formula1>
    </dataValidation>
    <dataValidation type="list" allowBlank="1" showErrorMessage="1" sqref="N15:N95 N97 N99">
      <formula1>"Solved,Unsolved"</formula1>
    </dataValidation>
    <dataValidation type="list" allowBlank="1" showErrorMessage="1" sqref="K15:K16 K18:K95 K97 K99">
      <formula1>"High,Medium,Low,Severity"</formula1>
    </dataValidation>
    <dataValidation type="list" allowBlank="1" showErrorMessage="1" sqref="J15:J95 J97 J99">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2.5"/>
    <col customWidth="1" min="3" max="3" width="19.63"/>
    <col customWidth="1" min="4" max="4" width="11.25"/>
    <col customWidth="1" min="5" max="5" width="12.63"/>
    <col customWidth="1" min="6" max="6" width="16.38"/>
  </cols>
  <sheetData>
    <row r="1">
      <c r="A1" s="82" t="s">
        <v>19</v>
      </c>
      <c r="B1" s="82" t="s">
        <v>20</v>
      </c>
      <c r="C1" s="83" t="s">
        <v>18</v>
      </c>
      <c r="D1" s="82" t="s">
        <v>251</v>
      </c>
      <c r="E1" s="82" t="s">
        <v>252</v>
      </c>
      <c r="F1" s="84" t="s">
        <v>253</v>
      </c>
      <c r="G1" s="85"/>
      <c r="H1" s="85"/>
      <c r="I1" s="85"/>
      <c r="J1" s="85"/>
      <c r="K1" s="85"/>
      <c r="L1" s="85"/>
      <c r="M1" s="85"/>
      <c r="N1" s="85"/>
      <c r="O1" s="85"/>
      <c r="P1" s="85"/>
      <c r="Q1" s="85"/>
      <c r="R1" s="85"/>
      <c r="S1" s="85"/>
      <c r="T1" s="85"/>
      <c r="U1" s="85"/>
      <c r="V1" s="85"/>
      <c r="W1" s="85"/>
      <c r="X1" s="85"/>
      <c r="Y1" s="85"/>
      <c r="Z1" s="85"/>
      <c r="AA1" s="85"/>
    </row>
    <row r="2">
      <c r="A2" s="86" t="str">
        <f>IFERROR(__xludf.DUMMYFUNCTION("SORT(
  SPLIT(
    UNIQUE(
      FILTER('Main Report'!B11:B61 &amp; ""♦"" &amp; 'Main Report'!C11:C61, LEN('Main Report'!C11:C61))
    ),
    ""♦""
  ),
  1, TRUE, 2, TRUE
)
"),"Account")</f>
        <v>Account</v>
      </c>
      <c r="B2" s="86" t="str">
        <f>IFERROR(__xludf.DUMMYFUNCTION("""COMPUTED_VALUE"""),"Profile")</f>
        <v>Profile</v>
      </c>
      <c r="C2" s="86" t="str">
        <f>IFERROR(__xludf.DUMMYFUNCTION("TEXTJOIN("", "", TRUE, 
  FILTER('Main Report'!A11:A61, 
    ('Main Report'!B11:B61=A2) * ('Main Report'!C11:C61=B2)
  )
)
"),"BR-001")</f>
        <v>BR-001</v>
      </c>
      <c r="D2" s="86">
        <f>IFERROR(__xludf.DUMMYFUNCTION("COUNTA(UNIQUE(TRANSPOSE(SPLIT(C2, "", ""))))
"),1.0)</f>
        <v>1</v>
      </c>
      <c r="E2" s="86" t="str">
        <f>IF(D2="", "", TEXT((D2 / 'Main Report'!$E$7), "0.00%"))
</f>
        <v>3.57%</v>
      </c>
      <c r="F2" s="87" t="str">
        <f>IFERROR(__xludf.DUMMYFUNCTION("IF(C2="""", """", 
   TEXTJOIN("", "", TRUE, 
      ""High: "" &amp; COUNTIF(FILTER('Main Report'!K11:K61, ISNUMBER(MATCH('Main Report'!A11:A61, SPLIT(C2, "", ""), 0))), ""High"") &amp; CHAR(10) &amp;
      ""Medium: "" &amp; COUNTIF(FILTER('Main Report'!K11:K61, ISNUMBE"&amp;"R(MATCH('Main Report'!A11:A61, SPLIT(C2, "", ""), 0))), ""Medium"") &amp; CHAR(10) &amp;
      ""Low: "" &amp; COUNTIF(FILTER('Main Report'!K11:K61, ISNUMBER(MATCH('Main Report'!A11:A61, SPLIT(C2, "", ""), 0))), ""Low"")
   )
)
"),"High: 1
Medium: 0
Low: 0")</f>
        <v>High: 1
Medium: 0
Low: 0</v>
      </c>
      <c r="G2" s="85"/>
      <c r="H2" s="85"/>
      <c r="I2" s="85"/>
      <c r="J2" s="85"/>
      <c r="K2" s="85"/>
      <c r="L2" s="85"/>
      <c r="M2" s="85"/>
      <c r="N2" s="85"/>
      <c r="O2" s="85"/>
      <c r="P2" s="85"/>
      <c r="Q2" s="85"/>
      <c r="R2" s="85"/>
      <c r="S2" s="85"/>
      <c r="T2" s="85"/>
      <c r="U2" s="85"/>
      <c r="V2" s="85"/>
      <c r="W2" s="85"/>
      <c r="X2" s="85"/>
      <c r="Y2" s="85"/>
      <c r="Z2" s="85"/>
      <c r="AA2" s="85"/>
    </row>
    <row r="3">
      <c r="A3" s="88" t="str">
        <f>IFERROR(__xludf.DUMMYFUNCTION("""COMPUTED_VALUE"""),"Account")</f>
        <v>Account</v>
      </c>
      <c r="B3" s="88" t="str">
        <f>IFERROR(__xludf.DUMMYFUNCTION("""COMPUTED_VALUE"""),"Security")</f>
        <v>Security</v>
      </c>
      <c r="C3" s="88" t="str">
        <f>IFERROR(__xludf.DUMMYFUNCTION("TEXTJOIN("", "", TRUE, 
  FILTER('Main Report'!A12:A62, 
    ('Main Report'!B12:B62=A3) * ('Main Report'!C12:C62=B3)
  )
)
"),"BR-002")</f>
        <v>BR-002</v>
      </c>
      <c r="D3" s="86">
        <f>IFERROR(__xludf.DUMMYFUNCTION("COUNTA(UNIQUE(TRANSPOSE(SPLIT(C3, "", ""))))
"),1.0)</f>
        <v>1</v>
      </c>
      <c r="E3" s="88" t="str">
        <f>IF(D3="", "", TEXT((D3 / 'Main Report'!$E$7), "0.00%"))
</f>
        <v>3.57%</v>
      </c>
      <c r="F3" s="89" t="str">
        <f>IFERROR(__xludf.DUMMYFUNCTION("IF(C3="""", """", 
   TEXTJOIN("", "", TRUE, 
      ""High: "" &amp; COUNTIF(FILTER('Main Report'!K12:K62, ISNUMBER(MATCH('Main Report'!A12:A62, SPLIT(C3, "", ""), 0))), ""High"") &amp; CHAR(10) &amp;
      ""Medium: "" &amp; COUNTIF(FILTER('Main Report'!K12:K62, ISNUMBE"&amp;"R(MATCH('Main Report'!A12:A62, SPLIT(C3, "", ""), 0))), ""Medium"") &amp; CHAR(10) &amp;
      ""Low: "" &amp; COUNTIF(FILTER('Main Report'!K12:K62, ISNUMBER(MATCH('Main Report'!A12:A62, SPLIT(C3, "", ""), 0))), ""Low"")
   )
)
"),"High: 0
Medium: 1
Low: 0")</f>
        <v>High: 0
Medium: 1
Low: 0</v>
      </c>
      <c r="G3" s="85"/>
      <c r="H3" s="85"/>
      <c r="I3" s="85"/>
      <c r="J3" s="85"/>
      <c r="K3" s="85"/>
      <c r="L3" s="85"/>
      <c r="M3" s="85"/>
      <c r="N3" s="85"/>
      <c r="O3" s="85"/>
      <c r="P3" s="85"/>
      <c r="Q3" s="85"/>
      <c r="R3" s="85"/>
      <c r="S3" s="85"/>
      <c r="T3" s="85"/>
      <c r="U3" s="85"/>
      <c r="V3" s="85"/>
      <c r="W3" s="85"/>
      <c r="X3" s="85"/>
      <c r="Y3" s="85"/>
      <c r="Z3" s="85"/>
      <c r="AA3" s="85"/>
    </row>
    <row r="4">
      <c r="A4" s="88" t="str">
        <f>IFERROR(__xludf.DUMMYFUNCTION("""COMPUTED_VALUE"""),"Dashboard")</f>
        <v>Dashboard</v>
      </c>
      <c r="B4" s="88" t="str">
        <f>IFERROR(__xludf.DUMMYFUNCTION("""COMPUTED_VALUE"""),"Dashboard")</f>
        <v>Dashboard</v>
      </c>
      <c r="C4" s="88" t="str">
        <f>IFERROR(__xludf.DUMMYFUNCTION("TEXTJOIN("", "", TRUE, 
  FILTER('Main Report'!A13:A63, 
    ('Main Report'!B13:B63=A4) * ('Main Report'!C13:C63=B4)
  )
)
"),"BR-003, BR-004, BR-005, BR-006")</f>
        <v>BR-003, BR-004, BR-005, BR-006</v>
      </c>
      <c r="D4" s="86">
        <f>IFERROR(__xludf.DUMMYFUNCTION("COUNTA(UNIQUE(TRANSPOSE(SPLIT(C4, "", ""))))
"),4.0)</f>
        <v>4</v>
      </c>
      <c r="E4" s="88" t="str">
        <f>IF(D4="", "", TEXT((D4 / 'Main Report'!$E$7), "0.00%"))
</f>
        <v>14.29%</v>
      </c>
      <c r="F4" s="89" t="str">
        <f>IFERROR(__xludf.DUMMYFUNCTION("IF(C4="""", """", 
   TEXTJOIN("", "", TRUE, 
      ""High: "" &amp; COUNTIF(FILTER('Main Report'!K13:K63, ISNUMBER(MATCH('Main Report'!A13:A63, SPLIT(C4, "", ""), 0))), ""High"") &amp; CHAR(10) &amp;
      ""Medium: "" &amp; COUNTIF(FILTER('Main Report'!K13:K63, ISNUMBE"&amp;"R(MATCH('Main Report'!A13:A63, SPLIT(C4, "", ""), 0))), ""Medium"") &amp; CHAR(10) &amp;
      ""Low: "" &amp; COUNTIF(FILTER('Main Report'!K13:K63, ISNUMBER(MATCH('Main Report'!A13:A63, SPLIT(C4, "", ""), 0))), ""Low"")
   )
)
"),"High: 4
Medium: 0
Low: 0")</f>
        <v>High: 4
Medium: 0
Low: 0</v>
      </c>
      <c r="G4" s="85"/>
      <c r="H4" s="85"/>
      <c r="I4" s="85"/>
      <c r="J4" s="85"/>
      <c r="K4" s="85"/>
      <c r="L4" s="85"/>
      <c r="M4" s="85"/>
      <c r="N4" s="85"/>
      <c r="O4" s="85"/>
      <c r="P4" s="85"/>
      <c r="Q4" s="85"/>
      <c r="R4" s="85"/>
      <c r="S4" s="85"/>
      <c r="T4" s="85"/>
      <c r="U4" s="85"/>
      <c r="V4" s="85"/>
      <c r="W4" s="85"/>
      <c r="X4" s="85"/>
      <c r="Y4" s="85"/>
      <c r="Z4" s="85"/>
      <c r="AA4" s="85"/>
    </row>
    <row r="5">
      <c r="A5" s="88" t="str">
        <f>IFERROR(__xludf.DUMMYFUNCTION("""COMPUTED_VALUE"""),"Landing Page")</f>
        <v>Landing Page</v>
      </c>
      <c r="B5" s="88" t="str">
        <f>IFERROR(__xludf.DUMMYFUNCTION("""COMPUTED_VALUE"""),"Header")</f>
        <v>Header</v>
      </c>
      <c r="C5" s="88" t="str">
        <f>IFERROR(__xludf.DUMMYFUNCTION("TEXTJOIN("", "", TRUE, 
  FILTER('Main Report'!A14:A64, 
    ('Main Report'!B14:B64=A5) * ('Main Report'!C14:C64=B5)
  )
)
"),"BR-007, BR-008")</f>
        <v>BR-007, BR-008</v>
      </c>
      <c r="D5" s="86">
        <f>IFERROR(__xludf.DUMMYFUNCTION("COUNTA(UNIQUE(TRANSPOSE(SPLIT(C5, "", ""))))
"),2.0)</f>
        <v>2</v>
      </c>
      <c r="E5" s="88" t="str">
        <f>IF(D5="", "", TEXT((D5 / 'Main Report'!$E$7), "0.00%"))
</f>
        <v>7.14%</v>
      </c>
      <c r="F5" s="89" t="str">
        <f>IFERROR(__xludf.DUMMYFUNCTION("IF(C5="""", """", 
   TEXTJOIN("", "", TRUE, 
      ""High: "" &amp; COUNTIF(FILTER('Main Report'!K14:K64, ISNUMBER(MATCH('Main Report'!A14:A64, SPLIT(C5, "", ""), 0))), ""High"") &amp; CHAR(10) &amp;
      ""Medium: "" &amp; COUNTIF(FILTER('Main Report'!K14:K64, ISNUMBE"&amp;"R(MATCH('Main Report'!A14:A64, SPLIT(C5, "", ""), 0))), ""Medium"") &amp; CHAR(10) &amp;
      ""Low: "" &amp; COUNTIF(FILTER('Main Report'!K14:K64, ISNUMBER(MATCH('Main Report'!A14:A64, SPLIT(C5, "", ""), 0))), ""Low"")
   )
)
"),"High: 0
Medium: 0
Low: 2")</f>
        <v>High: 0
Medium: 0
Low: 2</v>
      </c>
      <c r="G5" s="85"/>
      <c r="H5" s="85"/>
      <c r="I5" s="85"/>
      <c r="J5" s="85"/>
      <c r="K5" s="85"/>
      <c r="L5" s="85"/>
      <c r="M5" s="85"/>
      <c r="N5" s="85"/>
      <c r="O5" s="85"/>
      <c r="P5" s="85"/>
      <c r="Q5" s="85"/>
      <c r="R5" s="85"/>
      <c r="S5" s="85"/>
      <c r="T5" s="85"/>
      <c r="U5" s="85"/>
      <c r="V5" s="85"/>
      <c r="W5" s="85"/>
      <c r="X5" s="85"/>
      <c r="Y5" s="85"/>
      <c r="Z5" s="85"/>
      <c r="AA5" s="85"/>
    </row>
    <row r="6">
      <c r="A6" s="88" t="str">
        <f>IFERROR(__xludf.DUMMYFUNCTION("""COMPUTED_VALUE"""),"Landing Page")</f>
        <v>Landing Page</v>
      </c>
      <c r="B6" s="88" t="str">
        <f>IFERROR(__xludf.DUMMYFUNCTION("""COMPUTED_VALUE"""),"Home")</f>
        <v>Home</v>
      </c>
      <c r="C6" s="88" t="str">
        <f>IFERROR(__xludf.DUMMYFUNCTION("TEXTJOIN("", "", TRUE, 
  FILTER('Main Report'!A15:A65, 
    ('Main Report'!B15:B65=A6) * ('Main Report'!C15:C65=B6)
  )
)
"),"BR-009, BR-010, BR-011, BR-012, BR-013, BR-014, BR-015")</f>
        <v>BR-009, BR-010, BR-011, BR-012, BR-013, BR-014, BR-015</v>
      </c>
      <c r="D6" s="86">
        <f>IFERROR(__xludf.DUMMYFUNCTION("COUNTA(UNIQUE(TRANSPOSE(SPLIT(C6, "", ""))))
"),7.0)</f>
        <v>7</v>
      </c>
      <c r="E6" s="88" t="str">
        <f>IF(D6="", "", TEXT((D6 / 'Main Report'!$E$7), "0.00%"))
</f>
        <v>25.00%</v>
      </c>
      <c r="F6" s="89" t="str">
        <f>IFERROR(__xludf.DUMMYFUNCTION("IF(C6="""", """", 
   TEXTJOIN("", "", TRUE, 
      ""High: "" &amp; COUNTIF(FILTER('Main Report'!K15:K65, ISNUMBER(MATCH('Main Report'!A15:A65, SPLIT(C6, "", ""), 0))), ""High"") &amp; CHAR(10) &amp;
      ""Medium: "" &amp; COUNTIF(FILTER('Main Report'!K15:K65, ISNUMBE"&amp;"R(MATCH('Main Report'!A15:A65, SPLIT(C6, "", ""), 0))), ""Medium"") &amp; CHAR(10) &amp;
      ""Low: "" &amp; COUNTIF(FILTER('Main Report'!K15:K65, ISNUMBER(MATCH('Main Report'!A15:A65, SPLIT(C6, "", ""), 0))), ""Low"")
   )
)
"),"High: 0
Medium: 5
Low: 2")</f>
        <v>High: 0
Medium: 5
Low: 2</v>
      </c>
      <c r="G6" s="85"/>
      <c r="H6" s="85"/>
      <c r="I6" s="85"/>
      <c r="J6" s="85"/>
      <c r="K6" s="85"/>
      <c r="L6" s="85"/>
      <c r="M6" s="85"/>
      <c r="N6" s="85"/>
      <c r="O6" s="85"/>
      <c r="P6" s="85"/>
      <c r="Q6" s="85"/>
      <c r="R6" s="85"/>
      <c r="S6" s="85"/>
      <c r="T6" s="85"/>
      <c r="U6" s="85"/>
      <c r="V6" s="85"/>
      <c r="W6" s="85"/>
      <c r="X6" s="85"/>
      <c r="Y6" s="85"/>
      <c r="Z6" s="85"/>
      <c r="AA6" s="85"/>
    </row>
    <row r="7">
      <c r="A7" s="88" t="str">
        <f>IFERROR(__xludf.DUMMYFUNCTION("""COMPUTED_VALUE"""),"Pricing")</f>
        <v>Pricing</v>
      </c>
      <c r="B7" s="88" t="str">
        <f>IFERROR(__xludf.DUMMYFUNCTION("""COMPUTED_VALUE"""),"Pricing")</f>
        <v>Pricing</v>
      </c>
      <c r="C7" s="88" t="str">
        <f>IFERROR(__xludf.DUMMYFUNCTION("TEXTJOIN("", "", TRUE, 
  FILTER('Main Report'!A16:A66, 
    ('Main Report'!B16:B66=A7) * ('Main Report'!C16:C66=B7)
  )
)
"),"BR-016, BR-017, BR-018, BR-019, BR-020, BR-021, BR-022, BR-023")</f>
        <v>BR-016, BR-017, BR-018, BR-019, BR-020, BR-021, BR-022, BR-023</v>
      </c>
      <c r="D7" s="86">
        <f>IFERROR(__xludf.DUMMYFUNCTION("COUNTA(UNIQUE(TRANSPOSE(SPLIT(C7, "", ""))))
"),8.0)</f>
        <v>8</v>
      </c>
      <c r="E7" s="88" t="str">
        <f>IF(D7="", "", TEXT((D7 / 'Main Report'!$E$7), "0.00%"))
</f>
        <v>28.57%</v>
      </c>
      <c r="F7" s="89" t="str">
        <f>IFERROR(__xludf.DUMMYFUNCTION("IF(C7="""", """", 
   TEXTJOIN("", "", TRUE, 
      ""High: "" &amp; COUNTIF(FILTER('Main Report'!K16:K66, ISNUMBER(MATCH('Main Report'!A16:A66, SPLIT(C7, "", ""), 0))), ""High"") &amp; CHAR(10) &amp;
      ""Medium: "" &amp; COUNTIF(FILTER('Main Report'!K16:K66, ISNUMBE"&amp;"R(MATCH('Main Report'!A16:A66, SPLIT(C7, "", ""), 0))), ""Medium"") &amp; CHAR(10) &amp;
      ""Low: "" &amp; COUNTIF(FILTER('Main Report'!K16:K66, ISNUMBER(MATCH('Main Report'!A16:A66, SPLIT(C7, "", ""), 0))), ""Low"")
   )
)
"),"High: 4
Medium: 4
Low: 0")</f>
        <v>High: 4
Medium: 4
Low: 0</v>
      </c>
      <c r="G7" s="85"/>
      <c r="H7" s="85"/>
      <c r="I7" s="85"/>
      <c r="J7" s="85"/>
      <c r="K7" s="85"/>
      <c r="L7" s="85"/>
      <c r="M7" s="85"/>
      <c r="N7" s="85"/>
      <c r="O7" s="85"/>
      <c r="P7" s="85"/>
      <c r="Q7" s="85"/>
      <c r="R7" s="85"/>
      <c r="S7" s="85"/>
      <c r="T7" s="85"/>
      <c r="U7" s="85"/>
      <c r="V7" s="85"/>
      <c r="W7" s="85"/>
      <c r="X7" s="85"/>
      <c r="Y7" s="85"/>
      <c r="Z7" s="85"/>
      <c r="AA7" s="85"/>
    </row>
    <row r="8">
      <c r="A8" s="88" t="str">
        <f>IFERROR(__xludf.DUMMYFUNCTION("""COMPUTED_VALUE"""),"Signup")</f>
        <v>Signup</v>
      </c>
      <c r="B8" s="88" t="str">
        <f>IFERROR(__xludf.DUMMYFUNCTION("""COMPUTED_VALUE"""),"Data Policy")</f>
        <v>Data Policy</v>
      </c>
      <c r="C8" s="88" t="str">
        <f>IFERROR(__xludf.DUMMYFUNCTION("TEXTJOIN("", "", TRUE, 
  FILTER('Main Report'!A17:A67, 
    ('Main Report'!B17:B67=A8) * ('Main Report'!C17:C67=B8)
  )
)
"),"BR-024")</f>
        <v>BR-024</v>
      </c>
      <c r="D8" s="86">
        <f>IFERROR(__xludf.DUMMYFUNCTION("COUNTA(UNIQUE(TRANSPOSE(SPLIT(C8, "", ""))))
"),1.0)</f>
        <v>1</v>
      </c>
      <c r="E8" s="88" t="str">
        <f>IF(D8="", "", TEXT((D8 / 'Main Report'!$E$7), "0.00%"))
</f>
        <v>3.57%</v>
      </c>
      <c r="F8" s="89" t="str">
        <f>IFERROR(__xludf.DUMMYFUNCTION("IF(C8="""", """", 
   TEXTJOIN("", "", TRUE, 
      ""High: "" &amp; COUNTIF(FILTER('Main Report'!K17:K67, ISNUMBER(MATCH('Main Report'!A17:A67, SPLIT(C8, "", ""), 0))), ""High"") &amp; CHAR(10) &amp;
      ""Medium: "" &amp; COUNTIF(FILTER('Main Report'!K17:K67, ISNUMBE"&amp;"R(MATCH('Main Report'!A17:A67, SPLIT(C8, "", ""), 0))), ""Medium"") &amp; CHAR(10) &amp;
      ""Low: "" &amp; COUNTIF(FILTER('Main Report'!K17:K67, ISNUMBER(MATCH('Main Report'!A17:A67, SPLIT(C8, "", ""), 0))), ""Low"")
   )
)
"),"High: 1
Medium: 0
Low: 0")</f>
        <v>High: 1
Medium: 0
Low: 0</v>
      </c>
      <c r="G8" s="85"/>
      <c r="H8" s="85"/>
      <c r="I8" s="85"/>
      <c r="J8" s="85"/>
      <c r="K8" s="85"/>
      <c r="L8" s="85"/>
      <c r="M8" s="85"/>
      <c r="N8" s="85"/>
      <c r="O8" s="85"/>
      <c r="P8" s="85"/>
      <c r="Q8" s="85"/>
      <c r="R8" s="85"/>
      <c r="S8" s="85"/>
      <c r="T8" s="85"/>
      <c r="U8" s="85"/>
      <c r="V8" s="85"/>
      <c r="W8" s="85"/>
      <c r="X8" s="85"/>
      <c r="Y8" s="85"/>
      <c r="Z8" s="85"/>
      <c r="AA8" s="85"/>
    </row>
    <row r="9">
      <c r="A9" s="88" t="str">
        <f>IFERROR(__xludf.DUMMYFUNCTION("""COMPUTED_VALUE"""),"Signup")</f>
        <v>Signup</v>
      </c>
      <c r="B9" s="88" t="str">
        <f>IFERROR(__xludf.DUMMYFUNCTION("""COMPUTED_VALUE"""),"Signup")</f>
        <v>Signup</v>
      </c>
      <c r="C9" s="88" t="str">
        <f>IFERROR(__xludf.DUMMYFUNCTION("TEXTJOIN("", "", TRUE, 
  FILTER('Main Report'!A18:A68, 
    ('Main Report'!B18:B68=A9) * ('Main Report'!C18:C68=B9)
  )
)
"),"BR-025, BR-026, BR-027")</f>
        <v>BR-025, BR-026, BR-027</v>
      </c>
      <c r="D9" s="86">
        <f>IFERROR(__xludf.DUMMYFUNCTION("COUNTA(UNIQUE(TRANSPOSE(SPLIT(C9, "", ""))))
"),3.0)</f>
        <v>3</v>
      </c>
      <c r="E9" s="88" t="str">
        <f>IF(D9="", "", TEXT((D9 / 'Main Report'!$E$7), "0.00%"))
</f>
        <v>10.71%</v>
      </c>
      <c r="F9" s="89" t="str">
        <f>IFERROR(__xludf.DUMMYFUNCTION("IF(C9="""", """", 
   TEXTJOIN("", "", TRUE, 
      ""High: "" &amp; COUNTIF(FILTER('Main Report'!K18:K68, ISNUMBER(MATCH('Main Report'!A18:A68, SPLIT(C9, "", ""), 0))), ""High"") &amp; CHAR(10) &amp;
      ""Medium: "" &amp; COUNTIF(FILTER('Main Report'!K18:K68, ISNUMBE"&amp;"R(MATCH('Main Report'!A18:A68, SPLIT(C9, "", ""), 0))), ""Medium"") &amp; CHAR(10) &amp;
      ""Low: "" &amp; COUNTIF(FILTER('Main Report'!K18:K68, ISNUMBER(MATCH('Main Report'!A18:A68, SPLIT(C9, "", ""), 0))), ""Low"")
   )
)
"),"High: 2
Medium: 0
Low: 1")</f>
        <v>High: 2
Medium: 0
Low: 1</v>
      </c>
      <c r="G9" s="85"/>
      <c r="H9" s="85"/>
      <c r="I9" s="85"/>
      <c r="J9" s="85"/>
      <c r="K9" s="85"/>
      <c r="L9" s="85"/>
      <c r="M9" s="85"/>
      <c r="N9" s="85"/>
      <c r="O9" s="85"/>
      <c r="P9" s="85"/>
      <c r="Q9" s="85"/>
      <c r="R9" s="85"/>
      <c r="S9" s="85"/>
      <c r="T9" s="85"/>
      <c r="U9" s="85"/>
      <c r="V9" s="85"/>
      <c r="W9" s="85"/>
      <c r="X9" s="85"/>
      <c r="Y9" s="85"/>
      <c r="Z9" s="85"/>
      <c r="AA9" s="85"/>
    </row>
    <row r="10">
      <c r="A10" s="88" t="str">
        <f>IFERROR(__xludf.DUMMYFUNCTION("""COMPUTED_VALUE"""),"Signup")</f>
        <v>Signup</v>
      </c>
      <c r="B10" s="88" t="str">
        <f>IFERROR(__xludf.DUMMYFUNCTION("""COMPUTED_VALUE"""),"Terms and use")</f>
        <v>Terms and use</v>
      </c>
      <c r="C10" s="88" t="str">
        <f>IFERROR(__xludf.DUMMYFUNCTION("TEXTJOIN("", "", TRUE, 
  FILTER('Main Report'!A19:A69, 
    ('Main Report'!B19:B69=A10) * ('Main Report'!C19:C69=B10)
  )
)
"),"BR-028")</f>
        <v>BR-028</v>
      </c>
      <c r="D10" s="88"/>
      <c r="E10" s="88" t="str">
        <f>IF(D10="", "", TEXT((D10 / 'Main Report'!$E$7), "0.00%"))
</f>
        <v/>
      </c>
      <c r="F10" s="89" t="str">
        <f>IFERROR(__xludf.DUMMYFUNCTION("IF(C10="""", """", 
   TEXTJOIN("", "", TRUE, 
      ""High: "" &amp; COUNTIF(FILTER('Main Report'!K19:K69, ISNUMBER(MATCH('Main Report'!A19:A69, SPLIT(C10, "", ""), 0))), ""High"") &amp; CHAR(10) &amp;
      ""Medium: "" &amp; COUNTIF(FILTER('Main Report'!K19:K69, ISNUM"&amp;"BER(MATCH('Main Report'!A19:A69, SPLIT(C10, "", ""), 0))), ""Medium"") &amp; CHAR(10) &amp;
      ""Low: "" &amp; COUNTIF(FILTER('Main Report'!K19:K69, ISNUMBER(MATCH('Main Report'!A19:A69, SPLIT(C10, "", ""), 0))), ""Low"")
   )
)
"),"High: 1
Medium: 0
Low: 0")</f>
        <v>High: 1
Medium: 0
Low: 0</v>
      </c>
      <c r="G10" s="85"/>
      <c r="H10" s="85"/>
      <c r="I10" s="85"/>
      <c r="J10" s="85"/>
      <c r="K10" s="85"/>
      <c r="L10" s="85"/>
      <c r="M10" s="85"/>
      <c r="N10" s="85"/>
      <c r="O10" s="85"/>
      <c r="P10" s="85"/>
      <c r="Q10" s="85"/>
      <c r="R10" s="85"/>
      <c r="S10" s="85"/>
      <c r="T10" s="85"/>
      <c r="U10" s="85"/>
      <c r="V10" s="85"/>
      <c r="W10" s="85"/>
      <c r="X10" s="85"/>
      <c r="Y10" s="85"/>
      <c r="Z10" s="85"/>
      <c r="AA10" s="85"/>
    </row>
    <row r="11">
      <c r="A11" s="90"/>
      <c r="B11" s="90"/>
      <c r="C11" s="90" t="str">
        <f>IFERROR(__xludf.DUMMYFUNCTION("TEXTJOIN("", "", TRUE, 
  FILTER('Main Report'!A20:A70, 
    ('Main Report'!B20:B70=A11) * ('Main Report'!C20:C70=B11)
  )
)
"),"")</f>
        <v/>
      </c>
      <c r="D11" s="90"/>
      <c r="E11" s="90" t="str">
        <f>IF(D11="", "", TEXT((D11 / 'Main Report'!$E$7), "0.00%"))
</f>
        <v/>
      </c>
      <c r="F11" s="91" t="str">
        <f>IFERROR(__xludf.DUMMYFUNCTION("IF(C11="""", """", 
   TEXTJOIN("", "", TRUE, 
      ""High: "" &amp; COUNTIF(FILTER('Main Report'!K20:K70, ISNUMBER(MATCH('Main Report'!A20:A70, SPLIT(C11, "", ""), 0))), ""High"") &amp; CHAR(10) &amp;
      ""Medium: "" &amp; COUNTIF(FILTER('Main Report'!K20:K70, ISNUM"&amp;"BER(MATCH('Main Report'!A20:A70, SPLIT(C11, "", ""), 0))), ""Medium"") &amp; CHAR(10) &amp;
      ""Low: "" &amp; COUNTIF(FILTER('Main Report'!K20:K70, ISNUMBER(MATCH('Main Report'!A20:A70, SPLIT(C11, "", ""), 0))), ""Low"")
   )
)
"),"")</f>
        <v/>
      </c>
      <c r="G11" s="85"/>
      <c r="H11" s="85"/>
      <c r="I11" s="85"/>
      <c r="J11" s="85"/>
      <c r="K11" s="85"/>
      <c r="L11" s="85"/>
      <c r="M11" s="85"/>
      <c r="N11" s="85"/>
      <c r="O11" s="85"/>
      <c r="P11" s="85"/>
      <c r="Q11" s="85"/>
      <c r="R11" s="85"/>
      <c r="S11" s="85"/>
      <c r="T11" s="85"/>
      <c r="U11" s="85"/>
      <c r="V11" s="85"/>
      <c r="W11" s="85"/>
      <c r="X11" s="85"/>
      <c r="Y11" s="85"/>
      <c r="Z11" s="85"/>
      <c r="AA11" s="85"/>
    </row>
    <row r="12">
      <c r="A12" s="92"/>
      <c r="B12" s="92"/>
      <c r="C12" s="92" t="str">
        <f>IFERROR(__xludf.DUMMYFUNCTION("TEXTJOIN("", "", TRUE, 
  FILTER('Main Report'!A21:A71, 
    ('Main Report'!B21:B71=A12) * ('Main Report'!C21:C71=B12)
  )
)
"),"")</f>
        <v/>
      </c>
      <c r="D12" s="92"/>
      <c r="E12" s="92" t="str">
        <f>IF(D12="", "", TEXT((D12 / 'Main Report'!$E$7), "0.00%"))
</f>
        <v/>
      </c>
      <c r="F12" s="93" t="str">
        <f>IFERROR(__xludf.DUMMYFUNCTION("IF(C12="""", """", 
   TEXTJOIN("", "", TRUE, 
      ""High: "" &amp; COUNTIF(FILTER('Main Report'!K21:K71, ISNUMBER(MATCH('Main Report'!A21:A71, SPLIT(C12, "", ""), 0))), ""High"") &amp; CHAR(10) &amp;
      ""Medium: "" &amp; COUNTIF(FILTER('Main Report'!K21:K71, ISNUM"&amp;"BER(MATCH('Main Report'!A21:A71, SPLIT(C12, "", ""), 0))), ""Medium"") &amp; CHAR(10) &amp;
      ""Low: "" &amp; COUNTIF(FILTER('Main Report'!K21:K71, ISNUMBER(MATCH('Main Report'!A21:A71, SPLIT(C12, "", ""), 0))), ""Low"")
   )
)
"),"")</f>
        <v/>
      </c>
      <c r="G12" s="85"/>
      <c r="H12" s="85"/>
      <c r="I12" s="85"/>
      <c r="J12" s="85"/>
      <c r="K12" s="85"/>
      <c r="L12" s="85"/>
      <c r="M12" s="85"/>
      <c r="N12" s="85"/>
      <c r="O12" s="85"/>
      <c r="P12" s="85"/>
      <c r="Q12" s="85"/>
      <c r="R12" s="85"/>
      <c r="S12" s="85"/>
      <c r="T12" s="85"/>
      <c r="U12" s="85"/>
      <c r="V12" s="85"/>
      <c r="W12" s="85"/>
      <c r="X12" s="85"/>
      <c r="Y12" s="85"/>
      <c r="Z12" s="85"/>
      <c r="AA12" s="85"/>
    </row>
    <row r="13">
      <c r="A13" s="85"/>
      <c r="B13" s="85"/>
      <c r="C13" s="85" t="str">
        <f>IFERROR(__xludf.DUMMYFUNCTION("TEXTJOIN("", "", TRUE, 
  FILTER('Main Report'!A22:A72, 
    ('Main Report'!B22:B72=A13) * ('Main Report'!C22:C72=B13)
  )
)
"),"")</f>
        <v/>
      </c>
      <c r="D13" s="85"/>
      <c r="E13" s="85" t="str">
        <f>IF(D13="", "", TEXT((D13 / 'Main Report'!$E$7), "0.00%"))
</f>
        <v/>
      </c>
      <c r="F13" s="94" t="str">
        <f>IFERROR(__xludf.DUMMYFUNCTION("IF(C13="""", """", 
   TEXTJOIN("", "", TRUE, 
      ""High: "" &amp; COUNTIF(FILTER('Main Report'!K22:K72, ISNUMBER(MATCH('Main Report'!A22:A72, SPLIT(C13, "", ""), 0))), ""High"") &amp; CHAR(10) &amp;
      ""Medium: "" &amp; COUNTIF(FILTER('Main Report'!K22:K72, ISNUM"&amp;"BER(MATCH('Main Report'!A22:A72, SPLIT(C13, "", ""), 0))), ""Medium"") &amp; CHAR(10) &amp;
      ""Low: "" &amp; COUNTIF(FILTER('Main Report'!K22:K72, ISNUMBER(MATCH('Main Report'!A22:A72, SPLIT(C13, "", ""), 0))), ""Low"")
   )
)
"),"")</f>
        <v/>
      </c>
      <c r="G13" s="85"/>
      <c r="H13" s="85"/>
      <c r="I13" s="85"/>
      <c r="J13" s="85"/>
      <c r="K13" s="85"/>
      <c r="L13" s="85"/>
      <c r="M13" s="85"/>
      <c r="N13" s="85"/>
      <c r="O13" s="85"/>
      <c r="P13" s="85"/>
      <c r="Q13" s="85"/>
      <c r="R13" s="85"/>
      <c r="S13" s="85"/>
      <c r="T13" s="85"/>
      <c r="U13" s="85"/>
      <c r="V13" s="85"/>
      <c r="W13" s="85"/>
      <c r="X13" s="85"/>
      <c r="Y13" s="85"/>
      <c r="Z13" s="85"/>
      <c r="AA13" s="85"/>
    </row>
    <row r="14">
      <c r="A14" s="85"/>
      <c r="B14" s="85"/>
      <c r="C14" s="85" t="str">
        <f>IFERROR(__xludf.DUMMYFUNCTION("TEXTJOIN("", "", TRUE, 
  FILTER('Main Report'!A23:A73, 
    ('Main Report'!B23:B73=A14) * ('Main Report'!C23:C73=B14)
  )
)
"),"")</f>
        <v/>
      </c>
      <c r="D14" s="85"/>
      <c r="E14" s="85" t="str">
        <f>IF(D14="", "", TEXT((D14 / 'Main Report'!$E$7), "0.00%"))
</f>
        <v/>
      </c>
      <c r="F14" s="94" t="str">
        <f>IFERROR(__xludf.DUMMYFUNCTION("IF(C14="""", """", 
   TEXTJOIN("", "", TRUE, 
      ""High: "" &amp; COUNTIF(FILTER('Main Report'!K23:K73, ISNUMBER(MATCH('Main Report'!A23:A73, SPLIT(C14, "", ""), 0))), ""High"") &amp; CHAR(10) &amp;
      ""Medium: "" &amp; COUNTIF(FILTER('Main Report'!K23:K73, ISNUM"&amp;"BER(MATCH('Main Report'!A23:A73, SPLIT(C14, "", ""), 0))), ""Medium"") &amp; CHAR(10) &amp;
      ""Low: "" &amp; COUNTIF(FILTER('Main Report'!K23:K73, ISNUMBER(MATCH('Main Report'!A23:A73, SPLIT(C14, "", ""), 0))), ""Low"")
   )
)
"),"")</f>
        <v/>
      </c>
      <c r="G14" s="85"/>
      <c r="H14" s="85"/>
      <c r="I14" s="85"/>
      <c r="J14" s="85"/>
      <c r="K14" s="85"/>
      <c r="L14" s="85"/>
      <c r="M14" s="85"/>
      <c r="N14" s="85"/>
      <c r="O14" s="85"/>
      <c r="P14" s="85"/>
      <c r="Q14" s="85"/>
      <c r="R14" s="85"/>
      <c r="S14" s="85"/>
      <c r="T14" s="85"/>
      <c r="U14" s="85"/>
      <c r="V14" s="85"/>
      <c r="W14" s="85"/>
      <c r="X14" s="85"/>
      <c r="Y14" s="85"/>
      <c r="Z14" s="85"/>
      <c r="AA14" s="85"/>
    </row>
    <row r="15">
      <c r="A15" s="85"/>
      <c r="B15" s="85"/>
      <c r="C15" s="85" t="str">
        <f>IFERROR(__xludf.DUMMYFUNCTION("TEXTJOIN("", "", TRUE, 
  FILTER('Main Report'!A24:A74, 
    ('Main Report'!B24:B74=A15) * ('Main Report'!C24:C74=B15)
  )
)
"),"")</f>
        <v/>
      </c>
      <c r="D15" s="85"/>
      <c r="E15" s="85" t="str">
        <f>IF(D15="", "", TEXT((D15 / 'Main Report'!$E$7), "0.00%"))
</f>
        <v/>
      </c>
      <c r="F15" s="94" t="str">
        <f>IFERROR(__xludf.DUMMYFUNCTION("IF(C15="""", """", 
   TEXTJOIN("", "", TRUE, 
      ""High: "" &amp; COUNTIF(FILTER('Main Report'!K24:K74, ISNUMBER(MATCH('Main Report'!A24:A74, SPLIT(C15, "", ""), 0))), ""High"") &amp; CHAR(10) &amp;
      ""Medium: "" &amp; COUNTIF(FILTER('Main Report'!K24:K74, ISNUM"&amp;"BER(MATCH('Main Report'!A24:A74, SPLIT(C15, "", ""), 0))), ""Medium"") &amp; CHAR(10) &amp;
      ""Low: "" &amp; COUNTIF(FILTER('Main Report'!K24:K74, ISNUMBER(MATCH('Main Report'!A24:A74, SPLIT(C15, "", ""), 0))), ""Low"")
   )
)
"),"")</f>
        <v/>
      </c>
      <c r="G15" s="85"/>
      <c r="H15" s="85"/>
      <c r="I15" s="85"/>
      <c r="J15" s="85"/>
      <c r="K15" s="85"/>
      <c r="L15" s="85"/>
      <c r="M15" s="85"/>
      <c r="N15" s="85"/>
      <c r="O15" s="85"/>
      <c r="P15" s="85"/>
      <c r="Q15" s="85"/>
      <c r="R15" s="85"/>
      <c r="S15" s="85"/>
      <c r="T15" s="85"/>
      <c r="U15" s="85"/>
      <c r="V15" s="85"/>
      <c r="W15" s="85"/>
      <c r="X15" s="85"/>
      <c r="Y15" s="85"/>
      <c r="Z15" s="85"/>
      <c r="AA15" s="85"/>
    </row>
    <row r="16">
      <c r="A16" s="85"/>
      <c r="B16" s="85"/>
      <c r="C16" s="85" t="str">
        <f>IFERROR(__xludf.DUMMYFUNCTION("TEXTJOIN("", "", TRUE, 
  FILTER('Main Report'!A25:A75, 
    ('Main Report'!B25:B75=A16) * ('Main Report'!C25:C75=B16)
  )
)
"),"")</f>
        <v/>
      </c>
      <c r="D16" s="85"/>
      <c r="E16" s="85" t="str">
        <f>IF(D16="", "", TEXT((D16 / 'Main Report'!$E$7), "0.00%"))
</f>
        <v/>
      </c>
      <c r="F16" s="94" t="str">
        <f>IFERROR(__xludf.DUMMYFUNCTION("IF(C16="""", """", 
   TEXTJOIN("", "", TRUE, 
      ""High: "" &amp; COUNTIF(FILTER('Main Report'!K25:K75, ISNUMBER(MATCH('Main Report'!A25:A75, SPLIT(C16, "", ""), 0))), ""High"") &amp; CHAR(10) &amp;
      ""Medium: "" &amp; COUNTIF(FILTER('Main Report'!K25:K75, ISNUM"&amp;"BER(MATCH('Main Report'!A25:A75, SPLIT(C16, "", ""), 0))), ""Medium"") &amp; CHAR(10) &amp;
      ""Low: "" &amp; COUNTIF(FILTER('Main Report'!K25:K75, ISNUMBER(MATCH('Main Report'!A25:A75, SPLIT(C16, "", ""), 0))), ""Low"")
   )
)
"),"")</f>
        <v/>
      </c>
      <c r="G16" s="85"/>
      <c r="H16" s="85"/>
      <c r="I16" s="85"/>
      <c r="J16" s="85"/>
      <c r="K16" s="85"/>
      <c r="L16" s="85"/>
      <c r="M16" s="85"/>
      <c r="N16" s="85"/>
      <c r="O16" s="85"/>
      <c r="P16" s="85"/>
      <c r="Q16" s="85"/>
      <c r="R16" s="85"/>
      <c r="S16" s="85"/>
      <c r="T16" s="85"/>
      <c r="U16" s="85"/>
      <c r="V16" s="85"/>
      <c r="W16" s="85"/>
      <c r="X16" s="85"/>
      <c r="Y16" s="85"/>
      <c r="Z16" s="85"/>
      <c r="AA16" s="85"/>
    </row>
    <row r="17">
      <c r="A17" s="85"/>
      <c r="B17" s="85"/>
      <c r="C17" s="85" t="str">
        <f>IFERROR(__xludf.DUMMYFUNCTION("TEXTJOIN("", "", TRUE, 
  FILTER('Main Report'!A26:A76, 
    ('Main Report'!B26:B76=A17) * ('Main Report'!C26:C76=B17)
  )
)
"),"")</f>
        <v/>
      </c>
      <c r="D17" s="85"/>
      <c r="E17" s="85" t="str">
        <f>IF(D17="", "", TEXT((D17 / 'Main Report'!$E$7), "0.00%"))
</f>
        <v/>
      </c>
      <c r="F17" s="94" t="str">
        <f>IFERROR(__xludf.DUMMYFUNCTION("IF(C17="""", """", 
   TEXTJOIN("", "", TRUE, 
      ""High: "" &amp; COUNTIF(FILTER('Main Report'!K26:K76, ISNUMBER(MATCH('Main Report'!A26:A76, SPLIT(C17, "", ""), 0))), ""High"") &amp; CHAR(10) &amp;
      ""Medium: "" &amp; COUNTIF(FILTER('Main Report'!K26:K76, ISNUM"&amp;"BER(MATCH('Main Report'!A26:A76, SPLIT(C17, "", ""), 0))), ""Medium"") &amp; CHAR(10) &amp;
      ""Low: "" &amp; COUNTIF(FILTER('Main Report'!K26:K76, ISNUMBER(MATCH('Main Report'!A26:A76, SPLIT(C17, "", ""), 0))), ""Low"")
   )
)
"),"")</f>
        <v/>
      </c>
      <c r="G17" s="85"/>
      <c r="H17" s="85"/>
      <c r="I17" s="85"/>
      <c r="J17" s="85"/>
      <c r="K17" s="85"/>
      <c r="L17" s="85"/>
      <c r="M17" s="85"/>
      <c r="N17" s="85"/>
      <c r="O17" s="85"/>
      <c r="P17" s="85"/>
      <c r="Q17" s="85"/>
      <c r="R17" s="85"/>
      <c r="S17" s="85"/>
      <c r="T17" s="85"/>
      <c r="U17" s="85"/>
      <c r="V17" s="85"/>
      <c r="W17" s="85"/>
      <c r="X17" s="85"/>
      <c r="Y17" s="85"/>
      <c r="Z17" s="85"/>
      <c r="AA17" s="85"/>
    </row>
    <row r="18">
      <c r="A18" s="85"/>
      <c r="B18" s="85"/>
      <c r="C18" s="85" t="str">
        <f>IFERROR(__xludf.DUMMYFUNCTION("TEXTJOIN("", "", TRUE, 
  FILTER('Main Report'!A27:A77, 
    ('Main Report'!B27:B77=A18) * ('Main Report'!C27:C77=B18)
  )
)
"),"")</f>
        <v/>
      </c>
      <c r="D18" s="85"/>
      <c r="E18" s="85" t="str">
        <f>IF(D18="", "", TEXT((D18 / 'Main Report'!$E$7), "0.00%"))
</f>
        <v/>
      </c>
      <c r="F18" s="94" t="str">
        <f>IFERROR(__xludf.DUMMYFUNCTION("IF(C18="""", """", 
   TEXTJOIN("", "", TRUE, 
      ""High: "" &amp; COUNTIF(FILTER('Main Report'!K27:K77, ISNUMBER(MATCH('Main Report'!A27:A77, SPLIT(C18, "", ""), 0))), ""High"") &amp; CHAR(10) &amp;
      ""Medium: "" &amp; COUNTIF(FILTER('Main Report'!K27:K77, ISNUM"&amp;"BER(MATCH('Main Report'!A27:A77, SPLIT(C18, "", ""), 0))), ""Medium"") &amp; CHAR(10) &amp;
      ""Low: "" &amp; COUNTIF(FILTER('Main Report'!K27:K77, ISNUMBER(MATCH('Main Report'!A27:A77, SPLIT(C18, "", ""), 0))), ""Low"")
   )
)
"),"")</f>
        <v/>
      </c>
      <c r="G18" s="85"/>
      <c r="H18" s="85"/>
      <c r="I18" s="85"/>
      <c r="J18" s="85"/>
      <c r="K18" s="85"/>
      <c r="L18" s="85"/>
      <c r="M18" s="85"/>
      <c r="N18" s="85"/>
      <c r="O18" s="85"/>
      <c r="P18" s="85"/>
      <c r="Q18" s="85"/>
      <c r="R18" s="85"/>
      <c r="S18" s="85"/>
      <c r="T18" s="85"/>
      <c r="U18" s="85"/>
      <c r="V18" s="85"/>
      <c r="W18" s="85"/>
      <c r="X18" s="85"/>
      <c r="Y18" s="85"/>
      <c r="Z18" s="85"/>
      <c r="AA18" s="85"/>
    </row>
    <row r="19">
      <c r="A19" s="85"/>
      <c r="B19" s="85"/>
      <c r="C19" s="85" t="str">
        <f>IFERROR(__xludf.DUMMYFUNCTION("TEXTJOIN("", "", TRUE, 
  FILTER('Main Report'!A28:A78, 
    ('Main Report'!B28:B78=A19) * ('Main Report'!C28:C78=B19)
  )
)
"),"")</f>
        <v/>
      </c>
      <c r="D19" s="85"/>
      <c r="E19" s="85" t="str">
        <f>IF(D19="", "", TEXT((D19 / 'Main Report'!$E$7), "0.00%"))
</f>
        <v/>
      </c>
      <c r="F19" s="94" t="str">
        <f>IFERROR(__xludf.DUMMYFUNCTION("IF(C19="""", """", 
   TEXTJOIN("", "", TRUE, 
      ""High: "" &amp; COUNTIF(FILTER('Main Report'!K28:K78, ISNUMBER(MATCH('Main Report'!A28:A78, SPLIT(C19, "", ""), 0))), ""High"") &amp; CHAR(10) &amp;
      ""Medium: "" &amp; COUNTIF(FILTER('Main Report'!K28:K78, ISNUM"&amp;"BER(MATCH('Main Report'!A28:A78, SPLIT(C19, "", ""), 0))), ""Medium"") &amp; CHAR(10) &amp;
      ""Low: "" &amp; COUNTIF(FILTER('Main Report'!K28:K78, ISNUMBER(MATCH('Main Report'!A28:A78, SPLIT(C19, "", ""), 0))), ""Low"")
   )
)
"),"")</f>
        <v/>
      </c>
      <c r="G19" s="85"/>
      <c r="H19" s="85"/>
      <c r="I19" s="85"/>
      <c r="J19" s="85"/>
      <c r="K19" s="85"/>
      <c r="L19" s="85"/>
      <c r="M19" s="85"/>
      <c r="N19" s="85"/>
      <c r="O19" s="85"/>
      <c r="P19" s="85"/>
      <c r="Q19" s="85"/>
      <c r="R19" s="85"/>
      <c r="S19" s="85"/>
      <c r="T19" s="85"/>
      <c r="U19" s="85"/>
      <c r="V19" s="85"/>
      <c r="W19" s="85"/>
      <c r="X19" s="85"/>
      <c r="Y19" s="85"/>
      <c r="Z19" s="85"/>
      <c r="AA19" s="85"/>
    </row>
    <row r="20">
      <c r="A20" s="85"/>
      <c r="B20" s="85"/>
      <c r="C20" s="85" t="str">
        <f>IFERROR(__xludf.DUMMYFUNCTION("TEXTJOIN("", "", TRUE, 
  FILTER('Main Report'!A29:A79, 
    ('Main Report'!B29:B79=A20) * ('Main Report'!C29:C79=B20)
  )
)
"),"")</f>
        <v/>
      </c>
      <c r="D20" s="85"/>
      <c r="E20" s="85" t="str">
        <f>IF(D20="", "", TEXT((D20 / 'Main Report'!$E$7), "0.00%"))
</f>
        <v/>
      </c>
      <c r="F20" s="94" t="str">
        <f>IFERROR(__xludf.DUMMYFUNCTION("IF(C20="""", """", 
   TEXTJOIN("", "", TRUE, 
      ""High: "" &amp; COUNTIF(FILTER('Main Report'!K29:K79, ISNUMBER(MATCH('Main Report'!A29:A79, SPLIT(C20, "", ""), 0))), ""High"") &amp; CHAR(10) &amp;
      ""Medium: "" &amp; COUNTIF(FILTER('Main Report'!K29:K79, ISNUM"&amp;"BER(MATCH('Main Report'!A29:A79, SPLIT(C20, "", ""), 0))), ""Medium"") &amp; CHAR(10) &amp;
      ""Low: "" &amp; COUNTIF(FILTER('Main Report'!K29:K79, ISNUMBER(MATCH('Main Report'!A29:A79, SPLIT(C20, "", ""), 0))), ""Low"")
   )
)
"),"")</f>
        <v/>
      </c>
      <c r="G20" s="85"/>
      <c r="H20" s="85"/>
      <c r="I20" s="85"/>
      <c r="J20" s="85"/>
      <c r="K20" s="85"/>
      <c r="L20" s="85"/>
      <c r="M20" s="85"/>
      <c r="N20" s="85"/>
      <c r="O20" s="85"/>
      <c r="P20" s="85"/>
      <c r="Q20" s="85"/>
      <c r="R20" s="85"/>
      <c r="S20" s="85"/>
      <c r="T20" s="85"/>
      <c r="U20" s="85"/>
      <c r="V20" s="85"/>
      <c r="W20" s="85"/>
      <c r="X20" s="85"/>
      <c r="Y20" s="85"/>
      <c r="Z20" s="85"/>
      <c r="AA20" s="85"/>
    </row>
    <row r="21">
      <c r="A21" s="85"/>
      <c r="B21" s="85"/>
      <c r="C21" s="85" t="str">
        <f>IFERROR(__xludf.DUMMYFUNCTION("TEXTJOIN("", "", TRUE, 
  FILTER('Main Report'!A30:A80, 
    ('Main Report'!B30:B80=A21) * ('Main Report'!C30:C80=B21)
  )
)
"),"")</f>
        <v/>
      </c>
      <c r="D21" s="85"/>
      <c r="E21" s="85" t="str">
        <f>IF(D21="", "", TEXT((D21 / 'Main Report'!$E$7), "0.00%"))
</f>
        <v/>
      </c>
      <c r="F21" s="94" t="str">
        <f>IFERROR(__xludf.DUMMYFUNCTION("IF(C21="""", """", 
   TEXTJOIN("", "", TRUE, 
      ""High: "" &amp; COUNTIF(FILTER('Main Report'!K30:K80, ISNUMBER(MATCH('Main Report'!A30:A80, SPLIT(C21, "", ""), 0))), ""High"") &amp; CHAR(10) &amp;
      ""Medium: "" &amp; COUNTIF(FILTER('Main Report'!K30:K80, ISNUM"&amp;"BER(MATCH('Main Report'!A30:A80, SPLIT(C21, "", ""), 0))), ""Medium"") &amp; CHAR(10) &amp;
      ""Low: "" &amp; COUNTIF(FILTER('Main Report'!K30:K80, ISNUMBER(MATCH('Main Report'!A30:A80, SPLIT(C21, "", ""), 0))), ""Low"")
   )
)
"),"")</f>
        <v/>
      </c>
      <c r="G21" s="85"/>
      <c r="H21" s="85"/>
      <c r="I21" s="85"/>
      <c r="J21" s="85"/>
      <c r="K21" s="85"/>
      <c r="L21" s="85"/>
      <c r="M21" s="85"/>
      <c r="N21" s="85"/>
      <c r="O21" s="85"/>
      <c r="P21" s="85"/>
      <c r="Q21" s="85"/>
      <c r="R21" s="85"/>
      <c r="S21" s="85"/>
      <c r="T21" s="85"/>
      <c r="U21" s="85"/>
      <c r="V21" s="85"/>
      <c r="W21" s="85"/>
      <c r="X21" s="85"/>
      <c r="Y21" s="85"/>
      <c r="Z21" s="85"/>
      <c r="AA21" s="85"/>
    </row>
    <row r="22">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c r="AA22" s="85"/>
    </row>
    <row r="23">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c r="AA23" s="85"/>
    </row>
    <row r="24">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c r="AA24" s="85"/>
    </row>
    <row r="25">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c r="AA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c r="AA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row>
    <row r="28">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row>
    <row r="29">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c r="AA29" s="85"/>
    </row>
    <row r="30">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c r="AA30" s="85"/>
    </row>
    <row r="3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c r="AA31" s="85"/>
    </row>
    <row r="32">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c r="AA32" s="85"/>
    </row>
    <row r="33">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row>
    <row r="34">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row>
    <row r="35">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row>
    <row r="36">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row>
    <row r="37">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row>
    <row r="38">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row>
    <row r="39">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row>
    <row r="40">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row>
    <row r="43">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row>
    <row r="44">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row>
    <row r="45">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row>
    <row r="46">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row>
    <row r="47">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row>
    <row r="48">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row>
    <row r="49">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c r="AA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c r="AA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c r="AA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c r="AA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c r="AA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c r="AA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c r="AA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c r="AA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c r="AA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c r="AA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c r="AA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c r="AA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c r="AA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c r="AA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c r="AA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c r="AA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c r="AA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c r="AA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c r="AA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c r="AA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c r="AA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c r="AA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c r="AA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c r="AA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c r="AA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c r="AA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c r="AA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c r="AA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c r="AA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c r="AA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c r="AA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c r="AA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c r="AA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c r="AA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c r="AA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c r="AA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c r="AA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c r="AA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c r="AA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c r="AA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c r="AA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c r="AA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c r="AA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c r="AA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c r="AA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c r="AA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c r="AA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c r="AA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c r="AA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c r="AA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c r="AA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c r="AA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c r="AA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c r="AA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c r="AA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c r="AA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c r="AA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c r="AA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c r="AA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c r="AA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c r="AA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c r="AA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c r="AA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c r="AA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c r="AA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c r="AA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c r="AA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c r="AA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c r="AA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c r="AA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c r="AA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c r="AA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c r="AA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c r="AA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c r="AA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c r="AA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c r="AA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c r="AA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c r="AA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c r="AA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c r="AA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c r="AA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c r="AA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c r="AA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c r="AA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c r="AA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c r="AA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c r="AA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c r="AA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c r="AA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c r="AA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c r="AA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c r="AA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c r="AA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c r="AA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c r="AA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c r="AA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c r="AA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c r="AA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c r="AA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c r="AA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c r="AA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c r="AA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c r="AA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c r="AA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c r="AA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c r="AA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c r="AA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c r="AA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c r="AA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c r="AA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c r="AA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c r="AA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c r="AA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c r="AA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c r="AA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c r="AA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c r="AA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c r="AA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c r="AA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c r="AA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c r="AA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c r="AA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row>
  </sheetData>
  <drawing r:id="rId1"/>
</worksheet>
</file>