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Report" sheetId="1" r:id="rId4"/>
    <sheet state="visible" name="Fahad" sheetId="2" r:id="rId5"/>
    <sheet state="visible" name="Tahsin" sheetId="3" r:id="rId6"/>
    <sheet state="visible" name="Summary Report" sheetId="4" r:id="rId7"/>
  </sheets>
  <definedNames/>
  <calcPr/>
</workbook>
</file>

<file path=xl/sharedStrings.xml><?xml version="1.0" encoding="utf-8"?>
<sst xmlns="http://schemas.openxmlformats.org/spreadsheetml/2006/main" count="1093" uniqueCount="632">
  <si>
    <t xml:space="preserve">Tester : </t>
  </si>
  <si>
    <t>Mohammed Fahad Faisal
Tahsin Ahmmed</t>
  </si>
  <si>
    <t>Severity</t>
  </si>
  <si>
    <t>Issues</t>
  </si>
  <si>
    <t>Project Name:</t>
  </si>
  <si>
    <t>Listly</t>
  </si>
  <si>
    <t>High</t>
  </si>
  <si>
    <t>Project URL:</t>
  </si>
  <si>
    <r>
      <rPr>
        <color rgb="FF1155CC"/>
        <u/>
      </rPr>
      <t>Listlly</t>
    </r>
  </si>
  <si>
    <t>Medium</t>
  </si>
  <si>
    <t>Developer:</t>
  </si>
  <si>
    <t>AI-Hunter</t>
  </si>
  <si>
    <t>Low</t>
  </si>
  <si>
    <t xml:space="preserve">OS: </t>
  </si>
  <si>
    <t>Environment</t>
  </si>
  <si>
    <t>Total Test Cases:</t>
  </si>
  <si>
    <t>Test Case Solved :</t>
  </si>
  <si>
    <t>Test Case ID</t>
  </si>
  <si>
    <t>Module</t>
  </si>
  <si>
    <t>Sub Module</t>
  </si>
  <si>
    <t>Test Case Description</t>
  </si>
  <si>
    <t>Preconditions</t>
  </si>
  <si>
    <t>Test Steps</t>
  </si>
  <si>
    <t>Test Data</t>
  </si>
  <si>
    <t>Expected Result</t>
  </si>
  <si>
    <t>Actual Result</t>
  </si>
  <si>
    <t>Status</t>
  </si>
  <si>
    <t>Screen Shots</t>
  </si>
  <si>
    <t>Suggestion</t>
  </si>
  <si>
    <t>Tester</t>
  </si>
  <si>
    <t>Feedback</t>
  </si>
  <si>
    <t>Comment</t>
  </si>
  <si>
    <t>BR-002</t>
  </si>
  <si>
    <t>BR-003</t>
  </si>
  <si>
    <t>BR-004</t>
  </si>
  <si>
    <t>BR-005</t>
  </si>
  <si>
    <t>BR-006</t>
  </si>
  <si>
    <t>BR-007</t>
  </si>
  <si>
    <t>BR-008</t>
  </si>
  <si>
    <t>BR-009</t>
  </si>
  <si>
    <t>BR-010</t>
  </si>
  <si>
    <t>BR-011</t>
  </si>
  <si>
    <t>BR-012</t>
  </si>
  <si>
    <t>BR-013</t>
  </si>
  <si>
    <t>BR-014</t>
  </si>
  <si>
    <t>BR-015</t>
  </si>
  <si>
    <t>BR-016</t>
  </si>
  <si>
    <t>BR-017</t>
  </si>
  <si>
    <t>BR-018</t>
  </si>
  <si>
    <t>BR-019</t>
  </si>
  <si>
    <t>BR-020</t>
  </si>
  <si>
    <t>BR-021</t>
  </si>
  <si>
    <t>BR-022</t>
  </si>
  <si>
    <t>BR-023</t>
  </si>
  <si>
    <t>BR-024</t>
  </si>
  <si>
    <t>BR-025</t>
  </si>
  <si>
    <t>BR-026</t>
  </si>
  <si>
    <t>BR-027</t>
  </si>
  <si>
    <t>BR-028</t>
  </si>
  <si>
    <t>BR-029</t>
  </si>
  <si>
    <t>BR-030</t>
  </si>
  <si>
    <t>BR-031</t>
  </si>
  <si>
    <t>BR-032</t>
  </si>
  <si>
    <t>BR-033</t>
  </si>
  <si>
    <t>BR-034</t>
  </si>
  <si>
    <t>BR-035</t>
  </si>
  <si>
    <t>BR-036</t>
  </si>
  <si>
    <t>BR-037</t>
  </si>
  <si>
    <t>BR-038</t>
  </si>
  <si>
    <t>BR-039</t>
  </si>
  <si>
    <t>BR-040</t>
  </si>
  <si>
    <t>BR-041</t>
  </si>
  <si>
    <t>BR-042</t>
  </si>
  <si>
    <t>BR-043</t>
  </si>
  <si>
    <t>BR-044</t>
  </si>
  <si>
    <t>BR-045</t>
  </si>
  <si>
    <t>BR-046</t>
  </si>
  <si>
    <t>BR-047</t>
  </si>
  <si>
    <t>BR-048</t>
  </si>
  <si>
    <t>BR-049</t>
  </si>
  <si>
    <t>BR-050</t>
  </si>
  <si>
    <t>BR-051</t>
  </si>
  <si>
    <t>BR-052</t>
  </si>
  <si>
    <t>BR-053</t>
  </si>
  <si>
    <t>BR-054</t>
  </si>
  <si>
    <t>BR-055</t>
  </si>
  <si>
    <t>BR-056</t>
  </si>
  <si>
    <t>BR-057</t>
  </si>
  <si>
    <t>BR-058</t>
  </si>
  <si>
    <t>BR-059</t>
  </si>
  <si>
    <t>BR-060</t>
  </si>
  <si>
    <t>BR-061</t>
  </si>
  <si>
    <t>BR-062</t>
  </si>
  <si>
    <t>BR-063</t>
  </si>
  <si>
    <t>BR-064</t>
  </si>
  <si>
    <t>BR-065</t>
  </si>
  <si>
    <t>BR-066</t>
  </si>
  <si>
    <t>BR-067</t>
  </si>
  <si>
    <t>BR-068</t>
  </si>
  <si>
    <t>BR-069</t>
  </si>
  <si>
    <t>BR-070</t>
  </si>
  <si>
    <t>BR-071</t>
  </si>
  <si>
    <t>BR-072</t>
  </si>
  <si>
    <t>BR-073</t>
  </si>
  <si>
    <t>BR-074</t>
  </si>
  <si>
    <t/>
  </si>
  <si>
    <t>Mohammed Fahad Faisal</t>
  </si>
  <si>
    <t>Windows 11 Pro 
Version:24H2 
OS build:26100.4946</t>
  </si>
  <si>
    <t>Environment:</t>
  </si>
  <si>
    <t>Brave 1.81.135 
(Official Build) (64-bit)
Chromium: 139.0.7258.127</t>
  </si>
  <si>
    <t>Test ID</t>
  </si>
  <si>
    <t>TC_001</t>
  </si>
  <si>
    <t>Landing Page</t>
  </si>
  <si>
    <t>Home</t>
  </si>
  <si>
    <t>Too much free space</t>
  </si>
  <si>
    <t>User need to be in web browser</t>
  </si>
  <si>
    <r>
      <rPr>
        <rFont val="Times New Roman"/>
        <sz val="12.0"/>
      </rPr>
      <t xml:space="preserve">1. Open app </t>
    </r>
    <r>
      <rPr>
        <rFont val="Times New Roman"/>
        <color rgb="FF1155CC"/>
        <sz val="12.0"/>
        <u/>
      </rPr>
      <t>link</t>
    </r>
  </si>
  <si>
    <t>N/A</t>
  </si>
  <si>
    <t>web page should be content full</t>
  </si>
  <si>
    <t xml:space="preserve">A lot of free space has been seen, feels like this page is content less </t>
  </si>
  <si>
    <t>Fail</t>
  </si>
  <si>
    <t>https://jam.dev/c/28ab7a62-0c52-40a1-9075-4a5ba2972a6e</t>
  </si>
  <si>
    <t>Make content font bigger to hide more free space</t>
  </si>
  <si>
    <t>TC_002</t>
  </si>
  <si>
    <t xml:space="preserve">Search bar top border </t>
  </si>
  <si>
    <r>
      <rPr>
        <rFont val="Times New Roman"/>
        <sz val="12.0"/>
      </rPr>
      <t xml:space="preserve">1. Open app </t>
    </r>
    <r>
      <rPr>
        <rFont val="Times New Roman"/>
        <color rgb="FF1155CC"/>
        <sz val="12.0"/>
        <u/>
      </rPr>
      <t>link</t>
    </r>
  </si>
  <si>
    <t>Search bar border all should be slightly visible</t>
  </si>
  <si>
    <t>Top bar is not visible</t>
  </si>
  <si>
    <t>https://jam.dev/c/831f63f2-91a3-4efb-87a6-cd1058550a8d</t>
  </si>
  <si>
    <t>TC_003</t>
  </si>
  <si>
    <t>Alignment and style</t>
  </si>
  <si>
    <r>
      <rPr>
        <rFont val="Times New Roman"/>
        <sz val="12.0"/>
      </rPr>
      <t xml:space="preserve">1. Open app </t>
    </r>
    <r>
      <rPr>
        <rFont val="Times New Roman"/>
        <color rgb="FF1155CC"/>
        <sz val="12.0"/>
        <u/>
      </rPr>
      <t>link</t>
    </r>
  </si>
  <si>
    <t>The alignment and design should match the client's requirements.</t>
  </si>
  <si>
    <t>A discrepancy in alignment has been observed in the web app.</t>
  </si>
  <si>
    <t>https://jam.dev/c/4469d483-5906-40bb-a0fe-e7fd980a2feb</t>
  </si>
  <si>
    <t>TC_004</t>
  </si>
  <si>
    <r>
      <rPr>
        <rFont val="Times New Roman"/>
        <sz val="12.0"/>
      </rPr>
      <t xml:space="preserve">1. Open app </t>
    </r>
    <r>
      <rPr>
        <rFont val="Times New Roman"/>
        <color rgb="FF1155CC"/>
        <sz val="12.0"/>
        <u/>
      </rPr>
      <t>link</t>
    </r>
  </si>
  <si>
    <t>https://jam.dev/c/40207a75-8737-4859-b31e-bcc88876fb07</t>
  </si>
  <si>
    <t>TC_005</t>
  </si>
  <si>
    <r>
      <rPr>
        <rFont val="Times New Roman"/>
        <sz val="12.0"/>
      </rPr>
      <t xml:space="preserve">1. Open app </t>
    </r>
    <r>
      <rPr>
        <rFont val="Times New Roman"/>
        <color rgb="FF1155CC"/>
        <sz val="12.0"/>
        <u/>
      </rPr>
      <t>link</t>
    </r>
  </si>
  <si>
    <t>The web app is missing a separation line on steps</t>
  </si>
  <si>
    <t>https://jam.dev/c/c0f5841d-04f1-4f10-aa78-81abf258f6eb</t>
  </si>
  <si>
    <t>TC_006</t>
  </si>
  <si>
    <t>The logo is not properly aligned.</t>
  </si>
  <si>
    <r>
      <rPr>
        <rFont val="Times New Roman"/>
        <sz val="12.0"/>
      </rPr>
      <t xml:space="preserve">1. Open app </t>
    </r>
    <r>
      <rPr>
        <rFont val="Times New Roman"/>
        <color rgb="FF1155CC"/>
        <sz val="12.0"/>
        <u/>
      </rPr>
      <t>link</t>
    </r>
  </si>
  <si>
    <t>The logo should be clearly visible to customers to enhance its appeal and attract more attention.</t>
  </si>
  <si>
    <t>The logo appears slightly smaller than expected.</t>
  </si>
  <si>
    <t>https://jam.dev/c/d7b2f374-5c7e-470d-99b7-4010ffe8aad1</t>
  </si>
  <si>
    <t>TC_007</t>
  </si>
  <si>
    <t>Home for sell</t>
  </si>
  <si>
    <t>Map failed to load</t>
  </si>
  <si>
    <r>
      <rPr>
        <rFont val="Times New Roman"/>
        <sz val="12.0"/>
      </rPr>
      <t xml:space="preserve">1. Open app </t>
    </r>
    <r>
      <rPr>
        <rFont val="Times New Roman"/>
        <color rgb="FF1155CC"/>
        <sz val="12.0"/>
        <u/>
      </rPr>
      <t xml:space="preserve">link
</t>
    </r>
    <r>
      <rPr>
        <rFont val="Times New Roman"/>
        <sz val="12.0"/>
      </rPr>
      <t>2. Click on Buy
3. Select "Home for sell"</t>
    </r>
  </si>
  <si>
    <t>The map should be visible and seamlessly integrated with the displayed properties.</t>
  </si>
  <si>
    <t>Unable to load the map in the map field.</t>
  </si>
  <si>
    <t>https://jam.dev/c/f0765ac7-7fc5-425d-8c25-7dd390a36dfc</t>
  </si>
  <si>
    <t>TC_008</t>
  </si>
  <si>
    <t>Content came out from border</t>
  </si>
  <si>
    <r>
      <rPr>
        <rFont val="Times New Roman"/>
        <sz val="12.0"/>
      </rPr>
      <t xml:space="preserve">1. Open app </t>
    </r>
    <r>
      <rPr>
        <rFont val="Times New Roman"/>
        <color rgb="FF1155CC"/>
        <sz val="12.0"/>
        <u/>
      </rPr>
      <t xml:space="preserve">link
</t>
    </r>
    <r>
      <rPr>
        <rFont val="Times New Roman"/>
        <sz val="12.0"/>
      </rPr>
      <t>2. Click on Buy
3. Select "Home for sell"</t>
    </r>
  </si>
  <si>
    <t>Content should be in the window.</t>
  </si>
  <si>
    <t>The content spilled out from the window display overflow.</t>
  </si>
  <si>
    <t>https://jam.dev/c/e512f074-fd07-4040-a879-6939a1a4ed6a</t>
  </si>
  <si>
    <t>TC_009</t>
  </si>
  <si>
    <t>Option missing in button</t>
  </si>
  <si>
    <r>
      <rPr>
        <rFont val="Times New Roman"/>
        <sz val="12.0"/>
      </rPr>
      <t xml:space="preserve">1. Open app </t>
    </r>
    <r>
      <rPr>
        <rFont val="Times New Roman"/>
        <color rgb="FF1155CC"/>
        <sz val="12.0"/>
        <u/>
      </rPr>
      <t xml:space="preserve">link
</t>
    </r>
    <r>
      <rPr>
        <rFont val="Times New Roman"/>
        <sz val="12.0"/>
      </rPr>
      <t>2. Click on Buy
3. Select "Home for sell"</t>
    </r>
  </si>
  <si>
    <t>All content and options should be visible as per the client's requirements.</t>
  </si>
  <si>
    <t>Missing option in home for sale.</t>
  </si>
  <si>
    <t>https://jam.dev/c/4eeb477c-6676-4a90-8329-4bf751cf9abc</t>
  </si>
  <si>
    <t>TC_010</t>
  </si>
  <si>
    <t>The page number is not displaying correctly.</t>
  </si>
  <si>
    <r>
      <rPr>
        <rFont val="Times New Roman"/>
        <sz val="12.0"/>
      </rPr>
      <t xml:space="preserve">1. Open app </t>
    </r>
    <r>
      <rPr>
        <rFont val="Times New Roman"/>
        <color rgb="FF1155CC"/>
        <sz val="12.0"/>
        <u/>
      </rPr>
      <t xml:space="preserve">link
</t>
    </r>
    <r>
      <rPr>
        <rFont val="Times New Roman"/>
        <sz val="12.0"/>
      </rPr>
      <t>2. Click on Buy
3. Select "Home for sell"</t>
    </r>
  </si>
  <si>
    <t>Users should be able to see which page they are on.</t>
  </si>
  <si>
    <t>The user is unable to view the page numbers from the 4th to the 11th page.</t>
  </si>
  <si>
    <t>https://jam.dev/c/29e6460d-aa3a-4283-be94-d0360e490fc6</t>
  </si>
  <si>
    <t>TC_011</t>
  </si>
  <si>
    <t>The page number design is different from the one in Figma.</t>
  </si>
  <si>
    <r>
      <rPr>
        <rFont val="Times New Roman"/>
        <sz val="12.0"/>
      </rPr>
      <t xml:space="preserve">1. Open app </t>
    </r>
    <r>
      <rPr>
        <rFont val="Times New Roman"/>
        <color rgb="FF1155CC"/>
        <sz val="12.0"/>
        <u/>
      </rPr>
      <t xml:space="preserve">link
</t>
    </r>
    <r>
      <rPr>
        <rFont val="Times New Roman"/>
        <sz val="12.0"/>
      </rPr>
      <t>2. Click on Buy
3. Select "Home for sell"</t>
    </r>
  </si>
  <si>
    <t>The page number layout does not match the client's requirements.</t>
  </si>
  <si>
    <t>https://jam.dev/c/f2d03a2b-effa-4fee-8241-abdcc10a015b</t>
  </si>
  <si>
    <t>TC_012</t>
  </si>
  <si>
    <t>The sort option doesn't include any additional values.</t>
  </si>
  <si>
    <r>
      <rPr>
        <rFont val="Times New Roman"/>
        <sz val="12.0"/>
      </rPr>
      <t xml:space="preserve">1. Open app </t>
    </r>
    <r>
      <rPr>
        <rFont val="Times New Roman"/>
        <color rgb="FF1155CC"/>
        <sz val="12.0"/>
        <u/>
      </rPr>
      <t xml:space="preserve">link
</t>
    </r>
    <r>
      <rPr>
        <rFont val="Times New Roman"/>
        <sz val="12.0"/>
      </rPr>
      <t>2. Click on Buy
3. Select "Home for sell"</t>
    </r>
  </si>
  <si>
    <t>The sort option should include additional values to organize effectively.</t>
  </si>
  <si>
    <t>The sort function is displaying only a single option.</t>
  </si>
  <si>
    <t>https://jam.dev/c/09d6911b-64b9-42ce-b655-dba3c2ad5f48</t>
  </si>
  <si>
    <t>TC_013</t>
  </si>
  <si>
    <t xml:space="preserve">UI design different </t>
  </si>
  <si>
    <r>
      <rPr>
        <rFont val="Times New Roman"/>
        <sz val="12.0"/>
      </rPr>
      <t xml:space="preserve">1. Open app </t>
    </r>
    <r>
      <rPr>
        <rFont val="Times New Roman"/>
        <color rgb="FF1155CC"/>
        <sz val="12.0"/>
        <u/>
      </rPr>
      <t xml:space="preserve">link
</t>
    </r>
    <r>
      <rPr>
        <rFont val="Times New Roman"/>
        <sz val="12.0"/>
      </rPr>
      <t>2. Click on Buy
3. Select "Home for sell"</t>
    </r>
  </si>
  <si>
    <t>A different user interface has been observed in the web application.</t>
  </si>
  <si>
    <t>https://jam.dev/c/502e5e02-8f2c-4c31-89dc-5c6b95347a08</t>
  </si>
  <si>
    <t>TC_014</t>
  </si>
  <si>
    <t>The interface is congested.</t>
  </si>
  <si>
    <r>
      <rPr>
        <rFont val="Times New Roman"/>
        <sz val="12.0"/>
      </rPr>
      <t xml:space="preserve">1. Open app </t>
    </r>
    <r>
      <rPr>
        <rFont val="Times New Roman"/>
        <color rgb="FF1155CC"/>
        <sz val="12.0"/>
        <u/>
      </rPr>
      <t xml:space="preserve">link
</t>
    </r>
    <r>
      <rPr>
        <rFont val="Times New Roman"/>
        <sz val="12.0"/>
      </rPr>
      <t>2. Click on Buy
3. Select "Home for sell"</t>
    </r>
  </si>
  <si>
    <t>All the text and placeholders should be clearly visible to the client.</t>
  </si>
  <si>
    <t>Some placeholder text is truncated, and the UI feels very crowded.</t>
  </si>
  <si>
    <t>https://jam.dev/c/6b9b8151-ca0b-411c-a171-615f4c80ef37</t>
  </si>
  <si>
    <t>TC_015</t>
  </si>
  <si>
    <t>Property Details</t>
  </si>
  <si>
    <t>Issue with the alignment of property images.</t>
  </si>
  <si>
    <r>
      <rPr>
        <rFont val="Times New Roman"/>
        <sz val="12.0"/>
      </rPr>
      <t xml:space="preserve">1. Open app </t>
    </r>
    <r>
      <rPr>
        <rFont val="Times New Roman"/>
        <color rgb="FF1155CC"/>
        <sz val="12.0"/>
        <u/>
      </rPr>
      <t xml:space="preserve">link
</t>
    </r>
    <r>
      <rPr>
        <rFont val="Times New Roman"/>
        <sz val="12.0"/>
      </rPr>
      <t>2. Click on Buy
3. Select "Home for sell"
4. Click on property banner</t>
    </r>
  </si>
  <si>
    <t>A specific area should be covered with images, and its shape will be a rectangle.</t>
  </si>
  <si>
    <t>https://jam.dev/c/03e888ae-fc61-432f-bc75-716696dbbe31</t>
  </si>
  <si>
    <t>TC_016</t>
  </si>
  <si>
    <t>There is an issue with the alignment of the description.</t>
  </si>
  <si>
    <r>
      <rPr>
        <rFont val="Times New Roman"/>
        <sz val="12.0"/>
      </rPr>
      <t xml:space="preserve">1. Open app </t>
    </r>
    <r>
      <rPr>
        <rFont val="Times New Roman"/>
        <color rgb="FF1155CC"/>
        <sz val="12.0"/>
        <u/>
      </rPr>
      <t xml:space="preserve">link
</t>
    </r>
    <r>
      <rPr>
        <rFont val="Times New Roman"/>
        <sz val="12.0"/>
      </rPr>
      <t>2. Click on Buy
3. Select "Home for sell"
4. Click on property banner</t>
    </r>
  </si>
  <si>
    <t>Blank spaces should not be in the middle of content.</t>
  </si>
  <si>
    <t>Empty space has been observed in the description section.</t>
  </si>
  <si>
    <t>https://jam.dev/c/1bc4bb1c-2e6c-4905-a1d8-c16999feb7e1</t>
  </si>
  <si>
    <t>Align it to the center or increase the font size to eliminate the empty space between sections.</t>
  </si>
  <si>
    <t>TC_017</t>
  </si>
  <si>
    <t>The context is not clearly visible in dark mode.</t>
  </si>
  <si>
    <t>User need to be in web browser and in night mode</t>
  </si>
  <si>
    <r>
      <rPr>
        <rFont val="Times New Roman"/>
        <sz val="12.0"/>
      </rPr>
      <t xml:space="preserve">1. Open app </t>
    </r>
    <r>
      <rPr>
        <rFont val="Times New Roman"/>
        <color rgb="FF1155CC"/>
        <sz val="12.0"/>
        <u/>
      </rPr>
      <t xml:space="preserve">link
</t>
    </r>
    <r>
      <rPr>
        <rFont val="Times New Roman"/>
        <sz val="12.0"/>
      </rPr>
      <t>2. Click on Buy
3. Select "Home for sell"
4. Click on property banner</t>
    </r>
  </si>
  <si>
    <t>Images and content should be properly displayed in various states.</t>
  </si>
  <si>
    <t>When the user is in night mode, the content is not clearly visible.</t>
  </si>
  <si>
    <t>https://jam.dev/c/53691908-c11d-4738-a081-ddbcd1f9dd59</t>
  </si>
  <si>
    <t>TC_018</t>
  </si>
  <si>
    <t>Animations and effects are not visible in night mode.</t>
  </si>
  <si>
    <r>
      <rPr>
        <rFont val="Times New Roman"/>
        <sz val="12.0"/>
      </rPr>
      <t xml:space="preserve">1. Open app </t>
    </r>
    <r>
      <rPr>
        <rFont val="Times New Roman"/>
        <color rgb="FF1155CC"/>
        <sz val="12.0"/>
        <u/>
      </rPr>
      <t xml:space="preserve">link
</t>
    </r>
    <r>
      <rPr>
        <rFont val="Times New Roman"/>
        <sz val="12.0"/>
      </rPr>
      <t>2. Click on Buy
3. Select "Home for sell"
4. Click on property banner</t>
    </r>
  </si>
  <si>
    <t>Animations and effects should remain the same when users browse them in different states.</t>
  </si>
  <si>
    <t>When the user switches to night mode, the animations and effects in the web app are not displayed.</t>
  </si>
  <si>
    <t>https://jam.dev/c/940c3602-e614-4cfb-826f-38b1a67a8574</t>
  </si>
  <si>
    <t>TC_019</t>
  </si>
  <si>
    <t>Dashboard</t>
  </si>
  <si>
    <t>Selling properties</t>
  </si>
  <si>
    <t>selling properties process title missing</t>
  </si>
  <si>
    <r>
      <rPr>
        <rFont val="Times New Roman"/>
        <sz val="12.0"/>
      </rPr>
      <t xml:space="preserve">1. Open app </t>
    </r>
    <r>
      <rPr>
        <rFont val="Times New Roman"/>
        <color rgb="FF1155CC"/>
        <sz val="12.0"/>
        <u/>
      </rPr>
      <t xml:space="preserve">link
</t>
    </r>
    <r>
      <rPr>
        <rFont val="Times New Roman"/>
        <sz val="12.0"/>
      </rPr>
      <t>2. Goto Dashboard</t>
    </r>
  </si>
  <si>
    <t>The content title should be positioned accurately.</t>
  </si>
  <si>
    <t>A missing content title has been identified in Selling Properties (Processing).</t>
  </si>
  <si>
    <t>https://jam.dev/c/ec4a1ad8-e7bd-46ed-ae28-e3b95e96ac3b</t>
  </si>
  <si>
    <t>TC_020</t>
  </si>
  <si>
    <t>There seems to be an issue with alignment.</t>
  </si>
  <si>
    <r>
      <rPr>
        <rFont val="Times New Roman"/>
        <sz val="12.0"/>
      </rPr>
      <t xml:space="preserve">1. Open app </t>
    </r>
    <r>
      <rPr>
        <rFont val="Times New Roman"/>
        <color rgb="FF1155CC"/>
        <sz val="12.0"/>
        <u/>
      </rPr>
      <t xml:space="preserve">link
</t>
    </r>
    <r>
      <rPr>
        <rFont val="Times New Roman"/>
        <sz val="12.0"/>
      </rPr>
      <t>2. Goto Dashboard
3. Click on "List New Property"</t>
    </r>
  </si>
  <si>
    <t>The property image and all essential features should be displayed accurately, ensuring the alignment matches the client's requirements.</t>
  </si>
  <si>
    <t>The property image is missing, and there are alignment issues that do not match the client’s requirements.</t>
  </si>
  <si>
    <t>https://jam.dev/c/170d79ca-dd6c-4647-8cb1-16cf7c9ce991</t>
  </si>
  <si>
    <t>TC_021</t>
  </si>
  <si>
    <t>The button border is missing in night mode.</t>
  </si>
  <si>
    <r>
      <rPr>
        <rFont val="Times New Roman"/>
        <sz val="12.0"/>
      </rPr>
      <t xml:space="preserve">1. Open app </t>
    </r>
    <r>
      <rPr>
        <rFont val="Times New Roman"/>
        <color rgb="FF1155CC"/>
        <sz val="12.0"/>
        <u/>
      </rPr>
      <t xml:space="preserve">link
</t>
    </r>
    <r>
      <rPr>
        <rFont val="Times New Roman"/>
        <sz val="12.0"/>
      </rPr>
      <t>2. Goto Dashboard
3. Click on "List New Property"</t>
    </r>
  </si>
  <si>
    <t>The button border is not visible in night mode.</t>
  </si>
  <si>
    <t>https://jam.dev/c/a8c5ee75-edb6-4d49-adb7-31e4712ffd0b</t>
  </si>
  <si>
    <t>TC_022</t>
  </si>
  <si>
    <t>A colorful icon is used instead of a black-and-white icon.</t>
  </si>
  <si>
    <r>
      <rPr>
        <rFont val="Times New Roman"/>
        <sz val="12.0"/>
      </rPr>
      <t xml:space="preserve">1. Open app </t>
    </r>
    <r>
      <rPr>
        <rFont val="Times New Roman"/>
        <color rgb="FF1155CC"/>
        <sz val="12.0"/>
        <u/>
      </rPr>
      <t xml:space="preserve">link
</t>
    </r>
    <r>
      <rPr>
        <rFont val="Times New Roman"/>
        <sz val="12.0"/>
      </rPr>
      <t>2. Goto Dashboard
3. Click on "List New Property"</t>
    </r>
  </si>
  <si>
    <t>Icons and images should be used according to client specifications.</t>
  </si>
  <si>
    <t>A different design icon has been implemented in the dashboard, deviating from the client's specifications.</t>
  </si>
  <si>
    <t>https://jam.dev/c/4f1cc002-2461-4334-a72c-1f301503e0b4</t>
  </si>
  <si>
    <t>TC_023</t>
  </si>
  <si>
    <t>The title is not formatted in bold.</t>
  </si>
  <si>
    <r>
      <rPr>
        <rFont val="Times New Roman"/>
        <sz val="12.0"/>
      </rPr>
      <t xml:space="preserve">1. Open app </t>
    </r>
    <r>
      <rPr>
        <rFont val="Times New Roman"/>
        <color rgb="FF1155CC"/>
        <sz val="12.0"/>
        <u/>
      </rPr>
      <t xml:space="preserve">link
</t>
    </r>
    <r>
      <rPr>
        <rFont val="Times New Roman"/>
        <sz val="12.0"/>
      </rPr>
      <t>2. Goto Dashboard
3. Click on "List New Property"</t>
    </r>
  </si>
  <si>
    <t>Content titles should be in bold format to attract clients.</t>
  </si>
  <si>
    <t>The title is not in bold format, which does not make it stand out from the rest of the content.</t>
  </si>
  <si>
    <t>https://jam.dev/c/62609a7a-c2a3-4d10-b1dd-2f5eecd89183</t>
  </si>
  <si>
    <t>TC_024</t>
  </si>
  <si>
    <t>The upload title has a different design.</t>
  </si>
  <si>
    <r>
      <rPr>
        <rFont val="Times New Roman"/>
        <sz val="12.0"/>
      </rPr>
      <t xml:space="preserve">1. Open app </t>
    </r>
    <r>
      <rPr>
        <rFont val="Times New Roman"/>
        <color rgb="FF1155CC"/>
        <sz val="12.0"/>
        <u/>
      </rPr>
      <t xml:space="preserve">link
</t>
    </r>
    <r>
      <rPr>
        <rFont val="Times New Roman"/>
        <sz val="12.0"/>
      </rPr>
      <t>2. Goto Dashboard
3. Click on "List New Property"</t>
    </r>
  </si>
  <si>
    <t>Section title design should match the client's requirements.</t>
  </si>
  <si>
    <t>A different design has been observed based on the client's requirements.</t>
  </si>
  <si>
    <t>https://jam.dev/c/0d595759-4a67-4e66-ad8e-1b481e4e073c</t>
  </si>
  <si>
    <t>TC_025</t>
  </si>
  <si>
    <t>Selling properties &gt; Escrow Section</t>
  </si>
  <si>
    <t xml:space="preserve">Different table designs </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</si>
  <si>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</si>
  <si>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border and table style do not align with the client's requirements.</t>
  </si>
  <si>
    <t>https://jam.dev/c/e3e4f63a-b1d8-4e2f-9000-ebe0b4c6ed05</t>
  </si>
  <si>
    <t>TC_026</t>
  </si>
  <si>
    <t>Issue with alignment.</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</si>
  <si>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</si>
  <si>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buttons are positioned on the right side, whereas in the web app, they are on the left, which does not align with the client's requirements.</t>
  </si>
  <si>
    <t>https://jam.dev/c/46dba90e-620e-490c-81ad-0f2e0597e964</t>
  </si>
  <si>
    <t>TC_027</t>
  </si>
  <si>
    <t>Content missing</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</si>
  <si>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</si>
  <si>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All content should be clearly visible in the web app, aligning with the client’s specifications.</t>
  </si>
  <si>
    <t>The social media share link and the "Under Review" task section are missing from the escrow section.</t>
  </si>
  <si>
    <t>https://jam.dev/c/3f2d393f-1b64-4f5f-8e4d-cd05d66d77cd</t>
  </si>
  <si>
    <t>TC_028</t>
  </si>
  <si>
    <t>Used another company's logo.</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</si>
  <si>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</si>
  <si>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An app cannot include or use the logo of another company.</t>
  </si>
  <si>
    <t>Using the Yamaha company logo violates trademark law because it is illegal.</t>
  </si>
  <si>
    <t>https://jam.dev/c/d92c125a-0cb4-4b20-876a-548824f92b65</t>
  </si>
  <si>
    <t>Using another company's logo is prohibited due to trademark laws, branding reputation concerns, and the potential for legal consequences.</t>
  </si>
  <si>
    <t>TC_029</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</si>
  <si>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</si>
  <si>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 different logo and design have appeared in the web app, which do not match the client's requirements.</t>
  </si>
  <si>
    <t>https://jam.dev/c/7ea2afec-91fd-4d82-a299-6bd0aa5b8410</t>
  </si>
  <si>
    <t>TC_030</t>
  </si>
  <si>
    <t>Page indicator style</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</si>
  <si>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</si>
  <si>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indicator should be filled once the page work is completed.</t>
  </si>
  <si>
    <t>The first page is completed, but when the user moves to the second page after finishing it, the first page indicator doesn't change color.</t>
  </si>
  <si>
    <t>https://jam.dev/c/ddb5fc0d-1ef3-4bed-b88c-3f57afce6465</t>
  </si>
  <si>
    <t>TC_031</t>
  </si>
  <si>
    <t>Alignment issue</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</si>
  <si>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</si>
  <si>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buttons are positioned on the middle, whereas in the web app, they are on the right, which does not align with the client's requirements.</t>
  </si>
  <si>
    <t>https://jam.dev/c/17b5501d-df8b-48b0-975b-283a416f7b77</t>
  </si>
  <si>
    <t>TC_032</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</si>
  <si>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</si>
  <si>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After the title name, all the content appears slightly to the right under the title, but in the web app, all the content is aligned to the left side.</t>
  </si>
  <si>
    <t>https://jam.dev/c/e4ffb2b5-535c-4b6f-a777-390dfe44b9b1</t>
  </si>
  <si>
    <t>TC_033</t>
  </si>
  <si>
    <t>Alignment problem and icon modification.</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</si>
  <si>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</si>
  <si>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uploaded logo does not match the client's requirements, and the buttons are positioned in the middle, whereas in the web app, they are aligned to the right.</t>
  </si>
  <si>
    <t>https://jam.dev/c/caeae463-fe56-45d4-ab63-5693f3683c70</t>
  </si>
  <si>
    <t>TC_034</t>
  </si>
  <si>
    <t>Icon missing</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</si>
  <si>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</si>
  <si>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The icon should match the client's requirements.</t>
  </si>
  <si>
    <t>Icons are not appearing in the payment section of the web app.</t>
  </si>
  <si>
    <t>https://jam.dev/c/daa909c9-9ca5-478a-b890-6cf7d5e974de</t>
  </si>
  <si>
    <t>TC_035</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</si>
  <si>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</si>
  <si>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After the title name, all the content appears slightly to the right under the title, but in the web app, all the content is aligned to the left side.Also upload icon missing and buttons are in right side instead of middle</t>
  </si>
  <si>
    <t>https://jam.dev/c/74635a10-b490-49a9-9390-8d7b1345069c</t>
  </si>
  <si>
    <t>TC_036</t>
  </si>
  <si>
    <t>Page flow missing</t>
  </si>
  <si>
    <r>
      <rPr>
        <rFont val="Times New Roman"/>
        <sz val="12.0"/>
      </rPr>
      <t xml:space="preserve">1. Open app </t>
    </r>
    <r>
      <rPr>
        <rFont val="Times New Roman"/>
        <color rgb="FF1155CC"/>
        <sz val="12.0"/>
        <u/>
      </rPr>
      <t xml:space="preserve">link
</t>
    </r>
    <r>
      <rPr>
        <rFont val="Times New Roman"/>
        <sz val="12.0"/>
      </rPr>
      <t>2. Goto Dashboard
3. Click on "List New Property"
4. After submit all , click on Escrow</t>
    </r>
  </si>
  <si>
    <t>After completing all the pages in the escrow section, the success prompt should appear.</t>
  </si>
  <si>
    <t>The success page is missing after completing the escrow section.</t>
  </si>
  <si>
    <t>https://jam.dev/c/7d8e408f-1b22-482e-9e85-f972e2d246a1</t>
  </si>
  <si>
    <t>TC_037</t>
  </si>
  <si>
    <t>Buy Properties</t>
  </si>
  <si>
    <t>The value indicator is missing.</t>
  </si>
  <si>
    <r>
      <rPr>
        <rFont val="Times New Roman"/>
        <sz val="12.0"/>
      </rPr>
      <t xml:space="preserve">1. Open app </t>
    </r>
    <r>
      <rPr>
        <rFont val="Times New Roman"/>
        <color rgb="FF1155CC"/>
        <sz val="12.0"/>
        <u/>
      </rPr>
      <t xml:space="preserve">link
</t>
    </r>
    <r>
      <rPr>
        <rFont val="Times New Roman"/>
        <sz val="12.0"/>
      </rPr>
      <t>2. Goto Dashboard
3. Click on Buy Properties</t>
    </r>
  </si>
  <si>
    <t>The value indicator should be dynamic and should change position on top of the indicator bar, rather than remaining fixed in a single spot.</t>
  </si>
  <si>
    <t>The value is in a fixed position, not located above the indicator.</t>
  </si>
  <si>
    <t>https://jam.dev/c/b68d3585-bbf2-44b8-95ef-f0b68eaab026</t>
  </si>
  <si>
    <t>TC_038</t>
  </si>
  <si>
    <t>Buy Properties &gt; Offer details</t>
  </si>
  <si>
    <r>
      <rPr>
        <rFont val="Times New Roman"/>
        <sz val="12.0"/>
      </rPr>
      <t xml:space="preserve">1. Open app </t>
    </r>
    <r>
      <rPr>
        <rFont val="Times New Roman"/>
        <color rgb="FF1155CC"/>
        <sz val="12.0"/>
        <u/>
      </rPr>
      <t xml:space="preserve">link
</t>
    </r>
    <r>
      <rPr>
        <rFont val="Times New Roman"/>
        <sz val="12.0"/>
      </rPr>
      <t>2. Goto Dashboard
3. Click on Buy Properties &gt; Offer details</t>
    </r>
  </si>
  <si>
    <t>The page title should match client satisfaction.</t>
  </si>
  <si>
    <t>Base on client requirement, title should be on the left</t>
  </si>
  <si>
    <t>https://jam.dev/c/68604009-5406-4484-abf5-e745f16bd305</t>
  </si>
  <si>
    <t>TC_039</t>
  </si>
  <si>
    <r>
      <rPr>
        <rFont val="Times New Roman"/>
        <sz val="12.0"/>
      </rPr>
      <t xml:space="preserve">1. Open app </t>
    </r>
    <r>
      <rPr>
        <rFont val="Times New Roman"/>
        <color rgb="FF1155CC"/>
        <sz val="12.0"/>
        <u/>
      </rPr>
      <t xml:space="preserve">link
</t>
    </r>
    <r>
      <rPr>
        <rFont val="Times New Roman"/>
        <sz val="12.0"/>
      </rPr>
      <t>2. Goto Dashboard
3. Click on Buy Properties &gt; Offer details</t>
    </r>
  </si>
  <si>
    <t>The remaining date and balance should be aligned to the right as per the client's requirement.</t>
  </si>
  <si>
    <t>The remaining days and balance are listed below the date and balance, which differs from the client's expectations.</t>
  </si>
  <si>
    <t>https://jam.dev/c/03f51624-a387-4e39-8186-2df08d7105c6</t>
  </si>
  <si>
    <t>TC_040</t>
  </si>
  <si>
    <t>Button missing</t>
  </si>
  <si>
    <r>
      <rPr>
        <rFont val="Times New Roman"/>
        <sz val="12.0"/>
      </rPr>
      <t xml:space="preserve">1. Open app </t>
    </r>
    <r>
      <rPr>
        <rFont val="Times New Roman"/>
        <color rgb="FF1155CC"/>
        <sz val="12.0"/>
        <u/>
      </rPr>
      <t xml:space="preserve">link
</t>
    </r>
    <r>
      <rPr>
        <rFont val="Times New Roman"/>
        <sz val="12.0"/>
      </rPr>
      <t>2. Goto Dashboard
3. Click on Buy Properties &gt; Offer details</t>
    </r>
  </si>
  <si>
    <t>All buttons should be included in the web app and positioned accurately according to the client's requirements.</t>
  </si>
  <si>
    <t>The "Send Counter Offer" button is missing in the web app.</t>
  </si>
  <si>
    <t>https://jam.dev/c/ea4f3a02-cfee-4fe7-b5af-dbad6c2f7e83</t>
  </si>
  <si>
    <t>TC_041</t>
  </si>
  <si>
    <t>The button is not included in the client's requirements.</t>
  </si>
  <si>
    <r>
      <rPr>
        <rFont val="Times New Roman"/>
        <sz val="12.0"/>
      </rPr>
      <t xml:space="preserve">1. Open app </t>
    </r>
    <r>
      <rPr>
        <rFont val="Times New Roman"/>
        <color rgb="FF1155CC"/>
        <sz val="12.0"/>
        <u/>
      </rPr>
      <t xml:space="preserve">link
</t>
    </r>
    <r>
      <rPr>
        <rFont val="Times New Roman"/>
        <sz val="12.0"/>
      </rPr>
      <t>2. Goto Dashboard
3. Click on Buy Properties &gt; Offer details</t>
    </r>
  </si>
  <si>
    <t>An additional button has been added at the top of the web app.</t>
  </si>
  <si>
    <t>https://jam.dev/c/786e291d-aa6f-4738-9e55-22e60cfb61f3</t>
  </si>
  <si>
    <t>TC_042</t>
  </si>
  <si>
    <t>The counteroffer page flow is missing.</t>
  </si>
  <si>
    <r>
      <rPr>
        <rFont val="Times New Roman"/>
        <sz val="12.0"/>
      </rPr>
      <t xml:space="preserve">1. Open app </t>
    </r>
    <r>
      <rPr>
        <rFont val="Times New Roman"/>
        <color rgb="FF1155CC"/>
        <sz val="12.0"/>
        <u/>
      </rPr>
      <t xml:space="preserve">link
</t>
    </r>
    <r>
      <rPr>
        <rFont val="Times New Roman"/>
        <sz val="12.0"/>
      </rPr>
      <t>2. Goto Dashboard
3. Click on Buy Properties &gt; Offer details</t>
    </r>
  </si>
  <si>
    <t>All pages should remain visible as per the client's requirement.</t>
  </si>
  <si>
    <t xml:space="preserve">Counter offer page flow missing </t>
  </si>
  <si>
    <t>https://jam.dev/c/fea4d0ad-38c5-4a91-9d92-9403f0b820f9</t>
  </si>
  <si>
    <t>TC_043</t>
  </si>
  <si>
    <t>TC_044</t>
  </si>
  <si>
    <t>TC_045</t>
  </si>
  <si>
    <t>TC_046</t>
  </si>
  <si>
    <t>TC_047</t>
  </si>
  <si>
    <t>TC_048</t>
  </si>
  <si>
    <t>TC_049</t>
  </si>
  <si>
    <t>BR_01</t>
  </si>
  <si>
    <t>Registration</t>
  </si>
  <si>
    <t>Page Layout</t>
  </si>
  <si>
    <t>Verify that the left-side image maintains correct aspect ratio on Registration page</t>
  </si>
  <si>
    <t>User is on the Registration page</t>
  </si>
  <si>
    <t>1. Navigate to Registration page 
2. Observe the left-side image displayed</t>
  </si>
  <si>
    <t>None</t>
  </si>
  <si>
    <t>Image should maintain proper aspect ratio and not appear stretched or compressed</t>
  </si>
  <si>
    <t>Image on the left side is distorted and ratio is incorrect</t>
  </si>
  <si>
    <t>https://jam.dev/c/290028c9-c619-45b7-9f89-dda4e3d05439</t>
  </si>
  <si>
    <t>BR_02</t>
  </si>
  <si>
    <t>Verify that the left-side image matches client requirement on Registration page</t>
  </si>
  <si>
    <t>Image should match the client-approved design and requirement</t>
  </si>
  <si>
    <t>Image shown on the left side is different from client requirement</t>
  </si>
  <si>
    <t>https://jam.dev/c/6d1dd6c8-9490-4bfe-95b5-f2f8da178a7a</t>
  </si>
  <si>
    <t>BR_03</t>
  </si>
  <si>
    <t>Verify that the gap between left-side image and registration form matches client requirement</t>
  </si>
  <si>
    <t>1. Navigate to Registration page 
2. Observe the spacing between left-side image and registration form box</t>
  </si>
  <si>
    <t>Gap between image and form box should be minimal and aligned with client-approved design</t>
  </si>
  <si>
    <t>Gap is larger/incorrect compared to client requirement</t>
  </si>
  <si>
    <t>https://jam.dev/c/867bc45d-8a50-44a1-8d3f-4ff390858aa7</t>
  </si>
  <si>
    <t>BR_04</t>
  </si>
  <si>
    <t>Form Design</t>
  </si>
  <si>
    <t>Verify that the registration form box uses proper font size and looks visually appealing</t>
  </si>
  <si>
    <t>1. Navigate to Registration page 
2. Observe the registration form box text and overall design</t>
  </si>
  <si>
    <t>Form box should look attractive and follow client-approved design with readable font size</t>
  </si>
  <si>
    <t>Text in form box looks unattractive; font size is too small and not eye catching</t>
  </si>
  <si>
    <t>https://jam.dev/c/937d9f9d-9e8a-4325-bc52-ea98c72c3c53</t>
  </si>
  <si>
    <t>BR_05</t>
  </si>
  <si>
    <t>Verify that the supporting sentence under 'Create Your Listlly Account' matches client requirement</t>
  </si>
  <si>
    <t>1. Navigate to Registration page 
2. Observe the supporting sentence under 'Create Your Listlly Account' heading</t>
  </si>
  <si>
    <t>Supporting sentence should exactly match the client-approved text</t>
  </si>
  <si>
    <t>Supporting sentence does not match client requirement</t>
  </si>
  <si>
    <t>https://jam.dev/c/ecb081b7-714a-4ced-bc97-419427592695</t>
  </si>
  <si>
    <t>BR_06</t>
  </si>
  <si>
    <t>Form Buttons</t>
  </si>
  <si>
    <t>Verify that the registration button label matches client requirement</t>
  </si>
  <si>
    <t>1. Navigate to Registration page 
2. Observe the label text on the registration button</t>
  </si>
  <si>
    <t>Button label should be 'Register' as per client requirement</t>
  </si>
  <si>
    <t>Button label is 'Sign Up' instead of 'Register'</t>
  </si>
  <si>
    <t>https://jam.dev/c/00c543ca-2e4d-4439-96e0-29eec3b53dcc</t>
  </si>
  <si>
    <t>BR_07</t>
  </si>
  <si>
    <t>Form Section</t>
  </si>
  <si>
    <t>Verify that the sentence 'By signing up, you agree with our Terms of service and privacy policy' is displayed below the Register button</t>
  </si>
  <si>
    <t>1. Navigate to Registration page 
2. Observe the area below the Register button</t>
  </si>
  <si>
    <t>Sentence should be visible just below the Register button</t>
  </si>
  <si>
    <t>Missing sentence below the Register button</t>
  </si>
  <si>
    <t>https://jam.dev/c/6a329dc2-c9d6-4a9a-b933-233f4c3bac8d</t>
  </si>
  <si>
    <t>BR_08</t>
  </si>
  <si>
    <t>Verify that the 'Register' button for Partner/Vendor/Agent with text 'If you are a partner/vendor/agent, please register' is displayed above Full Name field</t>
  </si>
  <si>
    <t>1. Navigate to Registration page
 2. Observe the form section above Full Name field</t>
  </si>
  <si>
    <t>Button and supporting text should be visible above Full Name field</t>
  </si>
  <si>
    <t>Missing Partner/Vendor/Agent Register button and supporting text</t>
  </si>
  <si>
    <t>https://jam.dev/c/a397689e-c865-4b43-b170-8226720c4605</t>
  </si>
  <si>
    <t>BR_09</t>
  </si>
  <si>
    <t>Login</t>
  </si>
  <si>
    <t>Verify that the login page title displays 'Welcome to Listlly' instead of 'Create Your Listlly Account'</t>
  </si>
  <si>
    <t>User is on the Login page</t>
  </si>
  <si>
    <t>1. Navigate to Login page 
2. Observe the form title</t>
  </si>
  <si>
    <t>Form title should display 'Welcome to Listlly'</t>
  </si>
  <si>
    <t>Form title shows 'Create Your Listlly Account'</t>
  </si>
  <si>
    <t>https://jam.dev/c/551d5af2-b322-488c-ac06-ca264cb59627</t>
  </si>
  <si>
    <t>BR_10</t>
  </si>
  <si>
    <t>Verify that 'Forget Password?' is displayed as a clickable button/link without 'Reset it here'</t>
  </si>
  <si>
    <t>1. Navigate to Login page 
2. Observe the Forget Password section</t>
  </si>
  <si>
    <t>Forget Password?' should be a clickable button/link and no 'Reset it here' text should appear</t>
  </si>
  <si>
    <t>Reset it here' is still displayed; 'Forget Password?' is not clickable</t>
  </si>
  <si>
    <t>https://jam.dev/c/1cd150f6-7aa8-4f7f-82fe-f70ac86abcd1</t>
  </si>
  <si>
    <t>BR_11</t>
  </si>
  <si>
    <t>Make an Offer (Buyer)</t>
  </si>
  <si>
    <t>Have you seen this property in person?</t>
  </si>
  <si>
    <t>Verify that bullet point (radio button) is displayed for 'Have you seen this property in person? Yes/No'</t>
  </si>
  <si>
    <t>User is on Make an Offer(buyer) page and mavigated to 'Have you seen this property in person?' page</t>
  </si>
  <si>
    <t>1. Navigate to Buyer → Make an Offer section 
2. Locate 'Have you seen this property in person?' question 
3. Check options (Yes/No) UI</t>
  </si>
  <si>
    <t>Yes/No options should have proper bullet point (radio button) markers as per client requirement</t>
  </si>
  <si>
    <t>Bullet point markers are missing for Yes/No options</t>
  </si>
  <si>
    <t>https://jam.dev/c/41efc2ae-c13b-4196-9e9a-ebd28f09de23</t>
  </si>
  <si>
    <t>BR_12</t>
  </si>
  <si>
    <t>Verify that selecting Yes/No for 'Have you seen this property in person?' navigates directly to next page without Continue button</t>
  </si>
  <si>
    <t>1. Navigate to Buyer → Make an Offer section 
2. Select 'Yes' option 
3. Select 'No' option</t>
  </si>
  <si>
    <t>Yes/No options</t>
  </si>
  <si>
    <t>After selecting Yes/No, system should automatically navigate to next page and only Back button should be displayed</t>
  </si>
  <si>
    <t>Continue button is still displayed; navigation does not occur automatically</t>
  </si>
  <si>
    <t>https://jam.dev/c/9a379078-4019-4098-9ede-937c31e6990a</t>
  </si>
  <si>
    <t>BR_13</t>
  </si>
  <si>
    <t>How will you finance this purchase?</t>
  </si>
  <si>
    <t>Verify that only Back button is displayed on 'How will you finance this purchase?' page</t>
  </si>
  <si>
    <t>User is on Make an Offer(buyer) page and selects 'YES' in 'Have you seen this property in person?'</t>
  </si>
  <si>
    <t>1. Navigate to Buyer → Make an Offer section 
2. Proceed until 'How will you finance this purchase?' page</t>
  </si>
  <si>
    <t>Have you seen this property in person? -&gt; YES</t>
  </si>
  <si>
    <t>Page should display only Back button as per requirement</t>
  </si>
  <si>
    <t>Page displays only Continue button; Back button is missing</t>
  </si>
  <si>
    <t>https://jam.dev/c/f0465eb8-1d12-4bfa-a747-da563d1ee6bc</t>
  </si>
  <si>
    <t>BR_14</t>
  </si>
  <si>
    <t>Schedule Page</t>
  </si>
  <si>
    <t>Verify that the schedule date picker allows navigation beyond the default 5 dates</t>
  </si>
  <si>
    <t>User ison Make an Offer(buyer) page and selects 'No' in 'Have you seen this property in person?'</t>
  </si>
  <si>
    <t>1. Navigate to Buyer → Make an Offer section 
2. Select 'No' for 'Have you seen this property in person?' 
3. Proceed to Schedule page 
4. Observe the date picker for navigation controls</t>
  </si>
  <si>
    <t>Have you seen this property in person? -&gt; NO</t>
  </si>
  <si>
    <t>Date picker should allow navigation with Next (&gt;) and Previous (&lt;) icons to browse dates</t>
  </si>
  <si>
    <t>Only 5 fixed dates are shown; Next and Previous navigation icons are missing</t>
  </si>
  <si>
    <t>https://jam.dev/c/4a9e456e-7cda-4b99-be89-f773ad3758c1</t>
  </si>
  <si>
    <t>BR_15</t>
  </si>
  <si>
    <t>Verify that the time picker allows navigation beyond fixed time slots</t>
  </si>
  <si>
    <t>User is on Make an Offer(buyer) page and selects 'No' in 'Have you seen this property in person?'</t>
  </si>
  <si>
    <t>1. Navigate to Buyer → Make an Offer section 
2. Select 'No' for 'Have you seen this property in person?' 
3. Proceed to Schedule page 
4. Observe the time picker for navigation controls</t>
  </si>
  <si>
    <t>Time picker should allow navigation with Next (&gt;) and Previous (&lt;) icons to browse available time slots</t>
  </si>
  <si>
    <t>Only fixed time slots are shown; Next and Previous navigation icons are missing</t>
  </si>
  <si>
    <t>https://jam.dev/c/111e6c14-cf8a-4d63-ad9b-3008fdefc1bc</t>
  </si>
  <si>
    <t>BR_16</t>
  </si>
  <si>
    <t>Have you signed an Exclusive Agency Agreement with an agent?</t>
  </si>
  <si>
    <t>Verify that only Back button is displayed on 'Have you signed an Exclusive Agency Agreement with an agent?' page</t>
  </si>
  <si>
    <t>User is on Make an Offer(buyer) page and mavigated to 'Have you signed an Exclusive Agency Agreement with an agent?' page</t>
  </si>
  <si>
    <t>1. Navigate to Buyer → Make an Offer section 
2. Proceed until 'Have you signed an Exclusive Agency Agreement with an agent?' page</t>
  </si>
  <si>
    <t>How will you finance this purchase? -&gt; All Cash</t>
  </si>
  <si>
    <t>Page shows incorrect button (e.g., Continue) instead of only Back button</t>
  </si>
  <si>
    <t>https://jam.dev/c/624f48ee-8e9c-41f9-afbe-859bfa23774f</t>
  </si>
  <si>
    <t>BR_17</t>
  </si>
  <si>
    <t>Do You Have a Pre-Approval?</t>
  </si>
  <si>
    <t>Verify system behavior when selecting Mortgage financing option with Pre-Approval = Yes</t>
  </si>
  <si>
    <t>User is logged in as Buyer and on Make an Offer flow</t>
  </si>
  <si>
    <t>1. Navigate to Buyer → Make an Offer section 
2. On 'How will you finance this purchase?' select 'Mortgage' 
3. On 'Do you have a Pre-Approval?' select 'Yes'</t>
  </si>
  <si>
    <t>1. How will you finance this purchase? -&gt; Mortgage
2. Financing Option: Mortgage; Pre-Approval: Yes</t>
  </si>
  <si>
    <t>System should proceed to the next step without any error message</t>
  </si>
  <si>
    <t>System throws 'Unexpected Application Error!' after selecting Yes</t>
  </si>
  <si>
    <t>https://jam.dev/c/d47d2960-056a-4955-ae0e-53ee21683636</t>
  </si>
  <si>
    <t>BR_18</t>
  </si>
  <si>
    <t>Agent Contact &amp; Quote Form</t>
  </si>
  <si>
    <t>Verify that all required fields (Email, Phone, DRE License) are present in Agent Contact &amp; Quote Form</t>
  </si>
  <si>
    <t>User should select 'YES'  and navigated to Agent Contact &amp; Quote Form page</t>
  </si>
  <si>
    <t>1. Navigate to Buyer → Make an Offer section 
2. Proceed until 'Have you signed an Exclusive Agency Agreement with an agent?' page -&gt; Select 'YES'
3. Observe the Agent Contact &amp; Quote Form</t>
  </si>
  <si>
    <t>Have you signed an Exclusive Agency Agreement with an agent?' page -&gt; Select 'YES'</t>
  </si>
  <si>
    <t>Form should include Email, Phone, and DRE License fields as per requirement</t>
  </si>
  <si>
    <t>Email, Phone, and DRE License fields are missing from the form</t>
  </si>
  <si>
    <t>https://jam.dev/c/c74b471f-2e17-4db5-bea1-de7928d7245e</t>
  </si>
  <si>
    <t>BR_19</t>
  </si>
  <si>
    <t>Verify that the Full Name field displays correct placeholder text in Agent Contact &amp; Quote Form</t>
  </si>
  <si>
    <t>1. Navigate to Buyer → Make an Offer section 
2. Proceed until 'Have you signed an Exclusive Agency Agreement with an agent?' page -&gt; Select 'YES'
3. Observe the placeholder text in the Full Name field</t>
  </si>
  <si>
    <t>Full Name field should display placeholder 'Enter Full Name'</t>
  </si>
  <si>
    <t>Full Name field displays placeholder 'Enter DRE License'</t>
  </si>
  <si>
    <t>https://jam.dev/c/2abf45dc-bd9c-4c5d-94bf-96c7dfbe704d</t>
  </si>
  <si>
    <t>BR_20</t>
  </si>
  <si>
    <t>Make an Offer (Buyer’s Agent)</t>
  </si>
  <si>
    <t>Verify that radio buttons are available for selecting options on 'How will you finance this purchase?' page</t>
  </si>
  <si>
    <t>User is on Make an offer (Buyers agent) page and navigated to Agent Contact &amp; Quote Form page</t>
  </si>
  <si>
    <t>1. Navigate to Buyer’s Agent → Make an Offer section 
2. Proceed to 'How will you finance this purchase?' page 
3. Observe available option select visualization</t>
  </si>
  <si>
    <t>Options should include proper radio buttons for selecting Yes/No or equivalent choices</t>
  </si>
  <si>
    <t>Radio buttons for selecting options are missing</t>
  </si>
  <si>
    <t>https://jam.dev/c/fba7c8eb-23cd-4f58-bbd3-2059c4aef7a6</t>
  </si>
  <si>
    <t>BR_21</t>
  </si>
  <si>
    <t>Verify that each input field is displayed as a single input box without extra nested box</t>
  </si>
  <si>
    <t>1. Navigate to Make an Offer section (Buyer's Agent)
2. Proceed until Agent Contact &amp; Quote Form page 
3. Observe all input fields</t>
  </si>
  <si>
    <t>Each input field should be displayed as a single clean input box</t>
  </si>
  <si>
    <t>Each input field is shown with two boxes (nested), causing a duplicated field style</t>
  </si>
  <si>
    <t>https://jam.dev/c/d6db5416-c92e-4bac-8f69-003309c3a483</t>
  </si>
  <si>
    <t>BR_22</t>
  </si>
  <si>
    <t>Verify that the full Agent Contact &amp; Quote Form including Submit button is visible on a single page without scrolling</t>
  </si>
  <si>
    <t>User is logged in as Buyer/Agent and navigated to Agent Contact &amp; Quote Form page</t>
  </si>
  <si>
    <t>1. Navigate to Make an Offer section (Buyer's Agent) 
2. Proceed until Agent Contact &amp; Quote Form page 
3. Check visibility of the entire form and Submit button</t>
  </si>
  <si>
    <t>Entire form including Submit button should be visible without scrolling</t>
  </si>
  <si>
    <t>Form requires scrolling to access Submit button</t>
  </si>
  <si>
    <t>https://jam.dev/c/a50383eb-5752-4b22-a3f6-f125ad6ec2c6</t>
  </si>
  <si>
    <t>BR_23</t>
  </si>
  <si>
    <t>Contact Agent</t>
  </si>
  <si>
    <t>Contact Information Form</t>
  </si>
  <si>
    <t>Verify that supporting text 'I am interested in the following property' is displayed in the form</t>
  </si>
  <si>
    <t>User is on Contact Agent section and viewing the Contact Information form</t>
  </si>
  <si>
    <t>1. Navigate to Contact Agent section 
2. Open Contact Information form 
3. Check for supporting text above form fields</t>
  </si>
  <si>
    <t>Supporting text 'I am interested in the following property' should be visible in the form</t>
  </si>
  <si>
    <t>Supporting text is missing in the form</t>
  </si>
  <si>
    <t>https://jam.dev/c/a9f7f711-6235-4682-aa59-5a8444a27088</t>
  </si>
  <si>
    <t>BR_24</t>
  </si>
  <si>
    <t>Post-Verification Page</t>
  </si>
  <si>
    <t>Verify that correct confirmation message is displayed after verifying contact information</t>
  </si>
  <si>
    <t>User is on Contact Agent section and has successfully verified contact information</t>
  </si>
  <si>
    <t>1. Navigate to Contact Agent section 
2. Fill in xthe OTP 
3. Observe the page displayed after verification</t>
  </si>
  <si>
    <t>Valid contact info data</t>
  </si>
  <si>
    <t>After successful verification, system should display confirmation like 'Contact info verified' or 'Agent booking done'</t>
  </si>
  <si>
    <t>System shows 'Get Pre-Approve Confirm' page instead of correct confirmation message</t>
  </si>
  <si>
    <t>https://jam.dev/c/71c70a51-39ed-45bd-a6ea-929537e12c39</t>
  </si>
  <si>
    <t>BR_25</t>
  </si>
  <si>
    <t>Sell</t>
  </si>
  <si>
    <t>Flat Fee MLS</t>
  </si>
  <si>
    <t>Verify that 'Recent Sales Properties' section appears immediately after 'Flat Fee MLS' without excessive gap</t>
  </si>
  <si>
    <t>User is on Sell → Flat Fee MLS section</t>
  </si>
  <si>
    <t>1. Navigate to Sell → Flat Fee MLS section 
2. Scroll through the page 
3. Observe placement of 'Recent Sales Properties' section</t>
  </si>
  <si>
    <t>Recent Sales Properties' should appear just after 'Flat Fee MLS' content without excessive gap</t>
  </si>
  <si>
    <t>Recent Sales Properties' appears on the next page with a large gap from 'Flat Fee MLS'</t>
  </si>
  <si>
    <t>https://jam.dev/c/385e4042-dc11-4b2d-a4e1-6ad9d00b6fed</t>
  </si>
  <si>
    <t>BR_26</t>
  </si>
  <si>
    <t>Sell (Flat Fee MLS)</t>
  </si>
  <si>
    <t>Recent Sales Properties</t>
  </si>
  <si>
    <t>Verify that 'View All' button is available in Recent Sales Properties section</t>
  </si>
  <si>
    <t>User is on Sell → Flat Fee MLS page and scrolls to Recent Sales Properties section</t>
  </si>
  <si>
    <t>1. Navigate to Sell → Flat Fee MLS section 
2. Scroll down to Recent Sales Properties section 
3. Check for 'View All' button</t>
  </si>
  <si>
    <t>View All' button should be displayed to allow viewing all sales properties</t>
  </si>
  <si>
    <t>View All' button is missing in Recent Sales Properties section</t>
  </si>
  <si>
    <t>https://jam.dev/c/404208e6-1c62-4b9f-9e3a-8700a2314550</t>
  </si>
  <si>
    <t>BR_27</t>
  </si>
  <si>
    <t>Los Angeles Listlly Section</t>
  </si>
  <si>
    <t>Verify that star rating appears in top-left corner and left (&lt;), right (&gt;) slider navigation buttons appear in top-right corner</t>
  </si>
  <si>
    <t>User is on Sell → Flat Fee MLS page and scrolls to Los Angeles Listlly section</t>
  </si>
  <si>
    <t>1. Navigate to Sell → Flat Fee MLS Section
2. Scroll down to Los Angeles Listlly section 
3. Observe the placement of star rating 
4. Observe the placement of left (&lt;) and right (&gt;) slider navigation buttons</t>
  </si>
  <si>
    <t>Star rating should be displayed in the top-left corner, and slider navigation buttons (&lt;, &gt;) should be displayed in the top-right corner as per client requirement</t>
  </si>
  <si>
    <t>Star rating and slider navigation buttons are not positioned correctly</t>
  </si>
  <si>
    <t>https://jam.dev/c/89cc5b0d-90d9-4015-adb4-d500bdb66ed8</t>
  </si>
  <si>
    <t>BR_28</t>
  </si>
  <si>
    <t>Verify that 'Buying before selling? Find a home for sell' section is displayed after 'Is It the Right Time to Sell Your House?' section</t>
  </si>
  <si>
    <t>User is on Sell page and scrolls past 'Is It the Right Time to Sell Your House?' section</t>
  </si>
  <si>
    <t>1. Navigate to Sell → Flat Fee MLS Section 
2. Scroll to 'Is It the Right Time to Sell Your House?' section 
3. Check if 'Buying before selling? Find a home for sell' section appears immediately after</t>
  </si>
  <si>
    <t>Buying before selling? Find a home for sell' section should be displayed right after 'Is It the Right Time to Sell Your House?' section</t>
  </si>
  <si>
    <t>Section is missing from the page</t>
  </si>
  <si>
    <t>https://jam.dev/c/c3ccc61a-cb7b-4fcb-896a-5badb2c2821f</t>
  </si>
  <si>
    <t>BR_29</t>
  </si>
  <si>
    <t>Sell (Sell Your House for Cash)</t>
  </si>
  <si>
    <t>Cash Home Sellers Listlly</t>
  </si>
  <si>
    <t>Verify that left (&lt;) and right (&gt;) slider navigation buttons are available in Cash Home Sellers Listlly section</t>
  </si>
  <si>
    <t>User is on Sell → Sell Your House for Cash page and scrolls to Cash Home Sellers Listlly section</t>
  </si>
  <si>
    <t>1. Navigate to Sell → Sell Your House for Cash page 
2. Scroll to Cash Home Sellers Listlly section 
3. Check for left (&lt;) and right (&gt;) slider navigation buttons</t>
  </si>
  <si>
    <t>Left (&lt;) and Right (&gt;) slider navigation buttons should be visible and functional in Cash Home Sellers Listlly section</t>
  </si>
  <si>
    <t>Slider navigation buttons are missing in Cash Home Sellers Listlly section</t>
  </si>
  <si>
    <t>https://jam.dev/c/395aeb40-8f61-406a-9bab-f1d98a804ad2</t>
  </si>
  <si>
    <t>BR_30</t>
  </si>
  <si>
    <t>Why Listlly Section</t>
  </si>
  <si>
    <t>Verify that '$215 Million in saving and counting' section is fully visible without truncation or cutoff</t>
  </si>
  <si>
    <t>User is on Why Listlly section</t>
  </si>
  <si>
    <t>1. Navigate to Why Listlly section 
2. Observe '$215 Million in saving and counting' section</t>
  </si>
  <si>
    <t>$215 Million in saving and counting' sectiont should be fully visible and aligned as per client requirement</t>
  </si>
  <si>
    <t>not fully visible (partially hidden/truncated)</t>
  </si>
  <si>
    <t>https://jam.dev/c/9a404789-df9e-4ac4-8662-38affbb8db4a</t>
  </si>
  <si>
    <t>BR_31</t>
  </si>
  <si>
    <t>Submitted Offer</t>
  </si>
  <si>
    <t>Compare Offer</t>
  </si>
  <si>
    <t>Verify that no Back button is displayed in top-left corner</t>
  </si>
  <si>
    <t>User is on Submitted Offer section</t>
  </si>
  <si>
    <t xml:space="preserve">1. Navigate to Submitted Offer section  
2. Observe the top-left corner for Back button </t>
  </si>
  <si>
    <t>No Back button should appear in the top-left corner as per requirements</t>
  </si>
  <si>
    <t>Back button appears in top-left corner and button position is not eye-catching</t>
  </si>
  <si>
    <t>https://jam.dev/c/b6fc70d1-f90f-46fa-aab3-601985fa1c3b</t>
  </si>
  <si>
    <t>BR_32</t>
  </si>
  <si>
    <t>Offer Details</t>
  </si>
  <si>
    <t>Verify that Inclusion/Exclusion field is present in Offer Details page</t>
  </si>
  <si>
    <t>User is on Offer Details page</t>
  </si>
  <si>
    <t>1. Navigate to Offer Details page 
2. Look for Inclusion/Exclusion field 
3. Verify if the field is available</t>
  </si>
  <si>
    <t>Inclusion/Exclusion field should be displayed in Offer Details page as per requirements</t>
  </si>
  <si>
    <t>Inclusion/Exclusion field is missing</t>
  </si>
  <si>
    <t>https://jam.dev/c/773df6da-3466-41b6-9fc0-29a074ed6e48</t>
  </si>
  <si>
    <t>BR_33</t>
  </si>
  <si>
    <t>BR_34</t>
  </si>
  <si>
    <t>BR_35</t>
  </si>
  <si>
    <t>BR_36</t>
  </si>
  <si>
    <t>BR_37</t>
  </si>
  <si>
    <t>BR_38</t>
  </si>
  <si>
    <t>BR_39</t>
  </si>
  <si>
    <t>BR_40</t>
  </si>
  <si>
    <t>BR_41</t>
  </si>
  <si>
    <t>BR_42</t>
  </si>
  <si>
    <t>BR_43</t>
  </si>
  <si>
    <t>BR_44</t>
  </si>
  <si>
    <t>BR_45</t>
  </si>
  <si>
    <t>BR_46</t>
  </si>
  <si>
    <t>BR_47</t>
  </si>
  <si>
    <t>BR_48</t>
  </si>
  <si>
    <t>BR_49</t>
  </si>
  <si>
    <t>BR_50</t>
  </si>
  <si>
    <t>Bug Count</t>
  </si>
  <si>
    <t>Bug Rate %</t>
  </si>
  <si>
    <t>Bug Severity</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</si>
</sst>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font>
    <font>
      <b/>
      <sz val="12.0"/>
      <color theme="1"/>
      <name val="Calibri"/>
    </font>
    <font>
      <sz val="11.0"/>
      <color theme="1"/>
      <name val="Calibri"/>
    </font>
    <font>
      <b/>
      <sz val="12.0"/>
      <color theme="1"/>
      <name val="Arial"/>
    </font>
    <font>
      <b/>
      <color rgb="FF000000"/>
      <name val="Arial"/>
      <scheme val="minor"/>
    </font>
    <font>
      <b/>
      <color theme="1"/>
      <name val="Arial"/>
    </font>
    <font>
      <u/>
      <color rgb="FF0000FF"/>
    </font>
    <font>
      <b/>
      <sz val="11.0"/>
      <color theme="1"/>
      <name val="Calibri"/>
    </font>
    <font>
      <b/>
      <sz val="15.0"/>
      <color theme="1"/>
      <name val="Calibri"/>
    </font>
    <font>
      <sz val="15.0"/>
      <color theme="1"/>
      <name val="Arial"/>
      <scheme val="minor"/>
    </font>
    <font>
      <color theme="1"/>
      <name val="Arial"/>
      <scheme val="minor"/>
    </font>
    <font>
      <u/>
      <color rgb="FF0000FF"/>
    </font>
    <font>
      <u/>
      <color rgb="FF0000FF"/>
    </font>
    <font>
      <sz val="12.0"/>
      <color theme="1"/>
      <name val="Calibri"/>
    </font>
    <font>
      <color rgb="FF1E2624"/>
      <name val="Inter"/>
    </font>
    <font>
      <color rgb="FF1E2624"/>
      <name val="Arial"/>
    </font>
    <font>
      <b/>
      <sz val="13.0"/>
      <color theme="1"/>
      <name val="Times New Roman"/>
    </font>
    <font>
      <sz val="13.0"/>
      <color theme="1"/>
      <name val="Arial"/>
      <scheme val="minor"/>
    </font>
    <font>
      <sz val="12.0"/>
      <color theme="1"/>
      <name val="Times New Roman"/>
    </font>
    <font>
      <u/>
      <sz val="12.0"/>
      <color rgb="FF0000FF"/>
      <name val="Times New Roman"/>
    </font>
    <font>
      <u/>
      <color rgb="FF0000FF"/>
    </font>
    <font>
      <u/>
      <sz val="12.0"/>
      <color rgb="FF0000FF"/>
      <name val="Times New Roman"/>
    </font>
    <font>
      <u/>
      <sz val="12.0"/>
      <color rgb="FF1155CC"/>
      <name val="Times New Roman"/>
    </font>
    <font>
      <u/>
      <color rgb="FF0000FF"/>
    </font>
    <font>
      <u/>
      <sz val="12.0"/>
      <color rgb="FF1155CC"/>
      <name val="Times New Roman"/>
    </font>
    <font>
      <u/>
      <color rgb="FF1155CC"/>
      <name val="Arial"/>
    </font>
    <font>
      <b/>
      <sz val="16.0"/>
      <color theme="1"/>
      <name val="Calibri"/>
    </font>
    <font>
      <u/>
      <sz val="12.0"/>
      <color rgb="FF1155CC"/>
      <name val="Calibri"/>
    </font>
    <font>
      <u/>
      <sz val="12.0"/>
      <color rgb="FF0000FF"/>
      <name val="Calibri"/>
    </font>
    <font>
      <sz val="12.0"/>
      <color rgb="FF000000"/>
      <name val="Calibri"/>
    </font>
  </fonts>
  <fills count="8">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38761D"/>
        <bgColor rgb="FF38761D"/>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s>
  <borders count="7">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right"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wrapText="1"/>
    </xf>
    <xf borderId="0" fillId="0" fontId="5"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2"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readingOrder="0"/>
    </xf>
    <xf borderId="1" fillId="3" fontId="6"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4" fontId="6" numFmtId="0" xfId="0" applyAlignment="1" applyBorder="1" applyFill="1" applyFont="1">
      <alignment horizontal="center" shrinkToFit="0" vertical="center" wrapText="1"/>
    </xf>
    <xf borderId="1" fillId="0" fontId="1" numFmtId="0" xfId="0" applyBorder="1" applyFont="1"/>
    <xf borderId="0" fillId="0" fontId="6" numFmtId="0" xfId="0" applyFont="1"/>
    <xf borderId="1" fillId="0" fontId="8" numFmtId="0" xfId="0" applyAlignment="1" applyBorder="1" applyFont="1">
      <alignment horizontal="center" shrinkToFit="0" wrapText="1"/>
    </xf>
    <xf borderId="1" fillId="0" fontId="6" numFmtId="0" xfId="0" applyAlignment="1" applyBorder="1" applyFont="1">
      <alignment horizontal="center" shrinkToFit="0" wrapText="1"/>
    </xf>
    <xf borderId="2" fillId="5" fontId="9" numFmtId="0" xfId="0" applyAlignment="1" applyBorder="1" applyFill="1" applyFont="1">
      <alignment horizontal="center" shrinkToFit="0" vertical="center" wrapText="1"/>
    </xf>
    <xf borderId="2" fillId="5" fontId="9"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3" fillId="0" fontId="1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Font="1"/>
    <xf borderId="1" fillId="0" fontId="14"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readingOrder="0" vertical="center"/>
    </xf>
    <xf borderId="1" fillId="6" fontId="15" numFmtId="0" xfId="0" applyAlignment="1" applyBorder="1" applyFill="1" applyFont="1">
      <alignment horizontal="center" readingOrder="0" vertical="center"/>
    </xf>
    <xf borderId="1" fillId="0" fontId="2" numFmtId="0" xfId="0" applyAlignment="1" applyBorder="1" applyFont="1">
      <alignment horizontal="right" readingOrder="0" vertical="center"/>
    </xf>
    <xf borderId="1" fillId="6" fontId="16" numFmtId="0" xfId="0" applyAlignment="1" applyBorder="1" applyFont="1">
      <alignment horizontal="center" readingOrder="0" vertical="center"/>
    </xf>
    <xf borderId="2" fillId="7" fontId="17" numFmtId="0" xfId="0" applyAlignment="1" applyBorder="1" applyFill="1" applyFont="1">
      <alignment horizontal="center" shrinkToFit="0" vertical="center" wrapText="1"/>
    </xf>
    <xf borderId="0" fillId="0" fontId="18" numFmtId="0" xfId="0" applyAlignment="1" applyFont="1">
      <alignment vertical="center"/>
    </xf>
    <xf borderId="4" fillId="0" fontId="19"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4" fillId="0" fontId="20"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21" numFmtId="0" xfId="0" applyAlignment="1" applyBorder="1" applyFont="1">
      <alignment horizontal="center" readingOrder="0" shrinkToFit="0" vertical="center" wrapText="1"/>
    </xf>
    <xf borderId="0" fillId="0" fontId="11" numFmtId="0" xfId="0" applyAlignment="1" applyFont="1">
      <alignment horizontal="left" shrinkToFit="0" vertical="center" wrapText="1"/>
    </xf>
    <xf borderId="1" fillId="0" fontId="22" numFmtId="0" xfId="0" applyAlignment="1" applyBorder="1" applyFont="1">
      <alignment horizontal="left" readingOrder="0" shrinkToFit="0" vertical="center" wrapText="1"/>
    </xf>
    <xf borderId="1" fillId="0" fontId="23"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1" fillId="0" fontId="19" numFmtId="0" xfId="0" applyAlignment="1" applyBorder="1" applyFont="1">
      <alignment horizontal="center" shrinkToFit="0" vertical="center" wrapText="1"/>
    </xf>
    <xf borderId="0" fillId="0" fontId="19" numFmtId="0" xfId="0" applyAlignment="1" applyFont="1">
      <alignment horizontal="center" shrinkToFit="0" vertical="center" wrapText="1"/>
    </xf>
    <xf borderId="1" fillId="0" fontId="25" numFmtId="0" xfId="0" applyAlignment="1" applyBorder="1" applyFont="1">
      <alignment horizontal="center" shrinkToFit="0" vertical="center" wrapText="1"/>
    </xf>
    <xf borderId="0" fillId="0" fontId="1" numFmtId="0" xfId="0" applyAlignment="1" applyFont="1">
      <alignment vertical="bottom"/>
    </xf>
    <xf borderId="1" fillId="0" fontId="2" numFmtId="0" xfId="0" applyAlignment="1" applyBorder="1" applyFont="1">
      <alignment horizontal="right" shrinkToFit="0" vertical="bottom" wrapText="1"/>
    </xf>
    <xf borderId="1" fillId="0" fontId="9" numFmtId="0" xfId="0" applyAlignment="1" applyBorder="1" applyFont="1">
      <alignment horizontal="center" vertical="bottom"/>
    </xf>
    <xf borderId="1" fillId="0" fontId="1" numFmtId="0" xfId="0" applyAlignment="1" applyBorder="1" applyFont="1">
      <alignment horizontal="center" readingOrder="0" vertical="bottom"/>
    </xf>
    <xf borderId="1" fillId="0" fontId="1" numFmtId="0" xfId="0" applyAlignment="1" applyBorder="1" applyFont="1">
      <alignment horizontal="center" shrinkToFit="0" wrapText="1"/>
    </xf>
    <xf borderId="1" fillId="0" fontId="1" numFmtId="0" xfId="0" applyAlignment="1" applyBorder="1" applyFont="1">
      <alignment horizontal="center"/>
    </xf>
    <xf borderId="1" fillId="0" fontId="26" numFmtId="0" xfId="0" applyAlignment="1" applyBorder="1" applyFont="1">
      <alignment horizontal="center" readingOrder="0" shrinkToFit="0" vertical="bottom" wrapText="1"/>
    </xf>
    <xf borderId="1" fillId="0" fontId="1" numFmtId="0" xfId="0" applyAlignment="1" applyBorder="1" applyFont="1">
      <alignment vertical="bottom"/>
    </xf>
    <xf borderId="1" fillId="0" fontId="2" numFmtId="0" xfId="0" applyAlignment="1" applyBorder="1" applyFont="1">
      <alignment horizontal="right" vertical="bottom"/>
    </xf>
    <xf borderId="1" fillId="0" fontId="8" numFmtId="0" xfId="0" applyAlignment="1" applyBorder="1" applyFont="1">
      <alignment horizontal="right" vertical="bottom"/>
    </xf>
    <xf borderId="1" fillId="0" fontId="1" numFmtId="0" xfId="0" applyAlignment="1" applyBorder="1" applyFont="1">
      <alignment horizontal="center" vertical="bottom"/>
    </xf>
    <xf borderId="1" fillId="5" fontId="27" numFmtId="0" xfId="0" applyAlignment="1" applyBorder="1" applyFont="1">
      <alignment horizontal="center" shrinkToFit="0" vertical="center" wrapText="1"/>
    </xf>
    <xf borderId="1" fillId="0" fontId="14" numFmtId="0" xfId="0" applyAlignment="1" applyBorder="1" applyFont="1">
      <alignment shrinkToFit="0" vertical="center" wrapText="1"/>
    </xf>
    <xf borderId="1" fillId="0" fontId="28"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vertical="center"/>
    </xf>
    <xf borderId="1" fillId="0" fontId="1" numFmtId="0" xfId="0" applyAlignment="1" applyBorder="1" applyFont="1">
      <alignment horizontal="left" vertical="center"/>
    </xf>
    <xf borderId="1" fillId="0" fontId="1" numFmtId="0" xfId="0" applyAlignment="1" applyBorder="1" applyFont="1">
      <alignment shrinkToFit="0" vertical="center" wrapText="1"/>
    </xf>
    <xf borderId="1" fillId="0" fontId="14" numFmtId="0" xfId="0" applyAlignment="1" applyBorder="1" applyFont="1">
      <alignment horizontal="left" shrinkToFit="0" vertical="center" wrapText="1"/>
    </xf>
    <xf quotePrefix="1" borderId="1" fillId="0" fontId="14" numFmtId="0" xfId="0" applyAlignment="1" applyBorder="1" applyFont="1">
      <alignment shrinkToFit="0" vertical="center" wrapText="1"/>
    </xf>
    <xf borderId="1" fillId="0" fontId="14" numFmtId="0" xfId="0" applyAlignment="1" applyBorder="1" applyFont="1">
      <alignment horizontal="left" readingOrder="0" shrinkToFit="0" vertical="center" wrapText="1"/>
    </xf>
    <xf borderId="1" fillId="0" fontId="29" numFmtId="0" xfId="0" applyAlignment="1" applyBorder="1" applyFont="1">
      <alignment horizontal="left" readingOrder="0" shrinkToFit="0" vertical="center" wrapText="1"/>
    </xf>
    <xf borderId="0" fillId="6" fontId="30" numFmtId="0" xfId="0" applyAlignment="1" applyFont="1">
      <alignment readingOrder="0" shrinkToFit="0" vertical="center" wrapText="1"/>
    </xf>
    <xf quotePrefix="1" borderId="1" fillId="0" fontId="14" numFmtId="0" xfId="0" applyAlignment="1" applyBorder="1" applyFont="1">
      <alignment horizontal="left" readingOrder="0" shrinkToFit="0" vertical="center" wrapText="1"/>
    </xf>
    <xf borderId="6" fillId="0" fontId="14"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0" fillId="0" fontId="14"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14" numFmtId="0" xfId="0" applyAlignment="1" applyFont="1">
      <alignment horizontal="left" shrinkToFit="0" vertical="center" wrapText="1"/>
    </xf>
    <xf borderId="0" fillId="0" fontId="14" numFmtId="0" xfId="0" applyAlignment="1" applyFont="1">
      <alignment readingOrder="0" shrinkToFit="0" vertical="center" wrapText="1"/>
    </xf>
    <xf borderId="1" fillId="0" fontId="14"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6" fillId="0" fontId="14" numFmtId="0" xfId="0" applyAlignment="1" applyBorder="1" applyFont="1">
      <alignment readingOrder="0" shrinkToFit="0" vertical="center" wrapText="1"/>
    </xf>
    <xf borderId="0" fillId="0" fontId="14" numFmtId="0" xfId="0" applyAlignment="1" applyFont="1">
      <alignment readingOrder="0" shrinkToFit="0" vertical="center" wrapText="1"/>
    </xf>
    <xf borderId="0" fillId="0" fontId="14" numFmtId="0" xfId="0" applyAlignment="1" applyFont="1">
      <alignment shrinkToFit="0" vertical="center" wrapText="1"/>
    </xf>
    <xf borderId="2" fillId="5" fontId="17" numFmtId="0" xfId="0" applyAlignment="1" applyBorder="1" applyFont="1">
      <alignment horizontal="center" shrinkToFit="0" vertical="center" wrapText="1"/>
    </xf>
    <xf borderId="2" fillId="5" fontId="17" numFmtId="0" xfId="0" applyAlignment="1" applyBorder="1" applyFont="1">
      <alignment horizontal="center" readingOrder="0" shrinkToFit="0" vertical="center" wrapText="1"/>
    </xf>
    <xf borderId="2" fillId="5" fontId="17"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dPt>
            <c:idx val="0"/>
            <c:spPr>
              <a:solidFill>
                <a:srgbClr val="FF0000"/>
              </a:solidFill>
            </c:spPr>
          </c:dPt>
          <c:dPt>
            <c:idx val="1"/>
            <c:spPr>
              <a:solidFill>
                <a:srgbClr val="FFFF00"/>
              </a:solidFill>
            </c:spPr>
          </c:dPt>
          <c:dPt>
            <c:idx val="2"/>
            <c:spPr>
              <a:solidFill>
                <a:srgbClr val="6AA84F"/>
              </a:solidFill>
            </c:spPr>
          </c:dPt>
          <c:dLbls>
            <c:showLegendKey val="0"/>
            <c:showVal val="1"/>
            <c:showCatName val="0"/>
            <c:showSerName val="0"/>
            <c:showPercent val="0"/>
            <c:showBubbleSize val="0"/>
            <c:showLeaderLines val="1"/>
          </c:dLbls>
          <c:cat>
            <c:strRef>
              <c:f>'Main Report'!$D$3:$D$5</c:f>
            </c:strRef>
          </c:cat>
          <c:val>
            <c:numRef>
              <c:f>'Main Report'!$E$3:$E$5</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Arial black"/>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9525</xdr:rowOff>
    </xdr:from>
    <xdr:ext cx="3981450" cy="21050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am.dev/c/28ab7a62-0c52-40a1-9075-4a5ba2972a6e" TargetMode="External"/><Relationship Id="rId42" Type="http://schemas.openxmlformats.org/officeDocument/2006/relationships/hyperlink" Target="https://jam.dev/c/4469d483-5906-40bb-a0fe-e7fd980a2feb" TargetMode="External"/><Relationship Id="rId41" Type="http://schemas.openxmlformats.org/officeDocument/2006/relationships/hyperlink" Target="https://jam.dev/c/831f63f2-91a3-4efb-87a6-cd1058550a8d" TargetMode="External"/><Relationship Id="rId44" Type="http://schemas.openxmlformats.org/officeDocument/2006/relationships/hyperlink" Target="https://jam.dev/c/c0f5841d-04f1-4f10-aa78-81abf258f6eb" TargetMode="External"/><Relationship Id="rId43" Type="http://schemas.openxmlformats.org/officeDocument/2006/relationships/hyperlink" Target="https://jam.dev/c/40207a75-8737-4859-b31e-bcc88876fb07" TargetMode="External"/><Relationship Id="rId46" Type="http://schemas.openxmlformats.org/officeDocument/2006/relationships/hyperlink" Target="https://jam.dev/c/551d5af2-b322-488c-ac06-ca264cb59627" TargetMode="External"/><Relationship Id="rId45" Type="http://schemas.openxmlformats.org/officeDocument/2006/relationships/hyperlink" Target="https://jam.dev/c/d7b2f374-5c7e-470d-99b7-4010ffe8aad1" TargetMode="External"/><Relationship Id="rId1" Type="http://schemas.openxmlformats.org/officeDocument/2006/relationships/hyperlink" Target="https://listlly.netlify.app/" TargetMode="External"/><Relationship Id="rId2" Type="http://schemas.openxmlformats.org/officeDocument/2006/relationships/hyperlink" Target="https://jam.dev/c/a9f7f711-6235-4682-aa59-5a8444a27088" TargetMode="External"/><Relationship Id="rId3" Type="http://schemas.openxmlformats.org/officeDocument/2006/relationships/hyperlink" Target="https://jam.dev/c/71c70a51-39ed-45bd-a6ea-929537e12c39" TargetMode="External"/><Relationship Id="rId4" Type="http://schemas.openxmlformats.org/officeDocument/2006/relationships/hyperlink" Target="https://jam.dev/c/b68d3585-bbf2-44b8-95ef-f0b68eaab026" TargetMode="External"/><Relationship Id="rId9" Type="http://schemas.openxmlformats.org/officeDocument/2006/relationships/hyperlink" Target="https://jam.dev/c/fea4d0ad-38c5-4a91-9d92-9403f0b820f9" TargetMode="External"/><Relationship Id="rId48" Type="http://schemas.openxmlformats.org/officeDocument/2006/relationships/hyperlink" Target="https://jam.dev/c/c74b471f-2e17-4db5-bea1-de7928d7245e" TargetMode="External"/><Relationship Id="rId47" Type="http://schemas.openxmlformats.org/officeDocument/2006/relationships/hyperlink" Target="https://jam.dev/c/1cd150f6-7aa8-4f7f-82fe-f70ac86abcd1" TargetMode="External"/><Relationship Id="rId49" Type="http://schemas.openxmlformats.org/officeDocument/2006/relationships/hyperlink" Target="https://jam.dev/c/2abf45dc-bd9c-4c5d-94bf-96c7dfbe704d" TargetMode="External"/><Relationship Id="rId5" Type="http://schemas.openxmlformats.org/officeDocument/2006/relationships/hyperlink" Target="https://jam.dev/c/68604009-5406-4484-abf5-e745f16bd305" TargetMode="External"/><Relationship Id="rId6" Type="http://schemas.openxmlformats.org/officeDocument/2006/relationships/hyperlink" Target="https://jam.dev/c/03f51624-a387-4e39-8186-2df08d7105c6" TargetMode="External"/><Relationship Id="rId7" Type="http://schemas.openxmlformats.org/officeDocument/2006/relationships/hyperlink" Target="https://jam.dev/c/ea4f3a02-cfee-4fe7-b5af-dbad6c2f7e83" TargetMode="External"/><Relationship Id="rId8" Type="http://schemas.openxmlformats.org/officeDocument/2006/relationships/hyperlink" Target="https://jam.dev/c/786e291d-aa6f-4738-9e55-22e60cfb61f3" TargetMode="External"/><Relationship Id="rId73" Type="http://schemas.openxmlformats.org/officeDocument/2006/relationships/hyperlink" Target="https://jam.dev/c/b6fc70d1-f90f-46fa-aab3-601985fa1c3b" TargetMode="External"/><Relationship Id="rId72" Type="http://schemas.openxmlformats.org/officeDocument/2006/relationships/hyperlink" Target="https://jam.dev/c/395aeb40-8f61-406a-9bab-f1d98a804ad2" TargetMode="External"/><Relationship Id="rId31" Type="http://schemas.openxmlformats.org/officeDocument/2006/relationships/hyperlink" Target="https://jam.dev/c/29e6460d-aa3a-4283-be94-d0360e490fc6" TargetMode="External"/><Relationship Id="rId75" Type="http://schemas.openxmlformats.org/officeDocument/2006/relationships/hyperlink" Target="https://jam.dev/c/9a404789-df9e-4ac4-8662-38affbb8db4a" TargetMode="External"/><Relationship Id="rId30" Type="http://schemas.openxmlformats.org/officeDocument/2006/relationships/hyperlink" Target="https://jam.dev/c/4eeb477c-6676-4a90-8329-4bf751cf9abc" TargetMode="External"/><Relationship Id="rId74" Type="http://schemas.openxmlformats.org/officeDocument/2006/relationships/hyperlink" Target="https://jam.dev/c/773df6da-3466-41b6-9fc0-29a074ed6e48" TargetMode="External"/><Relationship Id="rId33" Type="http://schemas.openxmlformats.org/officeDocument/2006/relationships/hyperlink" Target="https://jam.dev/c/09d6911b-64b9-42ce-b655-dba3c2ad5f48" TargetMode="External"/><Relationship Id="rId32" Type="http://schemas.openxmlformats.org/officeDocument/2006/relationships/hyperlink" Target="https://jam.dev/c/f2d03a2b-effa-4fee-8241-abdcc10a015b" TargetMode="External"/><Relationship Id="rId76" Type="http://schemas.openxmlformats.org/officeDocument/2006/relationships/drawing" Target="../drawings/drawing1.xml"/><Relationship Id="rId35" Type="http://schemas.openxmlformats.org/officeDocument/2006/relationships/hyperlink" Target="https://jam.dev/c/6b9b8151-ca0b-411c-a171-615f4c80ef37" TargetMode="External"/><Relationship Id="rId34" Type="http://schemas.openxmlformats.org/officeDocument/2006/relationships/hyperlink" Target="https://jam.dev/c/502e5e02-8f2c-4c31-89dc-5c6b95347a08" TargetMode="External"/><Relationship Id="rId71" Type="http://schemas.openxmlformats.org/officeDocument/2006/relationships/hyperlink" Target="https://jam.dev/c/404208e6-1c62-4b9f-9e3a-8700a2314550" TargetMode="External"/><Relationship Id="rId70" Type="http://schemas.openxmlformats.org/officeDocument/2006/relationships/hyperlink" Target="https://jam.dev/c/89cc5b0d-90d9-4015-adb4-d500bdb66ed8" TargetMode="External"/><Relationship Id="rId37" Type="http://schemas.openxmlformats.org/officeDocument/2006/relationships/hyperlink" Target="https://jam.dev/c/1bc4bb1c-2e6c-4905-a1d8-c16999feb7e1" TargetMode="External"/><Relationship Id="rId36" Type="http://schemas.openxmlformats.org/officeDocument/2006/relationships/hyperlink" Target="https://jam.dev/c/03e888ae-fc61-432f-bc75-716696dbbe31" TargetMode="External"/><Relationship Id="rId39" Type="http://schemas.openxmlformats.org/officeDocument/2006/relationships/hyperlink" Target="https://jam.dev/c/940c3602-e614-4cfb-826f-38b1a67a8574" TargetMode="External"/><Relationship Id="rId38" Type="http://schemas.openxmlformats.org/officeDocument/2006/relationships/hyperlink" Target="https://jam.dev/c/53691908-c11d-4738-a081-ddbcd1f9dd59" TargetMode="External"/><Relationship Id="rId62" Type="http://schemas.openxmlformats.org/officeDocument/2006/relationships/hyperlink" Target="https://jam.dev/c/ecb081b7-714a-4ced-bc97-419427592695" TargetMode="External"/><Relationship Id="rId61" Type="http://schemas.openxmlformats.org/officeDocument/2006/relationships/hyperlink" Target="https://jam.dev/c/937d9f9d-9e8a-4325-bc52-ea98c72c3c53" TargetMode="External"/><Relationship Id="rId20" Type="http://schemas.openxmlformats.org/officeDocument/2006/relationships/hyperlink" Target="https://jam.dev/c/7ea2afec-91fd-4d82-a299-6bd0aa5b8410" TargetMode="External"/><Relationship Id="rId64" Type="http://schemas.openxmlformats.org/officeDocument/2006/relationships/hyperlink" Target="https://jam.dev/c/a397689e-c865-4b43-b170-8226720c4605" TargetMode="External"/><Relationship Id="rId63" Type="http://schemas.openxmlformats.org/officeDocument/2006/relationships/hyperlink" Target="https://jam.dev/c/6a329dc2-c9d6-4a9a-b933-233f4c3bac8d" TargetMode="External"/><Relationship Id="rId22" Type="http://schemas.openxmlformats.org/officeDocument/2006/relationships/hyperlink" Target="https://jam.dev/c/17b5501d-df8b-48b0-975b-283a416f7b77" TargetMode="External"/><Relationship Id="rId66" Type="http://schemas.openxmlformats.org/officeDocument/2006/relationships/hyperlink" Target="https://jam.dev/c/6d1dd6c8-9490-4bfe-95b5-f2f8da178a7a" TargetMode="External"/><Relationship Id="rId21" Type="http://schemas.openxmlformats.org/officeDocument/2006/relationships/hyperlink" Target="https://jam.dev/c/ddb5fc0d-1ef3-4bed-b88c-3f57afce6465" TargetMode="External"/><Relationship Id="rId65" Type="http://schemas.openxmlformats.org/officeDocument/2006/relationships/hyperlink" Target="https://jam.dev/c/290028c9-c619-45b7-9f89-dda4e3d05439" TargetMode="External"/><Relationship Id="rId24" Type="http://schemas.openxmlformats.org/officeDocument/2006/relationships/hyperlink" Target="https://jam.dev/c/caeae463-fe56-45d4-ab63-5693f3683c70" TargetMode="External"/><Relationship Id="rId68" Type="http://schemas.openxmlformats.org/officeDocument/2006/relationships/hyperlink" Target="https://jam.dev/c/385e4042-dc11-4b2d-a4e1-6ad9d00b6fed" TargetMode="External"/><Relationship Id="rId23" Type="http://schemas.openxmlformats.org/officeDocument/2006/relationships/hyperlink" Target="https://jam.dev/c/e4ffb2b5-535c-4b6f-a777-390dfe44b9b1" TargetMode="External"/><Relationship Id="rId67" Type="http://schemas.openxmlformats.org/officeDocument/2006/relationships/hyperlink" Target="https://jam.dev/c/867bc45d-8a50-44a1-8d3f-4ff390858aa7" TargetMode="External"/><Relationship Id="rId60" Type="http://schemas.openxmlformats.org/officeDocument/2006/relationships/hyperlink" Target="https://jam.dev/c/00c543ca-2e4d-4439-96e0-29eec3b53dcc" TargetMode="External"/><Relationship Id="rId26" Type="http://schemas.openxmlformats.org/officeDocument/2006/relationships/hyperlink" Target="https://jam.dev/c/74635a10-b490-49a9-9390-8d7b1345069c" TargetMode="External"/><Relationship Id="rId25" Type="http://schemas.openxmlformats.org/officeDocument/2006/relationships/hyperlink" Target="https://jam.dev/c/daa909c9-9ca5-478a-b890-6cf7d5e974de" TargetMode="External"/><Relationship Id="rId69" Type="http://schemas.openxmlformats.org/officeDocument/2006/relationships/hyperlink" Target="https://jam.dev/c/c3ccc61a-cb7b-4fcb-896a-5badb2c2821f" TargetMode="External"/><Relationship Id="rId28" Type="http://schemas.openxmlformats.org/officeDocument/2006/relationships/hyperlink" Target="https://jam.dev/c/f0765ac7-7fc5-425d-8c25-7dd390a36dfc" TargetMode="External"/><Relationship Id="rId27" Type="http://schemas.openxmlformats.org/officeDocument/2006/relationships/hyperlink" Target="https://jam.dev/c/7d8e408f-1b22-482e-9e85-f972e2d246a1" TargetMode="External"/><Relationship Id="rId29" Type="http://schemas.openxmlformats.org/officeDocument/2006/relationships/hyperlink" Target="https://jam.dev/c/e512f074-fd07-4040-a879-6939a1a4ed6a" TargetMode="External"/><Relationship Id="rId51" Type="http://schemas.openxmlformats.org/officeDocument/2006/relationships/hyperlink" Target="https://jam.dev/c/41efc2ae-c13b-4196-9e9a-ebd28f09de23" TargetMode="External"/><Relationship Id="rId50" Type="http://schemas.openxmlformats.org/officeDocument/2006/relationships/hyperlink" Target="https://jam.dev/c/d47d2960-056a-4955-ae0e-53ee21683636" TargetMode="External"/><Relationship Id="rId53" Type="http://schemas.openxmlformats.org/officeDocument/2006/relationships/hyperlink" Target="https://jam.dev/c/624f48ee-8e9c-41f9-afbe-859bfa23774f" TargetMode="External"/><Relationship Id="rId52" Type="http://schemas.openxmlformats.org/officeDocument/2006/relationships/hyperlink" Target="https://jam.dev/c/9a379078-4019-4098-9ede-937c31e6990a" TargetMode="External"/><Relationship Id="rId11" Type="http://schemas.openxmlformats.org/officeDocument/2006/relationships/hyperlink" Target="https://jam.dev/c/170d79ca-dd6c-4647-8cb1-16cf7c9ce991" TargetMode="External"/><Relationship Id="rId55" Type="http://schemas.openxmlformats.org/officeDocument/2006/relationships/hyperlink" Target="https://jam.dev/c/4a9e456e-7cda-4b99-be89-f773ad3758c1" TargetMode="External"/><Relationship Id="rId10" Type="http://schemas.openxmlformats.org/officeDocument/2006/relationships/hyperlink" Target="https://jam.dev/c/ec4a1ad8-e7bd-46ed-ae28-e3b95e96ac3b" TargetMode="External"/><Relationship Id="rId54" Type="http://schemas.openxmlformats.org/officeDocument/2006/relationships/hyperlink" Target="https://jam.dev/c/f0465eb8-1d12-4bfa-a747-da563d1ee6bc" TargetMode="External"/><Relationship Id="rId13" Type="http://schemas.openxmlformats.org/officeDocument/2006/relationships/hyperlink" Target="https://jam.dev/c/4f1cc002-2461-4334-a72c-1f301503e0b4" TargetMode="External"/><Relationship Id="rId57" Type="http://schemas.openxmlformats.org/officeDocument/2006/relationships/hyperlink" Target="https://jam.dev/c/d6db5416-c92e-4bac-8f69-003309c3a483" TargetMode="External"/><Relationship Id="rId12" Type="http://schemas.openxmlformats.org/officeDocument/2006/relationships/hyperlink" Target="https://jam.dev/c/a8c5ee75-edb6-4d49-adb7-31e4712ffd0b" TargetMode="External"/><Relationship Id="rId56" Type="http://schemas.openxmlformats.org/officeDocument/2006/relationships/hyperlink" Target="https://jam.dev/c/111e6c14-cf8a-4d63-ad9b-3008fdefc1bc" TargetMode="External"/><Relationship Id="rId15" Type="http://schemas.openxmlformats.org/officeDocument/2006/relationships/hyperlink" Target="https://jam.dev/c/0d595759-4a67-4e66-ad8e-1b481e4e073c" TargetMode="External"/><Relationship Id="rId59" Type="http://schemas.openxmlformats.org/officeDocument/2006/relationships/hyperlink" Target="https://jam.dev/c/fba7c8eb-23cd-4f58-bbd3-2059c4aef7a6" TargetMode="External"/><Relationship Id="rId14" Type="http://schemas.openxmlformats.org/officeDocument/2006/relationships/hyperlink" Target="https://jam.dev/c/62609a7a-c2a3-4d10-b1dd-2f5eecd89183" TargetMode="External"/><Relationship Id="rId58" Type="http://schemas.openxmlformats.org/officeDocument/2006/relationships/hyperlink" Target="https://jam.dev/c/a50383eb-5752-4b22-a3f6-f125ad6ec2c6" TargetMode="External"/><Relationship Id="rId17" Type="http://schemas.openxmlformats.org/officeDocument/2006/relationships/hyperlink" Target="https://jam.dev/c/46dba90e-620e-490c-81ad-0f2e0597e964" TargetMode="External"/><Relationship Id="rId16" Type="http://schemas.openxmlformats.org/officeDocument/2006/relationships/hyperlink" Target="https://jam.dev/c/e3e4f63a-b1d8-4e2f-9000-ebe0b4c6ed05" TargetMode="External"/><Relationship Id="rId19" Type="http://schemas.openxmlformats.org/officeDocument/2006/relationships/hyperlink" Target="https://jam.dev/c/d92c125a-0cb4-4b20-876a-548824f92b65" TargetMode="External"/><Relationship Id="rId18" Type="http://schemas.openxmlformats.org/officeDocument/2006/relationships/hyperlink" Target="https://jam.dev/c/3f2d393f-1b64-4f5f-8e4d-cd05d66d77c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jam.dev/c/170d79ca-dd6c-4647-8cb1-16cf7c9ce991" TargetMode="External"/><Relationship Id="rId84" Type="http://schemas.openxmlformats.org/officeDocument/2006/relationships/hyperlink" Target="https://jam.dev/c/fea4d0ad-38c5-4a91-9d92-9403f0b820f9" TargetMode="External"/><Relationship Id="rId83" Type="http://schemas.openxmlformats.org/officeDocument/2006/relationships/hyperlink" Target="https://listlly.netlify.app/" TargetMode="External"/><Relationship Id="rId42" Type="http://schemas.openxmlformats.org/officeDocument/2006/relationships/hyperlink" Target="https://jam.dev/c/a8c5ee75-edb6-4d49-adb7-31e4712ffd0b" TargetMode="External"/><Relationship Id="rId41" Type="http://schemas.openxmlformats.org/officeDocument/2006/relationships/hyperlink" Target="https://listlly.netlify.app/" TargetMode="External"/><Relationship Id="rId85" Type="http://schemas.openxmlformats.org/officeDocument/2006/relationships/drawing" Target="../drawings/drawing2.xml"/><Relationship Id="rId44" Type="http://schemas.openxmlformats.org/officeDocument/2006/relationships/hyperlink" Target="https://jam.dev/c/4f1cc002-2461-4334-a72c-1f301503e0b4" TargetMode="External"/><Relationship Id="rId43" Type="http://schemas.openxmlformats.org/officeDocument/2006/relationships/hyperlink" Target="https://listlly.netlify.app/" TargetMode="External"/><Relationship Id="rId46" Type="http://schemas.openxmlformats.org/officeDocument/2006/relationships/hyperlink" Target="https://jam.dev/c/62609a7a-c2a3-4d10-b1dd-2f5eecd89183" TargetMode="External"/><Relationship Id="rId45" Type="http://schemas.openxmlformats.org/officeDocument/2006/relationships/hyperlink" Target="https://listlly.netlify.app/" TargetMode="External"/><Relationship Id="rId80" Type="http://schemas.openxmlformats.org/officeDocument/2006/relationships/hyperlink" Target="https://jam.dev/c/ea4f3a02-cfee-4fe7-b5af-dbad6c2f7e83" TargetMode="External"/><Relationship Id="rId82" Type="http://schemas.openxmlformats.org/officeDocument/2006/relationships/hyperlink" Target="https://jam.dev/c/786e291d-aa6f-4738-9e55-22e60cfb61f3" TargetMode="External"/><Relationship Id="rId81" Type="http://schemas.openxmlformats.org/officeDocument/2006/relationships/hyperlink" Target="https://listlly.netlify.app/" TargetMode="External"/><Relationship Id="rId1" Type="http://schemas.openxmlformats.org/officeDocument/2006/relationships/hyperlink" Target="https://listlly.netlify.app/" TargetMode="External"/><Relationship Id="rId2" Type="http://schemas.openxmlformats.org/officeDocument/2006/relationships/hyperlink" Target="https://jam.dev/c/28ab7a62-0c52-40a1-9075-4a5ba2972a6e" TargetMode="External"/><Relationship Id="rId3" Type="http://schemas.openxmlformats.org/officeDocument/2006/relationships/hyperlink" Target="https://listlly.netlify.app/" TargetMode="External"/><Relationship Id="rId4" Type="http://schemas.openxmlformats.org/officeDocument/2006/relationships/hyperlink" Target="https://jam.dev/c/831f63f2-91a3-4efb-87a6-cd1058550a8d" TargetMode="External"/><Relationship Id="rId9" Type="http://schemas.openxmlformats.org/officeDocument/2006/relationships/hyperlink" Target="https://listlly.netlify.app/" TargetMode="External"/><Relationship Id="rId48" Type="http://schemas.openxmlformats.org/officeDocument/2006/relationships/hyperlink" Target="https://jam.dev/c/0d595759-4a67-4e66-ad8e-1b481e4e073c" TargetMode="External"/><Relationship Id="rId47" Type="http://schemas.openxmlformats.org/officeDocument/2006/relationships/hyperlink" Target="https://listlly.netlify.app/" TargetMode="External"/><Relationship Id="rId49" Type="http://schemas.openxmlformats.org/officeDocument/2006/relationships/hyperlink" Target="https://listlly.netlify.app/" TargetMode="External"/><Relationship Id="rId5" Type="http://schemas.openxmlformats.org/officeDocument/2006/relationships/hyperlink" Target="https://listlly.netlify.app/" TargetMode="External"/><Relationship Id="rId6" Type="http://schemas.openxmlformats.org/officeDocument/2006/relationships/hyperlink" Target="https://jam.dev/c/4469d483-5906-40bb-a0fe-e7fd980a2feb" TargetMode="External"/><Relationship Id="rId7" Type="http://schemas.openxmlformats.org/officeDocument/2006/relationships/hyperlink" Target="https://listlly.netlify.app/" TargetMode="External"/><Relationship Id="rId8" Type="http://schemas.openxmlformats.org/officeDocument/2006/relationships/hyperlink" Target="https://jam.dev/c/40207a75-8737-4859-b31e-bcc88876fb07" TargetMode="External"/><Relationship Id="rId73" Type="http://schemas.openxmlformats.org/officeDocument/2006/relationships/hyperlink" Target="https://listlly.netlify.app/" TargetMode="External"/><Relationship Id="rId72" Type="http://schemas.openxmlformats.org/officeDocument/2006/relationships/hyperlink" Target="https://jam.dev/c/7d8e408f-1b22-482e-9e85-f972e2d246a1" TargetMode="External"/><Relationship Id="rId31" Type="http://schemas.openxmlformats.org/officeDocument/2006/relationships/hyperlink" Target="https://listlly.netlify.app/" TargetMode="External"/><Relationship Id="rId75" Type="http://schemas.openxmlformats.org/officeDocument/2006/relationships/hyperlink" Target="https://listlly.netlify.app/" TargetMode="External"/><Relationship Id="rId30" Type="http://schemas.openxmlformats.org/officeDocument/2006/relationships/hyperlink" Target="https://jam.dev/c/03e888ae-fc61-432f-bc75-716696dbbe31" TargetMode="External"/><Relationship Id="rId74" Type="http://schemas.openxmlformats.org/officeDocument/2006/relationships/hyperlink" Target="https://jam.dev/c/b68d3585-bbf2-44b8-95ef-f0b68eaab026" TargetMode="External"/><Relationship Id="rId33" Type="http://schemas.openxmlformats.org/officeDocument/2006/relationships/hyperlink" Target="https://listlly.netlify.app/" TargetMode="External"/><Relationship Id="rId77" Type="http://schemas.openxmlformats.org/officeDocument/2006/relationships/hyperlink" Target="https://listlly.netlify.app/" TargetMode="External"/><Relationship Id="rId32" Type="http://schemas.openxmlformats.org/officeDocument/2006/relationships/hyperlink" Target="https://jam.dev/c/1bc4bb1c-2e6c-4905-a1d8-c16999feb7e1" TargetMode="External"/><Relationship Id="rId76" Type="http://schemas.openxmlformats.org/officeDocument/2006/relationships/hyperlink" Target="https://jam.dev/c/68604009-5406-4484-abf5-e745f16bd305" TargetMode="External"/><Relationship Id="rId35" Type="http://schemas.openxmlformats.org/officeDocument/2006/relationships/hyperlink" Target="https://listlly.netlify.app/" TargetMode="External"/><Relationship Id="rId79" Type="http://schemas.openxmlformats.org/officeDocument/2006/relationships/hyperlink" Target="https://listlly.netlify.app/" TargetMode="External"/><Relationship Id="rId34" Type="http://schemas.openxmlformats.org/officeDocument/2006/relationships/hyperlink" Target="https://jam.dev/c/53691908-c11d-4738-a081-ddbcd1f9dd59" TargetMode="External"/><Relationship Id="rId78" Type="http://schemas.openxmlformats.org/officeDocument/2006/relationships/hyperlink" Target="https://jam.dev/c/03f51624-a387-4e39-8186-2df08d7105c6" TargetMode="External"/><Relationship Id="rId71" Type="http://schemas.openxmlformats.org/officeDocument/2006/relationships/hyperlink" Target="https://listlly.netlify.app/" TargetMode="External"/><Relationship Id="rId70" Type="http://schemas.openxmlformats.org/officeDocument/2006/relationships/hyperlink" Target="https://jam.dev/c/74635a10-b490-49a9-9390-8d7b1345069c" TargetMode="External"/><Relationship Id="rId37" Type="http://schemas.openxmlformats.org/officeDocument/2006/relationships/hyperlink" Target="https://listlly.netlify.app/" TargetMode="External"/><Relationship Id="rId36" Type="http://schemas.openxmlformats.org/officeDocument/2006/relationships/hyperlink" Target="https://jam.dev/c/940c3602-e614-4cfb-826f-38b1a67a8574" TargetMode="External"/><Relationship Id="rId39" Type="http://schemas.openxmlformats.org/officeDocument/2006/relationships/hyperlink" Target="https://listlly.netlify.app/" TargetMode="External"/><Relationship Id="rId38" Type="http://schemas.openxmlformats.org/officeDocument/2006/relationships/hyperlink" Target="https://jam.dev/c/ec4a1ad8-e7bd-46ed-ae28-e3b95e96ac3b" TargetMode="External"/><Relationship Id="rId62" Type="http://schemas.openxmlformats.org/officeDocument/2006/relationships/hyperlink" Target="https://jam.dev/c/17b5501d-df8b-48b0-975b-283a416f7b77" TargetMode="External"/><Relationship Id="rId61" Type="http://schemas.openxmlformats.org/officeDocument/2006/relationships/hyperlink" Target="https://listlly.netlify.app/" TargetMode="External"/><Relationship Id="rId20" Type="http://schemas.openxmlformats.org/officeDocument/2006/relationships/hyperlink" Target="https://jam.dev/c/29e6460d-aa3a-4283-be94-d0360e490fc6" TargetMode="External"/><Relationship Id="rId64" Type="http://schemas.openxmlformats.org/officeDocument/2006/relationships/hyperlink" Target="https://jam.dev/c/e4ffb2b5-535c-4b6f-a777-390dfe44b9b1" TargetMode="External"/><Relationship Id="rId63" Type="http://schemas.openxmlformats.org/officeDocument/2006/relationships/hyperlink" Target="https://listlly.netlify.app/" TargetMode="External"/><Relationship Id="rId22" Type="http://schemas.openxmlformats.org/officeDocument/2006/relationships/hyperlink" Target="https://jam.dev/c/f2d03a2b-effa-4fee-8241-abdcc10a015b" TargetMode="External"/><Relationship Id="rId66" Type="http://schemas.openxmlformats.org/officeDocument/2006/relationships/hyperlink" Target="https://jam.dev/c/caeae463-fe56-45d4-ab63-5693f3683c70" TargetMode="External"/><Relationship Id="rId21" Type="http://schemas.openxmlformats.org/officeDocument/2006/relationships/hyperlink" Target="https://listlly.netlify.app/" TargetMode="External"/><Relationship Id="rId65" Type="http://schemas.openxmlformats.org/officeDocument/2006/relationships/hyperlink" Target="https://listlly.netlify.app/" TargetMode="External"/><Relationship Id="rId24" Type="http://schemas.openxmlformats.org/officeDocument/2006/relationships/hyperlink" Target="https://jam.dev/c/09d6911b-64b9-42ce-b655-dba3c2ad5f48" TargetMode="External"/><Relationship Id="rId68" Type="http://schemas.openxmlformats.org/officeDocument/2006/relationships/hyperlink" Target="https://jam.dev/c/daa909c9-9ca5-478a-b890-6cf7d5e974de" TargetMode="External"/><Relationship Id="rId23" Type="http://schemas.openxmlformats.org/officeDocument/2006/relationships/hyperlink" Target="https://listlly.netlify.app/" TargetMode="External"/><Relationship Id="rId67" Type="http://schemas.openxmlformats.org/officeDocument/2006/relationships/hyperlink" Target="https://listlly.netlify.app/" TargetMode="External"/><Relationship Id="rId60" Type="http://schemas.openxmlformats.org/officeDocument/2006/relationships/hyperlink" Target="https://jam.dev/c/ddb5fc0d-1ef3-4bed-b88c-3f57afce6465" TargetMode="External"/><Relationship Id="rId26" Type="http://schemas.openxmlformats.org/officeDocument/2006/relationships/hyperlink" Target="https://jam.dev/c/502e5e02-8f2c-4c31-89dc-5c6b95347a08" TargetMode="External"/><Relationship Id="rId25" Type="http://schemas.openxmlformats.org/officeDocument/2006/relationships/hyperlink" Target="https://listlly.netlify.app/" TargetMode="External"/><Relationship Id="rId69" Type="http://schemas.openxmlformats.org/officeDocument/2006/relationships/hyperlink" Target="https://listlly.netlify.app/" TargetMode="External"/><Relationship Id="rId28" Type="http://schemas.openxmlformats.org/officeDocument/2006/relationships/hyperlink" Target="https://jam.dev/c/6b9b8151-ca0b-411c-a171-615f4c80ef37" TargetMode="External"/><Relationship Id="rId27" Type="http://schemas.openxmlformats.org/officeDocument/2006/relationships/hyperlink" Target="https://listlly.netlify.app/" TargetMode="External"/><Relationship Id="rId29" Type="http://schemas.openxmlformats.org/officeDocument/2006/relationships/hyperlink" Target="https://listlly.netlify.app/" TargetMode="External"/><Relationship Id="rId51" Type="http://schemas.openxmlformats.org/officeDocument/2006/relationships/hyperlink" Target="https://listlly.netlify.app/" TargetMode="External"/><Relationship Id="rId50" Type="http://schemas.openxmlformats.org/officeDocument/2006/relationships/hyperlink" Target="https://jam.dev/c/e3e4f63a-b1d8-4e2f-9000-ebe0b4c6ed05" TargetMode="External"/><Relationship Id="rId53" Type="http://schemas.openxmlformats.org/officeDocument/2006/relationships/hyperlink" Target="https://listlly.netlify.app/" TargetMode="External"/><Relationship Id="rId52" Type="http://schemas.openxmlformats.org/officeDocument/2006/relationships/hyperlink" Target="https://jam.dev/c/46dba90e-620e-490c-81ad-0f2e0597e964" TargetMode="External"/><Relationship Id="rId11" Type="http://schemas.openxmlformats.org/officeDocument/2006/relationships/hyperlink" Target="https://listlly.netlify.app/" TargetMode="External"/><Relationship Id="rId55" Type="http://schemas.openxmlformats.org/officeDocument/2006/relationships/hyperlink" Target="https://listlly.netlify.app/" TargetMode="External"/><Relationship Id="rId10" Type="http://schemas.openxmlformats.org/officeDocument/2006/relationships/hyperlink" Target="https://jam.dev/c/c0f5841d-04f1-4f10-aa78-81abf258f6eb" TargetMode="External"/><Relationship Id="rId54" Type="http://schemas.openxmlformats.org/officeDocument/2006/relationships/hyperlink" Target="https://jam.dev/c/3f2d393f-1b64-4f5f-8e4d-cd05d66d77cd" TargetMode="External"/><Relationship Id="rId13" Type="http://schemas.openxmlformats.org/officeDocument/2006/relationships/hyperlink" Target="https://listlly.netlify.app/" TargetMode="External"/><Relationship Id="rId57" Type="http://schemas.openxmlformats.org/officeDocument/2006/relationships/hyperlink" Target="https://listlly.netlify.app/" TargetMode="External"/><Relationship Id="rId12" Type="http://schemas.openxmlformats.org/officeDocument/2006/relationships/hyperlink" Target="https://jam.dev/c/d7b2f374-5c7e-470d-99b7-4010ffe8aad1" TargetMode="External"/><Relationship Id="rId56" Type="http://schemas.openxmlformats.org/officeDocument/2006/relationships/hyperlink" Target="https://jam.dev/c/d92c125a-0cb4-4b20-876a-548824f92b65" TargetMode="External"/><Relationship Id="rId15" Type="http://schemas.openxmlformats.org/officeDocument/2006/relationships/hyperlink" Target="https://listlly.netlify.app/" TargetMode="External"/><Relationship Id="rId59" Type="http://schemas.openxmlformats.org/officeDocument/2006/relationships/hyperlink" Target="https://listlly.netlify.app/" TargetMode="External"/><Relationship Id="rId14" Type="http://schemas.openxmlformats.org/officeDocument/2006/relationships/hyperlink" Target="https://jam.dev/c/f0765ac7-7fc5-425d-8c25-7dd390a36dfc" TargetMode="External"/><Relationship Id="rId58" Type="http://schemas.openxmlformats.org/officeDocument/2006/relationships/hyperlink" Target="https://jam.dev/c/7ea2afec-91fd-4d82-a299-6bd0aa5b8410" TargetMode="External"/><Relationship Id="rId17" Type="http://schemas.openxmlformats.org/officeDocument/2006/relationships/hyperlink" Target="https://listlly.netlify.app/" TargetMode="External"/><Relationship Id="rId16" Type="http://schemas.openxmlformats.org/officeDocument/2006/relationships/hyperlink" Target="https://jam.dev/c/e512f074-fd07-4040-a879-6939a1a4ed6a" TargetMode="External"/><Relationship Id="rId19" Type="http://schemas.openxmlformats.org/officeDocument/2006/relationships/hyperlink" Target="https://listlly.netlify.app/" TargetMode="External"/><Relationship Id="rId18" Type="http://schemas.openxmlformats.org/officeDocument/2006/relationships/hyperlink" Target="https://jam.dev/c/4eeb477c-6676-4a90-8329-4bf751cf9ab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am.dev/c/290028c9-c619-45b7-9f89-dda4e3d05439" TargetMode="External"/><Relationship Id="rId2" Type="http://schemas.openxmlformats.org/officeDocument/2006/relationships/hyperlink" Target="https://jam.dev/c/6d1dd6c8-9490-4bfe-95b5-f2f8da178a7a" TargetMode="External"/><Relationship Id="rId3" Type="http://schemas.openxmlformats.org/officeDocument/2006/relationships/hyperlink" Target="https://jam.dev/c/867bc45d-8a50-44a1-8d3f-4ff390858aa7" TargetMode="External"/><Relationship Id="rId4" Type="http://schemas.openxmlformats.org/officeDocument/2006/relationships/hyperlink" Target="https://jam.dev/c/937d9f9d-9e8a-4325-bc52-ea98c72c3c53" TargetMode="External"/><Relationship Id="rId9" Type="http://schemas.openxmlformats.org/officeDocument/2006/relationships/hyperlink" Target="https://jam.dev/c/551d5af2-b322-488c-ac06-ca264cb59627" TargetMode="External"/><Relationship Id="rId5" Type="http://schemas.openxmlformats.org/officeDocument/2006/relationships/hyperlink" Target="https://jam.dev/c/ecb081b7-714a-4ced-bc97-419427592695" TargetMode="External"/><Relationship Id="rId6" Type="http://schemas.openxmlformats.org/officeDocument/2006/relationships/hyperlink" Target="https://jam.dev/c/00c543ca-2e4d-4439-96e0-29eec3b53dcc" TargetMode="External"/><Relationship Id="rId7" Type="http://schemas.openxmlformats.org/officeDocument/2006/relationships/hyperlink" Target="https://jam.dev/c/6a329dc2-c9d6-4a9a-b933-233f4c3bac8d" TargetMode="External"/><Relationship Id="rId8" Type="http://schemas.openxmlformats.org/officeDocument/2006/relationships/hyperlink" Target="https://jam.dev/c/a397689e-c865-4b43-b170-8226720c4605" TargetMode="External"/><Relationship Id="rId31" Type="http://schemas.openxmlformats.org/officeDocument/2006/relationships/hyperlink" Target="https://jam.dev/c/b6fc70d1-f90f-46fa-aab3-601985fa1c3b" TargetMode="External"/><Relationship Id="rId30" Type="http://schemas.openxmlformats.org/officeDocument/2006/relationships/hyperlink" Target="https://jam.dev/c/9a404789-df9e-4ac4-8662-38affbb8db4a" TargetMode="External"/><Relationship Id="rId33" Type="http://schemas.openxmlformats.org/officeDocument/2006/relationships/drawing" Target="../drawings/drawing3.xml"/><Relationship Id="rId32" Type="http://schemas.openxmlformats.org/officeDocument/2006/relationships/hyperlink" Target="https://jam.dev/c/773df6da-3466-41b6-9fc0-29a074ed6e48" TargetMode="External"/><Relationship Id="rId20" Type="http://schemas.openxmlformats.org/officeDocument/2006/relationships/hyperlink" Target="https://jam.dev/c/fba7c8eb-23cd-4f58-bbd3-2059c4aef7a6" TargetMode="External"/><Relationship Id="rId22" Type="http://schemas.openxmlformats.org/officeDocument/2006/relationships/hyperlink" Target="https://jam.dev/c/a50383eb-5752-4b22-a3f6-f125ad6ec2c6" TargetMode="External"/><Relationship Id="rId21" Type="http://schemas.openxmlformats.org/officeDocument/2006/relationships/hyperlink" Target="https://jam.dev/c/d6db5416-c92e-4bac-8f69-003309c3a483" TargetMode="External"/><Relationship Id="rId24" Type="http://schemas.openxmlformats.org/officeDocument/2006/relationships/hyperlink" Target="https://jam.dev/c/71c70a51-39ed-45bd-a6ea-929537e12c39" TargetMode="External"/><Relationship Id="rId23" Type="http://schemas.openxmlformats.org/officeDocument/2006/relationships/hyperlink" Target="https://jam.dev/c/a9f7f711-6235-4682-aa59-5a8444a27088" TargetMode="External"/><Relationship Id="rId26" Type="http://schemas.openxmlformats.org/officeDocument/2006/relationships/hyperlink" Target="https://jam.dev/c/404208e6-1c62-4b9f-9e3a-8700a2314550" TargetMode="External"/><Relationship Id="rId25" Type="http://schemas.openxmlformats.org/officeDocument/2006/relationships/hyperlink" Target="https://jam.dev/c/385e4042-dc11-4b2d-a4e1-6ad9d00b6fed" TargetMode="External"/><Relationship Id="rId28" Type="http://schemas.openxmlformats.org/officeDocument/2006/relationships/hyperlink" Target="https://jam.dev/c/c3ccc61a-cb7b-4fcb-896a-5badb2c2821f" TargetMode="External"/><Relationship Id="rId27" Type="http://schemas.openxmlformats.org/officeDocument/2006/relationships/hyperlink" Target="https://jam.dev/c/89cc5b0d-90d9-4015-adb4-d500bdb66ed8" TargetMode="External"/><Relationship Id="rId29" Type="http://schemas.openxmlformats.org/officeDocument/2006/relationships/hyperlink" Target="https://jam.dev/c/395aeb40-8f61-406a-9bab-f1d98a804ad2" TargetMode="External"/><Relationship Id="rId11" Type="http://schemas.openxmlformats.org/officeDocument/2006/relationships/hyperlink" Target="https://jam.dev/c/41efc2ae-c13b-4196-9e9a-ebd28f09de23" TargetMode="External"/><Relationship Id="rId10" Type="http://schemas.openxmlformats.org/officeDocument/2006/relationships/hyperlink" Target="https://jam.dev/c/1cd150f6-7aa8-4f7f-82fe-f70ac86abcd1" TargetMode="External"/><Relationship Id="rId13" Type="http://schemas.openxmlformats.org/officeDocument/2006/relationships/hyperlink" Target="https://jam.dev/c/f0465eb8-1d12-4bfa-a747-da563d1ee6bc" TargetMode="External"/><Relationship Id="rId12" Type="http://schemas.openxmlformats.org/officeDocument/2006/relationships/hyperlink" Target="https://jam.dev/c/9a379078-4019-4098-9ede-937c31e6990a" TargetMode="External"/><Relationship Id="rId15" Type="http://schemas.openxmlformats.org/officeDocument/2006/relationships/hyperlink" Target="https://jam.dev/c/111e6c14-cf8a-4d63-ad9b-3008fdefc1bc" TargetMode="External"/><Relationship Id="rId14" Type="http://schemas.openxmlformats.org/officeDocument/2006/relationships/hyperlink" Target="https://jam.dev/c/4a9e456e-7cda-4b99-be89-f773ad3758c1" TargetMode="External"/><Relationship Id="rId17" Type="http://schemas.openxmlformats.org/officeDocument/2006/relationships/hyperlink" Target="https://jam.dev/c/d47d2960-056a-4955-ae0e-53ee21683636" TargetMode="External"/><Relationship Id="rId16" Type="http://schemas.openxmlformats.org/officeDocument/2006/relationships/hyperlink" Target="https://jam.dev/c/624f48ee-8e9c-41f9-afbe-859bfa23774f" TargetMode="External"/><Relationship Id="rId19" Type="http://schemas.openxmlformats.org/officeDocument/2006/relationships/hyperlink" Target="https://jam.dev/c/2abf45dc-bd9c-4c5d-94bf-96c7dfbe704d" TargetMode="External"/><Relationship Id="rId18" Type="http://schemas.openxmlformats.org/officeDocument/2006/relationships/hyperlink" Target="https://jam.dev/c/c74b471f-2e17-4db5-bea1-de7928d7245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25"/>
    <col customWidth="1" min="3" max="3" width="13.75"/>
    <col customWidth="1" min="4" max="4" width="24.5"/>
    <col customWidth="1" min="5" max="5" width="17.13"/>
    <col customWidth="1" min="6" max="6" width="20.0"/>
    <col customWidth="1" min="8" max="8" width="19.88"/>
    <col customWidth="1" min="9" max="9" width="16.25"/>
    <col customWidth="1" min="10" max="10" width="14.13"/>
    <col customWidth="1" min="12" max="12" width="16.13"/>
    <col customWidth="1" min="13" max="13" width="18.75"/>
    <col customWidth="1" min="14" max="15" width="15.25"/>
    <col customWidth="1" min="16" max="16" width="17.25"/>
  </cols>
  <sheetData>
    <row r="1">
      <c r="A1" s="1"/>
      <c r="B1" s="1"/>
      <c r="C1" s="1"/>
      <c r="D1" s="1"/>
      <c r="E1" s="1"/>
      <c r="F1" s="1"/>
      <c r="G1" s="1"/>
      <c r="H1" s="1"/>
      <c r="I1" s="1"/>
      <c r="J1" s="1"/>
      <c r="K1" s="1"/>
      <c r="L1" s="1"/>
      <c r="M1" s="1"/>
      <c r="N1" s="1"/>
      <c r="O1" s="1"/>
    </row>
    <row r="2">
      <c r="A2" s="2" t="s">
        <v>0</v>
      </c>
      <c r="B2" s="3" t="s">
        <v>1</v>
      </c>
      <c r="C2" s="1"/>
      <c r="D2" s="4" t="s">
        <v>2</v>
      </c>
      <c r="E2" s="4" t="s">
        <v>3</v>
      </c>
      <c r="F2" s="1"/>
      <c r="G2" s="1"/>
      <c r="H2" s="5"/>
      <c r="I2" s="5"/>
      <c r="J2" s="5"/>
      <c r="K2" s="5"/>
      <c r="L2" s="5"/>
      <c r="M2" s="5"/>
      <c r="N2" s="1"/>
      <c r="O2" s="1"/>
    </row>
    <row r="3">
      <c r="A3" s="2" t="s">
        <v>4</v>
      </c>
      <c r="B3" s="6" t="s">
        <v>5</v>
      </c>
      <c r="C3" s="1"/>
      <c r="D3" s="7" t="s">
        <v>6</v>
      </c>
      <c r="E3" s="8">
        <f>COUNTIF(Tahsin!K14:K1008, "High") + COUNTIF(Fahad!K8:K1004, "High")</f>
        <v>18</v>
      </c>
      <c r="F3" s="1"/>
      <c r="G3" s="1"/>
      <c r="H3" s="1"/>
      <c r="I3" s="1"/>
      <c r="J3" s="1"/>
      <c r="K3" s="1"/>
      <c r="L3" s="1"/>
      <c r="M3" s="1"/>
      <c r="N3" s="1"/>
      <c r="O3" s="1"/>
    </row>
    <row r="4">
      <c r="A4" s="2" t="s">
        <v>7</v>
      </c>
      <c r="B4" s="9" t="s">
        <v>8</v>
      </c>
      <c r="C4" s="1"/>
      <c r="D4" s="10" t="s">
        <v>9</v>
      </c>
      <c r="E4" s="8">
        <f>COUNTIF(Tahsin!K14:K1009, "Medium") + COUNTIF(Fahad!K8:K1005, "Medium")</f>
        <v>35</v>
      </c>
      <c r="F4" s="1"/>
      <c r="G4" s="1"/>
      <c r="H4" s="1"/>
      <c r="I4" s="1"/>
      <c r="J4" s="1"/>
      <c r="K4" s="1"/>
      <c r="L4" s="1"/>
      <c r="M4" s="1"/>
      <c r="N4" s="1"/>
      <c r="O4" s="1"/>
    </row>
    <row r="5">
      <c r="A5" s="2" t="s">
        <v>10</v>
      </c>
      <c r="B5" s="11" t="s">
        <v>11</v>
      </c>
      <c r="C5" s="1"/>
      <c r="D5" s="12" t="s">
        <v>12</v>
      </c>
      <c r="E5" s="8">
        <f>COUNTIF(Fahad!K8:K1006, "Low") + COUNTIF(Tahsin!K14:K1012, "Low")</f>
        <v>21</v>
      </c>
      <c r="F5" s="1"/>
      <c r="G5" s="1"/>
      <c r="H5" s="1"/>
      <c r="I5" s="1"/>
      <c r="J5" s="1"/>
      <c r="K5" s="1"/>
      <c r="L5" s="1"/>
      <c r="M5" s="1"/>
      <c r="N5" s="1"/>
      <c r="O5" s="1"/>
    </row>
    <row r="6">
      <c r="A6" s="2" t="s">
        <v>13</v>
      </c>
      <c r="B6" s="13"/>
      <c r="C6" s="1"/>
      <c r="D6" s="14"/>
      <c r="E6" s="14"/>
      <c r="F6" s="1"/>
      <c r="G6" s="1"/>
      <c r="H6" s="1"/>
      <c r="I6" s="1"/>
      <c r="J6" s="1"/>
      <c r="K6" s="1"/>
      <c r="L6" s="1"/>
      <c r="M6" s="1"/>
      <c r="N6" s="1"/>
      <c r="O6" s="1"/>
    </row>
    <row r="7">
      <c r="A7" s="2" t="s">
        <v>14</v>
      </c>
      <c r="B7" s="13"/>
      <c r="C7" s="1"/>
      <c r="D7" s="15" t="s">
        <v>15</v>
      </c>
      <c r="E7" s="16">
        <f>SUM(E3:E5)</f>
        <v>74</v>
      </c>
      <c r="F7" s="1"/>
      <c r="G7" s="1"/>
      <c r="H7" s="1"/>
      <c r="I7" s="1"/>
      <c r="J7" s="1"/>
      <c r="K7" s="1"/>
      <c r="L7" s="1"/>
      <c r="M7" s="1"/>
      <c r="N7" s="1"/>
      <c r="O7" s="1"/>
    </row>
    <row r="8">
      <c r="A8" s="1"/>
      <c r="B8" s="1"/>
      <c r="C8" s="1"/>
      <c r="D8" s="15" t="s">
        <v>16</v>
      </c>
      <c r="E8" s="16">
        <f>COUNTIF(N11:N1003, "Solved")</f>
        <v>0</v>
      </c>
      <c r="F8" s="1"/>
      <c r="G8" s="1"/>
      <c r="H8" s="1"/>
      <c r="I8" s="1"/>
      <c r="J8" s="1"/>
      <c r="K8" s="1"/>
      <c r="L8" s="1"/>
      <c r="M8" s="1"/>
      <c r="N8" s="1"/>
      <c r="O8" s="1"/>
    </row>
    <row r="9">
      <c r="A9" s="1"/>
      <c r="B9" s="1"/>
      <c r="C9" s="1"/>
      <c r="D9" s="1"/>
      <c r="E9" s="1"/>
      <c r="F9" s="1"/>
      <c r="G9" s="1"/>
      <c r="H9" s="1"/>
      <c r="I9" s="1"/>
      <c r="J9" s="1"/>
      <c r="K9" s="1"/>
      <c r="L9" s="1"/>
      <c r="M9" s="1"/>
      <c r="N9" s="1"/>
      <c r="O9" s="1"/>
    </row>
    <row r="10">
      <c r="A10" s="17" t="s">
        <v>17</v>
      </c>
      <c r="B10" s="17" t="s">
        <v>18</v>
      </c>
      <c r="C10" s="17" t="s">
        <v>19</v>
      </c>
      <c r="D10" s="17" t="s">
        <v>20</v>
      </c>
      <c r="E10" s="17" t="s">
        <v>21</v>
      </c>
      <c r="F10" s="17" t="s">
        <v>22</v>
      </c>
      <c r="G10" s="17" t="s">
        <v>23</v>
      </c>
      <c r="H10" s="17" t="s">
        <v>24</v>
      </c>
      <c r="I10" s="17" t="s">
        <v>25</v>
      </c>
      <c r="J10" s="17" t="s">
        <v>26</v>
      </c>
      <c r="K10" s="17" t="s">
        <v>2</v>
      </c>
      <c r="L10" s="17" t="s">
        <v>27</v>
      </c>
      <c r="M10" s="17" t="s">
        <v>28</v>
      </c>
      <c r="N10" s="18" t="s">
        <v>29</v>
      </c>
      <c r="O10" s="18" t="s">
        <v>30</v>
      </c>
      <c r="P10" s="18" t="s">
        <v>31</v>
      </c>
      <c r="Q10" s="19"/>
      <c r="R10" s="19"/>
      <c r="S10" s="19"/>
      <c r="T10" s="19"/>
      <c r="U10" s="19"/>
      <c r="V10" s="19"/>
      <c r="W10" s="19"/>
      <c r="X10" s="19"/>
      <c r="Y10" s="19"/>
      <c r="Z10" s="19"/>
      <c r="AA10" s="19"/>
    </row>
    <row r="11">
      <c r="A11" s="20" t="str">
        <f t="array" ref="A11:A100">IF((LEN(B11:B100)+LEN(C11:C100))&gt;0, "BR-" &amp; TEXT(ROW(B11:B100)-ROW(B11)+1,"000"), "")
</f>
        <v>BR-001</v>
      </c>
      <c r="B11" s="21" t="str">
        <f>IFERROR(__xludf.DUMMYFUNCTION("QUERY(
  {
    ARRAYFORMULA({TRIM(Fahad!B8:B999), Fahad!C8:M999, IF(LEN(Fahad!B8:B999), ""Fahad"", """")});
    ARRAYFORMULA({TRIM(Tahsin!B15:B999), Tahsin!C15:M999, IF(LEN(Tahsin!B15:B999), ""Tahsin"", """")})
  },
  ""SELECT * WHERE Col1 IS NOT NULL ORD"&amp;"ER BY Col1 ASC, Col2 ASC"",
  0
)
"),"Contact Agent")</f>
        <v>Contact Agent</v>
      </c>
      <c r="C11" s="21" t="str">
        <f>IFERROR(__xludf.DUMMYFUNCTION("""COMPUTED_VALUE"""),"Contact Information Form")</f>
        <v>Contact Information Form</v>
      </c>
      <c r="D11" s="21" t="str">
        <f>IFERROR(__xludf.DUMMYFUNCTION("""COMPUTED_VALUE"""),"Verify that supporting text 'I am interested in the following property' is displayed in the form")</f>
        <v>Verify that supporting text 'I am interested in the following property' is displayed in the form</v>
      </c>
      <c r="E11" s="21" t="str">
        <f>IFERROR(__xludf.DUMMYFUNCTION("""COMPUTED_VALUE"""),"User is on Contact Agent section and viewing the Contact Information form")</f>
        <v>User is on Contact Agent section and viewing the Contact Information form</v>
      </c>
      <c r="F11" s="21" t="str">
        <f>IFERROR(__xludf.DUMMYFUNCTION("""COMPUTED_VALUE"""),"1. Navigate to Contact Agent section 
2. Open Contact Information form 
3. Check for supporting text above form fields")</f>
        <v>1. Navigate to Contact Agent section 
2. Open Contact Information form 
3. Check for supporting text above form fields</v>
      </c>
      <c r="G11" s="21" t="str">
        <f>IFERROR(__xludf.DUMMYFUNCTION("""COMPUTED_VALUE"""),"None")</f>
        <v>None</v>
      </c>
      <c r="H11" s="21" t="str">
        <f>IFERROR(__xludf.DUMMYFUNCTION("""COMPUTED_VALUE"""),"Supporting text 'I am interested in the following property' should be visible in the form")</f>
        <v>Supporting text 'I am interested in the following property' should be visible in the form</v>
      </c>
      <c r="I11" s="21" t="str">
        <f>IFERROR(__xludf.DUMMYFUNCTION("""COMPUTED_VALUE"""),"Supporting text is missing in the form")</f>
        <v>Supporting text is missing in the form</v>
      </c>
      <c r="J11" s="21" t="str">
        <f>IFERROR(__xludf.DUMMYFUNCTION("""COMPUTED_VALUE"""),"Fail")</f>
        <v>Fail</v>
      </c>
      <c r="K11" s="21" t="str">
        <f>IFERROR(__xludf.DUMMYFUNCTION("""COMPUTED_VALUE"""),"Medium")</f>
        <v>Medium</v>
      </c>
      <c r="L11" s="22" t="str">
        <f>IFERROR(__xludf.DUMMYFUNCTION("""COMPUTED_VALUE"""),"https://jam.dev/c/a9f7f711-6235-4682-aa59-5a8444a27088")</f>
        <v>https://jam.dev/c/a9f7f711-6235-4682-aa59-5a8444a27088</v>
      </c>
      <c r="M11" s="21"/>
      <c r="N11" s="23" t="str">
        <f>IFERROR(__xludf.DUMMYFUNCTION("""COMPUTED_VALUE"""),"Tahsin")</f>
        <v>Tahsin</v>
      </c>
      <c r="O11" s="23"/>
      <c r="P11" s="23"/>
      <c r="Q11" s="24"/>
      <c r="R11" s="24"/>
      <c r="S11" s="24"/>
      <c r="T11" s="24"/>
      <c r="U11" s="24"/>
      <c r="V11" s="24"/>
      <c r="W11" s="24"/>
      <c r="X11" s="24"/>
      <c r="Y11" s="24"/>
      <c r="Z11" s="24"/>
      <c r="AA11" s="24"/>
    </row>
    <row r="12">
      <c r="A12" s="25" t="s">
        <v>32</v>
      </c>
      <c r="B12" s="26" t="str">
        <f>IFERROR(__xludf.DUMMYFUNCTION("""COMPUTED_VALUE"""),"Contact Agent")</f>
        <v>Contact Agent</v>
      </c>
      <c r="C12" s="26" t="str">
        <f>IFERROR(__xludf.DUMMYFUNCTION("""COMPUTED_VALUE"""),"Post-Verification Page")</f>
        <v>Post-Verification Page</v>
      </c>
      <c r="D12" s="26" t="str">
        <f>IFERROR(__xludf.DUMMYFUNCTION("""COMPUTED_VALUE"""),"Verify that correct confirmation message is displayed after verifying contact information")</f>
        <v>Verify that correct confirmation message is displayed after verifying contact information</v>
      </c>
      <c r="E12" s="26" t="str">
        <f>IFERROR(__xludf.DUMMYFUNCTION("""COMPUTED_VALUE"""),"User is on Contact Agent section and has successfully verified contact information")</f>
        <v>User is on Contact Agent section and has successfully verified contact information</v>
      </c>
      <c r="F12" s="26" t="str">
        <f>IFERROR(__xludf.DUMMYFUNCTION("""COMPUTED_VALUE"""),"1. Navigate to Contact Agent section 
2. Fill in xthe OTP 
3. Observe the page displayed after verification")</f>
        <v>1. Navigate to Contact Agent section 
2. Fill in xthe OTP 
3. Observe the page displayed after verification</v>
      </c>
      <c r="G12" s="26" t="str">
        <f>IFERROR(__xludf.DUMMYFUNCTION("""COMPUTED_VALUE"""),"Valid contact info data")</f>
        <v>Valid contact info data</v>
      </c>
      <c r="H12" s="26" t="str">
        <f>IFERROR(__xludf.DUMMYFUNCTION("""COMPUTED_VALUE"""),"After successful verification, system should display confirmation like 'Contact info verified' or 'Agent booking done'")</f>
        <v>After successful verification, system should display confirmation like 'Contact info verified' or 'Agent booking done'</v>
      </c>
      <c r="I12" s="26" t="str">
        <f>IFERROR(__xludf.DUMMYFUNCTION("""COMPUTED_VALUE"""),"System shows 'Get Pre-Approve Confirm' page instead of correct confirmation message")</f>
        <v>System shows 'Get Pre-Approve Confirm' page instead of correct confirmation message</v>
      </c>
      <c r="J12" s="26" t="str">
        <f>IFERROR(__xludf.DUMMYFUNCTION("""COMPUTED_VALUE"""),"Fail")</f>
        <v>Fail</v>
      </c>
      <c r="K12" s="26" t="str">
        <f>IFERROR(__xludf.DUMMYFUNCTION("""COMPUTED_VALUE"""),"Medium")</f>
        <v>Medium</v>
      </c>
      <c r="L12" s="27" t="str">
        <f>IFERROR(__xludf.DUMMYFUNCTION("""COMPUTED_VALUE"""),"https://jam.dev/c/71c70a51-39ed-45bd-a6ea-929537e12c39")</f>
        <v>https://jam.dev/c/71c70a51-39ed-45bd-a6ea-929537e12c39</v>
      </c>
      <c r="M12" s="26"/>
      <c r="N12" s="26" t="str">
        <f>IFERROR(__xludf.DUMMYFUNCTION("""COMPUTED_VALUE"""),"Tahsin")</f>
        <v>Tahsin</v>
      </c>
      <c r="O12" s="25"/>
      <c r="P12" s="26"/>
      <c r="Q12" s="24"/>
      <c r="R12" s="24"/>
      <c r="S12" s="24"/>
      <c r="T12" s="24"/>
      <c r="U12" s="24"/>
      <c r="V12" s="24"/>
      <c r="W12" s="24"/>
      <c r="X12" s="24"/>
      <c r="Y12" s="24"/>
      <c r="Z12" s="24"/>
      <c r="AA12" s="24"/>
    </row>
    <row r="13">
      <c r="A13" s="25" t="s">
        <v>33</v>
      </c>
      <c r="B13" s="26" t="str">
        <f>IFERROR(__xludf.DUMMYFUNCTION("""COMPUTED_VALUE"""),"Dashboard")</f>
        <v>Dashboard</v>
      </c>
      <c r="C13" s="26" t="str">
        <f>IFERROR(__xludf.DUMMYFUNCTION("""COMPUTED_VALUE"""),"Buy Properties")</f>
        <v>Buy Properties</v>
      </c>
      <c r="D13" s="26" t="str">
        <f>IFERROR(__xludf.DUMMYFUNCTION("""COMPUTED_VALUE"""),"The value indicator is missing.")</f>
        <v>The value indicator is missing.</v>
      </c>
      <c r="E13" s="26" t="str">
        <f>IFERROR(__xludf.DUMMYFUNCTION("""COMPUTED_VALUE"""),"User need to be in web browser")</f>
        <v>User need to be in web browser</v>
      </c>
      <c r="F13" s="26" t="str">
        <f>IFERROR(__xludf.DUMMYFUNCTION("""COMPUTED_VALUE"""),"1. Open app link
2. Goto Dashboard
3. Click on Buy Properties")</f>
        <v>1. Open app link
2. Goto Dashboard
3. Click on Buy Properties</v>
      </c>
      <c r="G13" s="26" t="str">
        <f>IFERROR(__xludf.DUMMYFUNCTION("""COMPUTED_VALUE"""),"N/A")</f>
        <v>N/A</v>
      </c>
      <c r="H13" s="26" t="str">
        <f>IFERROR(__xludf.DUMMYFUNCTION("""COMPUTED_VALUE"""),"The value indicator should be dynamic and should change position on top of the indicator bar, rather than remaining fixed in a single spot.")</f>
        <v>The value indicator should be dynamic and should change position on top of the indicator bar, rather than remaining fixed in a single spot.</v>
      </c>
      <c r="I13" s="26" t="str">
        <f>IFERROR(__xludf.DUMMYFUNCTION("""COMPUTED_VALUE"""),"The value is in a fixed position, not located above the indicator.")</f>
        <v>The value is in a fixed position, not located above the indicator.</v>
      </c>
      <c r="J13" s="26" t="str">
        <f>IFERROR(__xludf.DUMMYFUNCTION("""COMPUTED_VALUE"""),"Fail")</f>
        <v>Fail</v>
      </c>
      <c r="K13" s="26" t="str">
        <f>IFERROR(__xludf.DUMMYFUNCTION("""COMPUTED_VALUE"""),"Low")</f>
        <v>Low</v>
      </c>
      <c r="L13" s="27" t="str">
        <f>IFERROR(__xludf.DUMMYFUNCTION("""COMPUTED_VALUE"""),"https://jam.dev/c/b68d3585-bbf2-44b8-95ef-f0b68eaab026")</f>
        <v>https://jam.dev/c/b68d3585-bbf2-44b8-95ef-f0b68eaab026</v>
      </c>
      <c r="M13" s="26"/>
      <c r="N13" s="26" t="str">
        <f>IFERROR(__xludf.DUMMYFUNCTION("""COMPUTED_VALUE"""),"Fahad")</f>
        <v>Fahad</v>
      </c>
      <c r="O13" s="26"/>
      <c r="P13" s="26"/>
      <c r="Q13" s="24"/>
      <c r="R13" s="24"/>
      <c r="S13" s="24"/>
      <c r="T13" s="24"/>
      <c r="U13" s="24"/>
      <c r="V13" s="24"/>
      <c r="W13" s="24"/>
      <c r="X13" s="24"/>
      <c r="Y13" s="24"/>
      <c r="Z13" s="24"/>
      <c r="AA13" s="24"/>
    </row>
    <row r="14">
      <c r="A14" s="25" t="s">
        <v>34</v>
      </c>
      <c r="B14" s="26" t="str">
        <f>IFERROR(__xludf.DUMMYFUNCTION("""COMPUTED_VALUE"""),"Dashboard")</f>
        <v>Dashboard</v>
      </c>
      <c r="C14" s="26" t="str">
        <f>IFERROR(__xludf.DUMMYFUNCTION("""COMPUTED_VALUE"""),"Buy Properties &gt; Offer details")</f>
        <v>Buy Properties &gt; Offer details</v>
      </c>
      <c r="D14" s="26" t="str">
        <f>IFERROR(__xludf.DUMMYFUNCTION("""COMPUTED_VALUE"""),"Alignment issue")</f>
        <v>Alignment issue</v>
      </c>
      <c r="E14" s="26" t="str">
        <f>IFERROR(__xludf.DUMMYFUNCTION("""COMPUTED_VALUE"""),"User need to be in web browser")</f>
        <v>User need to be in web browser</v>
      </c>
      <c r="F14" s="26" t="str">
        <f>IFERROR(__xludf.DUMMYFUNCTION("""COMPUTED_VALUE"""),"1. Open app link
2. Goto Dashboard
3. Click on Buy Properties &gt; Offer details")</f>
        <v>1. Open app link
2. Goto Dashboard
3. Click on Buy Properties &gt; Offer details</v>
      </c>
      <c r="G14" s="26" t="str">
        <f>IFERROR(__xludf.DUMMYFUNCTION("""COMPUTED_VALUE"""),"N/A")</f>
        <v>N/A</v>
      </c>
      <c r="H14" s="26" t="str">
        <f>IFERROR(__xludf.DUMMYFUNCTION("""COMPUTED_VALUE"""),"The page title should match client satisfaction.")</f>
        <v>The page title should match client satisfaction.</v>
      </c>
      <c r="I14" s="26" t="str">
        <f>IFERROR(__xludf.DUMMYFUNCTION("""COMPUTED_VALUE"""),"Base on client requirement, title should be on the left")</f>
        <v>Base on client requirement, title should be on the left</v>
      </c>
      <c r="J14" s="26" t="str">
        <f>IFERROR(__xludf.DUMMYFUNCTION("""COMPUTED_VALUE"""),"Fail")</f>
        <v>Fail</v>
      </c>
      <c r="K14" s="26" t="str">
        <f>IFERROR(__xludf.DUMMYFUNCTION("""COMPUTED_VALUE"""),"Low")</f>
        <v>Low</v>
      </c>
      <c r="L14" s="27" t="str">
        <f>IFERROR(__xludf.DUMMYFUNCTION("""COMPUTED_VALUE"""),"https://jam.dev/c/68604009-5406-4484-abf5-e745f16bd305")</f>
        <v>https://jam.dev/c/68604009-5406-4484-abf5-e745f16bd305</v>
      </c>
      <c r="M14" s="26"/>
      <c r="N14" s="26" t="str">
        <f>IFERROR(__xludf.DUMMYFUNCTION("""COMPUTED_VALUE"""),"Fahad")</f>
        <v>Fahad</v>
      </c>
      <c r="O14" s="26"/>
      <c r="P14" s="26"/>
      <c r="Q14" s="24"/>
      <c r="R14" s="24"/>
      <c r="S14" s="24"/>
      <c r="T14" s="24"/>
      <c r="U14" s="24"/>
      <c r="V14" s="24"/>
      <c r="W14" s="24"/>
      <c r="X14" s="24"/>
      <c r="Y14" s="24"/>
      <c r="Z14" s="24"/>
      <c r="AA14" s="24"/>
    </row>
    <row r="15">
      <c r="A15" s="25" t="s">
        <v>35</v>
      </c>
      <c r="B15" s="26" t="str">
        <f>IFERROR(__xludf.DUMMYFUNCTION("""COMPUTED_VALUE"""),"Dashboard")</f>
        <v>Dashboard</v>
      </c>
      <c r="C15" s="26" t="str">
        <f>IFERROR(__xludf.DUMMYFUNCTION("""COMPUTED_VALUE"""),"Buy Properties &gt; Offer details")</f>
        <v>Buy Properties &gt; Offer details</v>
      </c>
      <c r="D15" s="26" t="str">
        <f>IFERROR(__xludf.DUMMYFUNCTION("""COMPUTED_VALUE"""),"Alignment issue")</f>
        <v>Alignment issue</v>
      </c>
      <c r="E15" s="26" t="str">
        <f>IFERROR(__xludf.DUMMYFUNCTION("""COMPUTED_VALUE"""),"User need to be in web browser")</f>
        <v>User need to be in web browser</v>
      </c>
      <c r="F15" s="26" t="str">
        <f>IFERROR(__xludf.DUMMYFUNCTION("""COMPUTED_VALUE"""),"1. Open app link
2. Goto Dashboard
3. Click on Buy Properties &gt; Offer details")</f>
        <v>1. Open app link
2. Goto Dashboard
3. Click on Buy Properties &gt; Offer details</v>
      </c>
      <c r="G15" s="26" t="str">
        <f>IFERROR(__xludf.DUMMYFUNCTION("""COMPUTED_VALUE"""),"N/A")</f>
        <v>N/A</v>
      </c>
      <c r="H15" s="26" t="str">
        <f>IFERROR(__xludf.DUMMYFUNCTION("""COMPUTED_VALUE"""),"The remaining date and balance should be aligned to the right as per the client's requirement.")</f>
        <v>The remaining date and balance should be aligned to the right as per the client's requirement.</v>
      </c>
      <c r="I15" s="26" t="str">
        <f>IFERROR(__xludf.DUMMYFUNCTION("""COMPUTED_VALUE"""),"The remaining days and balance are listed below the date and balance, which differs from the client's expectations.")</f>
        <v>The remaining days and balance are listed below the date and balance, which differs from the client's expectations.</v>
      </c>
      <c r="J15" s="26" t="str">
        <f>IFERROR(__xludf.DUMMYFUNCTION("""COMPUTED_VALUE"""),"Fail")</f>
        <v>Fail</v>
      </c>
      <c r="K15" s="26" t="str">
        <f>IFERROR(__xludf.DUMMYFUNCTION("""COMPUTED_VALUE"""),"Low")</f>
        <v>Low</v>
      </c>
      <c r="L15" s="27" t="str">
        <f>IFERROR(__xludf.DUMMYFUNCTION("""COMPUTED_VALUE"""),"https://jam.dev/c/03f51624-a387-4e39-8186-2df08d7105c6")</f>
        <v>https://jam.dev/c/03f51624-a387-4e39-8186-2df08d7105c6</v>
      </c>
      <c r="M15" s="26"/>
      <c r="N15" s="26" t="str">
        <f>IFERROR(__xludf.DUMMYFUNCTION("""COMPUTED_VALUE"""),"Fahad")</f>
        <v>Fahad</v>
      </c>
      <c r="O15" s="26"/>
      <c r="P15" s="26"/>
      <c r="Q15" s="24"/>
      <c r="R15" s="24"/>
      <c r="S15" s="24"/>
      <c r="T15" s="24"/>
      <c r="U15" s="24"/>
      <c r="V15" s="24"/>
      <c r="W15" s="24"/>
      <c r="X15" s="24"/>
      <c r="Y15" s="24"/>
      <c r="Z15" s="24"/>
      <c r="AA15" s="24"/>
    </row>
    <row r="16">
      <c r="A16" s="25" t="s">
        <v>36</v>
      </c>
      <c r="B16" s="26" t="str">
        <f>IFERROR(__xludf.DUMMYFUNCTION("""COMPUTED_VALUE"""),"Dashboard")</f>
        <v>Dashboard</v>
      </c>
      <c r="C16" s="26" t="str">
        <f>IFERROR(__xludf.DUMMYFUNCTION("""COMPUTED_VALUE"""),"Buy Properties &gt; Offer details")</f>
        <v>Buy Properties &gt; Offer details</v>
      </c>
      <c r="D16" s="26" t="str">
        <f>IFERROR(__xludf.DUMMYFUNCTION("""COMPUTED_VALUE"""),"Button missing")</f>
        <v>Button missing</v>
      </c>
      <c r="E16" s="26" t="str">
        <f>IFERROR(__xludf.DUMMYFUNCTION("""COMPUTED_VALUE"""),"User need to be in web browser")</f>
        <v>User need to be in web browser</v>
      </c>
      <c r="F16" s="26" t="str">
        <f>IFERROR(__xludf.DUMMYFUNCTION("""COMPUTED_VALUE"""),"1. Open app link
2. Goto Dashboard
3. Click on Buy Properties &gt; Offer details")</f>
        <v>1. Open app link
2. Goto Dashboard
3. Click on Buy Properties &gt; Offer details</v>
      </c>
      <c r="G16" s="26" t="str">
        <f>IFERROR(__xludf.DUMMYFUNCTION("""COMPUTED_VALUE"""),"N/A")</f>
        <v>N/A</v>
      </c>
      <c r="H16" s="26" t="str">
        <f>IFERROR(__xludf.DUMMYFUNCTION("""COMPUTED_VALUE"""),"All buttons should be included in the web app and positioned accurately according to the client's requirements.")</f>
        <v>All buttons should be included in the web app and positioned accurately according to the client's requirements.</v>
      </c>
      <c r="I16" s="26" t="str">
        <f>IFERROR(__xludf.DUMMYFUNCTION("""COMPUTED_VALUE"""),"The ""Send Counter Offer"" button is missing in the web app.")</f>
        <v>The "Send Counter Offer" button is missing in the web app.</v>
      </c>
      <c r="J16" s="26" t="str">
        <f>IFERROR(__xludf.DUMMYFUNCTION("""COMPUTED_VALUE"""),"Fail")</f>
        <v>Fail</v>
      </c>
      <c r="K16" s="26" t="str">
        <f>IFERROR(__xludf.DUMMYFUNCTION("""COMPUTED_VALUE"""),"High")</f>
        <v>High</v>
      </c>
      <c r="L16" s="27" t="str">
        <f>IFERROR(__xludf.DUMMYFUNCTION("""COMPUTED_VALUE"""),"https://jam.dev/c/ea4f3a02-cfee-4fe7-b5af-dbad6c2f7e83")</f>
        <v>https://jam.dev/c/ea4f3a02-cfee-4fe7-b5af-dbad6c2f7e83</v>
      </c>
      <c r="M16" s="26"/>
      <c r="N16" s="26" t="str">
        <f>IFERROR(__xludf.DUMMYFUNCTION("""COMPUTED_VALUE"""),"Fahad")</f>
        <v>Fahad</v>
      </c>
      <c r="O16" s="26"/>
      <c r="P16" s="26"/>
      <c r="Q16" s="24"/>
      <c r="R16" s="24"/>
      <c r="S16" s="24"/>
      <c r="T16" s="24"/>
      <c r="U16" s="24"/>
      <c r="V16" s="24"/>
      <c r="W16" s="24"/>
      <c r="X16" s="24"/>
      <c r="Y16" s="24"/>
      <c r="Z16" s="24"/>
      <c r="AA16" s="24"/>
    </row>
    <row r="17">
      <c r="A17" s="25" t="s">
        <v>37</v>
      </c>
      <c r="B17" s="26" t="str">
        <f>IFERROR(__xludf.DUMMYFUNCTION("""COMPUTED_VALUE"""),"Dashboard")</f>
        <v>Dashboard</v>
      </c>
      <c r="C17" s="26" t="str">
        <f>IFERROR(__xludf.DUMMYFUNCTION("""COMPUTED_VALUE"""),"Buy Properties &gt; Offer details")</f>
        <v>Buy Properties &gt; Offer details</v>
      </c>
      <c r="D17" s="26" t="str">
        <f>IFERROR(__xludf.DUMMYFUNCTION("""COMPUTED_VALUE"""),"The button is not included in the client's requirements.")</f>
        <v>The button is not included in the client's requirements.</v>
      </c>
      <c r="E17" s="26" t="str">
        <f>IFERROR(__xludf.DUMMYFUNCTION("""COMPUTED_VALUE"""),"User need to be in web browser")</f>
        <v>User need to be in web browser</v>
      </c>
      <c r="F17" s="26" t="str">
        <f>IFERROR(__xludf.DUMMYFUNCTION("""COMPUTED_VALUE"""),"1. Open app link
2. Goto Dashboard
3. Click on Buy Properties &gt; Offer details")</f>
        <v>1. Open app link
2. Goto Dashboard
3. Click on Buy Properties &gt; Offer details</v>
      </c>
      <c r="G17" s="26" t="str">
        <f>IFERROR(__xludf.DUMMYFUNCTION("""COMPUTED_VALUE"""),"N/A")</f>
        <v>N/A</v>
      </c>
      <c r="H17" s="26" t="str">
        <f>IFERROR(__xludf.DUMMYFUNCTION("""COMPUTED_VALUE"""),"All buttons should be included in the web app and positioned accurately according to the client's requirements.")</f>
        <v>All buttons should be included in the web app and positioned accurately according to the client's requirements.</v>
      </c>
      <c r="I17" s="26" t="str">
        <f>IFERROR(__xludf.DUMMYFUNCTION("""COMPUTED_VALUE"""),"An additional button has been added at the top of the web app.")</f>
        <v>An additional button has been added at the top of the web app.</v>
      </c>
      <c r="J17" s="26" t="str">
        <f>IFERROR(__xludf.DUMMYFUNCTION("""COMPUTED_VALUE"""),"Fail")</f>
        <v>Fail</v>
      </c>
      <c r="K17" s="26" t="str">
        <f>IFERROR(__xludf.DUMMYFUNCTION("""COMPUTED_VALUE"""),"Low")</f>
        <v>Low</v>
      </c>
      <c r="L17" s="27" t="str">
        <f>IFERROR(__xludf.DUMMYFUNCTION("""COMPUTED_VALUE"""),"https://jam.dev/c/786e291d-aa6f-4738-9e55-22e60cfb61f3")</f>
        <v>https://jam.dev/c/786e291d-aa6f-4738-9e55-22e60cfb61f3</v>
      </c>
      <c r="M17" s="26"/>
      <c r="N17" s="26" t="str">
        <f>IFERROR(__xludf.DUMMYFUNCTION("""COMPUTED_VALUE"""),"Fahad")</f>
        <v>Fahad</v>
      </c>
      <c r="O17" s="26"/>
      <c r="P17" s="26"/>
      <c r="Q17" s="24"/>
      <c r="R17" s="24"/>
      <c r="S17" s="24"/>
      <c r="T17" s="24"/>
      <c r="U17" s="24"/>
      <c r="V17" s="24"/>
      <c r="W17" s="24"/>
      <c r="X17" s="24"/>
      <c r="Y17" s="24"/>
      <c r="Z17" s="24"/>
      <c r="AA17" s="24"/>
    </row>
    <row r="18">
      <c r="A18" s="25" t="s">
        <v>38</v>
      </c>
      <c r="B18" s="26" t="str">
        <f>IFERROR(__xludf.DUMMYFUNCTION("""COMPUTED_VALUE"""),"Dashboard")</f>
        <v>Dashboard</v>
      </c>
      <c r="C18" s="26" t="str">
        <f>IFERROR(__xludf.DUMMYFUNCTION("""COMPUTED_VALUE"""),"Buy Properties &gt; Offer details")</f>
        <v>Buy Properties &gt; Offer details</v>
      </c>
      <c r="D18" s="26" t="str">
        <f>IFERROR(__xludf.DUMMYFUNCTION("""COMPUTED_VALUE"""),"The counteroffer page flow is missing.")</f>
        <v>The counteroffer page flow is missing.</v>
      </c>
      <c r="E18" s="26" t="str">
        <f>IFERROR(__xludf.DUMMYFUNCTION("""COMPUTED_VALUE"""),"User need to be in web browser")</f>
        <v>User need to be in web browser</v>
      </c>
      <c r="F18" s="26" t="str">
        <f>IFERROR(__xludf.DUMMYFUNCTION("""COMPUTED_VALUE"""),"1. Open app link
2. Goto Dashboard
3. Click on Buy Properties &gt; Offer details")</f>
        <v>1. Open app link
2. Goto Dashboard
3. Click on Buy Properties &gt; Offer details</v>
      </c>
      <c r="G18" s="26" t="str">
        <f>IFERROR(__xludf.DUMMYFUNCTION("""COMPUTED_VALUE"""),"N/A")</f>
        <v>N/A</v>
      </c>
      <c r="H18" s="26" t="str">
        <f>IFERROR(__xludf.DUMMYFUNCTION("""COMPUTED_VALUE"""),"All pages should remain visible as per the client's requirement.")</f>
        <v>All pages should remain visible as per the client's requirement.</v>
      </c>
      <c r="I18" s="26" t="str">
        <f>IFERROR(__xludf.DUMMYFUNCTION("""COMPUTED_VALUE"""),"Counter offer page flow missing ")</f>
        <v>Counter offer page flow missing </v>
      </c>
      <c r="J18" s="26" t="str">
        <f>IFERROR(__xludf.DUMMYFUNCTION("""COMPUTED_VALUE"""),"Fail")</f>
        <v>Fail</v>
      </c>
      <c r="K18" s="26" t="str">
        <f>IFERROR(__xludf.DUMMYFUNCTION("""COMPUTED_VALUE"""),"High")</f>
        <v>High</v>
      </c>
      <c r="L18" s="27" t="str">
        <f>IFERROR(__xludf.DUMMYFUNCTION("""COMPUTED_VALUE"""),"https://jam.dev/c/fea4d0ad-38c5-4a91-9d92-9403f0b820f9")</f>
        <v>https://jam.dev/c/fea4d0ad-38c5-4a91-9d92-9403f0b820f9</v>
      </c>
      <c r="M18" s="26"/>
      <c r="N18" s="26" t="str">
        <f>IFERROR(__xludf.DUMMYFUNCTION("""COMPUTED_VALUE"""),"Fahad")</f>
        <v>Fahad</v>
      </c>
      <c r="O18" s="26"/>
      <c r="P18" s="26"/>
      <c r="Q18" s="24"/>
      <c r="R18" s="24"/>
      <c r="S18" s="24"/>
      <c r="T18" s="24"/>
      <c r="U18" s="24"/>
      <c r="V18" s="24"/>
      <c r="W18" s="24"/>
      <c r="X18" s="24"/>
      <c r="Y18" s="24"/>
      <c r="Z18" s="24"/>
      <c r="AA18" s="24"/>
    </row>
    <row r="19">
      <c r="A19" s="25" t="s">
        <v>39</v>
      </c>
      <c r="B19" s="26" t="str">
        <f>IFERROR(__xludf.DUMMYFUNCTION("""COMPUTED_VALUE"""),"Dashboard")</f>
        <v>Dashboard</v>
      </c>
      <c r="C19" s="26" t="str">
        <f>IFERROR(__xludf.DUMMYFUNCTION("""COMPUTED_VALUE"""),"Selling properties")</f>
        <v>Selling properties</v>
      </c>
      <c r="D19" s="26" t="str">
        <f>IFERROR(__xludf.DUMMYFUNCTION("""COMPUTED_VALUE"""),"selling properties process title missing")</f>
        <v>selling properties process title missing</v>
      </c>
      <c r="E19" s="26" t="str">
        <f>IFERROR(__xludf.DUMMYFUNCTION("""COMPUTED_VALUE"""),"User need to be in web browser")</f>
        <v>User need to be in web browser</v>
      </c>
      <c r="F19" s="26" t="str">
        <f>IFERROR(__xludf.DUMMYFUNCTION("""COMPUTED_VALUE"""),"1. Open app link
2. Goto Dashboard")</f>
        <v>1. Open app link
2. Goto Dashboard</v>
      </c>
      <c r="G19" s="26" t="str">
        <f>IFERROR(__xludf.DUMMYFUNCTION("""COMPUTED_VALUE"""),"N/A")</f>
        <v>N/A</v>
      </c>
      <c r="H19" s="26" t="str">
        <f>IFERROR(__xludf.DUMMYFUNCTION("""COMPUTED_VALUE"""),"The content title should be positioned accurately.")</f>
        <v>The content title should be positioned accurately.</v>
      </c>
      <c r="I19" s="26" t="str">
        <f>IFERROR(__xludf.DUMMYFUNCTION("""COMPUTED_VALUE"""),"A missing content title has been identified in Selling Properties (Processing).")</f>
        <v>A missing content title has been identified in Selling Properties (Processing).</v>
      </c>
      <c r="J19" s="26" t="str">
        <f>IFERROR(__xludf.DUMMYFUNCTION("""COMPUTED_VALUE"""),"Fail")</f>
        <v>Fail</v>
      </c>
      <c r="K19" s="26" t="str">
        <f>IFERROR(__xludf.DUMMYFUNCTION("""COMPUTED_VALUE"""),"Medium")</f>
        <v>Medium</v>
      </c>
      <c r="L19" s="27" t="str">
        <f>IFERROR(__xludf.DUMMYFUNCTION("""COMPUTED_VALUE"""),"https://jam.dev/c/ec4a1ad8-e7bd-46ed-ae28-e3b95e96ac3b")</f>
        <v>https://jam.dev/c/ec4a1ad8-e7bd-46ed-ae28-e3b95e96ac3b</v>
      </c>
      <c r="M19" s="26"/>
      <c r="N19" s="26" t="str">
        <f>IFERROR(__xludf.DUMMYFUNCTION("""COMPUTED_VALUE"""),"Fahad")</f>
        <v>Fahad</v>
      </c>
      <c r="O19" s="26"/>
      <c r="P19" s="26"/>
      <c r="Q19" s="24"/>
      <c r="R19" s="24"/>
      <c r="S19" s="24"/>
      <c r="T19" s="24"/>
      <c r="U19" s="24"/>
      <c r="V19" s="24"/>
      <c r="W19" s="24"/>
      <c r="X19" s="24"/>
      <c r="Y19" s="24"/>
      <c r="Z19" s="24"/>
      <c r="AA19" s="24"/>
    </row>
    <row r="20">
      <c r="A20" s="25" t="s">
        <v>40</v>
      </c>
      <c r="B20" s="26" t="str">
        <f>IFERROR(__xludf.DUMMYFUNCTION("""COMPUTED_VALUE"""),"Dashboard")</f>
        <v>Dashboard</v>
      </c>
      <c r="C20" s="26" t="str">
        <f>IFERROR(__xludf.DUMMYFUNCTION("""COMPUTED_VALUE"""),"Selling properties")</f>
        <v>Selling properties</v>
      </c>
      <c r="D20" s="26" t="str">
        <f>IFERROR(__xludf.DUMMYFUNCTION("""COMPUTED_VALUE"""),"There seems to be an issue with alignment.")</f>
        <v>There seems to be an issue with alignment.</v>
      </c>
      <c r="E20" s="26" t="str">
        <f>IFERROR(__xludf.DUMMYFUNCTION("""COMPUTED_VALUE"""),"User need to be in web browser")</f>
        <v>User need to be in web browser</v>
      </c>
      <c r="F20" s="26" t="str">
        <f>IFERROR(__xludf.DUMMYFUNCTION("""COMPUTED_VALUE"""),"1. Open app link
2. Goto Dashboard
3. Click on ""List New Property""")</f>
        <v>1. Open app link
2. Goto Dashboard
3. Click on "List New Property"</v>
      </c>
      <c r="G20" s="26" t="str">
        <f>IFERROR(__xludf.DUMMYFUNCTION("""COMPUTED_VALUE"""),"N/A")</f>
        <v>N/A</v>
      </c>
      <c r="H20" s="26" t="str">
        <f>IFERROR(__xludf.DUMMYFUNCTION("""COMPUTED_VALUE"""),"The property image and all essential features should be displayed accurately, ensuring the alignment matches the client's requirements.")</f>
        <v>The property image and all essential features should be displayed accurately, ensuring the alignment matches the client's requirements.</v>
      </c>
      <c r="I20" s="26" t="str">
        <f>IFERROR(__xludf.DUMMYFUNCTION("""COMPUTED_VALUE"""),"The property image is missing, and there are alignment issues that do not match the client’s requirements.")</f>
        <v>The property image is missing, and there are alignment issues that do not match the client’s requirements.</v>
      </c>
      <c r="J20" s="26" t="str">
        <f>IFERROR(__xludf.DUMMYFUNCTION("""COMPUTED_VALUE"""),"Fail")</f>
        <v>Fail</v>
      </c>
      <c r="K20" s="26" t="str">
        <f>IFERROR(__xludf.DUMMYFUNCTION("""COMPUTED_VALUE"""),"Medium")</f>
        <v>Medium</v>
      </c>
      <c r="L20" s="27" t="str">
        <f>IFERROR(__xludf.DUMMYFUNCTION("""COMPUTED_VALUE"""),"https://jam.dev/c/170d79ca-dd6c-4647-8cb1-16cf7c9ce991")</f>
        <v>https://jam.dev/c/170d79ca-dd6c-4647-8cb1-16cf7c9ce991</v>
      </c>
      <c r="M20" s="26"/>
      <c r="N20" s="26" t="str">
        <f>IFERROR(__xludf.DUMMYFUNCTION("""COMPUTED_VALUE"""),"Fahad")</f>
        <v>Fahad</v>
      </c>
      <c r="O20" s="26"/>
      <c r="P20" s="26"/>
      <c r="Q20" s="24"/>
      <c r="R20" s="24"/>
      <c r="S20" s="24"/>
      <c r="T20" s="24"/>
      <c r="U20" s="24"/>
      <c r="V20" s="24"/>
      <c r="W20" s="24"/>
      <c r="X20" s="24"/>
      <c r="Y20" s="24"/>
      <c r="Z20" s="24"/>
      <c r="AA20" s="24"/>
    </row>
    <row r="21">
      <c r="A21" s="25" t="s">
        <v>41</v>
      </c>
      <c r="B21" s="26" t="str">
        <f>IFERROR(__xludf.DUMMYFUNCTION("""COMPUTED_VALUE"""),"Dashboard")</f>
        <v>Dashboard</v>
      </c>
      <c r="C21" s="26" t="str">
        <f>IFERROR(__xludf.DUMMYFUNCTION("""COMPUTED_VALUE"""),"Selling properties")</f>
        <v>Selling properties</v>
      </c>
      <c r="D21" s="26" t="str">
        <f>IFERROR(__xludf.DUMMYFUNCTION("""COMPUTED_VALUE"""),"The button border is missing in night mode.")</f>
        <v>The button border is missing in night mode.</v>
      </c>
      <c r="E21" s="26" t="str">
        <f>IFERROR(__xludf.DUMMYFUNCTION("""COMPUTED_VALUE"""),"User need to be in web browser and in night mode")</f>
        <v>User need to be in web browser and in night mode</v>
      </c>
      <c r="F21" s="26" t="str">
        <f>IFERROR(__xludf.DUMMYFUNCTION("""COMPUTED_VALUE"""),"1. Open app link
2. Goto Dashboard
3. Click on ""List New Property""")</f>
        <v>1. Open app link
2. Goto Dashboard
3. Click on "List New Property"</v>
      </c>
      <c r="G21" s="26" t="str">
        <f>IFERROR(__xludf.DUMMYFUNCTION("""COMPUTED_VALUE"""),"N/A")</f>
        <v>N/A</v>
      </c>
      <c r="H21" s="26" t="str">
        <f>IFERROR(__xludf.DUMMYFUNCTION("""COMPUTED_VALUE"""),"The alignment and design should match the client's requirements.")</f>
        <v>The alignment and design should match the client's requirements.</v>
      </c>
      <c r="I21" s="26" t="str">
        <f>IFERROR(__xludf.DUMMYFUNCTION("""COMPUTED_VALUE"""),"The button border is not visible in night mode.")</f>
        <v>The button border is not visible in night mode.</v>
      </c>
      <c r="J21" s="26" t="str">
        <f>IFERROR(__xludf.DUMMYFUNCTION("""COMPUTED_VALUE"""),"Fail")</f>
        <v>Fail</v>
      </c>
      <c r="K21" s="26" t="str">
        <f>IFERROR(__xludf.DUMMYFUNCTION("""COMPUTED_VALUE"""),"Low")</f>
        <v>Low</v>
      </c>
      <c r="L21" s="27" t="str">
        <f>IFERROR(__xludf.DUMMYFUNCTION("""COMPUTED_VALUE"""),"https://jam.dev/c/a8c5ee75-edb6-4d49-adb7-31e4712ffd0b")</f>
        <v>https://jam.dev/c/a8c5ee75-edb6-4d49-adb7-31e4712ffd0b</v>
      </c>
      <c r="M21" s="26"/>
      <c r="N21" s="26" t="str">
        <f>IFERROR(__xludf.DUMMYFUNCTION("""COMPUTED_VALUE"""),"Fahad")</f>
        <v>Fahad</v>
      </c>
      <c r="O21" s="26"/>
      <c r="P21" s="26"/>
      <c r="Q21" s="24"/>
      <c r="R21" s="24"/>
      <c r="S21" s="24"/>
      <c r="T21" s="24"/>
      <c r="U21" s="24"/>
      <c r="V21" s="24"/>
      <c r="W21" s="24"/>
      <c r="X21" s="24"/>
      <c r="Y21" s="24"/>
      <c r="Z21" s="24"/>
      <c r="AA21" s="24"/>
    </row>
    <row r="22">
      <c r="A22" s="25" t="s">
        <v>42</v>
      </c>
      <c r="B22" s="26" t="str">
        <f>IFERROR(__xludf.DUMMYFUNCTION("""COMPUTED_VALUE"""),"Dashboard")</f>
        <v>Dashboard</v>
      </c>
      <c r="C22" s="26" t="str">
        <f>IFERROR(__xludf.DUMMYFUNCTION("""COMPUTED_VALUE"""),"Selling properties")</f>
        <v>Selling properties</v>
      </c>
      <c r="D22" s="26" t="str">
        <f>IFERROR(__xludf.DUMMYFUNCTION("""COMPUTED_VALUE"""),"A colorful icon is used instead of a black-and-white icon.")</f>
        <v>A colorful icon is used instead of a black-and-white icon.</v>
      </c>
      <c r="E22" s="26" t="str">
        <f>IFERROR(__xludf.DUMMYFUNCTION("""COMPUTED_VALUE"""),"User need to be in web browser")</f>
        <v>User need to be in web browser</v>
      </c>
      <c r="F22" s="26" t="str">
        <f>IFERROR(__xludf.DUMMYFUNCTION("""COMPUTED_VALUE"""),"1. Open app link
2. Goto Dashboard
3. Click on ""List New Property""")</f>
        <v>1. Open app link
2. Goto Dashboard
3. Click on "List New Property"</v>
      </c>
      <c r="G22" s="26" t="str">
        <f>IFERROR(__xludf.DUMMYFUNCTION("""COMPUTED_VALUE"""),"N/A")</f>
        <v>N/A</v>
      </c>
      <c r="H22" s="26" t="str">
        <f>IFERROR(__xludf.DUMMYFUNCTION("""COMPUTED_VALUE"""),"Icons and images should be used according to client specifications.")</f>
        <v>Icons and images should be used according to client specifications.</v>
      </c>
      <c r="I22" s="26" t="str">
        <f>IFERROR(__xludf.DUMMYFUNCTION("""COMPUTED_VALUE"""),"A different design icon has been implemented in the dashboard, deviating from the client's specifications.")</f>
        <v>A different design icon has been implemented in the dashboard, deviating from the client's specifications.</v>
      </c>
      <c r="J22" s="26" t="str">
        <f>IFERROR(__xludf.DUMMYFUNCTION("""COMPUTED_VALUE"""),"Fail")</f>
        <v>Fail</v>
      </c>
      <c r="K22" s="26" t="str">
        <f>IFERROR(__xludf.DUMMYFUNCTION("""COMPUTED_VALUE"""),"Medium")</f>
        <v>Medium</v>
      </c>
      <c r="L22" s="27" t="str">
        <f>IFERROR(__xludf.DUMMYFUNCTION("""COMPUTED_VALUE"""),"https://jam.dev/c/4f1cc002-2461-4334-a72c-1f301503e0b4")</f>
        <v>https://jam.dev/c/4f1cc002-2461-4334-a72c-1f301503e0b4</v>
      </c>
      <c r="M22" s="26"/>
      <c r="N22" s="26" t="str">
        <f>IFERROR(__xludf.DUMMYFUNCTION("""COMPUTED_VALUE"""),"Fahad")</f>
        <v>Fahad</v>
      </c>
      <c r="O22" s="26"/>
      <c r="P22" s="26"/>
      <c r="Q22" s="24"/>
      <c r="R22" s="24"/>
      <c r="S22" s="24"/>
      <c r="T22" s="24"/>
      <c r="U22" s="24"/>
      <c r="V22" s="24"/>
      <c r="W22" s="24"/>
      <c r="X22" s="24"/>
      <c r="Y22" s="24"/>
      <c r="Z22" s="24"/>
      <c r="AA22" s="24"/>
    </row>
    <row r="23">
      <c r="A23" s="25" t="s">
        <v>43</v>
      </c>
      <c r="B23" s="26" t="str">
        <f>IFERROR(__xludf.DUMMYFUNCTION("""COMPUTED_VALUE"""),"Dashboard")</f>
        <v>Dashboard</v>
      </c>
      <c r="C23" s="26" t="str">
        <f>IFERROR(__xludf.DUMMYFUNCTION("""COMPUTED_VALUE"""),"Selling properties")</f>
        <v>Selling properties</v>
      </c>
      <c r="D23" s="26" t="str">
        <f>IFERROR(__xludf.DUMMYFUNCTION("""COMPUTED_VALUE"""),"The title is not formatted in bold.")</f>
        <v>The title is not formatted in bold.</v>
      </c>
      <c r="E23" s="26" t="str">
        <f>IFERROR(__xludf.DUMMYFUNCTION("""COMPUTED_VALUE"""),"User need to be in web browser")</f>
        <v>User need to be in web browser</v>
      </c>
      <c r="F23" s="26" t="str">
        <f>IFERROR(__xludf.DUMMYFUNCTION("""COMPUTED_VALUE"""),"1. Open app link
2. Goto Dashboard
3. Click on ""List New Property""")</f>
        <v>1. Open app link
2. Goto Dashboard
3. Click on "List New Property"</v>
      </c>
      <c r="G23" s="26" t="str">
        <f>IFERROR(__xludf.DUMMYFUNCTION("""COMPUTED_VALUE"""),"N/A")</f>
        <v>N/A</v>
      </c>
      <c r="H23" s="26" t="str">
        <f>IFERROR(__xludf.DUMMYFUNCTION("""COMPUTED_VALUE"""),"Content titles should be in bold format to attract clients.")</f>
        <v>Content titles should be in bold format to attract clients.</v>
      </c>
      <c r="I23" s="26" t="str">
        <f>IFERROR(__xludf.DUMMYFUNCTION("""COMPUTED_VALUE"""),"The title is not in bold format, which does not make it stand out from the rest of the content.")</f>
        <v>The title is not in bold format, which does not make it stand out from the rest of the content.</v>
      </c>
      <c r="J23" s="26" t="str">
        <f>IFERROR(__xludf.DUMMYFUNCTION("""COMPUTED_VALUE"""),"Fail")</f>
        <v>Fail</v>
      </c>
      <c r="K23" s="26" t="str">
        <f>IFERROR(__xludf.DUMMYFUNCTION("""COMPUTED_VALUE"""),"Low")</f>
        <v>Low</v>
      </c>
      <c r="L23" s="27" t="str">
        <f>IFERROR(__xludf.DUMMYFUNCTION("""COMPUTED_VALUE"""),"https://jam.dev/c/62609a7a-c2a3-4d10-b1dd-2f5eecd89183")</f>
        <v>https://jam.dev/c/62609a7a-c2a3-4d10-b1dd-2f5eecd89183</v>
      </c>
      <c r="M23" s="26"/>
      <c r="N23" s="26" t="str">
        <f>IFERROR(__xludf.DUMMYFUNCTION("""COMPUTED_VALUE"""),"Fahad")</f>
        <v>Fahad</v>
      </c>
      <c r="O23" s="26"/>
      <c r="P23" s="26"/>
      <c r="Q23" s="24"/>
      <c r="R23" s="24"/>
      <c r="S23" s="24"/>
      <c r="T23" s="24"/>
      <c r="U23" s="24"/>
      <c r="V23" s="24"/>
      <c r="W23" s="24"/>
      <c r="X23" s="24"/>
      <c r="Y23" s="24"/>
      <c r="Z23" s="24"/>
      <c r="AA23" s="24"/>
    </row>
    <row r="24">
      <c r="A24" s="25" t="s">
        <v>44</v>
      </c>
      <c r="B24" s="26" t="str">
        <f>IFERROR(__xludf.DUMMYFUNCTION("""COMPUTED_VALUE"""),"Dashboard")</f>
        <v>Dashboard</v>
      </c>
      <c r="C24" s="26" t="str">
        <f>IFERROR(__xludf.DUMMYFUNCTION("""COMPUTED_VALUE"""),"Selling properties")</f>
        <v>Selling properties</v>
      </c>
      <c r="D24" s="26" t="str">
        <f>IFERROR(__xludf.DUMMYFUNCTION("""COMPUTED_VALUE"""),"The upload title has a different design.")</f>
        <v>The upload title has a different design.</v>
      </c>
      <c r="E24" s="26" t="str">
        <f>IFERROR(__xludf.DUMMYFUNCTION("""COMPUTED_VALUE"""),"User need to be in web browser")</f>
        <v>User need to be in web browser</v>
      </c>
      <c r="F24" s="26" t="str">
        <f>IFERROR(__xludf.DUMMYFUNCTION("""COMPUTED_VALUE"""),"1. Open app link
2. Goto Dashboard
3. Click on ""List New Property""")</f>
        <v>1. Open app link
2. Goto Dashboard
3. Click on "List New Property"</v>
      </c>
      <c r="G24" s="26" t="str">
        <f>IFERROR(__xludf.DUMMYFUNCTION("""COMPUTED_VALUE"""),"N/A")</f>
        <v>N/A</v>
      </c>
      <c r="H24" s="26" t="str">
        <f>IFERROR(__xludf.DUMMYFUNCTION("""COMPUTED_VALUE"""),"Section title design should match the client's requirements.")</f>
        <v>Section title design should match the client's requirements.</v>
      </c>
      <c r="I24" s="26" t="str">
        <f>IFERROR(__xludf.DUMMYFUNCTION("""COMPUTED_VALUE"""),"A different design has been observed based on the client's requirements.")</f>
        <v>A different design has been observed based on the client's requirements.</v>
      </c>
      <c r="J24" s="26" t="str">
        <f>IFERROR(__xludf.DUMMYFUNCTION("""COMPUTED_VALUE"""),"Fail")</f>
        <v>Fail</v>
      </c>
      <c r="K24" s="26" t="str">
        <f>IFERROR(__xludf.DUMMYFUNCTION("""COMPUTED_VALUE"""),"Low")</f>
        <v>Low</v>
      </c>
      <c r="L24" s="27" t="str">
        <f>IFERROR(__xludf.DUMMYFUNCTION("""COMPUTED_VALUE"""),"https://jam.dev/c/0d595759-4a67-4e66-ad8e-1b481e4e073c")</f>
        <v>https://jam.dev/c/0d595759-4a67-4e66-ad8e-1b481e4e073c</v>
      </c>
      <c r="M24" s="26"/>
      <c r="N24" s="26" t="str">
        <f>IFERROR(__xludf.DUMMYFUNCTION("""COMPUTED_VALUE"""),"Fahad")</f>
        <v>Fahad</v>
      </c>
      <c r="O24" s="26"/>
      <c r="P24" s="26"/>
      <c r="Q24" s="24"/>
      <c r="R24" s="24"/>
      <c r="S24" s="24"/>
      <c r="T24" s="24"/>
      <c r="U24" s="24"/>
      <c r="V24" s="24"/>
      <c r="W24" s="24"/>
      <c r="X24" s="24"/>
      <c r="Y24" s="24"/>
      <c r="Z24" s="24"/>
      <c r="AA24" s="24"/>
    </row>
    <row r="25">
      <c r="A25" s="25" t="s">
        <v>45</v>
      </c>
      <c r="B25" s="26" t="str">
        <f>IFERROR(__xludf.DUMMYFUNCTION("""COMPUTED_VALUE"""),"Dashboard")</f>
        <v>Dashboard</v>
      </c>
      <c r="C25" s="26" t="str">
        <f>IFERROR(__xludf.DUMMYFUNCTION("""COMPUTED_VALUE"""),"Selling properties &gt; Escrow Section")</f>
        <v>Selling properties &gt; Escrow Section</v>
      </c>
      <c r="D25" s="26" t="str">
        <f>IFERROR(__xludf.DUMMYFUNCTION("""COMPUTED_VALUE"""),"Different table designs ")</f>
        <v>Different table designs </v>
      </c>
      <c r="E25" s="26" t="str">
        <f>IFERROR(__xludf.DUMMYFUNCTION("""COMPUTED_VALUE"""),"User need to be in web browser")</f>
        <v>User need to be in web browser</v>
      </c>
      <c r="F25" s="26" t="str">
        <f>IFERROR(__xludf.DUMMYFUNCTION("""COMPUTED_VALUE"""),"1. Open app link
2. Goto Dashboard
3. Click on ""List New Property""
4. After submit all , click on Escrow")</f>
        <v>1. Open app link
2. Goto Dashboard
3. Click on "List New Property"
4. After submit all , click on Escrow</v>
      </c>
      <c r="G25" s="26" t="str">
        <f>IFERROR(__xludf.DUMMYFUNCTION("""COMPUTED_VALUE"""),"N/A")</f>
        <v>N/A</v>
      </c>
      <c r="H25" s="26" t="str">
        <f>IFERROR(__xludf.DUMMYFUNCTION("""COMPUTED_VALUE"""),"The alignment and design should match the client's requirements.")</f>
        <v>The alignment and design should match the client's requirements.</v>
      </c>
      <c r="I25" s="26" t="str">
        <f>IFERROR(__xludf.DUMMYFUNCTION("""COMPUTED_VALUE"""),"The border and table style do not align with the client's requirements.")</f>
        <v>The border and table style do not align with the client's requirements.</v>
      </c>
      <c r="J25" s="26" t="str">
        <f>IFERROR(__xludf.DUMMYFUNCTION("""COMPUTED_VALUE"""),"Fail")</f>
        <v>Fail</v>
      </c>
      <c r="K25" s="26" t="str">
        <f>IFERROR(__xludf.DUMMYFUNCTION("""COMPUTED_VALUE"""),"Low")</f>
        <v>Low</v>
      </c>
      <c r="L25" s="27" t="str">
        <f>IFERROR(__xludf.DUMMYFUNCTION("""COMPUTED_VALUE"""),"https://jam.dev/c/e3e4f63a-b1d8-4e2f-9000-ebe0b4c6ed05")</f>
        <v>https://jam.dev/c/e3e4f63a-b1d8-4e2f-9000-ebe0b4c6ed05</v>
      </c>
      <c r="M25" s="26"/>
      <c r="N25" s="26" t="str">
        <f>IFERROR(__xludf.DUMMYFUNCTION("""COMPUTED_VALUE"""),"Fahad")</f>
        <v>Fahad</v>
      </c>
      <c r="O25" s="26"/>
      <c r="P25" s="26"/>
      <c r="Q25" s="24"/>
      <c r="R25" s="24"/>
      <c r="S25" s="24"/>
      <c r="T25" s="24"/>
      <c r="U25" s="24"/>
      <c r="V25" s="24"/>
      <c r="W25" s="24"/>
      <c r="X25" s="24"/>
      <c r="Y25" s="24"/>
      <c r="Z25" s="24"/>
      <c r="AA25" s="24"/>
    </row>
    <row r="26">
      <c r="A26" s="25" t="s">
        <v>46</v>
      </c>
      <c r="B26" s="26" t="str">
        <f>IFERROR(__xludf.DUMMYFUNCTION("""COMPUTED_VALUE"""),"Dashboard")</f>
        <v>Dashboard</v>
      </c>
      <c r="C26" s="26" t="str">
        <f>IFERROR(__xludf.DUMMYFUNCTION("""COMPUTED_VALUE"""),"Selling properties &gt; Escrow Section")</f>
        <v>Selling properties &gt; Escrow Section</v>
      </c>
      <c r="D26" s="26" t="str">
        <f>IFERROR(__xludf.DUMMYFUNCTION("""COMPUTED_VALUE"""),"Issue with alignment.")</f>
        <v>Issue with alignment.</v>
      </c>
      <c r="E26" s="26" t="str">
        <f>IFERROR(__xludf.DUMMYFUNCTION("""COMPUTED_VALUE"""),"User need to be in web browser")</f>
        <v>User need to be in web browser</v>
      </c>
      <c r="F26" s="26" t="str">
        <f>IFERROR(__xludf.DUMMYFUNCTION("""COMPUTED_VALUE"""),"1. Open app link
2. Goto Dashboard
3. Click on ""List New Property""
4. After submit all , click on Escrow")</f>
        <v>1. Open app link
2. Goto Dashboard
3. Click on "List New Property"
4. After submit all , click on Escrow</v>
      </c>
      <c r="G26" s="26" t="str">
        <f>IFERROR(__xludf.DUMMYFUNCTION("""COMPUTED_VALUE"""),"N/A")</f>
        <v>N/A</v>
      </c>
      <c r="H26" s="26" t="str">
        <f>IFERROR(__xludf.DUMMYFUNCTION("""COMPUTED_VALUE"""),"The alignment and design should match the client's requirements.")</f>
        <v>The alignment and design should match the client's requirements.</v>
      </c>
      <c r="I26" s="26" t="str">
        <f>IFERROR(__xludf.DUMMYFUNCTION("""COMPUTED_VALUE"""),"The buttons are positioned on the right side, whereas in the web app, they are on the left, which does not align with the client's requirements.")</f>
        <v>The buttons are positioned on the right side, whereas in the web app, they are on the left, which does not align with the client's requirements.</v>
      </c>
      <c r="J26" s="26" t="str">
        <f>IFERROR(__xludf.DUMMYFUNCTION("""COMPUTED_VALUE"""),"Fail")</f>
        <v>Fail</v>
      </c>
      <c r="K26" s="26" t="str">
        <f>IFERROR(__xludf.DUMMYFUNCTION("""COMPUTED_VALUE"""),"Medium")</f>
        <v>Medium</v>
      </c>
      <c r="L26" s="27" t="str">
        <f>IFERROR(__xludf.DUMMYFUNCTION("""COMPUTED_VALUE"""),"https://jam.dev/c/46dba90e-620e-490c-81ad-0f2e0597e964")</f>
        <v>https://jam.dev/c/46dba90e-620e-490c-81ad-0f2e0597e964</v>
      </c>
      <c r="M26" s="26"/>
      <c r="N26" s="26" t="str">
        <f>IFERROR(__xludf.DUMMYFUNCTION("""COMPUTED_VALUE"""),"Fahad")</f>
        <v>Fahad</v>
      </c>
      <c r="O26" s="26"/>
      <c r="P26" s="26"/>
      <c r="Q26" s="24"/>
      <c r="R26" s="24"/>
      <c r="S26" s="24"/>
      <c r="T26" s="24"/>
      <c r="U26" s="24"/>
      <c r="V26" s="24"/>
      <c r="W26" s="24"/>
      <c r="X26" s="24"/>
      <c r="Y26" s="24"/>
      <c r="Z26" s="24"/>
      <c r="AA26" s="24"/>
    </row>
    <row r="27">
      <c r="A27" s="25" t="s">
        <v>47</v>
      </c>
      <c r="B27" s="26" t="str">
        <f>IFERROR(__xludf.DUMMYFUNCTION("""COMPUTED_VALUE"""),"Dashboard")</f>
        <v>Dashboard</v>
      </c>
      <c r="C27" s="26" t="str">
        <f>IFERROR(__xludf.DUMMYFUNCTION("""COMPUTED_VALUE"""),"Selling properties &gt; Escrow Section")</f>
        <v>Selling properties &gt; Escrow Section</v>
      </c>
      <c r="D27" s="26" t="str">
        <f>IFERROR(__xludf.DUMMYFUNCTION("""COMPUTED_VALUE"""),"Content missing")</f>
        <v>Content missing</v>
      </c>
      <c r="E27" s="26" t="str">
        <f>IFERROR(__xludf.DUMMYFUNCTION("""COMPUTED_VALUE"""),"User need to be in web browser")</f>
        <v>User need to be in web browser</v>
      </c>
      <c r="F27" s="26" t="str">
        <f>IFERROR(__xludf.DUMMYFUNCTION("""COMPUTED_VALUE"""),"1. Open app link
2. Goto Dashboard
3. Click on ""List New Property""
4. After submit all , click on Escrow")</f>
        <v>1. Open app link
2. Goto Dashboard
3. Click on "List New Property"
4. After submit all , click on Escrow</v>
      </c>
      <c r="G27" s="26" t="str">
        <f>IFERROR(__xludf.DUMMYFUNCTION("""COMPUTED_VALUE"""),"N/A")</f>
        <v>N/A</v>
      </c>
      <c r="H27" s="26" t="str">
        <f>IFERROR(__xludf.DUMMYFUNCTION("""COMPUTED_VALUE"""),"All content should be clearly visible in the web app, aligning with the client’s specifications.")</f>
        <v>All content should be clearly visible in the web app, aligning with the client’s specifications.</v>
      </c>
      <c r="I27" s="26" t="str">
        <f>IFERROR(__xludf.DUMMYFUNCTION("""COMPUTED_VALUE"""),"The social media share link and the ""Under Review"" task section are missing from the escrow section.")</f>
        <v>The social media share link and the "Under Review" task section are missing from the escrow section.</v>
      </c>
      <c r="J27" s="26" t="str">
        <f>IFERROR(__xludf.DUMMYFUNCTION("""COMPUTED_VALUE"""),"Fail")</f>
        <v>Fail</v>
      </c>
      <c r="K27" s="26" t="str">
        <f>IFERROR(__xludf.DUMMYFUNCTION("""COMPUTED_VALUE"""),"High")</f>
        <v>High</v>
      </c>
      <c r="L27" s="27" t="str">
        <f>IFERROR(__xludf.DUMMYFUNCTION("""COMPUTED_VALUE"""),"https://jam.dev/c/3f2d393f-1b64-4f5f-8e4d-cd05d66d77cd")</f>
        <v>https://jam.dev/c/3f2d393f-1b64-4f5f-8e4d-cd05d66d77cd</v>
      </c>
      <c r="M27" s="26"/>
      <c r="N27" s="26" t="str">
        <f>IFERROR(__xludf.DUMMYFUNCTION("""COMPUTED_VALUE"""),"Fahad")</f>
        <v>Fahad</v>
      </c>
      <c r="O27" s="26"/>
      <c r="P27" s="26"/>
      <c r="Q27" s="24"/>
      <c r="R27" s="24"/>
      <c r="S27" s="24"/>
      <c r="T27" s="24"/>
      <c r="U27" s="24"/>
      <c r="V27" s="24"/>
      <c r="W27" s="24"/>
      <c r="X27" s="24"/>
      <c r="Y27" s="24"/>
      <c r="Z27" s="24"/>
      <c r="AA27" s="24"/>
    </row>
    <row r="28">
      <c r="A28" s="25" t="s">
        <v>48</v>
      </c>
      <c r="B28" s="26" t="str">
        <f>IFERROR(__xludf.DUMMYFUNCTION("""COMPUTED_VALUE"""),"Dashboard")</f>
        <v>Dashboard</v>
      </c>
      <c r="C28" s="26" t="str">
        <f>IFERROR(__xludf.DUMMYFUNCTION("""COMPUTED_VALUE"""),"Selling properties &gt; Escrow Section")</f>
        <v>Selling properties &gt; Escrow Section</v>
      </c>
      <c r="D28" s="26" t="str">
        <f>IFERROR(__xludf.DUMMYFUNCTION("""COMPUTED_VALUE"""),"Used another company's logo.")</f>
        <v>Used another company's logo.</v>
      </c>
      <c r="E28" s="26" t="str">
        <f>IFERROR(__xludf.DUMMYFUNCTION("""COMPUTED_VALUE"""),"User need to be in web browser")</f>
        <v>User need to be in web browser</v>
      </c>
      <c r="F28" s="26" t="str">
        <f>IFERROR(__xludf.DUMMYFUNCTION("""COMPUTED_VALUE"""),"1. Open app link
2. Goto Dashboard
3. Click on ""List New Property""
4. After submit all , click on Escrow")</f>
        <v>1. Open app link
2. Goto Dashboard
3. Click on "List New Property"
4. After submit all , click on Escrow</v>
      </c>
      <c r="G28" s="26" t="str">
        <f>IFERROR(__xludf.DUMMYFUNCTION("""COMPUTED_VALUE"""),"N/A")</f>
        <v>N/A</v>
      </c>
      <c r="H28" s="26" t="str">
        <f>IFERROR(__xludf.DUMMYFUNCTION("""COMPUTED_VALUE"""),"An app cannot include or use the logo of another company.")</f>
        <v>An app cannot include or use the logo of another company.</v>
      </c>
      <c r="I28" s="26" t="str">
        <f>IFERROR(__xludf.DUMMYFUNCTION("""COMPUTED_VALUE"""),"Using the Yamaha company logo violates trademark law because it is illegal.")</f>
        <v>Using the Yamaha company logo violates trademark law because it is illegal.</v>
      </c>
      <c r="J28" s="26" t="str">
        <f>IFERROR(__xludf.DUMMYFUNCTION("""COMPUTED_VALUE"""),"Fail")</f>
        <v>Fail</v>
      </c>
      <c r="K28" s="26" t="str">
        <f>IFERROR(__xludf.DUMMYFUNCTION("""COMPUTED_VALUE"""),"High")</f>
        <v>High</v>
      </c>
      <c r="L28" s="27" t="str">
        <f>IFERROR(__xludf.DUMMYFUNCTION("""COMPUTED_VALUE"""),"https://jam.dev/c/d92c125a-0cb4-4b20-876a-548824f92b65")</f>
        <v>https://jam.dev/c/d92c125a-0cb4-4b20-876a-548824f92b65</v>
      </c>
      <c r="M28" s="26" t="str">
        <f>IFERROR(__xludf.DUMMYFUNCTION("""COMPUTED_VALUE"""),"Using another company's logo is prohibited due to trademark laws, branding reputation concerns, and the potential for legal consequences.")</f>
        <v>Using another company's logo is prohibited due to trademark laws, branding reputation concerns, and the potential for legal consequences.</v>
      </c>
      <c r="N28" s="26" t="str">
        <f>IFERROR(__xludf.DUMMYFUNCTION("""COMPUTED_VALUE"""),"Fahad")</f>
        <v>Fahad</v>
      </c>
      <c r="O28" s="26"/>
      <c r="P28" s="26"/>
      <c r="Q28" s="24"/>
      <c r="R28" s="24"/>
      <c r="S28" s="24"/>
      <c r="T28" s="24"/>
      <c r="U28" s="24"/>
      <c r="V28" s="24"/>
      <c r="W28" s="24"/>
      <c r="X28" s="24"/>
      <c r="Y28" s="24"/>
      <c r="Z28" s="24"/>
      <c r="AA28" s="24"/>
    </row>
    <row r="29">
      <c r="A29" s="25" t="s">
        <v>49</v>
      </c>
      <c r="B29" s="26" t="str">
        <f>IFERROR(__xludf.DUMMYFUNCTION("""COMPUTED_VALUE"""),"Dashboard")</f>
        <v>Dashboard</v>
      </c>
      <c r="C29" s="26" t="str">
        <f>IFERROR(__xludf.DUMMYFUNCTION("""COMPUTED_VALUE"""),"Selling properties &gt; Escrow Section")</f>
        <v>Selling properties &gt; Escrow Section</v>
      </c>
      <c r="D29" s="26" t="str">
        <f>IFERROR(__xludf.DUMMYFUNCTION("""COMPUTED_VALUE"""),"Different table designs ")</f>
        <v>Different table designs </v>
      </c>
      <c r="E29" s="26" t="str">
        <f>IFERROR(__xludf.DUMMYFUNCTION("""COMPUTED_VALUE"""),"User need to be in web browser")</f>
        <v>User need to be in web browser</v>
      </c>
      <c r="F29" s="26" t="str">
        <f>IFERROR(__xludf.DUMMYFUNCTION("""COMPUTED_VALUE"""),"1. Open app link
2. Goto Dashboard
3. Click on ""List New Property""
4. After submit all , click on Escrow")</f>
        <v>1. Open app link
2. Goto Dashboard
3. Click on "List New Property"
4. After submit all , click on Escrow</v>
      </c>
      <c r="G29" s="26" t="str">
        <f>IFERROR(__xludf.DUMMYFUNCTION("""COMPUTED_VALUE"""),"N/A")</f>
        <v>N/A</v>
      </c>
      <c r="H29" s="26" t="str">
        <f>IFERROR(__xludf.DUMMYFUNCTION("""COMPUTED_VALUE"""),"The alignment and design should match the client's requirements.")</f>
        <v>The alignment and design should match the client's requirements.</v>
      </c>
      <c r="I29" s="26" t="str">
        <f>IFERROR(__xludf.DUMMYFUNCTION("""COMPUTED_VALUE"""),"A different logo and design have appeared in the web app, which do not match the client's requirements.")</f>
        <v>A different logo and design have appeared in the web app, which do not match the client's requirements.</v>
      </c>
      <c r="J29" s="26" t="str">
        <f>IFERROR(__xludf.DUMMYFUNCTION("""COMPUTED_VALUE"""),"Fail")</f>
        <v>Fail</v>
      </c>
      <c r="K29" s="26" t="str">
        <f>IFERROR(__xludf.DUMMYFUNCTION("""COMPUTED_VALUE"""),"Medium")</f>
        <v>Medium</v>
      </c>
      <c r="L29" s="27" t="str">
        <f>IFERROR(__xludf.DUMMYFUNCTION("""COMPUTED_VALUE"""),"https://jam.dev/c/7ea2afec-91fd-4d82-a299-6bd0aa5b8410")</f>
        <v>https://jam.dev/c/7ea2afec-91fd-4d82-a299-6bd0aa5b8410</v>
      </c>
      <c r="M29" s="26"/>
      <c r="N29" s="26" t="str">
        <f>IFERROR(__xludf.DUMMYFUNCTION("""COMPUTED_VALUE"""),"Fahad")</f>
        <v>Fahad</v>
      </c>
      <c r="O29" s="26"/>
      <c r="P29" s="26"/>
      <c r="Q29" s="24"/>
      <c r="R29" s="24"/>
      <c r="S29" s="24"/>
      <c r="T29" s="24"/>
      <c r="U29" s="24"/>
      <c r="V29" s="24"/>
      <c r="W29" s="24"/>
      <c r="X29" s="24"/>
      <c r="Y29" s="24"/>
      <c r="Z29" s="24"/>
      <c r="AA29" s="24"/>
    </row>
    <row r="30">
      <c r="A30" s="25" t="s">
        <v>50</v>
      </c>
      <c r="B30" s="26" t="str">
        <f>IFERROR(__xludf.DUMMYFUNCTION("""COMPUTED_VALUE"""),"Dashboard")</f>
        <v>Dashboard</v>
      </c>
      <c r="C30" s="26" t="str">
        <f>IFERROR(__xludf.DUMMYFUNCTION("""COMPUTED_VALUE"""),"Selling properties &gt; Escrow Section")</f>
        <v>Selling properties &gt; Escrow Section</v>
      </c>
      <c r="D30" s="26" t="str">
        <f>IFERROR(__xludf.DUMMYFUNCTION("""COMPUTED_VALUE"""),"Page indicator style")</f>
        <v>Page indicator style</v>
      </c>
      <c r="E30" s="26" t="str">
        <f>IFERROR(__xludf.DUMMYFUNCTION("""COMPUTED_VALUE"""),"User need to be in web browser")</f>
        <v>User need to be in web browser</v>
      </c>
      <c r="F30" s="26" t="str">
        <f>IFERROR(__xludf.DUMMYFUNCTION("""COMPUTED_VALUE"""),"1. Open app link
2. Goto Dashboard
3. Click on ""List New Property""
4. After submit all , click on Escrow")</f>
        <v>1. Open app link
2. Goto Dashboard
3. Click on "List New Property"
4. After submit all , click on Escrow</v>
      </c>
      <c r="G30" s="26" t="str">
        <f>IFERROR(__xludf.DUMMYFUNCTION("""COMPUTED_VALUE"""),"N/A")</f>
        <v>N/A</v>
      </c>
      <c r="H30" s="26" t="str">
        <f>IFERROR(__xludf.DUMMYFUNCTION("""COMPUTED_VALUE"""),"The indicator should be filled once the page work is completed.")</f>
        <v>The indicator should be filled once the page work is completed.</v>
      </c>
      <c r="I30" s="26" t="str">
        <f>IFERROR(__xludf.DUMMYFUNCTION("""COMPUTED_VALUE"""),"The first page is completed, but when the user moves to the second page after finishing it, the first page indicator doesn't change color.")</f>
        <v>The first page is completed, but when the user moves to the second page after finishing it, the first page indicator doesn't change color.</v>
      </c>
      <c r="J30" s="26" t="str">
        <f>IFERROR(__xludf.DUMMYFUNCTION("""COMPUTED_VALUE"""),"Fail")</f>
        <v>Fail</v>
      </c>
      <c r="K30" s="26" t="str">
        <f>IFERROR(__xludf.DUMMYFUNCTION("""COMPUTED_VALUE"""),"Medium")</f>
        <v>Medium</v>
      </c>
      <c r="L30" s="27" t="str">
        <f>IFERROR(__xludf.DUMMYFUNCTION("""COMPUTED_VALUE"""),"https://jam.dev/c/ddb5fc0d-1ef3-4bed-b88c-3f57afce6465")</f>
        <v>https://jam.dev/c/ddb5fc0d-1ef3-4bed-b88c-3f57afce6465</v>
      </c>
      <c r="M30" s="26"/>
      <c r="N30" s="26" t="str">
        <f>IFERROR(__xludf.DUMMYFUNCTION("""COMPUTED_VALUE"""),"Fahad")</f>
        <v>Fahad</v>
      </c>
      <c r="O30" s="26"/>
      <c r="P30" s="26"/>
      <c r="Q30" s="24"/>
      <c r="R30" s="24"/>
      <c r="S30" s="24"/>
      <c r="T30" s="24"/>
      <c r="U30" s="24"/>
      <c r="V30" s="24"/>
      <c r="W30" s="24"/>
      <c r="X30" s="24"/>
      <c r="Y30" s="24"/>
      <c r="Z30" s="24"/>
      <c r="AA30" s="24"/>
    </row>
    <row r="31">
      <c r="A31" s="25" t="s">
        <v>51</v>
      </c>
      <c r="B31" s="26" t="str">
        <f>IFERROR(__xludf.DUMMYFUNCTION("""COMPUTED_VALUE"""),"Dashboard")</f>
        <v>Dashboard</v>
      </c>
      <c r="C31" s="26" t="str">
        <f>IFERROR(__xludf.DUMMYFUNCTION("""COMPUTED_VALUE"""),"Selling properties &gt; Escrow Section")</f>
        <v>Selling properties &gt; Escrow Section</v>
      </c>
      <c r="D31" s="26" t="str">
        <f>IFERROR(__xludf.DUMMYFUNCTION("""COMPUTED_VALUE"""),"Alignment issue")</f>
        <v>Alignment issue</v>
      </c>
      <c r="E31" s="26" t="str">
        <f>IFERROR(__xludf.DUMMYFUNCTION("""COMPUTED_VALUE"""),"User need to be in web browser")</f>
        <v>User need to be in web browser</v>
      </c>
      <c r="F31" s="26" t="str">
        <f>IFERROR(__xludf.DUMMYFUNCTION("""COMPUTED_VALUE"""),"1. Open app link
2. Goto Dashboard
3. Click on ""List New Property""
4. After submit all , click on Escrow")</f>
        <v>1. Open app link
2. Goto Dashboard
3. Click on "List New Property"
4. After submit all , click on Escrow</v>
      </c>
      <c r="G31" s="26" t="str">
        <f>IFERROR(__xludf.DUMMYFUNCTION("""COMPUTED_VALUE"""),"N/A")</f>
        <v>N/A</v>
      </c>
      <c r="H31" s="26" t="str">
        <f>IFERROR(__xludf.DUMMYFUNCTION("""COMPUTED_VALUE"""),"The alignment and design should match the client's requirements.")</f>
        <v>The alignment and design should match the client's requirements.</v>
      </c>
      <c r="I31" s="26" t="str">
        <f>IFERROR(__xludf.DUMMYFUNCTION("""COMPUTED_VALUE"""),"The buttons are positioned on the middle, whereas in the web app, they are on the right, which does not align with the client's requirements.")</f>
        <v>The buttons are positioned on the middle, whereas in the web app, they are on the right, which does not align with the client's requirements.</v>
      </c>
      <c r="J31" s="26" t="str">
        <f>IFERROR(__xludf.DUMMYFUNCTION("""COMPUTED_VALUE"""),"Fail")</f>
        <v>Fail</v>
      </c>
      <c r="K31" s="26" t="str">
        <f>IFERROR(__xludf.DUMMYFUNCTION("""COMPUTED_VALUE"""),"Medium")</f>
        <v>Medium</v>
      </c>
      <c r="L31" s="27" t="str">
        <f>IFERROR(__xludf.DUMMYFUNCTION("""COMPUTED_VALUE"""),"https://jam.dev/c/17b5501d-df8b-48b0-975b-283a416f7b77")</f>
        <v>https://jam.dev/c/17b5501d-df8b-48b0-975b-283a416f7b77</v>
      </c>
      <c r="M31" s="26"/>
      <c r="N31" s="26" t="str">
        <f>IFERROR(__xludf.DUMMYFUNCTION("""COMPUTED_VALUE"""),"Fahad")</f>
        <v>Fahad</v>
      </c>
      <c r="O31" s="26"/>
      <c r="P31" s="26"/>
      <c r="Q31" s="24"/>
      <c r="R31" s="24"/>
      <c r="S31" s="24"/>
      <c r="T31" s="24"/>
      <c r="U31" s="24"/>
      <c r="V31" s="24"/>
      <c r="W31" s="24"/>
      <c r="X31" s="24"/>
      <c r="Y31" s="24"/>
      <c r="Z31" s="24"/>
      <c r="AA31" s="24"/>
    </row>
    <row r="32">
      <c r="A32" s="25" t="s">
        <v>52</v>
      </c>
      <c r="B32" s="26" t="str">
        <f>IFERROR(__xludf.DUMMYFUNCTION("""COMPUTED_VALUE"""),"Dashboard")</f>
        <v>Dashboard</v>
      </c>
      <c r="C32" s="26" t="str">
        <f>IFERROR(__xludf.DUMMYFUNCTION("""COMPUTED_VALUE"""),"Selling properties &gt; Escrow Section")</f>
        <v>Selling properties &gt; Escrow Section</v>
      </c>
      <c r="D32" s="26" t="str">
        <f>IFERROR(__xludf.DUMMYFUNCTION("""COMPUTED_VALUE"""),"Alignment issue")</f>
        <v>Alignment issue</v>
      </c>
      <c r="E32" s="26" t="str">
        <f>IFERROR(__xludf.DUMMYFUNCTION("""COMPUTED_VALUE"""),"User need to be in web browser")</f>
        <v>User need to be in web browser</v>
      </c>
      <c r="F32" s="26" t="str">
        <f>IFERROR(__xludf.DUMMYFUNCTION("""COMPUTED_VALUE"""),"1. Open app link
2. Goto Dashboard
3. Click on ""List New Property""
4. After submit all , click on Escrow")</f>
        <v>1. Open app link
2. Goto Dashboard
3. Click on "List New Property"
4. After submit all , click on Escrow</v>
      </c>
      <c r="G32" s="26" t="str">
        <f>IFERROR(__xludf.DUMMYFUNCTION("""COMPUTED_VALUE"""),"N/A")</f>
        <v>N/A</v>
      </c>
      <c r="H32" s="26" t="str">
        <f>IFERROR(__xludf.DUMMYFUNCTION("""COMPUTED_VALUE"""),"The alignment and design should match the client's requirements.")</f>
        <v>The alignment and design should match the client's requirements.</v>
      </c>
      <c r="I32" s="26" t="str">
        <f>IFERROR(__xludf.DUMMYFUNCTION("""COMPUTED_VALUE"""),"After the title name, all the content appears slightly to the right under the title, but in the web app, all the content is aligned to the left side.")</f>
        <v>After the title name, all the content appears slightly to the right under the title, but in the web app, all the content is aligned to the left side.</v>
      </c>
      <c r="J32" s="26" t="str">
        <f>IFERROR(__xludf.DUMMYFUNCTION("""COMPUTED_VALUE"""),"Fail")</f>
        <v>Fail</v>
      </c>
      <c r="K32" s="26" t="str">
        <f>IFERROR(__xludf.DUMMYFUNCTION("""COMPUTED_VALUE"""),"Low")</f>
        <v>Low</v>
      </c>
      <c r="L32" s="27" t="str">
        <f>IFERROR(__xludf.DUMMYFUNCTION("""COMPUTED_VALUE"""),"https://jam.dev/c/e4ffb2b5-535c-4b6f-a777-390dfe44b9b1")</f>
        <v>https://jam.dev/c/e4ffb2b5-535c-4b6f-a777-390dfe44b9b1</v>
      </c>
      <c r="M32" s="26"/>
      <c r="N32" s="26" t="str">
        <f>IFERROR(__xludf.DUMMYFUNCTION("""COMPUTED_VALUE"""),"Fahad")</f>
        <v>Fahad</v>
      </c>
      <c r="O32" s="26"/>
      <c r="P32" s="26"/>
      <c r="Q32" s="24"/>
      <c r="R32" s="24"/>
      <c r="S32" s="24"/>
      <c r="T32" s="24"/>
      <c r="U32" s="24"/>
      <c r="V32" s="24"/>
      <c r="W32" s="24"/>
      <c r="X32" s="24"/>
      <c r="Y32" s="24"/>
      <c r="Z32" s="24"/>
      <c r="AA32" s="24"/>
    </row>
    <row r="33">
      <c r="A33" s="25" t="s">
        <v>53</v>
      </c>
      <c r="B33" s="26" t="str">
        <f>IFERROR(__xludf.DUMMYFUNCTION("""COMPUTED_VALUE"""),"Dashboard")</f>
        <v>Dashboard</v>
      </c>
      <c r="C33" s="26" t="str">
        <f>IFERROR(__xludf.DUMMYFUNCTION("""COMPUTED_VALUE"""),"Selling properties &gt; Escrow Section")</f>
        <v>Selling properties &gt; Escrow Section</v>
      </c>
      <c r="D33" s="26" t="str">
        <f>IFERROR(__xludf.DUMMYFUNCTION("""COMPUTED_VALUE"""),"Alignment problem and icon modification.")</f>
        <v>Alignment problem and icon modification.</v>
      </c>
      <c r="E33" s="26" t="str">
        <f>IFERROR(__xludf.DUMMYFUNCTION("""COMPUTED_VALUE"""),"User need to be in web browser")</f>
        <v>User need to be in web browser</v>
      </c>
      <c r="F33" s="26" t="str">
        <f>IFERROR(__xludf.DUMMYFUNCTION("""COMPUTED_VALUE"""),"1. Open app link
2. Goto Dashboard
3. Click on ""List New Property""
4. After submit all , click on Escrow")</f>
        <v>1. Open app link
2. Goto Dashboard
3. Click on "List New Property"
4. After submit all , click on Escrow</v>
      </c>
      <c r="G33" s="26" t="str">
        <f>IFERROR(__xludf.DUMMYFUNCTION("""COMPUTED_VALUE"""),"N/A")</f>
        <v>N/A</v>
      </c>
      <c r="H33" s="26" t="str">
        <f>IFERROR(__xludf.DUMMYFUNCTION("""COMPUTED_VALUE"""),"The alignment and design should match the client's requirements.")</f>
        <v>The alignment and design should match the client's requirements.</v>
      </c>
      <c r="I33" s="26" t="str">
        <f>IFERROR(__xludf.DUMMYFUNCTION("""COMPUTED_VALUE"""),"The uploaded logo does not match the client's requirements, and the buttons are positioned in the middle, whereas in the web app, they are aligned to the right.")</f>
        <v>The uploaded logo does not match the client's requirements, and the buttons are positioned in the middle, whereas in the web app, they are aligned to the right.</v>
      </c>
      <c r="J33" s="26" t="str">
        <f>IFERROR(__xludf.DUMMYFUNCTION("""COMPUTED_VALUE"""),"Fail")</f>
        <v>Fail</v>
      </c>
      <c r="K33" s="26" t="str">
        <f>IFERROR(__xludf.DUMMYFUNCTION("""COMPUTED_VALUE"""),"Medium")</f>
        <v>Medium</v>
      </c>
      <c r="L33" s="27" t="str">
        <f>IFERROR(__xludf.DUMMYFUNCTION("""COMPUTED_VALUE"""),"https://jam.dev/c/caeae463-fe56-45d4-ab63-5693f3683c70")</f>
        <v>https://jam.dev/c/caeae463-fe56-45d4-ab63-5693f3683c70</v>
      </c>
      <c r="M33" s="26"/>
      <c r="N33" s="26" t="str">
        <f>IFERROR(__xludf.DUMMYFUNCTION("""COMPUTED_VALUE"""),"Fahad")</f>
        <v>Fahad</v>
      </c>
      <c r="O33" s="26"/>
      <c r="P33" s="26"/>
      <c r="Q33" s="24"/>
      <c r="R33" s="24"/>
      <c r="S33" s="24"/>
      <c r="T33" s="24"/>
      <c r="U33" s="24"/>
      <c r="V33" s="24"/>
      <c r="W33" s="24"/>
      <c r="X33" s="24"/>
      <c r="Y33" s="24"/>
      <c r="Z33" s="24"/>
      <c r="AA33" s="24"/>
    </row>
    <row r="34">
      <c r="A34" s="25" t="s">
        <v>54</v>
      </c>
      <c r="B34" s="26" t="str">
        <f>IFERROR(__xludf.DUMMYFUNCTION("""COMPUTED_VALUE"""),"Dashboard")</f>
        <v>Dashboard</v>
      </c>
      <c r="C34" s="26" t="str">
        <f>IFERROR(__xludf.DUMMYFUNCTION("""COMPUTED_VALUE"""),"Selling properties &gt; Escrow Section")</f>
        <v>Selling properties &gt; Escrow Section</v>
      </c>
      <c r="D34" s="26" t="str">
        <f>IFERROR(__xludf.DUMMYFUNCTION("""COMPUTED_VALUE"""),"Icon missing")</f>
        <v>Icon missing</v>
      </c>
      <c r="E34" s="26" t="str">
        <f>IFERROR(__xludf.DUMMYFUNCTION("""COMPUTED_VALUE"""),"User need to be in web browser")</f>
        <v>User need to be in web browser</v>
      </c>
      <c r="F34" s="26" t="str">
        <f>IFERROR(__xludf.DUMMYFUNCTION("""COMPUTED_VALUE"""),"1. Open app link
2. Goto Dashboard
3. Click on ""List New Property""
4. After submit all , click on Escrow")</f>
        <v>1. Open app link
2. Goto Dashboard
3. Click on "List New Property"
4. After submit all , click on Escrow</v>
      </c>
      <c r="G34" s="26" t="str">
        <f>IFERROR(__xludf.DUMMYFUNCTION("""COMPUTED_VALUE"""),"N/A")</f>
        <v>N/A</v>
      </c>
      <c r="H34" s="26" t="str">
        <f>IFERROR(__xludf.DUMMYFUNCTION("""COMPUTED_VALUE"""),"The icon should match the client's requirements.")</f>
        <v>The icon should match the client's requirements.</v>
      </c>
      <c r="I34" s="26" t="str">
        <f>IFERROR(__xludf.DUMMYFUNCTION("""COMPUTED_VALUE"""),"Icons are not appearing in the payment section of the web app.")</f>
        <v>Icons are not appearing in the payment section of the web app.</v>
      </c>
      <c r="J34" s="26" t="str">
        <f>IFERROR(__xludf.DUMMYFUNCTION("""COMPUTED_VALUE"""),"Fail")</f>
        <v>Fail</v>
      </c>
      <c r="K34" s="26" t="str">
        <f>IFERROR(__xludf.DUMMYFUNCTION("""COMPUTED_VALUE"""),"Medium")</f>
        <v>Medium</v>
      </c>
      <c r="L34" s="27" t="str">
        <f>IFERROR(__xludf.DUMMYFUNCTION("""COMPUTED_VALUE"""),"https://jam.dev/c/daa909c9-9ca5-478a-b890-6cf7d5e974de")</f>
        <v>https://jam.dev/c/daa909c9-9ca5-478a-b890-6cf7d5e974de</v>
      </c>
      <c r="M34" s="26"/>
      <c r="N34" s="26" t="str">
        <f>IFERROR(__xludf.DUMMYFUNCTION("""COMPUTED_VALUE"""),"Fahad")</f>
        <v>Fahad</v>
      </c>
      <c r="O34" s="26"/>
      <c r="P34" s="26"/>
      <c r="Q34" s="24"/>
      <c r="R34" s="24"/>
      <c r="S34" s="24"/>
      <c r="T34" s="24"/>
      <c r="U34" s="24"/>
      <c r="V34" s="24"/>
      <c r="W34" s="24"/>
      <c r="X34" s="24"/>
      <c r="Y34" s="24"/>
      <c r="Z34" s="24"/>
      <c r="AA34" s="24"/>
    </row>
    <row r="35">
      <c r="A35" s="25" t="s">
        <v>55</v>
      </c>
      <c r="B35" s="26" t="str">
        <f>IFERROR(__xludf.DUMMYFUNCTION("""COMPUTED_VALUE"""),"Dashboard")</f>
        <v>Dashboard</v>
      </c>
      <c r="C35" s="26" t="str">
        <f>IFERROR(__xludf.DUMMYFUNCTION("""COMPUTED_VALUE"""),"Selling properties &gt; Escrow Section")</f>
        <v>Selling properties &gt; Escrow Section</v>
      </c>
      <c r="D35" s="26" t="str">
        <f>IFERROR(__xludf.DUMMYFUNCTION("""COMPUTED_VALUE"""),"Alignment problem and icon modification.")</f>
        <v>Alignment problem and icon modification.</v>
      </c>
      <c r="E35" s="26" t="str">
        <f>IFERROR(__xludf.DUMMYFUNCTION("""COMPUTED_VALUE"""),"User need to be in web browser")</f>
        <v>User need to be in web browser</v>
      </c>
      <c r="F35" s="26" t="str">
        <f>IFERROR(__xludf.DUMMYFUNCTION("""COMPUTED_VALUE"""),"1. Open app link
2. Goto Dashboard
3. Click on ""List New Property""
4. After submit all , click on Escrow")</f>
        <v>1. Open app link
2. Goto Dashboard
3. Click on "List New Property"
4. After submit all , click on Escrow</v>
      </c>
      <c r="G35" s="26" t="str">
        <f>IFERROR(__xludf.DUMMYFUNCTION("""COMPUTED_VALUE"""),"N/A")</f>
        <v>N/A</v>
      </c>
      <c r="H35" s="26" t="str">
        <f>IFERROR(__xludf.DUMMYFUNCTION("""COMPUTED_VALUE"""),"The alignment and design should match the client's requirements.")</f>
        <v>The alignment and design should match the client's requirements.</v>
      </c>
      <c r="I35" s="26" t="str">
        <f>IFERROR(__xludf.DUMMYFUNCTION("""COMPUTED_VALUE"""),"After the title name, all the content appears slightly to the right under the title, but in the web app, all the content is aligned to the left side.Also upload icon missing and buttons are in right side instead of middle")</f>
        <v>After the title name, all the content appears slightly to the right under the title, but in the web app, all the content is aligned to the left side.Also upload icon missing and buttons are in right side instead of middle</v>
      </c>
      <c r="J35" s="26" t="str">
        <f>IFERROR(__xludf.DUMMYFUNCTION("""COMPUTED_VALUE"""),"Fail")</f>
        <v>Fail</v>
      </c>
      <c r="K35" s="26" t="str">
        <f>IFERROR(__xludf.DUMMYFUNCTION("""COMPUTED_VALUE"""),"Medium")</f>
        <v>Medium</v>
      </c>
      <c r="L35" s="27" t="str">
        <f>IFERROR(__xludf.DUMMYFUNCTION("""COMPUTED_VALUE"""),"https://jam.dev/c/74635a10-b490-49a9-9390-8d7b1345069c")</f>
        <v>https://jam.dev/c/74635a10-b490-49a9-9390-8d7b1345069c</v>
      </c>
      <c r="M35" s="26"/>
      <c r="N35" s="26" t="str">
        <f>IFERROR(__xludf.DUMMYFUNCTION("""COMPUTED_VALUE"""),"Fahad")</f>
        <v>Fahad</v>
      </c>
      <c r="O35" s="26"/>
      <c r="P35" s="26"/>
      <c r="Q35" s="24"/>
      <c r="R35" s="24"/>
      <c r="S35" s="24"/>
      <c r="T35" s="24"/>
      <c r="U35" s="24"/>
      <c r="V35" s="24"/>
      <c r="W35" s="24"/>
      <c r="X35" s="24"/>
      <c r="Y35" s="24"/>
      <c r="Z35" s="24"/>
      <c r="AA35" s="24"/>
    </row>
    <row r="36">
      <c r="A36" s="25" t="s">
        <v>56</v>
      </c>
      <c r="B36" s="26" t="str">
        <f>IFERROR(__xludf.DUMMYFUNCTION("""COMPUTED_VALUE"""),"Dashboard")</f>
        <v>Dashboard</v>
      </c>
      <c r="C36" s="26" t="str">
        <f>IFERROR(__xludf.DUMMYFUNCTION("""COMPUTED_VALUE"""),"Selling properties &gt; Escrow Section")</f>
        <v>Selling properties &gt; Escrow Section</v>
      </c>
      <c r="D36" s="26" t="str">
        <f>IFERROR(__xludf.DUMMYFUNCTION("""COMPUTED_VALUE"""),"Page flow missing")</f>
        <v>Page flow missing</v>
      </c>
      <c r="E36" s="26" t="str">
        <f>IFERROR(__xludf.DUMMYFUNCTION("""COMPUTED_VALUE"""),"User need to be in web browser")</f>
        <v>User need to be in web browser</v>
      </c>
      <c r="F36" s="26" t="str">
        <f>IFERROR(__xludf.DUMMYFUNCTION("""COMPUTED_VALUE"""),"1. Open app link
2. Goto Dashboard
3. Click on ""List New Property""
4. After submit all , click on Escrow")</f>
        <v>1. Open app link
2. Goto Dashboard
3. Click on "List New Property"
4. After submit all , click on Escrow</v>
      </c>
      <c r="G36" s="26" t="str">
        <f>IFERROR(__xludf.DUMMYFUNCTION("""COMPUTED_VALUE"""),"N/A")</f>
        <v>N/A</v>
      </c>
      <c r="H36" s="26" t="str">
        <f>IFERROR(__xludf.DUMMYFUNCTION("""COMPUTED_VALUE"""),"After completing all the pages in the escrow section, the success prompt should appear.")</f>
        <v>After completing all the pages in the escrow section, the success prompt should appear.</v>
      </c>
      <c r="I36" s="26" t="str">
        <f>IFERROR(__xludf.DUMMYFUNCTION("""COMPUTED_VALUE"""),"The success page is missing after completing the escrow section.")</f>
        <v>The success page is missing after completing the escrow section.</v>
      </c>
      <c r="J36" s="26" t="str">
        <f>IFERROR(__xludf.DUMMYFUNCTION("""COMPUTED_VALUE"""),"Fail")</f>
        <v>Fail</v>
      </c>
      <c r="K36" s="26" t="str">
        <f>IFERROR(__xludf.DUMMYFUNCTION("""COMPUTED_VALUE"""),"High")</f>
        <v>High</v>
      </c>
      <c r="L36" s="27" t="str">
        <f>IFERROR(__xludf.DUMMYFUNCTION("""COMPUTED_VALUE"""),"https://jam.dev/c/7d8e408f-1b22-482e-9e85-f972e2d246a1")</f>
        <v>https://jam.dev/c/7d8e408f-1b22-482e-9e85-f972e2d246a1</v>
      </c>
      <c r="M36" s="26"/>
      <c r="N36" s="26" t="str">
        <f>IFERROR(__xludf.DUMMYFUNCTION("""COMPUTED_VALUE"""),"Fahad")</f>
        <v>Fahad</v>
      </c>
      <c r="O36" s="26"/>
      <c r="P36" s="26"/>
      <c r="Q36" s="24"/>
      <c r="R36" s="24"/>
      <c r="S36" s="24"/>
      <c r="T36" s="24"/>
      <c r="U36" s="24"/>
      <c r="V36" s="24"/>
      <c r="W36" s="24"/>
      <c r="X36" s="24"/>
      <c r="Y36" s="24"/>
      <c r="Z36" s="24"/>
      <c r="AA36" s="24"/>
    </row>
    <row r="37">
      <c r="A37" s="25" t="s">
        <v>57</v>
      </c>
      <c r="B37" s="26" t="str">
        <f>IFERROR(__xludf.DUMMYFUNCTION("""COMPUTED_VALUE"""),"Home for sell")</f>
        <v>Home for sell</v>
      </c>
      <c r="C37" s="26" t="str">
        <f>IFERROR(__xludf.DUMMYFUNCTION("""COMPUTED_VALUE"""),"Home for sell")</f>
        <v>Home for sell</v>
      </c>
      <c r="D37" s="26" t="str">
        <f>IFERROR(__xludf.DUMMYFUNCTION("""COMPUTED_VALUE"""),"Map failed to load")</f>
        <v>Map failed to load</v>
      </c>
      <c r="E37" s="26" t="str">
        <f>IFERROR(__xludf.DUMMYFUNCTION("""COMPUTED_VALUE"""),"User need to be in web browser")</f>
        <v>User need to be in web browser</v>
      </c>
      <c r="F37" s="26" t="str">
        <f>IFERROR(__xludf.DUMMYFUNCTION("""COMPUTED_VALUE"""),"1. Open app link
2. Click on Buy
3. Select ""Home for sell""")</f>
        <v>1. Open app link
2. Click on Buy
3. Select "Home for sell"</v>
      </c>
      <c r="G37" s="26" t="str">
        <f>IFERROR(__xludf.DUMMYFUNCTION("""COMPUTED_VALUE"""),"N/A")</f>
        <v>N/A</v>
      </c>
      <c r="H37" s="26" t="str">
        <f>IFERROR(__xludf.DUMMYFUNCTION("""COMPUTED_VALUE"""),"The map should be visible and seamlessly integrated with the displayed properties.")</f>
        <v>The map should be visible and seamlessly integrated with the displayed properties.</v>
      </c>
      <c r="I37" s="26" t="str">
        <f>IFERROR(__xludf.DUMMYFUNCTION("""COMPUTED_VALUE"""),"Unable to load the map in the map field.")</f>
        <v>Unable to load the map in the map field.</v>
      </c>
      <c r="J37" s="26" t="str">
        <f>IFERROR(__xludf.DUMMYFUNCTION("""COMPUTED_VALUE"""),"Fail")</f>
        <v>Fail</v>
      </c>
      <c r="K37" s="26" t="str">
        <f>IFERROR(__xludf.DUMMYFUNCTION("""COMPUTED_VALUE"""),"High")</f>
        <v>High</v>
      </c>
      <c r="L37" s="27" t="str">
        <f>IFERROR(__xludf.DUMMYFUNCTION("""COMPUTED_VALUE"""),"https://jam.dev/c/f0765ac7-7fc5-425d-8c25-7dd390a36dfc")</f>
        <v>https://jam.dev/c/f0765ac7-7fc5-425d-8c25-7dd390a36dfc</v>
      </c>
      <c r="M37" s="26"/>
      <c r="N37" s="26" t="str">
        <f>IFERROR(__xludf.DUMMYFUNCTION("""COMPUTED_VALUE"""),"Fahad")</f>
        <v>Fahad</v>
      </c>
      <c r="O37" s="26"/>
      <c r="P37" s="26"/>
      <c r="Q37" s="24"/>
      <c r="R37" s="24"/>
      <c r="S37" s="24"/>
      <c r="T37" s="24"/>
      <c r="U37" s="24"/>
      <c r="V37" s="24"/>
      <c r="W37" s="24"/>
      <c r="X37" s="24"/>
      <c r="Y37" s="24"/>
      <c r="Z37" s="24"/>
      <c r="AA37" s="24"/>
    </row>
    <row r="38">
      <c r="A38" s="25" t="s">
        <v>58</v>
      </c>
      <c r="B38" s="26" t="str">
        <f>IFERROR(__xludf.DUMMYFUNCTION("""COMPUTED_VALUE"""),"Home for sell")</f>
        <v>Home for sell</v>
      </c>
      <c r="C38" s="26" t="str">
        <f>IFERROR(__xludf.DUMMYFUNCTION("""COMPUTED_VALUE"""),"Home for sell")</f>
        <v>Home for sell</v>
      </c>
      <c r="D38" s="26" t="str">
        <f>IFERROR(__xludf.DUMMYFUNCTION("""COMPUTED_VALUE"""),"Content came out from border")</f>
        <v>Content came out from border</v>
      </c>
      <c r="E38" s="26" t="str">
        <f>IFERROR(__xludf.DUMMYFUNCTION("""COMPUTED_VALUE"""),"User need to be in web browser")</f>
        <v>User need to be in web browser</v>
      </c>
      <c r="F38" s="26" t="str">
        <f>IFERROR(__xludf.DUMMYFUNCTION("""COMPUTED_VALUE"""),"1. Open app link
2. Click on Buy
3. Select ""Home for sell""")</f>
        <v>1. Open app link
2. Click on Buy
3. Select "Home for sell"</v>
      </c>
      <c r="G38" s="26" t="str">
        <f>IFERROR(__xludf.DUMMYFUNCTION("""COMPUTED_VALUE"""),"N/A")</f>
        <v>N/A</v>
      </c>
      <c r="H38" s="26" t="str">
        <f>IFERROR(__xludf.DUMMYFUNCTION("""COMPUTED_VALUE"""),"Content should be in the window.")</f>
        <v>Content should be in the window.</v>
      </c>
      <c r="I38" s="26" t="str">
        <f>IFERROR(__xludf.DUMMYFUNCTION("""COMPUTED_VALUE"""),"The content spilled out from the window display overflow.")</f>
        <v>The content spilled out from the window display overflow.</v>
      </c>
      <c r="J38" s="26" t="str">
        <f>IFERROR(__xludf.DUMMYFUNCTION("""COMPUTED_VALUE"""),"Fail")</f>
        <v>Fail</v>
      </c>
      <c r="K38" s="26" t="str">
        <f>IFERROR(__xludf.DUMMYFUNCTION("""COMPUTED_VALUE"""),"Medium")</f>
        <v>Medium</v>
      </c>
      <c r="L38" s="27" t="str">
        <f>IFERROR(__xludf.DUMMYFUNCTION("""COMPUTED_VALUE"""),"https://jam.dev/c/e512f074-fd07-4040-a879-6939a1a4ed6a")</f>
        <v>https://jam.dev/c/e512f074-fd07-4040-a879-6939a1a4ed6a</v>
      </c>
      <c r="M38" s="26"/>
      <c r="N38" s="26" t="str">
        <f>IFERROR(__xludf.DUMMYFUNCTION("""COMPUTED_VALUE"""),"Fahad")</f>
        <v>Fahad</v>
      </c>
      <c r="O38" s="26"/>
      <c r="P38" s="26"/>
      <c r="Q38" s="24"/>
      <c r="R38" s="24"/>
      <c r="S38" s="24"/>
      <c r="T38" s="24"/>
      <c r="U38" s="24"/>
      <c r="V38" s="24"/>
      <c r="W38" s="24"/>
      <c r="X38" s="24"/>
      <c r="Y38" s="24"/>
      <c r="Z38" s="24"/>
      <c r="AA38" s="24"/>
    </row>
    <row r="39">
      <c r="A39" s="25" t="s">
        <v>59</v>
      </c>
      <c r="B39" s="26" t="str">
        <f>IFERROR(__xludf.DUMMYFUNCTION("""COMPUTED_VALUE"""),"Home for sell")</f>
        <v>Home for sell</v>
      </c>
      <c r="C39" s="26" t="str">
        <f>IFERROR(__xludf.DUMMYFUNCTION("""COMPUTED_VALUE"""),"Home for sell")</f>
        <v>Home for sell</v>
      </c>
      <c r="D39" s="26" t="str">
        <f>IFERROR(__xludf.DUMMYFUNCTION("""COMPUTED_VALUE"""),"Option missing in button")</f>
        <v>Option missing in button</v>
      </c>
      <c r="E39" s="26" t="str">
        <f>IFERROR(__xludf.DUMMYFUNCTION("""COMPUTED_VALUE"""),"User need to be in web browser")</f>
        <v>User need to be in web browser</v>
      </c>
      <c r="F39" s="26" t="str">
        <f>IFERROR(__xludf.DUMMYFUNCTION("""COMPUTED_VALUE"""),"1. Open app link
2. Click on Buy
3. Select ""Home for sell""")</f>
        <v>1. Open app link
2. Click on Buy
3. Select "Home for sell"</v>
      </c>
      <c r="G39" s="26" t="str">
        <f>IFERROR(__xludf.DUMMYFUNCTION("""COMPUTED_VALUE"""),"N/A")</f>
        <v>N/A</v>
      </c>
      <c r="H39" s="26" t="str">
        <f>IFERROR(__xludf.DUMMYFUNCTION("""COMPUTED_VALUE"""),"All content and options should be visible as per the client's requirements.")</f>
        <v>All content and options should be visible as per the client's requirements.</v>
      </c>
      <c r="I39" s="26" t="str">
        <f>IFERROR(__xludf.DUMMYFUNCTION("""COMPUTED_VALUE"""),"Missing option in home for sale.")</f>
        <v>Missing option in home for sale.</v>
      </c>
      <c r="J39" s="26" t="str">
        <f>IFERROR(__xludf.DUMMYFUNCTION("""COMPUTED_VALUE"""),"Fail")</f>
        <v>Fail</v>
      </c>
      <c r="K39" s="26" t="str">
        <f>IFERROR(__xludf.DUMMYFUNCTION("""COMPUTED_VALUE"""),"High")</f>
        <v>High</v>
      </c>
      <c r="L39" s="27" t="str">
        <f>IFERROR(__xludf.DUMMYFUNCTION("""COMPUTED_VALUE"""),"https://jam.dev/c/4eeb477c-6676-4a90-8329-4bf751cf9abc")</f>
        <v>https://jam.dev/c/4eeb477c-6676-4a90-8329-4bf751cf9abc</v>
      </c>
      <c r="M39" s="26"/>
      <c r="N39" s="26" t="str">
        <f>IFERROR(__xludf.DUMMYFUNCTION("""COMPUTED_VALUE"""),"Fahad")</f>
        <v>Fahad</v>
      </c>
      <c r="O39" s="26"/>
      <c r="P39" s="26"/>
      <c r="Q39" s="24"/>
      <c r="R39" s="24"/>
      <c r="S39" s="24"/>
      <c r="T39" s="24"/>
      <c r="U39" s="24"/>
      <c r="V39" s="24"/>
      <c r="W39" s="24"/>
      <c r="X39" s="24"/>
      <c r="Y39" s="24"/>
      <c r="Z39" s="24"/>
      <c r="AA39" s="24"/>
    </row>
    <row r="40">
      <c r="A40" s="25" t="s">
        <v>60</v>
      </c>
      <c r="B40" s="26" t="str">
        <f>IFERROR(__xludf.DUMMYFUNCTION("""COMPUTED_VALUE"""),"Home for sell")</f>
        <v>Home for sell</v>
      </c>
      <c r="C40" s="26" t="str">
        <f>IFERROR(__xludf.DUMMYFUNCTION("""COMPUTED_VALUE"""),"Home for sell")</f>
        <v>Home for sell</v>
      </c>
      <c r="D40" s="26" t="str">
        <f>IFERROR(__xludf.DUMMYFUNCTION("""COMPUTED_VALUE"""),"The page number is not displaying correctly.")</f>
        <v>The page number is not displaying correctly.</v>
      </c>
      <c r="E40" s="26" t="str">
        <f>IFERROR(__xludf.DUMMYFUNCTION("""COMPUTED_VALUE"""),"User need to be in web browser")</f>
        <v>User need to be in web browser</v>
      </c>
      <c r="F40" s="26" t="str">
        <f>IFERROR(__xludf.DUMMYFUNCTION("""COMPUTED_VALUE"""),"1. Open app link
2. Click on Buy
3. Select ""Home for sell""")</f>
        <v>1. Open app link
2. Click on Buy
3. Select "Home for sell"</v>
      </c>
      <c r="G40" s="26" t="str">
        <f>IFERROR(__xludf.DUMMYFUNCTION("""COMPUTED_VALUE"""),"N/A")</f>
        <v>N/A</v>
      </c>
      <c r="H40" s="26" t="str">
        <f>IFERROR(__xludf.DUMMYFUNCTION("""COMPUTED_VALUE"""),"Users should be able to see which page they are on.")</f>
        <v>Users should be able to see which page they are on.</v>
      </c>
      <c r="I40" s="26" t="str">
        <f>IFERROR(__xludf.DUMMYFUNCTION("""COMPUTED_VALUE"""),"The user is unable to view the page numbers from the 4th to the 11th page.")</f>
        <v>The user is unable to view the page numbers from the 4th to the 11th page.</v>
      </c>
      <c r="J40" s="26" t="str">
        <f>IFERROR(__xludf.DUMMYFUNCTION("""COMPUTED_VALUE"""),"Fail")</f>
        <v>Fail</v>
      </c>
      <c r="K40" s="26" t="str">
        <f>IFERROR(__xludf.DUMMYFUNCTION("""COMPUTED_VALUE"""),"Medium")</f>
        <v>Medium</v>
      </c>
      <c r="L40" s="27" t="str">
        <f>IFERROR(__xludf.DUMMYFUNCTION("""COMPUTED_VALUE"""),"https://jam.dev/c/29e6460d-aa3a-4283-be94-d0360e490fc6")</f>
        <v>https://jam.dev/c/29e6460d-aa3a-4283-be94-d0360e490fc6</v>
      </c>
      <c r="M40" s="26"/>
      <c r="N40" s="26" t="str">
        <f>IFERROR(__xludf.DUMMYFUNCTION("""COMPUTED_VALUE"""),"Fahad")</f>
        <v>Fahad</v>
      </c>
      <c r="O40" s="26"/>
      <c r="P40" s="26"/>
      <c r="Q40" s="24"/>
      <c r="R40" s="24"/>
      <c r="S40" s="24"/>
      <c r="T40" s="24"/>
      <c r="U40" s="24"/>
      <c r="V40" s="24"/>
      <c r="W40" s="24"/>
      <c r="X40" s="24"/>
      <c r="Y40" s="24"/>
      <c r="Z40" s="24"/>
      <c r="AA40" s="24"/>
    </row>
    <row r="41">
      <c r="A41" s="25" t="s">
        <v>61</v>
      </c>
      <c r="B41" s="26" t="str">
        <f>IFERROR(__xludf.DUMMYFUNCTION("""COMPUTED_VALUE"""),"Home for sell")</f>
        <v>Home for sell</v>
      </c>
      <c r="C41" s="26" t="str">
        <f>IFERROR(__xludf.DUMMYFUNCTION("""COMPUTED_VALUE"""),"Home for sell")</f>
        <v>Home for sell</v>
      </c>
      <c r="D41" s="26" t="str">
        <f>IFERROR(__xludf.DUMMYFUNCTION("""COMPUTED_VALUE"""),"The page number design is different from the one in Figma.")</f>
        <v>The page number design is different from the one in Figma.</v>
      </c>
      <c r="E41" s="26" t="str">
        <f>IFERROR(__xludf.DUMMYFUNCTION("""COMPUTED_VALUE"""),"User need to be in web browser")</f>
        <v>User need to be in web browser</v>
      </c>
      <c r="F41" s="26" t="str">
        <f>IFERROR(__xludf.DUMMYFUNCTION("""COMPUTED_VALUE"""),"1. Open app link
2. Click on Buy
3. Select ""Home for sell""")</f>
        <v>1. Open app link
2. Click on Buy
3. Select "Home for sell"</v>
      </c>
      <c r="G41" s="26" t="str">
        <f>IFERROR(__xludf.DUMMYFUNCTION("""COMPUTED_VALUE"""),"N/A")</f>
        <v>N/A</v>
      </c>
      <c r="H41" s="26" t="str">
        <f>IFERROR(__xludf.DUMMYFUNCTION("""COMPUTED_VALUE"""),"The alignment and design should match the client's requirements.")</f>
        <v>The alignment and design should match the client's requirements.</v>
      </c>
      <c r="I41" s="26" t="str">
        <f>IFERROR(__xludf.DUMMYFUNCTION("""COMPUTED_VALUE"""),"The page number layout does not match the client's requirements.")</f>
        <v>The page number layout does not match the client's requirements.</v>
      </c>
      <c r="J41" s="26" t="str">
        <f>IFERROR(__xludf.DUMMYFUNCTION("""COMPUTED_VALUE"""),"Fail")</f>
        <v>Fail</v>
      </c>
      <c r="K41" s="26" t="str">
        <f>IFERROR(__xludf.DUMMYFUNCTION("""COMPUTED_VALUE"""),"Low")</f>
        <v>Low</v>
      </c>
      <c r="L41" s="27" t="str">
        <f>IFERROR(__xludf.DUMMYFUNCTION("""COMPUTED_VALUE"""),"https://jam.dev/c/f2d03a2b-effa-4fee-8241-abdcc10a015b")</f>
        <v>https://jam.dev/c/f2d03a2b-effa-4fee-8241-abdcc10a015b</v>
      </c>
      <c r="M41" s="26"/>
      <c r="N41" s="26" t="str">
        <f>IFERROR(__xludf.DUMMYFUNCTION("""COMPUTED_VALUE"""),"Fahad")</f>
        <v>Fahad</v>
      </c>
      <c r="O41" s="26"/>
      <c r="P41" s="26"/>
      <c r="Q41" s="24"/>
      <c r="R41" s="24"/>
      <c r="S41" s="24"/>
      <c r="T41" s="24"/>
      <c r="U41" s="24"/>
      <c r="V41" s="24"/>
      <c r="W41" s="24"/>
      <c r="X41" s="24"/>
      <c r="Y41" s="24"/>
      <c r="Z41" s="24"/>
      <c r="AA41" s="24"/>
    </row>
    <row r="42">
      <c r="A42" s="25" t="s">
        <v>62</v>
      </c>
      <c r="B42" s="26" t="str">
        <f>IFERROR(__xludf.DUMMYFUNCTION("""COMPUTED_VALUE"""),"Home for sell")</f>
        <v>Home for sell</v>
      </c>
      <c r="C42" s="26" t="str">
        <f>IFERROR(__xludf.DUMMYFUNCTION("""COMPUTED_VALUE"""),"Home for sell")</f>
        <v>Home for sell</v>
      </c>
      <c r="D42" s="26" t="str">
        <f>IFERROR(__xludf.DUMMYFUNCTION("""COMPUTED_VALUE"""),"The sort option doesn't include any additional values.")</f>
        <v>The sort option doesn't include any additional values.</v>
      </c>
      <c r="E42" s="26" t="str">
        <f>IFERROR(__xludf.DUMMYFUNCTION("""COMPUTED_VALUE"""),"User need to be in web browser")</f>
        <v>User need to be in web browser</v>
      </c>
      <c r="F42" s="26" t="str">
        <f>IFERROR(__xludf.DUMMYFUNCTION("""COMPUTED_VALUE"""),"1. Open app link
2. Click on Buy
3. Select ""Home for sell""")</f>
        <v>1. Open app link
2. Click on Buy
3. Select "Home for sell"</v>
      </c>
      <c r="G42" s="26" t="str">
        <f>IFERROR(__xludf.DUMMYFUNCTION("""COMPUTED_VALUE"""),"N/A")</f>
        <v>N/A</v>
      </c>
      <c r="H42" s="26" t="str">
        <f>IFERROR(__xludf.DUMMYFUNCTION("""COMPUTED_VALUE"""),"The sort option should include additional values to organize effectively.")</f>
        <v>The sort option should include additional values to organize effectively.</v>
      </c>
      <c r="I42" s="26" t="str">
        <f>IFERROR(__xludf.DUMMYFUNCTION("""COMPUTED_VALUE"""),"The sort function is displaying only a single option.")</f>
        <v>The sort function is displaying only a single option.</v>
      </c>
      <c r="J42" s="26" t="str">
        <f>IFERROR(__xludf.DUMMYFUNCTION("""COMPUTED_VALUE"""),"Fail")</f>
        <v>Fail</v>
      </c>
      <c r="K42" s="26" t="str">
        <f>IFERROR(__xludf.DUMMYFUNCTION("""COMPUTED_VALUE"""),"Medium")</f>
        <v>Medium</v>
      </c>
      <c r="L42" s="27" t="str">
        <f>IFERROR(__xludf.DUMMYFUNCTION("""COMPUTED_VALUE"""),"https://jam.dev/c/09d6911b-64b9-42ce-b655-dba3c2ad5f48")</f>
        <v>https://jam.dev/c/09d6911b-64b9-42ce-b655-dba3c2ad5f48</v>
      </c>
      <c r="M42" s="26"/>
      <c r="N42" s="26" t="str">
        <f>IFERROR(__xludf.DUMMYFUNCTION("""COMPUTED_VALUE"""),"Fahad")</f>
        <v>Fahad</v>
      </c>
      <c r="O42" s="26"/>
      <c r="P42" s="26"/>
      <c r="Q42" s="24"/>
      <c r="R42" s="24"/>
      <c r="S42" s="24"/>
      <c r="T42" s="24"/>
      <c r="U42" s="24"/>
      <c r="V42" s="24"/>
      <c r="W42" s="24"/>
      <c r="X42" s="24"/>
      <c r="Y42" s="24"/>
      <c r="Z42" s="24"/>
      <c r="AA42" s="24"/>
    </row>
    <row r="43">
      <c r="A43" s="25" t="s">
        <v>63</v>
      </c>
      <c r="B43" s="26" t="str">
        <f>IFERROR(__xludf.DUMMYFUNCTION("""COMPUTED_VALUE"""),"Home for sell")</f>
        <v>Home for sell</v>
      </c>
      <c r="C43" s="26" t="str">
        <f>IFERROR(__xludf.DUMMYFUNCTION("""COMPUTED_VALUE"""),"Home for sell")</f>
        <v>Home for sell</v>
      </c>
      <c r="D43" s="26" t="str">
        <f>IFERROR(__xludf.DUMMYFUNCTION("""COMPUTED_VALUE"""),"UI design different ")</f>
        <v>UI design different </v>
      </c>
      <c r="E43" s="26" t="str">
        <f>IFERROR(__xludf.DUMMYFUNCTION("""COMPUTED_VALUE"""),"User need to be in web browser")</f>
        <v>User need to be in web browser</v>
      </c>
      <c r="F43" s="26" t="str">
        <f>IFERROR(__xludf.DUMMYFUNCTION("""COMPUTED_VALUE"""),"1. Open app link
2. Click on Buy
3. Select ""Home for sell""")</f>
        <v>1. Open app link
2. Click on Buy
3. Select "Home for sell"</v>
      </c>
      <c r="G43" s="26" t="str">
        <f>IFERROR(__xludf.DUMMYFUNCTION("""COMPUTED_VALUE"""),"N/A")</f>
        <v>N/A</v>
      </c>
      <c r="H43" s="26" t="str">
        <f>IFERROR(__xludf.DUMMYFUNCTION("""COMPUTED_VALUE"""),"The alignment and design should match the client's requirements.")</f>
        <v>The alignment and design should match the client's requirements.</v>
      </c>
      <c r="I43" s="26" t="str">
        <f>IFERROR(__xludf.DUMMYFUNCTION("""COMPUTED_VALUE"""),"A different user interface has been observed in the web application.")</f>
        <v>A different user interface has been observed in the web application.</v>
      </c>
      <c r="J43" s="26" t="str">
        <f>IFERROR(__xludf.DUMMYFUNCTION("""COMPUTED_VALUE"""),"Fail")</f>
        <v>Fail</v>
      </c>
      <c r="K43" s="26" t="str">
        <f>IFERROR(__xludf.DUMMYFUNCTION("""COMPUTED_VALUE"""),"Low")</f>
        <v>Low</v>
      </c>
      <c r="L43" s="27" t="str">
        <f>IFERROR(__xludf.DUMMYFUNCTION("""COMPUTED_VALUE"""),"https://jam.dev/c/502e5e02-8f2c-4c31-89dc-5c6b95347a08")</f>
        <v>https://jam.dev/c/502e5e02-8f2c-4c31-89dc-5c6b95347a08</v>
      </c>
      <c r="M43" s="26"/>
      <c r="N43" s="26" t="str">
        <f>IFERROR(__xludf.DUMMYFUNCTION("""COMPUTED_VALUE"""),"Fahad")</f>
        <v>Fahad</v>
      </c>
      <c r="O43" s="26"/>
      <c r="P43" s="26"/>
      <c r="Q43" s="24"/>
      <c r="R43" s="24"/>
      <c r="S43" s="24"/>
      <c r="T43" s="24"/>
      <c r="U43" s="24"/>
      <c r="V43" s="24"/>
      <c r="W43" s="24"/>
      <c r="X43" s="24"/>
      <c r="Y43" s="24"/>
      <c r="Z43" s="24"/>
      <c r="AA43" s="24"/>
    </row>
    <row r="44">
      <c r="A44" s="25" t="s">
        <v>64</v>
      </c>
      <c r="B44" s="26" t="str">
        <f>IFERROR(__xludf.DUMMYFUNCTION("""COMPUTED_VALUE"""),"Home for sell")</f>
        <v>Home for sell</v>
      </c>
      <c r="C44" s="26" t="str">
        <f>IFERROR(__xludf.DUMMYFUNCTION("""COMPUTED_VALUE"""),"Home for sell")</f>
        <v>Home for sell</v>
      </c>
      <c r="D44" s="26" t="str">
        <f>IFERROR(__xludf.DUMMYFUNCTION("""COMPUTED_VALUE"""),"The interface is congested.")</f>
        <v>The interface is congested.</v>
      </c>
      <c r="E44" s="26" t="str">
        <f>IFERROR(__xludf.DUMMYFUNCTION("""COMPUTED_VALUE"""),"User need to be in web browser")</f>
        <v>User need to be in web browser</v>
      </c>
      <c r="F44" s="26" t="str">
        <f>IFERROR(__xludf.DUMMYFUNCTION("""COMPUTED_VALUE"""),"1. Open app link
2. Click on Buy
3. Select ""Home for sell""")</f>
        <v>1. Open app link
2. Click on Buy
3. Select "Home for sell"</v>
      </c>
      <c r="G44" s="26" t="str">
        <f>IFERROR(__xludf.DUMMYFUNCTION("""COMPUTED_VALUE"""),"N/A")</f>
        <v>N/A</v>
      </c>
      <c r="H44" s="26" t="str">
        <f>IFERROR(__xludf.DUMMYFUNCTION("""COMPUTED_VALUE"""),"All the text and placeholders should be clearly visible to the client.")</f>
        <v>All the text and placeholders should be clearly visible to the client.</v>
      </c>
      <c r="I44" s="26" t="str">
        <f>IFERROR(__xludf.DUMMYFUNCTION("""COMPUTED_VALUE"""),"Some placeholder text is truncated, and the UI feels very crowded.")</f>
        <v>Some placeholder text is truncated, and the UI feels very crowded.</v>
      </c>
      <c r="J44" s="26" t="str">
        <f>IFERROR(__xludf.DUMMYFUNCTION("""COMPUTED_VALUE"""),"Fail")</f>
        <v>Fail</v>
      </c>
      <c r="K44" s="26" t="str">
        <f>IFERROR(__xludf.DUMMYFUNCTION("""COMPUTED_VALUE"""),"Medium")</f>
        <v>Medium</v>
      </c>
      <c r="L44" s="27" t="str">
        <f>IFERROR(__xludf.DUMMYFUNCTION("""COMPUTED_VALUE"""),"https://jam.dev/c/6b9b8151-ca0b-411c-a171-615f4c80ef37")</f>
        <v>https://jam.dev/c/6b9b8151-ca0b-411c-a171-615f4c80ef37</v>
      </c>
      <c r="M44" s="26"/>
      <c r="N44" s="26" t="str">
        <f>IFERROR(__xludf.DUMMYFUNCTION("""COMPUTED_VALUE"""),"Fahad")</f>
        <v>Fahad</v>
      </c>
      <c r="O44" s="26"/>
      <c r="P44" s="26"/>
      <c r="Q44" s="24"/>
      <c r="R44" s="24"/>
      <c r="S44" s="24"/>
      <c r="T44" s="24"/>
      <c r="U44" s="24"/>
      <c r="V44" s="24"/>
      <c r="W44" s="24"/>
      <c r="X44" s="24"/>
      <c r="Y44" s="24"/>
      <c r="Z44" s="24"/>
      <c r="AA44" s="24"/>
    </row>
    <row r="45">
      <c r="A45" s="25" t="s">
        <v>65</v>
      </c>
      <c r="B45" s="26" t="str">
        <f>IFERROR(__xludf.DUMMYFUNCTION("""COMPUTED_VALUE"""),"Home for sell")</f>
        <v>Home for sell</v>
      </c>
      <c r="C45" s="26" t="str">
        <f>IFERROR(__xludf.DUMMYFUNCTION("""COMPUTED_VALUE"""),"Property Details")</f>
        <v>Property Details</v>
      </c>
      <c r="D45" s="26" t="str">
        <f>IFERROR(__xludf.DUMMYFUNCTION("""COMPUTED_VALUE"""),"Issue with the alignment of property images.")</f>
        <v>Issue with the alignment of property images.</v>
      </c>
      <c r="E45" s="26" t="str">
        <f>IFERROR(__xludf.DUMMYFUNCTION("""COMPUTED_VALUE"""),"User need to be in web browser")</f>
        <v>User need to be in web browser</v>
      </c>
      <c r="F45" s="26" t="str">
        <f>IFERROR(__xludf.DUMMYFUNCTION("""COMPUTED_VALUE"""),"1. Open app link
2. Click on Buy
3. Select ""Home for sell""
4. Click on property banner")</f>
        <v>1. Open app link
2. Click on Buy
3. Select "Home for sell"
4. Click on property banner</v>
      </c>
      <c r="G45" s="26" t="str">
        <f>IFERROR(__xludf.DUMMYFUNCTION("""COMPUTED_VALUE"""),"N/A")</f>
        <v>N/A</v>
      </c>
      <c r="H45" s="26" t="str">
        <f>IFERROR(__xludf.DUMMYFUNCTION("""COMPUTED_VALUE"""),"The alignment and design should match the client's requirements.")</f>
        <v>The alignment and design should match the client's requirements.</v>
      </c>
      <c r="I45" s="26" t="str">
        <f>IFERROR(__xludf.DUMMYFUNCTION("""COMPUTED_VALUE"""),"A specific area should be covered with images, and its shape will be a rectangle.")</f>
        <v>A specific area should be covered with images, and its shape will be a rectangle.</v>
      </c>
      <c r="J45" s="26" t="str">
        <f>IFERROR(__xludf.DUMMYFUNCTION("""COMPUTED_VALUE"""),"Fail")</f>
        <v>Fail</v>
      </c>
      <c r="K45" s="26" t="str">
        <f>IFERROR(__xludf.DUMMYFUNCTION("""COMPUTED_VALUE"""),"Low")</f>
        <v>Low</v>
      </c>
      <c r="L45" s="27" t="str">
        <f>IFERROR(__xludf.DUMMYFUNCTION("""COMPUTED_VALUE"""),"https://jam.dev/c/03e888ae-fc61-432f-bc75-716696dbbe31")</f>
        <v>https://jam.dev/c/03e888ae-fc61-432f-bc75-716696dbbe31</v>
      </c>
      <c r="M45" s="26"/>
      <c r="N45" s="26" t="str">
        <f>IFERROR(__xludf.DUMMYFUNCTION("""COMPUTED_VALUE"""),"Fahad")</f>
        <v>Fahad</v>
      </c>
      <c r="O45" s="26"/>
      <c r="P45" s="26"/>
      <c r="Q45" s="24"/>
      <c r="R45" s="24"/>
      <c r="S45" s="24"/>
      <c r="T45" s="24"/>
      <c r="U45" s="24"/>
      <c r="V45" s="24"/>
      <c r="W45" s="24"/>
      <c r="X45" s="24"/>
      <c r="Y45" s="24"/>
      <c r="Z45" s="24"/>
      <c r="AA45" s="24"/>
    </row>
    <row r="46">
      <c r="A46" s="25" t="s">
        <v>66</v>
      </c>
      <c r="B46" s="26" t="str">
        <f>IFERROR(__xludf.DUMMYFUNCTION("""COMPUTED_VALUE"""),"Home for sell")</f>
        <v>Home for sell</v>
      </c>
      <c r="C46" s="26" t="str">
        <f>IFERROR(__xludf.DUMMYFUNCTION("""COMPUTED_VALUE"""),"Property Details")</f>
        <v>Property Details</v>
      </c>
      <c r="D46" s="26" t="str">
        <f>IFERROR(__xludf.DUMMYFUNCTION("""COMPUTED_VALUE"""),"There is an issue with the alignment of the description.")</f>
        <v>There is an issue with the alignment of the description.</v>
      </c>
      <c r="E46" s="26" t="str">
        <f>IFERROR(__xludf.DUMMYFUNCTION("""COMPUTED_VALUE"""),"User need to be in web browser")</f>
        <v>User need to be in web browser</v>
      </c>
      <c r="F46" s="26" t="str">
        <f>IFERROR(__xludf.DUMMYFUNCTION("""COMPUTED_VALUE"""),"1. Open app link
2. Click on Buy
3. Select ""Home for sell""
4. Click on property banner")</f>
        <v>1. Open app link
2. Click on Buy
3. Select "Home for sell"
4. Click on property banner</v>
      </c>
      <c r="G46" s="26" t="str">
        <f>IFERROR(__xludf.DUMMYFUNCTION("""COMPUTED_VALUE"""),"N/A")</f>
        <v>N/A</v>
      </c>
      <c r="H46" s="26" t="str">
        <f>IFERROR(__xludf.DUMMYFUNCTION("""COMPUTED_VALUE"""),"Blank spaces should not be in the middle of content.")</f>
        <v>Blank spaces should not be in the middle of content.</v>
      </c>
      <c r="I46" s="26" t="str">
        <f>IFERROR(__xludf.DUMMYFUNCTION("""COMPUTED_VALUE"""),"Empty space has been observed in the description section.")</f>
        <v>Empty space has been observed in the description section.</v>
      </c>
      <c r="J46" s="26" t="str">
        <f>IFERROR(__xludf.DUMMYFUNCTION("""COMPUTED_VALUE"""),"Fail")</f>
        <v>Fail</v>
      </c>
      <c r="K46" s="26" t="str">
        <f>IFERROR(__xludf.DUMMYFUNCTION("""COMPUTED_VALUE"""),"Low")</f>
        <v>Low</v>
      </c>
      <c r="L46" s="27" t="str">
        <f>IFERROR(__xludf.DUMMYFUNCTION("""COMPUTED_VALUE"""),"https://jam.dev/c/1bc4bb1c-2e6c-4905-a1d8-c16999feb7e1")</f>
        <v>https://jam.dev/c/1bc4bb1c-2e6c-4905-a1d8-c16999feb7e1</v>
      </c>
      <c r="M46" s="26" t="str">
        <f>IFERROR(__xludf.DUMMYFUNCTION("""COMPUTED_VALUE"""),"Align it to the center or increase the font size to eliminate the empty space between sections.")</f>
        <v>Align it to the center or increase the font size to eliminate the empty space between sections.</v>
      </c>
      <c r="N46" s="26" t="str">
        <f>IFERROR(__xludf.DUMMYFUNCTION("""COMPUTED_VALUE"""),"Fahad")</f>
        <v>Fahad</v>
      </c>
      <c r="O46" s="26"/>
      <c r="P46" s="26"/>
      <c r="Q46" s="24"/>
      <c r="R46" s="24"/>
      <c r="S46" s="24"/>
      <c r="T46" s="24"/>
      <c r="U46" s="24"/>
      <c r="V46" s="24"/>
      <c r="W46" s="24"/>
      <c r="X46" s="24"/>
      <c r="Y46" s="24"/>
      <c r="Z46" s="24"/>
      <c r="AA46" s="24"/>
    </row>
    <row r="47">
      <c r="A47" s="25" t="s">
        <v>67</v>
      </c>
      <c r="B47" s="26" t="str">
        <f>IFERROR(__xludf.DUMMYFUNCTION("""COMPUTED_VALUE"""),"Home for sell")</f>
        <v>Home for sell</v>
      </c>
      <c r="C47" s="26" t="str">
        <f>IFERROR(__xludf.DUMMYFUNCTION("""COMPUTED_VALUE"""),"Property Details")</f>
        <v>Property Details</v>
      </c>
      <c r="D47" s="26" t="str">
        <f>IFERROR(__xludf.DUMMYFUNCTION("""COMPUTED_VALUE"""),"The context is not clearly visible in dark mode.")</f>
        <v>The context is not clearly visible in dark mode.</v>
      </c>
      <c r="E47" s="26" t="str">
        <f>IFERROR(__xludf.DUMMYFUNCTION("""COMPUTED_VALUE"""),"User need to be in web browser and in night mode")</f>
        <v>User need to be in web browser and in night mode</v>
      </c>
      <c r="F47" s="26" t="str">
        <f>IFERROR(__xludf.DUMMYFUNCTION("""COMPUTED_VALUE"""),"1. Open app link
2. Click on Buy
3. Select ""Home for sell""
4. Click on property banner")</f>
        <v>1. Open app link
2. Click on Buy
3. Select "Home for sell"
4. Click on property banner</v>
      </c>
      <c r="G47" s="26" t="str">
        <f>IFERROR(__xludf.DUMMYFUNCTION("""COMPUTED_VALUE"""),"N/A")</f>
        <v>N/A</v>
      </c>
      <c r="H47" s="26" t="str">
        <f>IFERROR(__xludf.DUMMYFUNCTION("""COMPUTED_VALUE"""),"Images and content should be properly displayed in various states.")</f>
        <v>Images and content should be properly displayed in various states.</v>
      </c>
      <c r="I47" s="26" t="str">
        <f>IFERROR(__xludf.DUMMYFUNCTION("""COMPUTED_VALUE"""),"When the user is in night mode, the content is not clearly visible.")</f>
        <v>When the user is in night mode, the content is not clearly visible.</v>
      </c>
      <c r="J47" s="26" t="str">
        <f>IFERROR(__xludf.DUMMYFUNCTION("""COMPUTED_VALUE"""),"Fail")</f>
        <v>Fail</v>
      </c>
      <c r="K47" s="26" t="str">
        <f>IFERROR(__xludf.DUMMYFUNCTION("""COMPUTED_VALUE"""),"Medium")</f>
        <v>Medium</v>
      </c>
      <c r="L47" s="27" t="str">
        <f>IFERROR(__xludf.DUMMYFUNCTION("""COMPUTED_VALUE"""),"https://jam.dev/c/53691908-c11d-4738-a081-ddbcd1f9dd59")</f>
        <v>https://jam.dev/c/53691908-c11d-4738-a081-ddbcd1f9dd59</v>
      </c>
      <c r="M47" s="26"/>
      <c r="N47" s="26" t="str">
        <f>IFERROR(__xludf.DUMMYFUNCTION("""COMPUTED_VALUE"""),"Fahad")</f>
        <v>Fahad</v>
      </c>
      <c r="O47" s="26"/>
      <c r="P47" s="26"/>
      <c r="Q47" s="24"/>
      <c r="R47" s="24"/>
      <c r="S47" s="24"/>
      <c r="T47" s="24"/>
      <c r="U47" s="24"/>
      <c r="V47" s="24"/>
      <c r="W47" s="24"/>
      <c r="X47" s="24"/>
      <c r="Y47" s="24"/>
      <c r="Z47" s="24"/>
      <c r="AA47" s="24"/>
    </row>
    <row r="48">
      <c r="A48" s="25" t="s">
        <v>68</v>
      </c>
      <c r="B48" s="26" t="str">
        <f>IFERROR(__xludf.DUMMYFUNCTION("""COMPUTED_VALUE"""),"Home for sell")</f>
        <v>Home for sell</v>
      </c>
      <c r="C48" s="26" t="str">
        <f>IFERROR(__xludf.DUMMYFUNCTION("""COMPUTED_VALUE"""),"Property Details")</f>
        <v>Property Details</v>
      </c>
      <c r="D48" s="26" t="str">
        <f>IFERROR(__xludf.DUMMYFUNCTION("""COMPUTED_VALUE"""),"Animations and effects are not visible in night mode.")</f>
        <v>Animations and effects are not visible in night mode.</v>
      </c>
      <c r="E48" s="26" t="str">
        <f>IFERROR(__xludf.DUMMYFUNCTION("""COMPUTED_VALUE"""),"User need to be in web browser and in night mode")</f>
        <v>User need to be in web browser and in night mode</v>
      </c>
      <c r="F48" s="26" t="str">
        <f>IFERROR(__xludf.DUMMYFUNCTION("""COMPUTED_VALUE"""),"1. Open app link
2. Click on Buy
3. Select ""Home for sell""
4. Click on property banner")</f>
        <v>1. Open app link
2. Click on Buy
3. Select "Home for sell"
4. Click on property banner</v>
      </c>
      <c r="G48" s="26" t="str">
        <f>IFERROR(__xludf.DUMMYFUNCTION("""COMPUTED_VALUE"""),"N/A")</f>
        <v>N/A</v>
      </c>
      <c r="H48" s="26" t="str">
        <f>IFERROR(__xludf.DUMMYFUNCTION("""COMPUTED_VALUE"""),"Animations and effects should remain the same when users browse them in different states.")</f>
        <v>Animations and effects should remain the same when users browse them in different states.</v>
      </c>
      <c r="I48" s="26" t="str">
        <f>IFERROR(__xludf.DUMMYFUNCTION("""COMPUTED_VALUE"""),"When the user switches to night mode, the animations and effects in the web app are not displayed.")</f>
        <v>When the user switches to night mode, the animations and effects in the web app are not displayed.</v>
      </c>
      <c r="J48" s="26" t="str">
        <f>IFERROR(__xludf.DUMMYFUNCTION("""COMPUTED_VALUE"""),"Fail")</f>
        <v>Fail</v>
      </c>
      <c r="K48" s="26" t="str">
        <f>IFERROR(__xludf.DUMMYFUNCTION("""COMPUTED_VALUE"""),"Medium")</f>
        <v>Medium</v>
      </c>
      <c r="L48" s="27" t="str">
        <f>IFERROR(__xludf.DUMMYFUNCTION("""COMPUTED_VALUE"""),"https://jam.dev/c/940c3602-e614-4cfb-826f-38b1a67a8574")</f>
        <v>https://jam.dev/c/940c3602-e614-4cfb-826f-38b1a67a8574</v>
      </c>
      <c r="M48" s="26"/>
      <c r="N48" s="26" t="str">
        <f>IFERROR(__xludf.DUMMYFUNCTION("""COMPUTED_VALUE"""),"Fahad")</f>
        <v>Fahad</v>
      </c>
      <c r="O48" s="26"/>
      <c r="P48" s="26"/>
      <c r="Q48" s="24"/>
      <c r="R48" s="24"/>
      <c r="S48" s="24"/>
      <c r="T48" s="24"/>
      <c r="U48" s="24"/>
      <c r="V48" s="24"/>
      <c r="W48" s="24"/>
      <c r="X48" s="24"/>
      <c r="Y48" s="24"/>
      <c r="Z48" s="24"/>
      <c r="AA48" s="24"/>
    </row>
    <row r="49">
      <c r="A49" s="25" t="s">
        <v>69</v>
      </c>
      <c r="B49" s="26" t="str">
        <f>IFERROR(__xludf.DUMMYFUNCTION("""COMPUTED_VALUE"""),"Landing Page")</f>
        <v>Landing Page</v>
      </c>
      <c r="C49" s="26" t="str">
        <f>IFERROR(__xludf.DUMMYFUNCTION("""COMPUTED_VALUE"""),"Home")</f>
        <v>Home</v>
      </c>
      <c r="D49" s="26" t="str">
        <f>IFERROR(__xludf.DUMMYFUNCTION("""COMPUTED_VALUE"""),"Too much free space")</f>
        <v>Too much free space</v>
      </c>
      <c r="E49" s="26" t="str">
        <f>IFERROR(__xludf.DUMMYFUNCTION("""COMPUTED_VALUE"""),"User need to be in web browser")</f>
        <v>User need to be in web browser</v>
      </c>
      <c r="F49" s="26" t="str">
        <f>IFERROR(__xludf.DUMMYFUNCTION("""COMPUTED_VALUE"""),"1. Open app link")</f>
        <v>1. Open app link</v>
      </c>
      <c r="G49" s="26" t="str">
        <f>IFERROR(__xludf.DUMMYFUNCTION("""COMPUTED_VALUE"""),"N/A")</f>
        <v>N/A</v>
      </c>
      <c r="H49" s="26" t="str">
        <f>IFERROR(__xludf.DUMMYFUNCTION("""COMPUTED_VALUE"""),"web page should be content full")</f>
        <v>web page should be content full</v>
      </c>
      <c r="I49" s="26" t="str">
        <f>IFERROR(__xludf.DUMMYFUNCTION("""COMPUTED_VALUE"""),"A lot of free space has been seen, feels like this page is content less ")</f>
        <v>A lot of free space has been seen, feels like this page is content less </v>
      </c>
      <c r="J49" s="26" t="str">
        <f>IFERROR(__xludf.DUMMYFUNCTION("""COMPUTED_VALUE"""),"Fail")</f>
        <v>Fail</v>
      </c>
      <c r="K49" s="26" t="str">
        <f>IFERROR(__xludf.DUMMYFUNCTION("""COMPUTED_VALUE"""),"Low")</f>
        <v>Low</v>
      </c>
      <c r="L49" s="27" t="str">
        <f>IFERROR(__xludf.DUMMYFUNCTION("""COMPUTED_VALUE"""),"https://jam.dev/c/28ab7a62-0c52-40a1-9075-4a5ba2972a6e")</f>
        <v>https://jam.dev/c/28ab7a62-0c52-40a1-9075-4a5ba2972a6e</v>
      </c>
      <c r="M49" s="26" t="str">
        <f>IFERROR(__xludf.DUMMYFUNCTION("""COMPUTED_VALUE"""),"Make content font bigger to hide more free space")</f>
        <v>Make content font bigger to hide more free space</v>
      </c>
      <c r="N49" s="26" t="str">
        <f>IFERROR(__xludf.DUMMYFUNCTION("""COMPUTED_VALUE"""),"Fahad")</f>
        <v>Fahad</v>
      </c>
      <c r="O49" s="26"/>
      <c r="P49" s="26"/>
      <c r="Q49" s="24"/>
      <c r="R49" s="24"/>
      <c r="S49" s="24"/>
      <c r="T49" s="24"/>
      <c r="U49" s="24"/>
      <c r="V49" s="24"/>
      <c r="W49" s="24"/>
      <c r="X49" s="24"/>
      <c r="Y49" s="24"/>
      <c r="Z49" s="24"/>
      <c r="AA49" s="24"/>
    </row>
    <row r="50">
      <c r="A50" s="25" t="s">
        <v>70</v>
      </c>
      <c r="B50" s="26" t="str">
        <f>IFERROR(__xludf.DUMMYFUNCTION("""COMPUTED_VALUE"""),"Landing Page")</f>
        <v>Landing Page</v>
      </c>
      <c r="C50" s="26" t="str">
        <f>IFERROR(__xludf.DUMMYFUNCTION("""COMPUTED_VALUE"""),"Home")</f>
        <v>Home</v>
      </c>
      <c r="D50" s="26" t="str">
        <f>IFERROR(__xludf.DUMMYFUNCTION("""COMPUTED_VALUE"""),"Search bar top border ")</f>
        <v>Search bar top border </v>
      </c>
      <c r="E50" s="26" t="str">
        <f>IFERROR(__xludf.DUMMYFUNCTION("""COMPUTED_VALUE"""),"User need to be in web browser")</f>
        <v>User need to be in web browser</v>
      </c>
      <c r="F50" s="26" t="str">
        <f>IFERROR(__xludf.DUMMYFUNCTION("""COMPUTED_VALUE"""),"1. Open app link")</f>
        <v>1. Open app link</v>
      </c>
      <c r="G50" s="26" t="str">
        <f>IFERROR(__xludf.DUMMYFUNCTION("""COMPUTED_VALUE"""),"N/A")</f>
        <v>N/A</v>
      </c>
      <c r="H50" s="26" t="str">
        <f>IFERROR(__xludf.DUMMYFUNCTION("""COMPUTED_VALUE"""),"Search bar border all should be slightly visible")</f>
        <v>Search bar border all should be slightly visible</v>
      </c>
      <c r="I50" s="26" t="str">
        <f>IFERROR(__xludf.DUMMYFUNCTION("""COMPUTED_VALUE"""),"Top bar is not visible")</f>
        <v>Top bar is not visible</v>
      </c>
      <c r="J50" s="26" t="str">
        <f>IFERROR(__xludf.DUMMYFUNCTION("""COMPUTED_VALUE"""),"Fail")</f>
        <v>Fail</v>
      </c>
      <c r="K50" s="26" t="str">
        <f>IFERROR(__xludf.DUMMYFUNCTION("""COMPUTED_VALUE"""),"Low")</f>
        <v>Low</v>
      </c>
      <c r="L50" s="27" t="str">
        <f>IFERROR(__xludf.DUMMYFUNCTION("""COMPUTED_VALUE"""),"https://jam.dev/c/831f63f2-91a3-4efb-87a6-cd1058550a8d")</f>
        <v>https://jam.dev/c/831f63f2-91a3-4efb-87a6-cd1058550a8d</v>
      </c>
      <c r="M50" s="26"/>
      <c r="N50" s="26" t="str">
        <f>IFERROR(__xludf.DUMMYFUNCTION("""COMPUTED_VALUE"""),"Fahad")</f>
        <v>Fahad</v>
      </c>
      <c r="O50" s="26"/>
      <c r="P50" s="26"/>
      <c r="Q50" s="24"/>
      <c r="R50" s="24"/>
      <c r="S50" s="24"/>
      <c r="T50" s="24"/>
      <c r="U50" s="24"/>
      <c r="V50" s="24"/>
      <c r="W50" s="24"/>
      <c r="X50" s="24"/>
      <c r="Y50" s="24"/>
      <c r="Z50" s="24"/>
      <c r="AA50" s="24"/>
    </row>
    <row r="51">
      <c r="A51" s="25" t="s">
        <v>71</v>
      </c>
      <c r="B51" s="26" t="str">
        <f>IFERROR(__xludf.DUMMYFUNCTION("""COMPUTED_VALUE"""),"Landing Page")</f>
        <v>Landing Page</v>
      </c>
      <c r="C51" s="26" t="str">
        <f>IFERROR(__xludf.DUMMYFUNCTION("""COMPUTED_VALUE"""),"Home")</f>
        <v>Home</v>
      </c>
      <c r="D51" s="26" t="str">
        <f>IFERROR(__xludf.DUMMYFUNCTION("""COMPUTED_VALUE"""),"Alignment and style")</f>
        <v>Alignment and style</v>
      </c>
      <c r="E51" s="26" t="str">
        <f>IFERROR(__xludf.DUMMYFUNCTION("""COMPUTED_VALUE"""),"User need to be in web browser")</f>
        <v>User need to be in web browser</v>
      </c>
      <c r="F51" s="26" t="str">
        <f>IFERROR(__xludf.DUMMYFUNCTION("""COMPUTED_VALUE"""),"1. Open app link")</f>
        <v>1. Open app link</v>
      </c>
      <c r="G51" s="26" t="str">
        <f>IFERROR(__xludf.DUMMYFUNCTION("""COMPUTED_VALUE"""),"N/A")</f>
        <v>N/A</v>
      </c>
      <c r="H51" s="26" t="str">
        <f>IFERROR(__xludf.DUMMYFUNCTION("""COMPUTED_VALUE"""),"The alignment and design should match the client's requirements.")</f>
        <v>The alignment and design should match the client's requirements.</v>
      </c>
      <c r="I51" s="26" t="str">
        <f>IFERROR(__xludf.DUMMYFUNCTION("""COMPUTED_VALUE"""),"A discrepancy in alignment has been observed in the web app.")</f>
        <v>A discrepancy in alignment has been observed in the web app.</v>
      </c>
      <c r="J51" s="26" t="str">
        <f>IFERROR(__xludf.DUMMYFUNCTION("""COMPUTED_VALUE"""),"Fail")</f>
        <v>Fail</v>
      </c>
      <c r="K51" s="26" t="str">
        <f>IFERROR(__xludf.DUMMYFUNCTION("""COMPUTED_VALUE"""),"Low")</f>
        <v>Low</v>
      </c>
      <c r="L51" s="27" t="str">
        <f>IFERROR(__xludf.DUMMYFUNCTION("""COMPUTED_VALUE"""),"https://jam.dev/c/4469d483-5906-40bb-a0fe-e7fd980a2feb")</f>
        <v>https://jam.dev/c/4469d483-5906-40bb-a0fe-e7fd980a2feb</v>
      </c>
      <c r="M51" s="26"/>
      <c r="N51" s="26" t="str">
        <f>IFERROR(__xludf.DUMMYFUNCTION("""COMPUTED_VALUE"""),"Fahad")</f>
        <v>Fahad</v>
      </c>
      <c r="O51" s="26"/>
      <c r="P51" s="26"/>
      <c r="Q51" s="24"/>
      <c r="R51" s="24"/>
      <c r="S51" s="24"/>
      <c r="T51" s="24"/>
      <c r="U51" s="24"/>
      <c r="V51" s="24"/>
      <c r="W51" s="24"/>
      <c r="X51" s="24"/>
      <c r="Y51" s="24"/>
      <c r="Z51" s="24"/>
      <c r="AA51" s="24"/>
    </row>
    <row r="52">
      <c r="A52" s="25" t="s">
        <v>72</v>
      </c>
      <c r="B52" s="26" t="str">
        <f>IFERROR(__xludf.DUMMYFUNCTION("""COMPUTED_VALUE"""),"Landing Page")</f>
        <v>Landing Page</v>
      </c>
      <c r="C52" s="26" t="str">
        <f>IFERROR(__xludf.DUMMYFUNCTION("""COMPUTED_VALUE"""),"Home")</f>
        <v>Home</v>
      </c>
      <c r="D52" s="26" t="str">
        <f>IFERROR(__xludf.DUMMYFUNCTION("""COMPUTED_VALUE"""),"Alignment and style")</f>
        <v>Alignment and style</v>
      </c>
      <c r="E52" s="26" t="str">
        <f>IFERROR(__xludf.DUMMYFUNCTION("""COMPUTED_VALUE"""),"User need to be in web browser")</f>
        <v>User need to be in web browser</v>
      </c>
      <c r="F52" s="26" t="str">
        <f>IFERROR(__xludf.DUMMYFUNCTION("""COMPUTED_VALUE"""),"1. Open app link")</f>
        <v>1. Open app link</v>
      </c>
      <c r="G52" s="26" t="str">
        <f>IFERROR(__xludf.DUMMYFUNCTION("""COMPUTED_VALUE"""),"N/A")</f>
        <v>N/A</v>
      </c>
      <c r="H52" s="26" t="str">
        <f>IFERROR(__xludf.DUMMYFUNCTION("""COMPUTED_VALUE"""),"The alignment and design should match the client's requirements.")</f>
        <v>The alignment and design should match the client's requirements.</v>
      </c>
      <c r="I52" s="26" t="str">
        <f>IFERROR(__xludf.DUMMYFUNCTION("""COMPUTED_VALUE"""),"A discrepancy in alignment has been observed in the web app.")</f>
        <v>A discrepancy in alignment has been observed in the web app.</v>
      </c>
      <c r="J52" s="26" t="str">
        <f>IFERROR(__xludf.DUMMYFUNCTION("""COMPUTED_VALUE"""),"Fail")</f>
        <v>Fail</v>
      </c>
      <c r="K52" s="26" t="str">
        <f>IFERROR(__xludf.DUMMYFUNCTION("""COMPUTED_VALUE"""),"Medium")</f>
        <v>Medium</v>
      </c>
      <c r="L52" s="27" t="str">
        <f>IFERROR(__xludf.DUMMYFUNCTION("""COMPUTED_VALUE"""),"https://jam.dev/c/40207a75-8737-4859-b31e-bcc88876fb07")</f>
        <v>https://jam.dev/c/40207a75-8737-4859-b31e-bcc88876fb07</v>
      </c>
      <c r="M52" s="26"/>
      <c r="N52" s="26" t="str">
        <f>IFERROR(__xludf.DUMMYFUNCTION("""COMPUTED_VALUE"""),"Fahad")</f>
        <v>Fahad</v>
      </c>
      <c r="O52" s="26"/>
      <c r="P52" s="26"/>
      <c r="Q52" s="24"/>
      <c r="R52" s="24"/>
      <c r="S52" s="24"/>
      <c r="T52" s="24"/>
      <c r="U52" s="24"/>
      <c r="V52" s="24"/>
      <c r="W52" s="24"/>
      <c r="X52" s="24"/>
      <c r="Y52" s="24"/>
      <c r="Z52" s="24"/>
      <c r="AA52" s="24"/>
    </row>
    <row r="53">
      <c r="A53" s="25" t="s">
        <v>73</v>
      </c>
      <c r="B53" s="26" t="str">
        <f>IFERROR(__xludf.DUMMYFUNCTION("""COMPUTED_VALUE"""),"Landing Page")</f>
        <v>Landing Page</v>
      </c>
      <c r="C53" s="26" t="str">
        <f>IFERROR(__xludf.DUMMYFUNCTION("""COMPUTED_VALUE"""),"Home")</f>
        <v>Home</v>
      </c>
      <c r="D53" s="26" t="str">
        <f>IFERROR(__xludf.DUMMYFUNCTION("""COMPUTED_VALUE"""),"Alignment and style")</f>
        <v>Alignment and style</v>
      </c>
      <c r="E53" s="26" t="str">
        <f>IFERROR(__xludf.DUMMYFUNCTION("""COMPUTED_VALUE"""),"User need to be in web browser")</f>
        <v>User need to be in web browser</v>
      </c>
      <c r="F53" s="26" t="str">
        <f>IFERROR(__xludf.DUMMYFUNCTION("""COMPUTED_VALUE"""),"1. Open app link")</f>
        <v>1. Open app link</v>
      </c>
      <c r="G53" s="26" t="str">
        <f>IFERROR(__xludf.DUMMYFUNCTION("""COMPUTED_VALUE"""),"N/A")</f>
        <v>N/A</v>
      </c>
      <c r="H53" s="26" t="str">
        <f>IFERROR(__xludf.DUMMYFUNCTION("""COMPUTED_VALUE"""),"The alignment and design should match the client's requirements.")</f>
        <v>The alignment and design should match the client's requirements.</v>
      </c>
      <c r="I53" s="26" t="str">
        <f>IFERROR(__xludf.DUMMYFUNCTION("""COMPUTED_VALUE"""),"The web app is missing a separation line on steps")</f>
        <v>The web app is missing a separation line on steps</v>
      </c>
      <c r="J53" s="26" t="str">
        <f>IFERROR(__xludf.DUMMYFUNCTION("""COMPUTED_VALUE"""),"Fail")</f>
        <v>Fail</v>
      </c>
      <c r="K53" s="26" t="str">
        <f>IFERROR(__xludf.DUMMYFUNCTION("""COMPUTED_VALUE"""),"Low")</f>
        <v>Low</v>
      </c>
      <c r="L53" s="27" t="str">
        <f>IFERROR(__xludf.DUMMYFUNCTION("""COMPUTED_VALUE"""),"https://jam.dev/c/c0f5841d-04f1-4f10-aa78-81abf258f6eb")</f>
        <v>https://jam.dev/c/c0f5841d-04f1-4f10-aa78-81abf258f6eb</v>
      </c>
      <c r="M53" s="26"/>
      <c r="N53" s="26" t="str">
        <f>IFERROR(__xludf.DUMMYFUNCTION("""COMPUTED_VALUE"""),"Fahad")</f>
        <v>Fahad</v>
      </c>
      <c r="O53" s="26"/>
      <c r="P53" s="26"/>
      <c r="Q53" s="24"/>
      <c r="R53" s="24"/>
      <c r="S53" s="24"/>
      <c r="T53" s="24"/>
      <c r="U53" s="24"/>
      <c r="V53" s="24"/>
      <c r="W53" s="24"/>
      <c r="X53" s="24"/>
      <c r="Y53" s="24"/>
      <c r="Z53" s="24"/>
      <c r="AA53" s="24"/>
    </row>
    <row r="54">
      <c r="A54" s="25" t="s">
        <v>74</v>
      </c>
      <c r="B54" s="26" t="str">
        <f>IFERROR(__xludf.DUMMYFUNCTION("""COMPUTED_VALUE"""),"Landing Page")</f>
        <v>Landing Page</v>
      </c>
      <c r="C54" s="26" t="str">
        <f>IFERROR(__xludf.DUMMYFUNCTION("""COMPUTED_VALUE"""),"Home")</f>
        <v>Home</v>
      </c>
      <c r="D54" s="26" t="str">
        <f>IFERROR(__xludf.DUMMYFUNCTION("""COMPUTED_VALUE"""),"The logo is not properly aligned.")</f>
        <v>The logo is not properly aligned.</v>
      </c>
      <c r="E54" s="26" t="str">
        <f>IFERROR(__xludf.DUMMYFUNCTION("""COMPUTED_VALUE"""),"User need to be in web browser")</f>
        <v>User need to be in web browser</v>
      </c>
      <c r="F54" s="26" t="str">
        <f>IFERROR(__xludf.DUMMYFUNCTION("""COMPUTED_VALUE"""),"1. Open app link")</f>
        <v>1. Open app link</v>
      </c>
      <c r="G54" s="26" t="str">
        <f>IFERROR(__xludf.DUMMYFUNCTION("""COMPUTED_VALUE"""),"N/A")</f>
        <v>N/A</v>
      </c>
      <c r="H54" s="26" t="str">
        <f>IFERROR(__xludf.DUMMYFUNCTION("""COMPUTED_VALUE"""),"The logo should be clearly visible to customers to enhance its appeal and attract more attention.")</f>
        <v>The logo should be clearly visible to customers to enhance its appeal and attract more attention.</v>
      </c>
      <c r="I54" s="26" t="str">
        <f>IFERROR(__xludf.DUMMYFUNCTION("""COMPUTED_VALUE"""),"The logo appears slightly smaller than expected.")</f>
        <v>The logo appears slightly smaller than expected.</v>
      </c>
      <c r="J54" s="26" t="str">
        <f>IFERROR(__xludf.DUMMYFUNCTION("""COMPUTED_VALUE"""),"Fail")</f>
        <v>Fail</v>
      </c>
      <c r="K54" s="26" t="str">
        <f>IFERROR(__xludf.DUMMYFUNCTION("""COMPUTED_VALUE"""),"Low")</f>
        <v>Low</v>
      </c>
      <c r="L54" s="27" t="str">
        <f>IFERROR(__xludf.DUMMYFUNCTION("""COMPUTED_VALUE"""),"https://jam.dev/c/d7b2f374-5c7e-470d-99b7-4010ffe8aad1")</f>
        <v>https://jam.dev/c/d7b2f374-5c7e-470d-99b7-4010ffe8aad1</v>
      </c>
      <c r="M54" s="26"/>
      <c r="N54" s="26" t="str">
        <f>IFERROR(__xludf.DUMMYFUNCTION("""COMPUTED_VALUE"""),"Fahad")</f>
        <v>Fahad</v>
      </c>
      <c r="O54" s="26"/>
      <c r="P54" s="26"/>
      <c r="Q54" s="24"/>
      <c r="R54" s="24"/>
      <c r="S54" s="24"/>
      <c r="T54" s="24"/>
      <c r="U54" s="24"/>
      <c r="V54" s="24"/>
      <c r="W54" s="24"/>
      <c r="X54" s="24"/>
      <c r="Y54" s="24"/>
      <c r="Z54" s="24"/>
      <c r="AA54" s="24"/>
    </row>
    <row r="55">
      <c r="A55" s="25" t="s">
        <v>75</v>
      </c>
      <c r="B55" s="26" t="str">
        <f>IFERROR(__xludf.DUMMYFUNCTION("""COMPUTED_VALUE"""),"Login")</f>
        <v>Login</v>
      </c>
      <c r="C55" s="26" t="str">
        <f>IFERROR(__xludf.DUMMYFUNCTION("""COMPUTED_VALUE"""),"Form Section")</f>
        <v>Form Section</v>
      </c>
      <c r="D55" s="26" t="str">
        <f>IFERROR(__xludf.DUMMYFUNCTION("""COMPUTED_VALUE"""),"Verify that the login page title displays 'Welcome to Listlly' instead of 'Create Your Listlly Account'")</f>
        <v>Verify that the login page title displays 'Welcome to Listlly' instead of 'Create Your Listlly Account'</v>
      </c>
      <c r="E55" s="26" t="str">
        <f>IFERROR(__xludf.DUMMYFUNCTION("""COMPUTED_VALUE"""),"User is on the Login page")</f>
        <v>User is on the Login page</v>
      </c>
      <c r="F55" s="26" t="str">
        <f>IFERROR(__xludf.DUMMYFUNCTION("""COMPUTED_VALUE"""),"1. Navigate to Login page 
2. Observe the form title")</f>
        <v>1. Navigate to Login page 
2. Observe the form title</v>
      </c>
      <c r="G55" s="26" t="str">
        <f>IFERROR(__xludf.DUMMYFUNCTION("""COMPUTED_VALUE"""),"None")</f>
        <v>None</v>
      </c>
      <c r="H55" s="26" t="str">
        <f>IFERROR(__xludf.DUMMYFUNCTION("""COMPUTED_VALUE"""),"Form title should display 'Welcome to Listlly'")</f>
        <v>Form title should display 'Welcome to Listlly'</v>
      </c>
      <c r="I55" s="26" t="str">
        <f>IFERROR(__xludf.DUMMYFUNCTION("""COMPUTED_VALUE"""),"Form title shows 'Create Your Listlly Account'")</f>
        <v>Form title shows 'Create Your Listlly Account'</v>
      </c>
      <c r="J55" s="26" t="str">
        <f>IFERROR(__xludf.DUMMYFUNCTION("""COMPUTED_VALUE"""),"Fail")</f>
        <v>Fail</v>
      </c>
      <c r="K55" s="26" t="str">
        <f>IFERROR(__xludf.DUMMYFUNCTION("""COMPUTED_VALUE"""),"Low")</f>
        <v>Low</v>
      </c>
      <c r="L55" s="27" t="str">
        <f>IFERROR(__xludf.DUMMYFUNCTION("""COMPUTED_VALUE"""),"https://jam.dev/c/551d5af2-b322-488c-ac06-ca264cb59627")</f>
        <v>https://jam.dev/c/551d5af2-b322-488c-ac06-ca264cb59627</v>
      </c>
      <c r="M55" s="26"/>
      <c r="N55" s="26" t="str">
        <f>IFERROR(__xludf.DUMMYFUNCTION("""COMPUTED_VALUE"""),"Tahsin")</f>
        <v>Tahsin</v>
      </c>
      <c r="O55" s="26"/>
      <c r="P55" s="26"/>
      <c r="Q55" s="24"/>
      <c r="R55" s="24"/>
      <c r="S55" s="24"/>
      <c r="T55" s="24"/>
      <c r="U55" s="24"/>
      <c r="V55" s="24"/>
      <c r="W55" s="24"/>
      <c r="X55" s="24"/>
      <c r="Y55" s="24"/>
      <c r="Z55" s="24"/>
      <c r="AA55" s="24"/>
    </row>
    <row r="56">
      <c r="A56" s="25" t="s">
        <v>76</v>
      </c>
      <c r="B56" s="26" t="str">
        <f>IFERROR(__xludf.DUMMYFUNCTION("""COMPUTED_VALUE"""),"Login")</f>
        <v>Login</v>
      </c>
      <c r="C56" s="26" t="str">
        <f>IFERROR(__xludf.DUMMYFUNCTION("""COMPUTED_VALUE"""),"Form Section")</f>
        <v>Form Section</v>
      </c>
      <c r="D56" s="26" t="str">
        <f>IFERROR(__xludf.DUMMYFUNCTION("""COMPUTED_VALUE"""),"Verify that 'Forget Password?' is displayed as a clickable button/link without 'Reset it here'")</f>
        <v>Verify that 'Forget Password?' is displayed as a clickable button/link without 'Reset it here'</v>
      </c>
      <c r="E56" s="26" t="str">
        <f>IFERROR(__xludf.DUMMYFUNCTION("""COMPUTED_VALUE"""),"User is on the Login page")</f>
        <v>User is on the Login page</v>
      </c>
      <c r="F56" s="26" t="str">
        <f>IFERROR(__xludf.DUMMYFUNCTION("""COMPUTED_VALUE"""),"1. Navigate to Login page 
2. Observe the Forget Password section")</f>
        <v>1. Navigate to Login page 
2. Observe the Forget Password section</v>
      </c>
      <c r="G56" s="26" t="str">
        <f>IFERROR(__xludf.DUMMYFUNCTION("""COMPUTED_VALUE"""),"None")</f>
        <v>None</v>
      </c>
      <c r="H56" s="26" t="str">
        <f>IFERROR(__xludf.DUMMYFUNCTION("""COMPUTED_VALUE"""),"Forget Password?' should be a clickable button/link and no 'Reset it here' text should appear")</f>
        <v>Forget Password?' should be a clickable button/link and no 'Reset it here' text should appear</v>
      </c>
      <c r="I56" s="26" t="str">
        <f>IFERROR(__xludf.DUMMYFUNCTION("""COMPUTED_VALUE"""),"Reset it here' is still displayed; 'Forget Password?' is not clickable")</f>
        <v>Reset it here' is still displayed; 'Forget Password?' is not clickable</v>
      </c>
      <c r="J56" s="26" t="str">
        <f>IFERROR(__xludf.DUMMYFUNCTION("""COMPUTED_VALUE"""),"Fail")</f>
        <v>Fail</v>
      </c>
      <c r="K56" s="26" t="str">
        <f>IFERROR(__xludf.DUMMYFUNCTION("""COMPUTED_VALUE"""),"Medium")</f>
        <v>Medium</v>
      </c>
      <c r="L56" s="27" t="str">
        <f>IFERROR(__xludf.DUMMYFUNCTION("""COMPUTED_VALUE"""),"https://jam.dev/c/1cd150f6-7aa8-4f7f-82fe-f70ac86abcd1")</f>
        <v>https://jam.dev/c/1cd150f6-7aa8-4f7f-82fe-f70ac86abcd1</v>
      </c>
      <c r="M56" s="26"/>
      <c r="N56" s="26" t="str">
        <f>IFERROR(__xludf.DUMMYFUNCTION("""COMPUTED_VALUE"""),"Tahsin")</f>
        <v>Tahsin</v>
      </c>
      <c r="O56" s="26"/>
      <c r="P56" s="26"/>
      <c r="Q56" s="24"/>
      <c r="R56" s="24"/>
      <c r="S56" s="24"/>
      <c r="T56" s="24"/>
      <c r="U56" s="24"/>
      <c r="V56" s="24"/>
      <c r="W56" s="24"/>
      <c r="X56" s="24"/>
      <c r="Y56" s="24"/>
      <c r="Z56" s="24"/>
      <c r="AA56" s="24"/>
    </row>
    <row r="57">
      <c r="A57" s="25" t="s">
        <v>77</v>
      </c>
      <c r="B57" s="26" t="str">
        <f>IFERROR(__xludf.DUMMYFUNCTION("""COMPUTED_VALUE"""),"Make an Offer (Buyer)")</f>
        <v>Make an Offer (Buyer)</v>
      </c>
      <c r="C57" s="26" t="str">
        <f>IFERROR(__xludf.DUMMYFUNCTION("""COMPUTED_VALUE"""),"Agent Contact &amp; Quote Form")</f>
        <v>Agent Contact &amp; Quote Form</v>
      </c>
      <c r="D57" s="26" t="str">
        <f>IFERROR(__xludf.DUMMYFUNCTION("""COMPUTED_VALUE"""),"Verify that all required fields (Email, Phone, DRE License) are present in Agent Contact &amp; Quote Form")</f>
        <v>Verify that all required fields (Email, Phone, DRE License) are present in Agent Contact &amp; Quote Form</v>
      </c>
      <c r="E57" s="26" t="str">
        <f>IFERROR(__xludf.DUMMYFUNCTION("""COMPUTED_VALUE"""),"User should select 'YES'  and navigated to Agent Contact &amp; Quote Form page")</f>
        <v>User should select 'YES'  and navigated to Agent Contact &amp; Quote Form page</v>
      </c>
      <c r="F57" s="26" t="str">
        <f>IFERROR(__xludf.DUMMYFUNCTION("""COMPUTED_VALUE"""),"1. Navigate to Buyer → Make an Offer section 
2. Proceed until 'Have you signed an Exclusive Agency Agreement with an agent?' page -&gt; Select 'YES'
3. Observe the Agent Contact &amp; Quote Form")</f>
        <v>1. Navigate to Buyer → Make an Offer section 
2. Proceed until 'Have you signed an Exclusive Agency Agreement with an agent?' page -&gt; Select 'YES'
3. Observe the Agent Contact &amp; Quote Form</v>
      </c>
      <c r="G57" s="26" t="str">
        <f>IFERROR(__xludf.DUMMYFUNCTION("""COMPUTED_VALUE"""),"Have you signed an Exclusive Agency Agreement with an agent?' page -&gt; Select 'YES'")</f>
        <v>Have you signed an Exclusive Agency Agreement with an agent?' page -&gt; Select 'YES'</v>
      </c>
      <c r="H57" s="26" t="str">
        <f>IFERROR(__xludf.DUMMYFUNCTION("""COMPUTED_VALUE"""),"Form should include Email, Phone, and DRE License fields as per requirement")</f>
        <v>Form should include Email, Phone, and DRE License fields as per requirement</v>
      </c>
      <c r="I57" s="26" t="str">
        <f>IFERROR(__xludf.DUMMYFUNCTION("""COMPUTED_VALUE"""),"Email, Phone, and DRE License fields are missing from the form")</f>
        <v>Email, Phone, and DRE License fields are missing from the form</v>
      </c>
      <c r="J57" s="26" t="str">
        <f>IFERROR(__xludf.DUMMYFUNCTION("""COMPUTED_VALUE"""),"Fail")</f>
        <v>Fail</v>
      </c>
      <c r="K57" s="26" t="str">
        <f>IFERROR(__xludf.DUMMYFUNCTION("""COMPUTED_VALUE"""),"High")</f>
        <v>High</v>
      </c>
      <c r="L57" s="27" t="str">
        <f>IFERROR(__xludf.DUMMYFUNCTION("""COMPUTED_VALUE"""),"https://jam.dev/c/c74b471f-2e17-4db5-bea1-de7928d7245e")</f>
        <v>https://jam.dev/c/c74b471f-2e17-4db5-bea1-de7928d7245e</v>
      </c>
      <c r="M57" s="26"/>
      <c r="N57" s="26" t="str">
        <f>IFERROR(__xludf.DUMMYFUNCTION("""COMPUTED_VALUE"""),"Tahsin")</f>
        <v>Tahsin</v>
      </c>
      <c r="O57" s="26"/>
      <c r="P57" s="26"/>
      <c r="Q57" s="24"/>
      <c r="R57" s="24"/>
      <c r="S57" s="24"/>
      <c r="T57" s="24"/>
      <c r="U57" s="24"/>
      <c r="V57" s="24"/>
      <c r="W57" s="24"/>
      <c r="X57" s="24"/>
      <c r="Y57" s="24"/>
      <c r="Z57" s="24"/>
      <c r="AA57" s="24"/>
    </row>
    <row r="58">
      <c r="A58" s="25" t="s">
        <v>78</v>
      </c>
      <c r="B58" s="26" t="str">
        <f>IFERROR(__xludf.DUMMYFUNCTION("""COMPUTED_VALUE"""),"Make an Offer (Buyer)")</f>
        <v>Make an Offer (Buyer)</v>
      </c>
      <c r="C58" s="26" t="str">
        <f>IFERROR(__xludf.DUMMYFUNCTION("""COMPUTED_VALUE"""),"Agent Contact &amp; Quote Form")</f>
        <v>Agent Contact &amp; Quote Form</v>
      </c>
      <c r="D58" s="26" t="str">
        <f>IFERROR(__xludf.DUMMYFUNCTION("""COMPUTED_VALUE"""),"Verify that the Full Name field displays correct placeholder text in Agent Contact &amp; Quote Form")</f>
        <v>Verify that the Full Name field displays correct placeholder text in Agent Contact &amp; Quote Form</v>
      </c>
      <c r="E58" s="26" t="str">
        <f>IFERROR(__xludf.DUMMYFUNCTION("""COMPUTED_VALUE"""),"User should select 'YES'  and navigated to Agent Contact &amp; Quote Form page")</f>
        <v>User should select 'YES'  and navigated to Agent Contact &amp; Quote Form page</v>
      </c>
      <c r="F58" s="26" t="str">
        <f>IFERROR(__xludf.DUMMYFUNCTION("""COMPUTED_VALUE"""),"1. Navigate to Buyer → Make an Offer section 
2. Proceed until 'Have you signed an Exclusive Agency Agreement with an agent?' page -&gt; Select 'YES'
3. Observe the placeholder text in the Full Name field")</f>
        <v>1. Navigate to Buyer → Make an Offer section 
2. Proceed until 'Have you signed an Exclusive Agency Agreement with an agent?' page -&gt; Select 'YES'
3. Observe the placeholder text in the Full Name field</v>
      </c>
      <c r="G58" s="26" t="str">
        <f>IFERROR(__xludf.DUMMYFUNCTION("""COMPUTED_VALUE"""),"Have you signed an Exclusive Agency Agreement with an agent?' page -&gt; Select 'YES'")</f>
        <v>Have you signed an Exclusive Agency Agreement with an agent?' page -&gt; Select 'YES'</v>
      </c>
      <c r="H58" s="26" t="str">
        <f>IFERROR(__xludf.DUMMYFUNCTION("""COMPUTED_VALUE"""),"Full Name field should display placeholder 'Enter Full Name'")</f>
        <v>Full Name field should display placeholder 'Enter Full Name'</v>
      </c>
      <c r="I58" s="26" t="str">
        <f>IFERROR(__xludf.DUMMYFUNCTION("""COMPUTED_VALUE"""),"Full Name field displays placeholder 'Enter DRE License'")</f>
        <v>Full Name field displays placeholder 'Enter DRE License'</v>
      </c>
      <c r="J58" s="26" t="str">
        <f>IFERROR(__xludf.DUMMYFUNCTION("""COMPUTED_VALUE"""),"Fail")</f>
        <v>Fail</v>
      </c>
      <c r="K58" s="26" t="str">
        <f>IFERROR(__xludf.DUMMYFUNCTION("""COMPUTED_VALUE"""),"High")</f>
        <v>High</v>
      </c>
      <c r="L58" s="27" t="str">
        <f>IFERROR(__xludf.DUMMYFUNCTION("""COMPUTED_VALUE"""),"https://jam.dev/c/2abf45dc-bd9c-4c5d-94bf-96c7dfbe704d")</f>
        <v>https://jam.dev/c/2abf45dc-bd9c-4c5d-94bf-96c7dfbe704d</v>
      </c>
      <c r="M58" s="26"/>
      <c r="N58" s="26" t="str">
        <f>IFERROR(__xludf.DUMMYFUNCTION("""COMPUTED_VALUE"""),"Tahsin")</f>
        <v>Tahsin</v>
      </c>
      <c r="O58" s="26"/>
      <c r="P58" s="26"/>
      <c r="Q58" s="24"/>
      <c r="R58" s="24"/>
      <c r="S58" s="24"/>
      <c r="T58" s="24"/>
      <c r="U58" s="24"/>
      <c r="V58" s="24"/>
      <c r="W58" s="24"/>
      <c r="X58" s="24"/>
      <c r="Y58" s="24"/>
      <c r="Z58" s="24"/>
      <c r="AA58" s="24"/>
    </row>
    <row r="59">
      <c r="A59" s="25" t="s">
        <v>79</v>
      </c>
      <c r="B59" s="26" t="str">
        <f>IFERROR(__xludf.DUMMYFUNCTION("""COMPUTED_VALUE"""),"Make an Offer (Buyer)")</f>
        <v>Make an Offer (Buyer)</v>
      </c>
      <c r="C59" s="26" t="str">
        <f>IFERROR(__xludf.DUMMYFUNCTION("""COMPUTED_VALUE"""),"Do You Have a Pre-Approval?")</f>
        <v>Do You Have a Pre-Approval?</v>
      </c>
      <c r="D59" s="26" t="str">
        <f>IFERROR(__xludf.DUMMYFUNCTION("""COMPUTED_VALUE"""),"Verify system behavior when selecting Mortgage financing option with Pre-Approval = Yes")</f>
        <v>Verify system behavior when selecting Mortgage financing option with Pre-Approval = Yes</v>
      </c>
      <c r="E59" s="26" t="str">
        <f>IFERROR(__xludf.DUMMYFUNCTION("""COMPUTED_VALUE"""),"User is logged in as Buyer and on Make an Offer flow")</f>
        <v>User is logged in as Buyer and on Make an Offer flow</v>
      </c>
      <c r="F59" s="26" t="str">
        <f>IFERROR(__xludf.DUMMYFUNCTION("""COMPUTED_VALUE"""),"1. Navigate to Buyer → Make an Offer section 
2. On 'How will you finance this purchase?' select 'Mortgage' 
3. On 'Do you have a Pre-Approval?' select 'Yes'")</f>
        <v>1. Navigate to Buyer → Make an Offer section 
2. On 'How will you finance this purchase?' select 'Mortgage' 
3. On 'Do you have a Pre-Approval?' select 'Yes'</v>
      </c>
      <c r="G59" s="26" t="str">
        <f>IFERROR(__xludf.DUMMYFUNCTION("""COMPUTED_VALUE"""),"1. How will you finance this purchase? -&gt; Mortgage
2. Financing Option: Mortgage; Pre-Approval: Yes")</f>
        <v>1. How will you finance this purchase? -&gt; Mortgage
2. Financing Option: Mortgage; Pre-Approval: Yes</v>
      </c>
      <c r="H59" s="26" t="str">
        <f>IFERROR(__xludf.DUMMYFUNCTION("""COMPUTED_VALUE"""),"System should proceed to the next step without any error message")</f>
        <v>System should proceed to the next step without any error message</v>
      </c>
      <c r="I59" s="26" t="str">
        <f>IFERROR(__xludf.DUMMYFUNCTION("""COMPUTED_VALUE"""),"System throws 'Unexpected Application Error!' after selecting Yes")</f>
        <v>System throws 'Unexpected Application Error!' after selecting Yes</v>
      </c>
      <c r="J59" s="26" t="str">
        <f>IFERROR(__xludf.DUMMYFUNCTION("""COMPUTED_VALUE"""),"Fail")</f>
        <v>Fail</v>
      </c>
      <c r="K59" s="26" t="str">
        <f>IFERROR(__xludf.DUMMYFUNCTION("""COMPUTED_VALUE"""),"High")</f>
        <v>High</v>
      </c>
      <c r="L59" s="27" t="str">
        <f>IFERROR(__xludf.DUMMYFUNCTION("""COMPUTED_VALUE"""),"https://jam.dev/c/d47d2960-056a-4955-ae0e-53ee21683636")</f>
        <v>https://jam.dev/c/d47d2960-056a-4955-ae0e-53ee21683636</v>
      </c>
      <c r="M59" s="26"/>
      <c r="N59" s="26" t="str">
        <f>IFERROR(__xludf.DUMMYFUNCTION("""COMPUTED_VALUE"""),"Tahsin")</f>
        <v>Tahsin</v>
      </c>
      <c r="O59" s="26"/>
      <c r="P59" s="26"/>
      <c r="Q59" s="24"/>
      <c r="R59" s="24"/>
      <c r="S59" s="24"/>
      <c r="T59" s="24"/>
      <c r="U59" s="24"/>
      <c r="V59" s="24"/>
      <c r="W59" s="24"/>
      <c r="X59" s="24"/>
      <c r="Y59" s="24"/>
      <c r="Z59" s="24"/>
      <c r="AA59" s="24"/>
    </row>
    <row r="60">
      <c r="A60" s="25" t="s">
        <v>80</v>
      </c>
      <c r="B60" s="26" t="str">
        <f>IFERROR(__xludf.DUMMYFUNCTION("""COMPUTED_VALUE"""),"Make an Offer (Buyer)")</f>
        <v>Make an Offer (Buyer)</v>
      </c>
      <c r="C60" s="26" t="str">
        <f>IFERROR(__xludf.DUMMYFUNCTION("""COMPUTED_VALUE"""),"Have you seen this property in person?")</f>
        <v>Have you seen this property in person?</v>
      </c>
      <c r="D60" s="26" t="str">
        <f>IFERROR(__xludf.DUMMYFUNCTION("""COMPUTED_VALUE"""),"Verify that bullet point (radio button) is displayed for 'Have you seen this property in person? Yes/No'")</f>
        <v>Verify that bullet point (radio button) is displayed for 'Have you seen this property in person? Yes/No'</v>
      </c>
      <c r="E60" s="26" t="str">
        <f>IFERROR(__xludf.DUMMYFUNCTION("""COMPUTED_VALUE"""),"User is on Make an Offer(buyer) page and mavigated to 'Have you seen this property in person?' page")</f>
        <v>User is on Make an Offer(buyer) page and mavigated to 'Have you seen this property in person?' page</v>
      </c>
      <c r="F60" s="26" t="str">
        <f>IFERROR(__xludf.DUMMYFUNCTION("""COMPUTED_VALUE"""),"1. Navigate to Buyer → Make an Offer section 
2. Locate 'Have you seen this property in person?' question 
3. Check options (Yes/No) UI")</f>
        <v>1. Navigate to Buyer → Make an Offer section 
2. Locate 'Have you seen this property in person?' question 
3. Check options (Yes/No) UI</v>
      </c>
      <c r="G60" s="26" t="str">
        <f>IFERROR(__xludf.DUMMYFUNCTION("""COMPUTED_VALUE"""),"None")</f>
        <v>None</v>
      </c>
      <c r="H60" s="26" t="str">
        <f>IFERROR(__xludf.DUMMYFUNCTION("""COMPUTED_VALUE"""),"Yes/No options should have proper bullet point (radio button) markers as per client requirement")</f>
        <v>Yes/No options should have proper bullet point (radio button) markers as per client requirement</v>
      </c>
      <c r="I60" s="26" t="str">
        <f>IFERROR(__xludf.DUMMYFUNCTION("""COMPUTED_VALUE"""),"Bullet point markers are missing for Yes/No options")</f>
        <v>Bullet point markers are missing for Yes/No options</v>
      </c>
      <c r="J60" s="26" t="str">
        <f>IFERROR(__xludf.DUMMYFUNCTION("""COMPUTED_VALUE"""),"Fail")</f>
        <v>Fail</v>
      </c>
      <c r="K60" s="26" t="str">
        <f>IFERROR(__xludf.DUMMYFUNCTION("""COMPUTED_VALUE"""),"Low")</f>
        <v>Low</v>
      </c>
      <c r="L60" s="27" t="str">
        <f>IFERROR(__xludf.DUMMYFUNCTION("""COMPUTED_VALUE"""),"https://jam.dev/c/41efc2ae-c13b-4196-9e9a-ebd28f09de23")</f>
        <v>https://jam.dev/c/41efc2ae-c13b-4196-9e9a-ebd28f09de23</v>
      </c>
      <c r="M60" s="26"/>
      <c r="N60" s="26" t="str">
        <f>IFERROR(__xludf.DUMMYFUNCTION("""COMPUTED_VALUE"""),"Tahsin")</f>
        <v>Tahsin</v>
      </c>
      <c r="O60" s="26"/>
      <c r="P60" s="26"/>
      <c r="Q60" s="24"/>
      <c r="R60" s="24"/>
      <c r="S60" s="24"/>
      <c r="T60" s="24"/>
      <c r="U60" s="24"/>
      <c r="V60" s="24"/>
      <c r="W60" s="24"/>
      <c r="X60" s="24"/>
      <c r="Y60" s="24"/>
      <c r="Z60" s="24"/>
      <c r="AA60" s="24"/>
    </row>
    <row r="61">
      <c r="A61" s="25" t="s">
        <v>81</v>
      </c>
      <c r="B61" s="26" t="str">
        <f>IFERROR(__xludf.DUMMYFUNCTION("""COMPUTED_VALUE"""),"Make an Offer (Buyer)")</f>
        <v>Make an Offer (Buyer)</v>
      </c>
      <c r="C61" s="26" t="str">
        <f>IFERROR(__xludf.DUMMYFUNCTION("""COMPUTED_VALUE"""),"Have you seen this property in person?")</f>
        <v>Have you seen this property in person?</v>
      </c>
      <c r="D61" s="26" t="str">
        <f>IFERROR(__xludf.DUMMYFUNCTION("""COMPUTED_VALUE"""),"Verify that selecting Yes/No for 'Have you seen this property in person?' navigates directly to next page without Continue button")</f>
        <v>Verify that selecting Yes/No for 'Have you seen this property in person?' navigates directly to next page without Continue button</v>
      </c>
      <c r="E61" s="26" t="str">
        <f>IFERROR(__xludf.DUMMYFUNCTION("""COMPUTED_VALUE"""),"User is on Make an Offer(buyer) page and mavigated to 'Have you seen this property in person?' page")</f>
        <v>User is on Make an Offer(buyer) page and mavigated to 'Have you seen this property in person?' page</v>
      </c>
      <c r="F61" s="26" t="str">
        <f>IFERROR(__xludf.DUMMYFUNCTION("""COMPUTED_VALUE"""),"1. Navigate to Buyer → Make an Offer section 
2. Select 'Yes' option 
3. Select 'No' option")</f>
        <v>1. Navigate to Buyer → Make an Offer section 
2. Select 'Yes' option 
3. Select 'No' option</v>
      </c>
      <c r="G61" s="26" t="str">
        <f>IFERROR(__xludf.DUMMYFUNCTION("""COMPUTED_VALUE"""),"Yes/No options")</f>
        <v>Yes/No options</v>
      </c>
      <c r="H61" s="26" t="str">
        <f>IFERROR(__xludf.DUMMYFUNCTION("""COMPUTED_VALUE"""),"After selecting Yes/No, system should automatically navigate to next page and only Back button should be displayed")</f>
        <v>After selecting Yes/No, system should automatically navigate to next page and only Back button should be displayed</v>
      </c>
      <c r="I61" s="26" t="str">
        <f>IFERROR(__xludf.DUMMYFUNCTION("""COMPUTED_VALUE"""),"Continue button is still displayed; navigation does not occur automatically")</f>
        <v>Continue button is still displayed; navigation does not occur automatically</v>
      </c>
      <c r="J61" s="26" t="str">
        <f>IFERROR(__xludf.DUMMYFUNCTION("""COMPUTED_VALUE"""),"Fail")</f>
        <v>Fail</v>
      </c>
      <c r="K61" s="26" t="str">
        <f>IFERROR(__xludf.DUMMYFUNCTION("""COMPUTED_VALUE"""),"Medium")</f>
        <v>Medium</v>
      </c>
      <c r="L61" s="27" t="str">
        <f>IFERROR(__xludf.DUMMYFUNCTION("""COMPUTED_VALUE"""),"https://jam.dev/c/9a379078-4019-4098-9ede-937c31e6990a")</f>
        <v>https://jam.dev/c/9a379078-4019-4098-9ede-937c31e6990a</v>
      </c>
      <c r="M61" s="26"/>
      <c r="N61" s="26" t="str">
        <f>IFERROR(__xludf.DUMMYFUNCTION("""COMPUTED_VALUE"""),"Tahsin")</f>
        <v>Tahsin</v>
      </c>
      <c r="O61" s="26"/>
      <c r="P61" s="26"/>
      <c r="Q61" s="24"/>
      <c r="R61" s="24"/>
      <c r="S61" s="24"/>
      <c r="T61" s="24"/>
      <c r="U61" s="24"/>
      <c r="V61" s="24"/>
      <c r="W61" s="24"/>
      <c r="X61" s="24"/>
      <c r="Y61" s="24"/>
      <c r="Z61" s="24"/>
      <c r="AA61" s="24"/>
    </row>
    <row r="62">
      <c r="A62" s="25" t="s">
        <v>82</v>
      </c>
      <c r="B62" s="26" t="str">
        <f>IFERROR(__xludf.DUMMYFUNCTION("""COMPUTED_VALUE"""),"Make an Offer (Buyer)")</f>
        <v>Make an Offer (Buyer)</v>
      </c>
      <c r="C62" s="26" t="str">
        <f>IFERROR(__xludf.DUMMYFUNCTION("""COMPUTED_VALUE"""),"Have you signed an Exclusive Agency Agreement with an agent?")</f>
        <v>Have you signed an Exclusive Agency Agreement with an agent?</v>
      </c>
      <c r="D62" s="26" t="str">
        <f>IFERROR(__xludf.DUMMYFUNCTION("""COMPUTED_VALUE"""),"Verify that only Back button is displayed on 'Have you signed an Exclusive Agency Agreement with an agent?' page")</f>
        <v>Verify that only Back button is displayed on 'Have you signed an Exclusive Agency Agreement with an agent?' page</v>
      </c>
      <c r="E62" s="26" t="str">
        <f>IFERROR(__xludf.DUMMYFUNCTION("""COMPUTED_VALUE"""),"User is on Make an Offer(buyer) page and mavigated to 'Have you signed an Exclusive Agency Agreement with an agent?' page")</f>
        <v>User is on Make an Offer(buyer) page and mavigated to 'Have you signed an Exclusive Agency Agreement with an agent?' page</v>
      </c>
      <c r="F62" s="26" t="str">
        <f>IFERROR(__xludf.DUMMYFUNCTION("""COMPUTED_VALUE"""),"1. Navigate to Buyer → Make an Offer section 
2. Proceed until 'Have you signed an Exclusive Agency Agreement with an agent?' page")</f>
        <v>1. Navigate to Buyer → Make an Offer section 
2. Proceed until 'Have you signed an Exclusive Agency Agreement with an agent?' page</v>
      </c>
      <c r="G62" s="26" t="str">
        <f>IFERROR(__xludf.DUMMYFUNCTION("""COMPUTED_VALUE"""),"How will you finance this purchase? -&gt; All Cash")</f>
        <v>How will you finance this purchase? -&gt; All Cash</v>
      </c>
      <c r="H62" s="26" t="str">
        <f>IFERROR(__xludf.DUMMYFUNCTION("""COMPUTED_VALUE"""),"Page should display only Back button as per requirement")</f>
        <v>Page should display only Back button as per requirement</v>
      </c>
      <c r="I62" s="26" t="str">
        <f>IFERROR(__xludf.DUMMYFUNCTION("""COMPUTED_VALUE"""),"Page shows incorrect button (e.g., Continue) instead of only Back button")</f>
        <v>Page shows incorrect button (e.g., Continue) instead of only Back button</v>
      </c>
      <c r="J62" s="26" t="str">
        <f>IFERROR(__xludf.DUMMYFUNCTION("""COMPUTED_VALUE"""),"Fail")</f>
        <v>Fail</v>
      </c>
      <c r="K62" s="26" t="str">
        <f>IFERROR(__xludf.DUMMYFUNCTION("""COMPUTED_VALUE"""),"Medium")</f>
        <v>Medium</v>
      </c>
      <c r="L62" s="27" t="str">
        <f>IFERROR(__xludf.DUMMYFUNCTION("""COMPUTED_VALUE"""),"https://jam.dev/c/624f48ee-8e9c-41f9-afbe-859bfa23774f")</f>
        <v>https://jam.dev/c/624f48ee-8e9c-41f9-afbe-859bfa23774f</v>
      </c>
      <c r="M62" s="26"/>
      <c r="N62" s="26" t="str">
        <f>IFERROR(__xludf.DUMMYFUNCTION("""COMPUTED_VALUE"""),"Tahsin")</f>
        <v>Tahsin</v>
      </c>
      <c r="O62" s="26"/>
      <c r="P62" s="26"/>
      <c r="Q62" s="24"/>
      <c r="R62" s="24"/>
      <c r="S62" s="24"/>
      <c r="T62" s="24"/>
      <c r="U62" s="24"/>
      <c r="V62" s="24"/>
      <c r="W62" s="24"/>
      <c r="X62" s="24"/>
      <c r="Y62" s="24"/>
      <c r="Z62" s="24"/>
      <c r="AA62" s="24"/>
    </row>
    <row r="63">
      <c r="A63" s="25" t="s">
        <v>83</v>
      </c>
      <c r="B63" s="26" t="str">
        <f>IFERROR(__xludf.DUMMYFUNCTION("""COMPUTED_VALUE"""),"Make an Offer (Buyer)")</f>
        <v>Make an Offer (Buyer)</v>
      </c>
      <c r="C63" s="26" t="str">
        <f>IFERROR(__xludf.DUMMYFUNCTION("""COMPUTED_VALUE"""),"How will you finance this purchase?")</f>
        <v>How will you finance this purchase?</v>
      </c>
      <c r="D63" s="26" t="str">
        <f>IFERROR(__xludf.DUMMYFUNCTION("""COMPUTED_VALUE"""),"Verify that only Back button is displayed on 'How will you finance this purchase?' page")</f>
        <v>Verify that only Back button is displayed on 'How will you finance this purchase?' page</v>
      </c>
      <c r="E63" s="26" t="str">
        <f>IFERROR(__xludf.DUMMYFUNCTION("""COMPUTED_VALUE"""),"User is on Make an Offer(buyer) page and selects 'YES' in 'Have you seen this property in person?'")</f>
        <v>User is on Make an Offer(buyer) page and selects 'YES' in 'Have you seen this property in person?'</v>
      </c>
      <c r="F63" s="26" t="str">
        <f>IFERROR(__xludf.DUMMYFUNCTION("""COMPUTED_VALUE"""),"1. Navigate to Buyer → Make an Offer section 
2. Proceed until 'How will you finance this purchase?' page")</f>
        <v>1. Navigate to Buyer → Make an Offer section 
2. Proceed until 'How will you finance this purchase?' page</v>
      </c>
      <c r="G63" s="26" t="str">
        <f>IFERROR(__xludf.DUMMYFUNCTION("""COMPUTED_VALUE"""),"Have you seen this property in person? -&gt; YES")</f>
        <v>Have you seen this property in person? -&gt; YES</v>
      </c>
      <c r="H63" s="26" t="str">
        <f>IFERROR(__xludf.DUMMYFUNCTION("""COMPUTED_VALUE"""),"Page should display only Back button as per requirement")</f>
        <v>Page should display only Back button as per requirement</v>
      </c>
      <c r="I63" s="26" t="str">
        <f>IFERROR(__xludf.DUMMYFUNCTION("""COMPUTED_VALUE"""),"Page displays only Continue button; Back button is missing")</f>
        <v>Page displays only Continue button; Back button is missing</v>
      </c>
      <c r="J63" s="26" t="str">
        <f>IFERROR(__xludf.DUMMYFUNCTION("""COMPUTED_VALUE"""),"Fail")</f>
        <v>Fail</v>
      </c>
      <c r="K63" s="26" t="str">
        <f>IFERROR(__xludf.DUMMYFUNCTION("""COMPUTED_VALUE"""),"Medium")</f>
        <v>Medium</v>
      </c>
      <c r="L63" s="27" t="str">
        <f>IFERROR(__xludf.DUMMYFUNCTION("""COMPUTED_VALUE"""),"https://jam.dev/c/f0465eb8-1d12-4bfa-a747-da563d1ee6bc")</f>
        <v>https://jam.dev/c/f0465eb8-1d12-4bfa-a747-da563d1ee6bc</v>
      </c>
      <c r="M63" s="26"/>
      <c r="N63" s="26" t="str">
        <f>IFERROR(__xludf.DUMMYFUNCTION("""COMPUTED_VALUE"""),"Tahsin")</f>
        <v>Tahsin</v>
      </c>
      <c r="O63" s="26"/>
      <c r="P63" s="26"/>
      <c r="Q63" s="24"/>
      <c r="R63" s="24"/>
      <c r="S63" s="24"/>
      <c r="T63" s="24"/>
      <c r="U63" s="24"/>
      <c r="V63" s="24"/>
      <c r="W63" s="24"/>
      <c r="X63" s="24"/>
      <c r="Y63" s="24"/>
      <c r="Z63" s="24"/>
      <c r="AA63" s="24"/>
    </row>
    <row r="64">
      <c r="A64" s="25" t="s">
        <v>84</v>
      </c>
      <c r="B64" s="26" t="str">
        <f>IFERROR(__xludf.DUMMYFUNCTION("""COMPUTED_VALUE"""),"Make an Offer (Buyer)")</f>
        <v>Make an Offer (Buyer)</v>
      </c>
      <c r="C64" s="26" t="str">
        <f>IFERROR(__xludf.DUMMYFUNCTION("""COMPUTED_VALUE"""),"Schedule Page")</f>
        <v>Schedule Page</v>
      </c>
      <c r="D64" s="26" t="str">
        <f>IFERROR(__xludf.DUMMYFUNCTION("""COMPUTED_VALUE"""),"Verify that the schedule date picker allows navigation beyond the default 5 dates")</f>
        <v>Verify that the schedule date picker allows navigation beyond the default 5 dates</v>
      </c>
      <c r="E64" s="26" t="str">
        <f>IFERROR(__xludf.DUMMYFUNCTION("""COMPUTED_VALUE"""),"User ison Make an Offer(buyer) page and selects 'No' in 'Have you seen this property in person?'")</f>
        <v>User ison Make an Offer(buyer) page and selects 'No' in 'Have you seen this property in person?'</v>
      </c>
      <c r="F64" s="26" t="str">
        <f>IFERROR(__xludf.DUMMYFUNCTION("""COMPUTED_VALUE"""),"1. Navigate to Buyer → Make an Offer section 
2. Select 'No' for 'Have you seen this property in person?' 
3. Proceed to Schedule page 
4. Observe the date picker for navigation controls")</f>
        <v>1. Navigate to Buyer → Make an Offer section 
2. Select 'No' for 'Have you seen this property in person?' 
3. Proceed to Schedule page 
4. Observe the date picker for navigation controls</v>
      </c>
      <c r="G64" s="26" t="str">
        <f>IFERROR(__xludf.DUMMYFUNCTION("""COMPUTED_VALUE"""),"Have you seen this property in person? -&gt; NO")</f>
        <v>Have you seen this property in person? -&gt; NO</v>
      </c>
      <c r="H64" s="26" t="str">
        <f>IFERROR(__xludf.DUMMYFUNCTION("""COMPUTED_VALUE"""),"Date picker should allow navigation with Next (&gt;) and Previous (&lt;) icons to browse dates")</f>
        <v>Date picker should allow navigation with Next (&gt;) and Previous (&lt;) icons to browse dates</v>
      </c>
      <c r="I64" s="26" t="str">
        <f>IFERROR(__xludf.DUMMYFUNCTION("""COMPUTED_VALUE"""),"Only 5 fixed dates are shown; Next and Previous navigation icons are missing")</f>
        <v>Only 5 fixed dates are shown; Next and Previous navigation icons are missing</v>
      </c>
      <c r="J64" s="26" t="str">
        <f>IFERROR(__xludf.DUMMYFUNCTION("""COMPUTED_VALUE"""),"Fail")</f>
        <v>Fail</v>
      </c>
      <c r="K64" s="26" t="str">
        <f>IFERROR(__xludf.DUMMYFUNCTION("""COMPUTED_VALUE"""),"High")</f>
        <v>High</v>
      </c>
      <c r="L64" s="27" t="str">
        <f>IFERROR(__xludf.DUMMYFUNCTION("""COMPUTED_VALUE"""),"https://jam.dev/c/4a9e456e-7cda-4b99-be89-f773ad3758c1")</f>
        <v>https://jam.dev/c/4a9e456e-7cda-4b99-be89-f773ad3758c1</v>
      </c>
      <c r="M64" s="26"/>
      <c r="N64" s="26" t="str">
        <f>IFERROR(__xludf.DUMMYFUNCTION("""COMPUTED_VALUE"""),"Tahsin")</f>
        <v>Tahsin</v>
      </c>
      <c r="O64" s="26"/>
      <c r="P64" s="26"/>
      <c r="Q64" s="24"/>
      <c r="R64" s="24"/>
      <c r="S64" s="24"/>
      <c r="T64" s="24"/>
      <c r="U64" s="24"/>
      <c r="V64" s="24"/>
      <c r="W64" s="24"/>
      <c r="X64" s="24"/>
      <c r="Y64" s="24"/>
      <c r="Z64" s="24"/>
      <c r="AA64" s="24"/>
    </row>
    <row r="65">
      <c r="A65" s="25" t="s">
        <v>85</v>
      </c>
      <c r="B65" s="26" t="str">
        <f>IFERROR(__xludf.DUMMYFUNCTION("""COMPUTED_VALUE"""),"Make an Offer (Buyer)")</f>
        <v>Make an Offer (Buyer)</v>
      </c>
      <c r="C65" s="26" t="str">
        <f>IFERROR(__xludf.DUMMYFUNCTION("""COMPUTED_VALUE"""),"Schedule Page")</f>
        <v>Schedule Page</v>
      </c>
      <c r="D65" s="26" t="str">
        <f>IFERROR(__xludf.DUMMYFUNCTION("""COMPUTED_VALUE"""),"Verify that the time picker allows navigation beyond fixed time slots")</f>
        <v>Verify that the time picker allows navigation beyond fixed time slots</v>
      </c>
      <c r="E65" s="26" t="str">
        <f>IFERROR(__xludf.DUMMYFUNCTION("""COMPUTED_VALUE"""),"User is on Make an Offer(buyer) page and selects 'No' in 'Have you seen this property in person?'")</f>
        <v>User is on Make an Offer(buyer) page and selects 'No' in 'Have you seen this property in person?'</v>
      </c>
      <c r="F65" s="26" t="str">
        <f>IFERROR(__xludf.DUMMYFUNCTION("""COMPUTED_VALUE"""),"1. Navigate to Buyer → Make an Offer section 
2. Select 'No' for 'Have you seen this property in person?' 
3. Proceed to Schedule page 
4. Observe the time picker for navigation controls")</f>
        <v>1. Navigate to Buyer → Make an Offer section 
2. Select 'No' for 'Have you seen this property in person?' 
3. Proceed to Schedule page 
4. Observe the time picker for navigation controls</v>
      </c>
      <c r="G65" s="26" t="str">
        <f>IFERROR(__xludf.DUMMYFUNCTION("""COMPUTED_VALUE"""),"Have you seen this property in person? -&gt; NO")</f>
        <v>Have you seen this property in person? -&gt; NO</v>
      </c>
      <c r="H65" s="26" t="str">
        <f>IFERROR(__xludf.DUMMYFUNCTION("""COMPUTED_VALUE"""),"Time picker should allow navigation with Next (&gt;) and Previous (&lt;) icons to browse available time slots")</f>
        <v>Time picker should allow navigation with Next (&gt;) and Previous (&lt;) icons to browse available time slots</v>
      </c>
      <c r="I65" s="26" t="str">
        <f>IFERROR(__xludf.DUMMYFUNCTION("""COMPUTED_VALUE"""),"Only fixed time slots are shown; Next and Previous navigation icons are missing")</f>
        <v>Only fixed time slots are shown; Next and Previous navigation icons are missing</v>
      </c>
      <c r="J65" s="26" t="str">
        <f>IFERROR(__xludf.DUMMYFUNCTION("""COMPUTED_VALUE"""),"Fail")</f>
        <v>Fail</v>
      </c>
      <c r="K65" s="26" t="str">
        <f>IFERROR(__xludf.DUMMYFUNCTION("""COMPUTED_VALUE"""),"High")</f>
        <v>High</v>
      </c>
      <c r="L65" s="27" t="str">
        <f>IFERROR(__xludf.DUMMYFUNCTION("""COMPUTED_VALUE"""),"https://jam.dev/c/111e6c14-cf8a-4d63-ad9b-3008fdefc1bc")</f>
        <v>https://jam.dev/c/111e6c14-cf8a-4d63-ad9b-3008fdefc1bc</v>
      </c>
      <c r="M65" s="26"/>
      <c r="N65" s="26" t="str">
        <f>IFERROR(__xludf.DUMMYFUNCTION("""COMPUTED_VALUE"""),"Tahsin")</f>
        <v>Tahsin</v>
      </c>
      <c r="O65" s="26"/>
      <c r="P65" s="26"/>
      <c r="Q65" s="24"/>
      <c r="R65" s="24"/>
      <c r="S65" s="24"/>
      <c r="T65" s="24"/>
      <c r="U65" s="24"/>
      <c r="V65" s="24"/>
      <c r="W65" s="24"/>
      <c r="X65" s="24"/>
      <c r="Y65" s="24"/>
      <c r="Z65" s="24"/>
      <c r="AA65" s="24"/>
    </row>
    <row r="66">
      <c r="A66" s="25" t="s">
        <v>86</v>
      </c>
      <c r="B66" s="26" t="str">
        <f>IFERROR(__xludf.DUMMYFUNCTION("""COMPUTED_VALUE"""),"Make an Offer (Buyer’s Agent)")</f>
        <v>Make an Offer (Buyer’s Agent)</v>
      </c>
      <c r="C66" s="26" t="str">
        <f>IFERROR(__xludf.DUMMYFUNCTION("""COMPUTED_VALUE"""),"Agent Contact &amp; Quote Form")</f>
        <v>Agent Contact &amp; Quote Form</v>
      </c>
      <c r="D66" s="26" t="str">
        <f>IFERROR(__xludf.DUMMYFUNCTION("""COMPUTED_VALUE"""),"Verify that each input field is displayed as a single input box without extra nested box")</f>
        <v>Verify that each input field is displayed as a single input box without extra nested box</v>
      </c>
      <c r="E66" s="26" t="str">
        <f>IFERROR(__xludf.DUMMYFUNCTION("""COMPUTED_VALUE"""),"User is on Make an offer (Buyers agent) page and navigated to Agent Contact &amp; Quote Form page")</f>
        <v>User is on Make an offer (Buyers agent) page and navigated to Agent Contact &amp; Quote Form page</v>
      </c>
      <c r="F66" s="26" t="str">
        <f>IFERROR(__xludf.DUMMYFUNCTION("""COMPUTED_VALUE"""),"1. Navigate to Make an Offer section (Buyer's Agent)
2. Proceed until Agent Contact &amp; Quote Form page 
3. Observe all input fields")</f>
        <v>1. Navigate to Make an Offer section (Buyer's Agent)
2. Proceed until Agent Contact &amp; Quote Form page 
3. Observe all input fields</v>
      </c>
      <c r="G66" s="26" t="str">
        <f>IFERROR(__xludf.DUMMYFUNCTION("""COMPUTED_VALUE"""),"None")</f>
        <v>None</v>
      </c>
      <c r="H66" s="26" t="str">
        <f>IFERROR(__xludf.DUMMYFUNCTION("""COMPUTED_VALUE"""),"Each input field should be displayed as a single clean input box")</f>
        <v>Each input field should be displayed as a single clean input box</v>
      </c>
      <c r="I66" s="26" t="str">
        <f>IFERROR(__xludf.DUMMYFUNCTION("""COMPUTED_VALUE"""),"Each input field is shown with two boxes (nested), causing a duplicated field style")</f>
        <v>Each input field is shown with two boxes (nested), causing a duplicated field style</v>
      </c>
      <c r="J66" s="26" t="str">
        <f>IFERROR(__xludf.DUMMYFUNCTION("""COMPUTED_VALUE"""),"Fail")</f>
        <v>Fail</v>
      </c>
      <c r="K66" s="26" t="str">
        <f>IFERROR(__xludf.DUMMYFUNCTION("""COMPUTED_VALUE"""),"Medium")</f>
        <v>Medium</v>
      </c>
      <c r="L66" s="27" t="str">
        <f>IFERROR(__xludf.DUMMYFUNCTION("""COMPUTED_VALUE"""),"https://jam.dev/c/d6db5416-c92e-4bac-8f69-003309c3a483")</f>
        <v>https://jam.dev/c/d6db5416-c92e-4bac-8f69-003309c3a483</v>
      </c>
      <c r="M66" s="26"/>
      <c r="N66" s="26" t="str">
        <f>IFERROR(__xludf.DUMMYFUNCTION("""COMPUTED_VALUE"""),"Tahsin")</f>
        <v>Tahsin</v>
      </c>
      <c r="O66" s="26"/>
      <c r="P66" s="26"/>
      <c r="Q66" s="24"/>
      <c r="R66" s="24"/>
      <c r="S66" s="24"/>
      <c r="T66" s="24"/>
      <c r="U66" s="24"/>
      <c r="V66" s="24"/>
      <c r="W66" s="24"/>
      <c r="X66" s="24"/>
      <c r="Y66" s="24"/>
      <c r="Z66" s="24"/>
      <c r="AA66" s="24"/>
    </row>
    <row r="67">
      <c r="A67" s="25" t="s">
        <v>87</v>
      </c>
      <c r="B67" s="26" t="str">
        <f>IFERROR(__xludf.DUMMYFUNCTION("""COMPUTED_VALUE"""),"Make an Offer (Buyer’s Agent)")</f>
        <v>Make an Offer (Buyer’s Agent)</v>
      </c>
      <c r="C67" s="26" t="str">
        <f>IFERROR(__xludf.DUMMYFUNCTION("""COMPUTED_VALUE"""),"Agent Contact &amp; Quote Form")</f>
        <v>Agent Contact &amp; Quote Form</v>
      </c>
      <c r="D67" s="26" t="str">
        <f>IFERROR(__xludf.DUMMYFUNCTION("""COMPUTED_VALUE"""),"Verify that the full Agent Contact &amp; Quote Form including Submit button is visible on a single page without scrolling")</f>
        <v>Verify that the full Agent Contact &amp; Quote Form including Submit button is visible on a single page without scrolling</v>
      </c>
      <c r="E67" s="26" t="str">
        <f>IFERROR(__xludf.DUMMYFUNCTION("""COMPUTED_VALUE"""),"User is logged in as Buyer/Agent and navigated to Agent Contact &amp; Quote Form page")</f>
        <v>User is logged in as Buyer/Agent and navigated to Agent Contact &amp; Quote Form page</v>
      </c>
      <c r="F67" s="26" t="str">
        <f>IFERROR(__xludf.DUMMYFUNCTION("""COMPUTED_VALUE"""),"1. Navigate to Make an Offer section (Buyer's Agent) 
2. Proceed until Agent Contact &amp; Quote Form page 
3. Check visibility of the entire form and Submit button")</f>
        <v>1. Navigate to Make an Offer section (Buyer's Agent) 
2. Proceed until Agent Contact &amp; Quote Form page 
3. Check visibility of the entire form and Submit button</v>
      </c>
      <c r="G67" s="26" t="str">
        <f>IFERROR(__xludf.DUMMYFUNCTION("""COMPUTED_VALUE"""),"None")</f>
        <v>None</v>
      </c>
      <c r="H67" s="26" t="str">
        <f>IFERROR(__xludf.DUMMYFUNCTION("""COMPUTED_VALUE"""),"Entire form including Submit button should be visible without scrolling")</f>
        <v>Entire form including Submit button should be visible without scrolling</v>
      </c>
      <c r="I67" s="26" t="str">
        <f>IFERROR(__xludf.DUMMYFUNCTION("""COMPUTED_VALUE"""),"Form requires scrolling to access Submit button")</f>
        <v>Form requires scrolling to access Submit button</v>
      </c>
      <c r="J67" s="26" t="str">
        <f>IFERROR(__xludf.DUMMYFUNCTION("""COMPUTED_VALUE"""),"Fail")</f>
        <v>Fail</v>
      </c>
      <c r="K67" s="26" t="str">
        <f>IFERROR(__xludf.DUMMYFUNCTION("""COMPUTED_VALUE"""),"Medium")</f>
        <v>Medium</v>
      </c>
      <c r="L67" s="27" t="str">
        <f>IFERROR(__xludf.DUMMYFUNCTION("""COMPUTED_VALUE"""),"https://jam.dev/c/a50383eb-5752-4b22-a3f6-f125ad6ec2c6")</f>
        <v>https://jam.dev/c/a50383eb-5752-4b22-a3f6-f125ad6ec2c6</v>
      </c>
      <c r="M67" s="26"/>
      <c r="N67" s="26" t="str">
        <f>IFERROR(__xludf.DUMMYFUNCTION("""COMPUTED_VALUE"""),"Tahsin")</f>
        <v>Tahsin</v>
      </c>
      <c r="O67" s="26"/>
      <c r="P67" s="26"/>
      <c r="Q67" s="24"/>
      <c r="R67" s="24"/>
      <c r="S67" s="24"/>
      <c r="T67" s="24"/>
      <c r="U67" s="24"/>
      <c r="V67" s="24"/>
      <c r="W67" s="24"/>
      <c r="X67" s="24"/>
      <c r="Y67" s="24"/>
      <c r="Z67" s="24"/>
      <c r="AA67" s="24"/>
    </row>
    <row r="68">
      <c r="A68" s="25" t="s">
        <v>88</v>
      </c>
      <c r="B68" s="26" t="str">
        <f>IFERROR(__xludf.DUMMYFUNCTION("""COMPUTED_VALUE"""),"Make an Offer (Buyer’s Agent)")</f>
        <v>Make an Offer (Buyer’s Agent)</v>
      </c>
      <c r="C68" s="26" t="str">
        <f>IFERROR(__xludf.DUMMYFUNCTION("""COMPUTED_VALUE"""),"How will you finance this purchase?")</f>
        <v>How will you finance this purchase?</v>
      </c>
      <c r="D68" s="26" t="str">
        <f>IFERROR(__xludf.DUMMYFUNCTION("""COMPUTED_VALUE"""),"Verify that radio buttons are available for selecting options on 'How will you finance this purchase?' page")</f>
        <v>Verify that radio buttons are available for selecting options on 'How will you finance this purchase?' page</v>
      </c>
      <c r="E68" s="26" t="str">
        <f>IFERROR(__xludf.DUMMYFUNCTION("""COMPUTED_VALUE"""),"User is on Make an offer (Buyers agent) page and navigated to Agent Contact &amp; Quote Form page")</f>
        <v>User is on Make an offer (Buyers agent) page and navigated to Agent Contact &amp; Quote Form page</v>
      </c>
      <c r="F68" s="26" t="str">
        <f>IFERROR(__xludf.DUMMYFUNCTION("""COMPUTED_VALUE"""),"1. Navigate to Buyer’s Agent → Make an Offer section 
2. Proceed to 'How will you finance this purchase?' page 
3. Observe available option select visualization")</f>
        <v>1. Navigate to Buyer’s Agent → Make an Offer section 
2. Proceed to 'How will you finance this purchase?' page 
3. Observe available option select visualization</v>
      </c>
      <c r="G68" s="26" t="str">
        <f>IFERROR(__xludf.DUMMYFUNCTION("""COMPUTED_VALUE"""),"None")</f>
        <v>None</v>
      </c>
      <c r="H68" s="26" t="str">
        <f>IFERROR(__xludf.DUMMYFUNCTION("""COMPUTED_VALUE"""),"Options should include proper radio buttons for selecting Yes/No or equivalent choices")</f>
        <v>Options should include proper radio buttons for selecting Yes/No or equivalent choices</v>
      </c>
      <c r="I68" s="26" t="str">
        <f>IFERROR(__xludf.DUMMYFUNCTION("""COMPUTED_VALUE"""),"Radio buttons for selecting options are missing")</f>
        <v>Radio buttons for selecting options are missing</v>
      </c>
      <c r="J68" s="26" t="str">
        <f>IFERROR(__xludf.DUMMYFUNCTION("""COMPUTED_VALUE"""),"Fail")</f>
        <v>Fail</v>
      </c>
      <c r="K68" s="26" t="str">
        <f>IFERROR(__xludf.DUMMYFUNCTION("""COMPUTED_VALUE"""),"High")</f>
        <v>High</v>
      </c>
      <c r="L68" s="27" t="str">
        <f>IFERROR(__xludf.DUMMYFUNCTION("""COMPUTED_VALUE"""),"https://jam.dev/c/fba7c8eb-23cd-4f58-bbd3-2059c4aef7a6")</f>
        <v>https://jam.dev/c/fba7c8eb-23cd-4f58-bbd3-2059c4aef7a6</v>
      </c>
      <c r="M68" s="26"/>
      <c r="N68" s="26" t="str">
        <f>IFERROR(__xludf.DUMMYFUNCTION("""COMPUTED_VALUE"""),"Tahsin")</f>
        <v>Tahsin</v>
      </c>
      <c r="O68" s="26"/>
      <c r="P68" s="26"/>
      <c r="Q68" s="24"/>
      <c r="R68" s="24"/>
      <c r="S68" s="24"/>
      <c r="T68" s="24"/>
      <c r="U68" s="24"/>
      <c r="V68" s="24"/>
      <c r="W68" s="24"/>
      <c r="X68" s="24"/>
      <c r="Y68" s="24"/>
      <c r="Z68" s="24"/>
      <c r="AA68" s="24"/>
    </row>
    <row r="69">
      <c r="A69" s="25" t="s">
        <v>89</v>
      </c>
      <c r="B69" s="26" t="str">
        <f>IFERROR(__xludf.DUMMYFUNCTION("""COMPUTED_VALUE"""),"Registration")</f>
        <v>Registration</v>
      </c>
      <c r="C69" s="26" t="str">
        <f>IFERROR(__xludf.DUMMYFUNCTION("""COMPUTED_VALUE"""),"Form Buttons")</f>
        <v>Form Buttons</v>
      </c>
      <c r="D69" s="26" t="str">
        <f>IFERROR(__xludf.DUMMYFUNCTION("""COMPUTED_VALUE"""),"Verify that the registration button label matches client requirement")</f>
        <v>Verify that the registration button label matches client requirement</v>
      </c>
      <c r="E69" s="26" t="str">
        <f>IFERROR(__xludf.DUMMYFUNCTION("""COMPUTED_VALUE"""),"User is on the Registration page")</f>
        <v>User is on the Registration page</v>
      </c>
      <c r="F69" s="26" t="str">
        <f>IFERROR(__xludf.DUMMYFUNCTION("""COMPUTED_VALUE"""),"1. Navigate to Registration page 
2. Observe the label text on the registration button")</f>
        <v>1. Navigate to Registration page 
2. Observe the label text on the registration button</v>
      </c>
      <c r="G69" s="26" t="str">
        <f>IFERROR(__xludf.DUMMYFUNCTION("""COMPUTED_VALUE"""),"None")</f>
        <v>None</v>
      </c>
      <c r="H69" s="26" t="str">
        <f>IFERROR(__xludf.DUMMYFUNCTION("""COMPUTED_VALUE"""),"Button label should be 'Register' as per client requirement")</f>
        <v>Button label should be 'Register' as per client requirement</v>
      </c>
      <c r="I69" s="26" t="str">
        <f>IFERROR(__xludf.DUMMYFUNCTION("""COMPUTED_VALUE"""),"Button label is 'Sign Up' instead of 'Register'")</f>
        <v>Button label is 'Sign Up' instead of 'Register'</v>
      </c>
      <c r="J69" s="26" t="str">
        <f>IFERROR(__xludf.DUMMYFUNCTION("""COMPUTED_VALUE"""),"Fail")</f>
        <v>Fail</v>
      </c>
      <c r="K69" s="26" t="str">
        <f>IFERROR(__xludf.DUMMYFUNCTION("""COMPUTED_VALUE"""),"Low")</f>
        <v>Low</v>
      </c>
      <c r="L69" s="27" t="str">
        <f>IFERROR(__xludf.DUMMYFUNCTION("""COMPUTED_VALUE"""),"https://jam.dev/c/00c543ca-2e4d-4439-96e0-29eec3b53dcc")</f>
        <v>https://jam.dev/c/00c543ca-2e4d-4439-96e0-29eec3b53dcc</v>
      </c>
      <c r="M69" s="26"/>
      <c r="N69" s="26" t="str">
        <f>IFERROR(__xludf.DUMMYFUNCTION("""COMPUTED_VALUE"""),"Tahsin")</f>
        <v>Tahsin</v>
      </c>
      <c r="O69" s="26"/>
      <c r="P69" s="26"/>
      <c r="Q69" s="24"/>
      <c r="R69" s="24"/>
      <c r="S69" s="24"/>
      <c r="T69" s="24"/>
      <c r="U69" s="24"/>
      <c r="V69" s="24"/>
      <c r="W69" s="24"/>
      <c r="X69" s="24"/>
      <c r="Y69" s="24"/>
      <c r="Z69" s="24"/>
      <c r="AA69" s="24"/>
    </row>
    <row r="70">
      <c r="A70" s="25" t="s">
        <v>90</v>
      </c>
      <c r="B70" s="26" t="str">
        <f>IFERROR(__xludf.DUMMYFUNCTION("""COMPUTED_VALUE"""),"Registration")</f>
        <v>Registration</v>
      </c>
      <c r="C70" s="26" t="str">
        <f>IFERROR(__xludf.DUMMYFUNCTION("""COMPUTED_VALUE"""),"Form Design")</f>
        <v>Form Design</v>
      </c>
      <c r="D70" s="26" t="str">
        <f>IFERROR(__xludf.DUMMYFUNCTION("""COMPUTED_VALUE"""),"Verify that the registration form box uses proper font size and looks visually appealing")</f>
        <v>Verify that the registration form box uses proper font size and looks visually appealing</v>
      </c>
      <c r="E70" s="26" t="str">
        <f>IFERROR(__xludf.DUMMYFUNCTION("""COMPUTED_VALUE"""),"User is on the Registration page")</f>
        <v>User is on the Registration page</v>
      </c>
      <c r="F70" s="26" t="str">
        <f>IFERROR(__xludf.DUMMYFUNCTION("""COMPUTED_VALUE"""),"1. Navigate to Registration page 
2. Observe the registration form box text and overall design")</f>
        <v>1. Navigate to Registration page 
2. Observe the registration form box text and overall design</v>
      </c>
      <c r="G70" s="26" t="str">
        <f>IFERROR(__xludf.DUMMYFUNCTION("""COMPUTED_VALUE"""),"None")</f>
        <v>None</v>
      </c>
      <c r="H70" s="26" t="str">
        <f>IFERROR(__xludf.DUMMYFUNCTION("""COMPUTED_VALUE"""),"Form box should look attractive and follow client-approved design with readable font size")</f>
        <v>Form box should look attractive and follow client-approved design with readable font size</v>
      </c>
      <c r="I70" s="26" t="str">
        <f>IFERROR(__xludf.DUMMYFUNCTION("""COMPUTED_VALUE"""),"Text in form box looks unattractive; font size is too small and not eye catching")</f>
        <v>Text in form box looks unattractive; font size is too small and not eye catching</v>
      </c>
      <c r="J70" s="26" t="str">
        <f>IFERROR(__xludf.DUMMYFUNCTION("""COMPUTED_VALUE"""),"Fail")</f>
        <v>Fail</v>
      </c>
      <c r="K70" s="26" t="str">
        <f>IFERROR(__xludf.DUMMYFUNCTION("""COMPUTED_VALUE"""),"Medium")</f>
        <v>Medium</v>
      </c>
      <c r="L70" s="27" t="str">
        <f>IFERROR(__xludf.DUMMYFUNCTION("""COMPUTED_VALUE"""),"https://jam.dev/c/937d9f9d-9e8a-4325-bc52-ea98c72c3c53")</f>
        <v>https://jam.dev/c/937d9f9d-9e8a-4325-bc52-ea98c72c3c53</v>
      </c>
      <c r="M70" s="26"/>
      <c r="N70" s="26" t="str">
        <f>IFERROR(__xludf.DUMMYFUNCTION("""COMPUTED_VALUE"""),"Tahsin")</f>
        <v>Tahsin</v>
      </c>
      <c r="O70" s="26"/>
      <c r="P70" s="26"/>
      <c r="Q70" s="24"/>
      <c r="R70" s="24"/>
      <c r="S70" s="24"/>
      <c r="T70" s="24"/>
      <c r="U70" s="24"/>
      <c r="V70" s="24"/>
      <c r="W70" s="24"/>
      <c r="X70" s="24"/>
      <c r="Y70" s="24"/>
      <c r="Z70" s="24"/>
      <c r="AA70" s="24"/>
    </row>
    <row r="71">
      <c r="A71" s="25" t="s">
        <v>91</v>
      </c>
      <c r="B71" s="26" t="str">
        <f>IFERROR(__xludf.DUMMYFUNCTION("""COMPUTED_VALUE"""),"Registration")</f>
        <v>Registration</v>
      </c>
      <c r="C71" s="26" t="str">
        <f>IFERROR(__xludf.DUMMYFUNCTION("""COMPUTED_VALUE"""),"Form Design")</f>
        <v>Form Design</v>
      </c>
      <c r="D71" s="26" t="str">
        <f>IFERROR(__xludf.DUMMYFUNCTION("""COMPUTED_VALUE"""),"Verify that the supporting sentence under 'Create Your Listlly Account' matches client requirement")</f>
        <v>Verify that the supporting sentence under 'Create Your Listlly Account' matches client requirement</v>
      </c>
      <c r="E71" s="26" t="str">
        <f>IFERROR(__xludf.DUMMYFUNCTION("""COMPUTED_VALUE"""),"User is on the Registration page")</f>
        <v>User is on the Registration page</v>
      </c>
      <c r="F71" s="26" t="str">
        <f>IFERROR(__xludf.DUMMYFUNCTION("""COMPUTED_VALUE"""),"1. Navigate to Registration page 
2. Observe the supporting sentence under 'Create Your Listlly Account' heading")</f>
        <v>1. Navigate to Registration page 
2. Observe the supporting sentence under 'Create Your Listlly Account' heading</v>
      </c>
      <c r="G71" s="26" t="str">
        <f>IFERROR(__xludf.DUMMYFUNCTION("""COMPUTED_VALUE"""),"None")</f>
        <v>None</v>
      </c>
      <c r="H71" s="26" t="str">
        <f>IFERROR(__xludf.DUMMYFUNCTION("""COMPUTED_VALUE"""),"Supporting sentence should exactly match the client-approved text")</f>
        <v>Supporting sentence should exactly match the client-approved text</v>
      </c>
      <c r="I71" s="26" t="str">
        <f>IFERROR(__xludf.DUMMYFUNCTION("""COMPUTED_VALUE"""),"Supporting sentence does not match client requirement")</f>
        <v>Supporting sentence does not match client requirement</v>
      </c>
      <c r="J71" s="26" t="str">
        <f>IFERROR(__xludf.DUMMYFUNCTION("""COMPUTED_VALUE"""),"Fail")</f>
        <v>Fail</v>
      </c>
      <c r="K71" s="26" t="str">
        <f>IFERROR(__xludf.DUMMYFUNCTION("""COMPUTED_VALUE"""),"Medium")</f>
        <v>Medium</v>
      </c>
      <c r="L71" s="27" t="str">
        <f>IFERROR(__xludf.DUMMYFUNCTION("""COMPUTED_VALUE"""),"https://jam.dev/c/ecb081b7-714a-4ced-bc97-419427592695")</f>
        <v>https://jam.dev/c/ecb081b7-714a-4ced-bc97-419427592695</v>
      </c>
      <c r="M71" s="26"/>
      <c r="N71" s="26" t="str">
        <f>IFERROR(__xludf.DUMMYFUNCTION("""COMPUTED_VALUE"""),"Tahsin")</f>
        <v>Tahsin</v>
      </c>
      <c r="O71" s="26"/>
      <c r="P71" s="26"/>
      <c r="Q71" s="24"/>
      <c r="R71" s="24"/>
      <c r="S71" s="24"/>
      <c r="T71" s="24"/>
      <c r="U71" s="24"/>
      <c r="V71" s="24"/>
      <c r="W71" s="24"/>
      <c r="X71" s="24"/>
      <c r="Y71" s="24"/>
      <c r="Z71" s="24"/>
      <c r="AA71" s="24"/>
    </row>
    <row r="72">
      <c r="A72" s="25" t="s">
        <v>92</v>
      </c>
      <c r="B72" s="26" t="str">
        <f>IFERROR(__xludf.DUMMYFUNCTION("""COMPUTED_VALUE"""),"Registration")</f>
        <v>Registration</v>
      </c>
      <c r="C72" s="26" t="str">
        <f>IFERROR(__xludf.DUMMYFUNCTION("""COMPUTED_VALUE"""),"Form Section")</f>
        <v>Form Section</v>
      </c>
      <c r="D72" s="26" t="str">
        <f>IFERROR(__xludf.DUMMYFUNCTION("""COMPUTED_VALUE"""),"Verify that the sentence 'By signing up, you agree with our Terms of service and privacy policy' is displayed below the Register button")</f>
        <v>Verify that the sentence 'By signing up, you agree with our Terms of service and privacy policy' is displayed below the Register button</v>
      </c>
      <c r="E72" s="26" t="str">
        <f>IFERROR(__xludf.DUMMYFUNCTION("""COMPUTED_VALUE"""),"User is on the Registration page")</f>
        <v>User is on the Registration page</v>
      </c>
      <c r="F72" s="26" t="str">
        <f>IFERROR(__xludf.DUMMYFUNCTION("""COMPUTED_VALUE"""),"1. Navigate to Registration page 
2. Observe the area below the Register button")</f>
        <v>1. Navigate to Registration page 
2. Observe the area below the Register button</v>
      </c>
      <c r="G72" s="26" t="str">
        <f>IFERROR(__xludf.DUMMYFUNCTION("""COMPUTED_VALUE"""),"None")</f>
        <v>None</v>
      </c>
      <c r="H72" s="26" t="str">
        <f>IFERROR(__xludf.DUMMYFUNCTION("""COMPUTED_VALUE"""),"Sentence should be visible just below the Register button")</f>
        <v>Sentence should be visible just below the Register button</v>
      </c>
      <c r="I72" s="26" t="str">
        <f>IFERROR(__xludf.DUMMYFUNCTION("""COMPUTED_VALUE"""),"Missing sentence below the Register button")</f>
        <v>Missing sentence below the Register button</v>
      </c>
      <c r="J72" s="26" t="str">
        <f>IFERROR(__xludf.DUMMYFUNCTION("""COMPUTED_VALUE"""),"Fail")</f>
        <v>Fail</v>
      </c>
      <c r="K72" s="26" t="str">
        <f>IFERROR(__xludf.DUMMYFUNCTION("""COMPUTED_VALUE"""),"High")</f>
        <v>High</v>
      </c>
      <c r="L72" s="27" t="str">
        <f>IFERROR(__xludf.DUMMYFUNCTION("""COMPUTED_VALUE"""),"https://jam.dev/c/6a329dc2-c9d6-4a9a-b933-233f4c3bac8d")</f>
        <v>https://jam.dev/c/6a329dc2-c9d6-4a9a-b933-233f4c3bac8d</v>
      </c>
      <c r="M72" s="26"/>
      <c r="N72" s="26" t="str">
        <f>IFERROR(__xludf.DUMMYFUNCTION("""COMPUTED_VALUE"""),"Tahsin")</f>
        <v>Tahsin</v>
      </c>
      <c r="O72" s="26"/>
      <c r="P72" s="26"/>
      <c r="Q72" s="24"/>
      <c r="R72" s="24"/>
      <c r="S72" s="24"/>
      <c r="T72" s="24"/>
      <c r="U72" s="24"/>
      <c r="V72" s="24"/>
      <c r="W72" s="24"/>
      <c r="X72" s="24"/>
      <c r="Y72" s="24"/>
      <c r="Z72" s="24"/>
      <c r="AA72" s="24"/>
    </row>
    <row r="73">
      <c r="A73" s="25" t="s">
        <v>93</v>
      </c>
      <c r="B73" s="26" t="str">
        <f>IFERROR(__xludf.DUMMYFUNCTION("""COMPUTED_VALUE"""),"Registration")</f>
        <v>Registration</v>
      </c>
      <c r="C73" s="26" t="str">
        <f>IFERROR(__xludf.DUMMYFUNCTION("""COMPUTED_VALUE"""),"Form Section")</f>
        <v>Form Section</v>
      </c>
      <c r="D73" s="26" t="str">
        <f>IFERROR(__xludf.DUMMYFUNCTION("""COMPUTED_VALUE"""),"Verify that the 'Register' button for Partner/Vendor/Agent with text 'If you are a partner/vendor/agent, please register' is displayed above Full Name field")</f>
        <v>Verify that the 'Register' button for Partner/Vendor/Agent with text 'If you are a partner/vendor/agent, please register' is displayed above Full Name field</v>
      </c>
      <c r="E73" s="26" t="str">
        <f>IFERROR(__xludf.DUMMYFUNCTION("""COMPUTED_VALUE"""),"User is on the Registration page")</f>
        <v>User is on the Registration page</v>
      </c>
      <c r="F73" s="26" t="str">
        <f>IFERROR(__xludf.DUMMYFUNCTION("""COMPUTED_VALUE"""),"1. Navigate to Registration page
 2. Observe the form section above Full Name field")</f>
        <v>1. Navigate to Registration page
 2. Observe the form section above Full Name field</v>
      </c>
      <c r="G73" s="26" t="str">
        <f>IFERROR(__xludf.DUMMYFUNCTION("""COMPUTED_VALUE"""),"None")</f>
        <v>None</v>
      </c>
      <c r="H73" s="26" t="str">
        <f>IFERROR(__xludf.DUMMYFUNCTION("""COMPUTED_VALUE"""),"Button and supporting text should be visible above Full Name field")</f>
        <v>Button and supporting text should be visible above Full Name field</v>
      </c>
      <c r="I73" s="26" t="str">
        <f>IFERROR(__xludf.DUMMYFUNCTION("""COMPUTED_VALUE"""),"Missing Partner/Vendor/Agent Register button and supporting text")</f>
        <v>Missing Partner/Vendor/Agent Register button and supporting text</v>
      </c>
      <c r="J73" s="26" t="str">
        <f>IFERROR(__xludf.DUMMYFUNCTION("""COMPUTED_VALUE"""),"Fail")</f>
        <v>Fail</v>
      </c>
      <c r="K73" s="26" t="str">
        <f>IFERROR(__xludf.DUMMYFUNCTION("""COMPUTED_VALUE"""),"High")</f>
        <v>High</v>
      </c>
      <c r="L73" s="27" t="str">
        <f>IFERROR(__xludf.DUMMYFUNCTION("""COMPUTED_VALUE"""),"https://jam.dev/c/a397689e-c865-4b43-b170-8226720c4605")</f>
        <v>https://jam.dev/c/a397689e-c865-4b43-b170-8226720c4605</v>
      </c>
      <c r="M73" s="26"/>
      <c r="N73" s="26" t="str">
        <f>IFERROR(__xludf.DUMMYFUNCTION("""COMPUTED_VALUE"""),"Tahsin")</f>
        <v>Tahsin</v>
      </c>
      <c r="O73" s="26"/>
      <c r="P73" s="26"/>
      <c r="Q73" s="24"/>
      <c r="R73" s="24"/>
      <c r="S73" s="24"/>
      <c r="T73" s="24"/>
      <c r="U73" s="24"/>
      <c r="V73" s="24"/>
      <c r="W73" s="24"/>
      <c r="X73" s="24"/>
      <c r="Y73" s="24"/>
      <c r="Z73" s="24"/>
      <c r="AA73" s="24"/>
    </row>
    <row r="74">
      <c r="A74" s="25" t="s">
        <v>94</v>
      </c>
      <c r="B74" s="26" t="str">
        <f>IFERROR(__xludf.DUMMYFUNCTION("""COMPUTED_VALUE"""),"Registration")</f>
        <v>Registration</v>
      </c>
      <c r="C74" s="26" t="str">
        <f>IFERROR(__xludf.DUMMYFUNCTION("""COMPUTED_VALUE"""),"Page Layout")</f>
        <v>Page Layout</v>
      </c>
      <c r="D74" s="26" t="str">
        <f>IFERROR(__xludf.DUMMYFUNCTION("""COMPUTED_VALUE"""),"Verify that the left-side image maintains correct aspect ratio on Registration page")</f>
        <v>Verify that the left-side image maintains correct aspect ratio on Registration page</v>
      </c>
      <c r="E74" s="26" t="str">
        <f>IFERROR(__xludf.DUMMYFUNCTION("""COMPUTED_VALUE"""),"User is on the Registration page")</f>
        <v>User is on the Registration page</v>
      </c>
      <c r="F74" s="26" t="str">
        <f>IFERROR(__xludf.DUMMYFUNCTION("""COMPUTED_VALUE"""),"1. Navigate to Registration page 
2. Observe the left-side image displayed")</f>
        <v>1. Navigate to Registration page 
2. Observe the left-side image displayed</v>
      </c>
      <c r="G74" s="26" t="str">
        <f>IFERROR(__xludf.DUMMYFUNCTION("""COMPUTED_VALUE"""),"None")</f>
        <v>None</v>
      </c>
      <c r="H74" s="26" t="str">
        <f>IFERROR(__xludf.DUMMYFUNCTION("""COMPUTED_VALUE"""),"Image should maintain proper aspect ratio and not appear stretched or compressed")</f>
        <v>Image should maintain proper aspect ratio and not appear stretched or compressed</v>
      </c>
      <c r="I74" s="26" t="str">
        <f>IFERROR(__xludf.DUMMYFUNCTION("""COMPUTED_VALUE"""),"Image on the left side is distorted and ratio is incorrect")</f>
        <v>Image on the left side is distorted and ratio is incorrect</v>
      </c>
      <c r="J74" s="26" t="str">
        <f>IFERROR(__xludf.DUMMYFUNCTION("""COMPUTED_VALUE"""),"Fail")</f>
        <v>Fail</v>
      </c>
      <c r="K74" s="26" t="str">
        <f>IFERROR(__xludf.DUMMYFUNCTION("""COMPUTED_VALUE"""),"Medium")</f>
        <v>Medium</v>
      </c>
      <c r="L74" s="27" t="str">
        <f>IFERROR(__xludf.DUMMYFUNCTION("""COMPUTED_VALUE"""),"https://jam.dev/c/290028c9-c619-45b7-9f89-dda4e3d05439")</f>
        <v>https://jam.dev/c/290028c9-c619-45b7-9f89-dda4e3d05439</v>
      </c>
      <c r="M74" s="26"/>
      <c r="N74" s="26" t="str">
        <f>IFERROR(__xludf.DUMMYFUNCTION("""COMPUTED_VALUE"""),"Tahsin")</f>
        <v>Tahsin</v>
      </c>
      <c r="O74" s="26"/>
      <c r="P74" s="26"/>
      <c r="Q74" s="24"/>
      <c r="R74" s="24"/>
      <c r="S74" s="24"/>
      <c r="T74" s="24"/>
      <c r="U74" s="24"/>
      <c r="V74" s="24"/>
      <c r="W74" s="24"/>
      <c r="X74" s="24"/>
      <c r="Y74" s="24"/>
      <c r="Z74" s="24"/>
      <c r="AA74" s="24"/>
    </row>
    <row r="75">
      <c r="A75" s="25" t="s">
        <v>95</v>
      </c>
      <c r="B75" s="26" t="str">
        <f>IFERROR(__xludf.DUMMYFUNCTION("""COMPUTED_VALUE"""),"Registration")</f>
        <v>Registration</v>
      </c>
      <c r="C75" s="26" t="str">
        <f>IFERROR(__xludf.DUMMYFUNCTION("""COMPUTED_VALUE"""),"Page Layout")</f>
        <v>Page Layout</v>
      </c>
      <c r="D75" s="26" t="str">
        <f>IFERROR(__xludf.DUMMYFUNCTION("""COMPUTED_VALUE"""),"Verify that the left-side image matches client requirement on Registration page")</f>
        <v>Verify that the left-side image matches client requirement on Registration page</v>
      </c>
      <c r="E75" s="26" t="str">
        <f>IFERROR(__xludf.DUMMYFUNCTION("""COMPUTED_VALUE"""),"User is on the Registration page")</f>
        <v>User is on the Registration page</v>
      </c>
      <c r="F75" s="26" t="str">
        <f>IFERROR(__xludf.DUMMYFUNCTION("""COMPUTED_VALUE"""),"1. Navigate to Registration page 
2. Observe the left-side image displayed")</f>
        <v>1. Navigate to Registration page 
2. Observe the left-side image displayed</v>
      </c>
      <c r="G75" s="26" t="str">
        <f>IFERROR(__xludf.DUMMYFUNCTION("""COMPUTED_VALUE"""),"None")</f>
        <v>None</v>
      </c>
      <c r="H75" s="26" t="str">
        <f>IFERROR(__xludf.DUMMYFUNCTION("""COMPUTED_VALUE"""),"Image should match the client-approved design and requirement")</f>
        <v>Image should match the client-approved design and requirement</v>
      </c>
      <c r="I75" s="26" t="str">
        <f>IFERROR(__xludf.DUMMYFUNCTION("""COMPUTED_VALUE"""),"Image shown on the left side is different from client requirement")</f>
        <v>Image shown on the left side is different from client requirement</v>
      </c>
      <c r="J75" s="26" t="str">
        <f>IFERROR(__xludf.DUMMYFUNCTION("""COMPUTED_VALUE"""),"Fail")</f>
        <v>Fail</v>
      </c>
      <c r="K75" s="26" t="str">
        <f>IFERROR(__xludf.DUMMYFUNCTION("""COMPUTED_VALUE"""),"Medium")</f>
        <v>Medium</v>
      </c>
      <c r="L75" s="27" t="str">
        <f>IFERROR(__xludf.DUMMYFUNCTION("""COMPUTED_VALUE"""),"https://jam.dev/c/6d1dd6c8-9490-4bfe-95b5-f2f8da178a7a")</f>
        <v>https://jam.dev/c/6d1dd6c8-9490-4bfe-95b5-f2f8da178a7a</v>
      </c>
      <c r="M75" s="26"/>
      <c r="N75" s="26" t="str">
        <f>IFERROR(__xludf.DUMMYFUNCTION("""COMPUTED_VALUE"""),"Tahsin")</f>
        <v>Tahsin</v>
      </c>
      <c r="O75" s="26"/>
      <c r="P75" s="26"/>
      <c r="Q75" s="24"/>
      <c r="R75" s="24"/>
      <c r="S75" s="24"/>
      <c r="T75" s="24"/>
      <c r="U75" s="24"/>
      <c r="V75" s="24"/>
      <c r="W75" s="24"/>
      <c r="X75" s="24"/>
      <c r="Y75" s="24"/>
      <c r="Z75" s="24"/>
      <c r="AA75" s="24"/>
    </row>
    <row r="76">
      <c r="A76" s="25" t="s">
        <v>96</v>
      </c>
      <c r="B76" s="26" t="str">
        <f>IFERROR(__xludf.DUMMYFUNCTION("""COMPUTED_VALUE"""),"Registration")</f>
        <v>Registration</v>
      </c>
      <c r="C76" s="26" t="str">
        <f>IFERROR(__xludf.DUMMYFUNCTION("""COMPUTED_VALUE"""),"Page Layout")</f>
        <v>Page Layout</v>
      </c>
      <c r="D76" s="26" t="str">
        <f>IFERROR(__xludf.DUMMYFUNCTION("""COMPUTED_VALUE"""),"Verify that the gap between left-side image and registration form matches client requirement")</f>
        <v>Verify that the gap between left-side image and registration form matches client requirement</v>
      </c>
      <c r="E76" s="26" t="str">
        <f>IFERROR(__xludf.DUMMYFUNCTION("""COMPUTED_VALUE"""),"User is on the Registration page")</f>
        <v>User is on the Registration page</v>
      </c>
      <c r="F76" s="26" t="str">
        <f>IFERROR(__xludf.DUMMYFUNCTION("""COMPUTED_VALUE"""),"1. Navigate to Registration page 
2. Observe the spacing between left-side image and registration form box")</f>
        <v>1. Navigate to Registration page 
2. Observe the spacing between left-side image and registration form box</v>
      </c>
      <c r="G76" s="26" t="str">
        <f>IFERROR(__xludf.DUMMYFUNCTION("""COMPUTED_VALUE"""),"None")</f>
        <v>None</v>
      </c>
      <c r="H76" s="26" t="str">
        <f>IFERROR(__xludf.DUMMYFUNCTION("""COMPUTED_VALUE"""),"Gap between image and form box should be minimal and aligned with client-approved design")</f>
        <v>Gap between image and form box should be minimal and aligned with client-approved design</v>
      </c>
      <c r="I76" s="26" t="str">
        <f>IFERROR(__xludf.DUMMYFUNCTION("""COMPUTED_VALUE"""),"Gap is larger/incorrect compared to client requirement")</f>
        <v>Gap is larger/incorrect compared to client requirement</v>
      </c>
      <c r="J76" s="26" t="str">
        <f>IFERROR(__xludf.DUMMYFUNCTION("""COMPUTED_VALUE"""),"Fail")</f>
        <v>Fail</v>
      </c>
      <c r="K76" s="26" t="str">
        <f>IFERROR(__xludf.DUMMYFUNCTION("""COMPUTED_VALUE"""),"Medium")</f>
        <v>Medium</v>
      </c>
      <c r="L76" s="27" t="str">
        <f>IFERROR(__xludf.DUMMYFUNCTION("""COMPUTED_VALUE"""),"https://jam.dev/c/867bc45d-8a50-44a1-8d3f-4ff390858aa7")</f>
        <v>https://jam.dev/c/867bc45d-8a50-44a1-8d3f-4ff390858aa7</v>
      </c>
      <c r="M76" s="26"/>
      <c r="N76" s="26" t="str">
        <f>IFERROR(__xludf.DUMMYFUNCTION("""COMPUTED_VALUE"""),"Tahsin")</f>
        <v>Tahsin</v>
      </c>
      <c r="O76" s="26"/>
      <c r="P76" s="26"/>
      <c r="Q76" s="24"/>
      <c r="R76" s="24"/>
      <c r="S76" s="24"/>
      <c r="T76" s="24"/>
      <c r="U76" s="24"/>
      <c r="V76" s="24"/>
      <c r="W76" s="24"/>
      <c r="X76" s="24"/>
      <c r="Y76" s="24"/>
      <c r="Z76" s="24"/>
      <c r="AA76" s="24"/>
    </row>
    <row r="77">
      <c r="A77" s="25" t="s">
        <v>97</v>
      </c>
      <c r="B77" s="26" t="str">
        <f>IFERROR(__xludf.DUMMYFUNCTION("""COMPUTED_VALUE"""),"Sell")</f>
        <v>Sell</v>
      </c>
      <c r="C77" s="26" t="str">
        <f>IFERROR(__xludf.DUMMYFUNCTION("""COMPUTED_VALUE"""),"Flat Fee MLS")</f>
        <v>Flat Fee MLS</v>
      </c>
      <c r="D77" s="26" t="str">
        <f>IFERROR(__xludf.DUMMYFUNCTION("""COMPUTED_VALUE"""),"Verify that 'Recent Sales Properties' section appears immediately after 'Flat Fee MLS' without excessive gap")</f>
        <v>Verify that 'Recent Sales Properties' section appears immediately after 'Flat Fee MLS' without excessive gap</v>
      </c>
      <c r="E77" s="26" t="str">
        <f>IFERROR(__xludf.DUMMYFUNCTION("""COMPUTED_VALUE"""),"User is on Sell → Flat Fee MLS section")</f>
        <v>User is on Sell → Flat Fee MLS section</v>
      </c>
      <c r="F77" s="26" t="str">
        <f>IFERROR(__xludf.DUMMYFUNCTION("""COMPUTED_VALUE"""),"1. Navigate to Sell → Flat Fee MLS section 
2. Scroll through the page 
3. Observe placement of 'Recent Sales Properties' section")</f>
        <v>1. Navigate to Sell → Flat Fee MLS section 
2. Scroll through the page 
3. Observe placement of 'Recent Sales Properties' section</v>
      </c>
      <c r="G77" s="26" t="str">
        <f>IFERROR(__xludf.DUMMYFUNCTION("""COMPUTED_VALUE"""),"None")</f>
        <v>None</v>
      </c>
      <c r="H77" s="26" t="str">
        <f>IFERROR(__xludf.DUMMYFUNCTION("""COMPUTED_VALUE"""),"Recent Sales Properties' should appear just after 'Flat Fee MLS' content without excessive gap")</f>
        <v>Recent Sales Properties' should appear just after 'Flat Fee MLS' content without excessive gap</v>
      </c>
      <c r="I77" s="26" t="str">
        <f>IFERROR(__xludf.DUMMYFUNCTION("""COMPUTED_VALUE"""),"Recent Sales Properties' appears on the next page with a large gap from 'Flat Fee MLS'")</f>
        <v>Recent Sales Properties' appears on the next page with a large gap from 'Flat Fee MLS'</v>
      </c>
      <c r="J77" s="26" t="str">
        <f>IFERROR(__xludf.DUMMYFUNCTION("""COMPUTED_VALUE"""),"Fail")</f>
        <v>Fail</v>
      </c>
      <c r="K77" s="26" t="str">
        <f>IFERROR(__xludf.DUMMYFUNCTION("""COMPUTED_VALUE"""),"Medium")</f>
        <v>Medium</v>
      </c>
      <c r="L77" s="27" t="str">
        <f>IFERROR(__xludf.DUMMYFUNCTION("""COMPUTED_VALUE"""),"https://jam.dev/c/385e4042-dc11-4b2d-a4e1-6ad9d00b6fed")</f>
        <v>https://jam.dev/c/385e4042-dc11-4b2d-a4e1-6ad9d00b6fed</v>
      </c>
      <c r="M77" s="26"/>
      <c r="N77" s="26" t="str">
        <f>IFERROR(__xludf.DUMMYFUNCTION("""COMPUTED_VALUE"""),"Tahsin")</f>
        <v>Tahsin</v>
      </c>
      <c r="O77" s="26"/>
      <c r="P77" s="26"/>
      <c r="Q77" s="24"/>
      <c r="R77" s="24"/>
      <c r="S77" s="24"/>
      <c r="T77" s="24"/>
      <c r="U77" s="24"/>
      <c r="V77" s="24"/>
      <c r="W77" s="24"/>
      <c r="X77" s="24"/>
      <c r="Y77" s="24"/>
      <c r="Z77" s="24"/>
      <c r="AA77" s="24"/>
    </row>
    <row r="78">
      <c r="A78" s="25" t="s">
        <v>98</v>
      </c>
      <c r="B78" s="26" t="str">
        <f>IFERROR(__xludf.DUMMYFUNCTION("""COMPUTED_VALUE"""),"Sell")</f>
        <v>Sell</v>
      </c>
      <c r="C78" s="26" t="str">
        <f>IFERROR(__xludf.DUMMYFUNCTION("""COMPUTED_VALUE"""),"Flat Fee MLS")</f>
        <v>Flat Fee MLS</v>
      </c>
      <c r="D78" s="26" t="str">
        <f>IFERROR(__xludf.DUMMYFUNCTION("""COMPUTED_VALUE"""),"Verify that 'Buying before selling? Find a home for sell' section is displayed after 'Is It the Right Time to Sell Your House?' section")</f>
        <v>Verify that 'Buying before selling? Find a home for sell' section is displayed after 'Is It the Right Time to Sell Your House?' section</v>
      </c>
      <c r="E78" s="26" t="str">
        <f>IFERROR(__xludf.DUMMYFUNCTION("""COMPUTED_VALUE"""),"User is on Sell page and scrolls past 'Is It the Right Time to Sell Your House?' section")</f>
        <v>User is on Sell page and scrolls past 'Is It the Right Time to Sell Your House?' section</v>
      </c>
      <c r="F78" s="26" t="str">
        <f>IFERROR(__xludf.DUMMYFUNCTION("""COMPUTED_VALUE"""),"1. Navigate to Sell → Flat Fee MLS Section 
2. Scroll to 'Is It the Right Time to Sell Your House?' section 
3. Check if 'Buying before selling? Find a home for sell' section appears immediately after")</f>
        <v>1. Navigate to Sell → Flat Fee MLS Section 
2. Scroll to 'Is It the Right Time to Sell Your House?' section 
3. Check if 'Buying before selling? Find a home for sell' section appears immediately after</v>
      </c>
      <c r="G78" s="26" t="str">
        <f>IFERROR(__xludf.DUMMYFUNCTION("""COMPUTED_VALUE"""),"None")</f>
        <v>None</v>
      </c>
      <c r="H78" s="26" t="str">
        <f>IFERROR(__xludf.DUMMYFUNCTION("""COMPUTED_VALUE"""),"Buying before selling? Find a home for sell' section should be displayed right after 'Is It the Right Time to Sell Your House?' section")</f>
        <v>Buying before selling? Find a home for sell' section should be displayed right after 'Is It the Right Time to Sell Your House?' section</v>
      </c>
      <c r="I78" s="26" t="str">
        <f>IFERROR(__xludf.DUMMYFUNCTION("""COMPUTED_VALUE"""),"Section is missing from the page")</f>
        <v>Section is missing from the page</v>
      </c>
      <c r="J78" s="26" t="str">
        <f>IFERROR(__xludf.DUMMYFUNCTION("""COMPUTED_VALUE"""),"Fail")</f>
        <v>Fail</v>
      </c>
      <c r="K78" s="26" t="str">
        <f>IFERROR(__xludf.DUMMYFUNCTION("""COMPUTED_VALUE"""),"High")</f>
        <v>High</v>
      </c>
      <c r="L78" s="27" t="str">
        <f>IFERROR(__xludf.DUMMYFUNCTION("""COMPUTED_VALUE"""),"https://jam.dev/c/c3ccc61a-cb7b-4fcb-896a-5badb2c2821f")</f>
        <v>https://jam.dev/c/c3ccc61a-cb7b-4fcb-896a-5badb2c2821f</v>
      </c>
      <c r="M78" s="26"/>
      <c r="N78" s="26" t="str">
        <f>IFERROR(__xludf.DUMMYFUNCTION("""COMPUTED_VALUE"""),"Tahsin")</f>
        <v>Tahsin</v>
      </c>
      <c r="O78" s="26"/>
      <c r="P78" s="26"/>
      <c r="Q78" s="24"/>
      <c r="R78" s="24"/>
      <c r="S78" s="24"/>
      <c r="T78" s="24"/>
      <c r="U78" s="24"/>
      <c r="V78" s="24"/>
      <c r="W78" s="24"/>
      <c r="X78" s="24"/>
      <c r="Y78" s="24"/>
      <c r="Z78" s="24"/>
      <c r="AA78" s="24"/>
    </row>
    <row r="79">
      <c r="A79" s="25" t="s">
        <v>99</v>
      </c>
      <c r="B79" s="26" t="str">
        <f>IFERROR(__xludf.DUMMYFUNCTION("""COMPUTED_VALUE"""),"Sell (Flat Fee MLS)")</f>
        <v>Sell (Flat Fee MLS)</v>
      </c>
      <c r="C79" s="26" t="str">
        <f>IFERROR(__xludf.DUMMYFUNCTION("""COMPUTED_VALUE"""),"Los Angeles Listlly Section")</f>
        <v>Los Angeles Listlly Section</v>
      </c>
      <c r="D79" s="26" t="str">
        <f>IFERROR(__xludf.DUMMYFUNCTION("""COMPUTED_VALUE"""),"Verify that star rating appears in top-left corner and left (&lt;), right (&gt;) slider navigation buttons appear in top-right corner")</f>
        <v>Verify that star rating appears in top-left corner and left (&lt;), right (&gt;) slider navigation buttons appear in top-right corner</v>
      </c>
      <c r="E79" s="26" t="str">
        <f>IFERROR(__xludf.DUMMYFUNCTION("""COMPUTED_VALUE"""),"User is on Sell → Flat Fee MLS page and scrolls to Los Angeles Listlly section")</f>
        <v>User is on Sell → Flat Fee MLS page and scrolls to Los Angeles Listlly section</v>
      </c>
      <c r="F79" s="26" t="str">
        <f>IFERROR(__xludf.DUMMYFUNCTION("""COMPUTED_VALUE"""),"1. Navigate to Sell → Flat Fee MLS Section
2. Scroll down to Los Angeles Listlly section 
3. Observe the placement of star rating 
4. Observe the placement of left (&lt;) and right (&gt;) slider navigation buttons")</f>
        <v>1. Navigate to Sell → Flat Fee MLS Section
2. Scroll down to Los Angeles Listlly section 
3. Observe the placement of star rating 
4. Observe the placement of left (&lt;) and right (&gt;) slider navigation buttons</v>
      </c>
      <c r="G79" s="26" t="str">
        <f>IFERROR(__xludf.DUMMYFUNCTION("""COMPUTED_VALUE"""),"None")</f>
        <v>None</v>
      </c>
      <c r="H79" s="26" t="str">
        <f>IFERROR(__xludf.DUMMYFUNCTION("""COMPUTED_VALUE"""),"Star rating should be displayed in the top-left corner, and slider navigation buttons (&lt;, &gt;) should be displayed in the top-right corner as per client requirement")</f>
        <v>Star rating should be displayed in the top-left corner, and slider navigation buttons (&lt;, &gt;) should be displayed in the top-right corner as per client requirement</v>
      </c>
      <c r="I79" s="26" t="str">
        <f>IFERROR(__xludf.DUMMYFUNCTION("""COMPUTED_VALUE"""),"Star rating and slider navigation buttons are not positioned correctly")</f>
        <v>Star rating and slider navigation buttons are not positioned correctly</v>
      </c>
      <c r="J79" s="26" t="str">
        <f>IFERROR(__xludf.DUMMYFUNCTION("""COMPUTED_VALUE"""),"Fail")</f>
        <v>Fail</v>
      </c>
      <c r="K79" s="26" t="str">
        <f>IFERROR(__xludf.DUMMYFUNCTION("""COMPUTED_VALUE"""),"Medium")</f>
        <v>Medium</v>
      </c>
      <c r="L79" s="27" t="str">
        <f>IFERROR(__xludf.DUMMYFUNCTION("""COMPUTED_VALUE"""),"https://jam.dev/c/89cc5b0d-90d9-4015-adb4-d500bdb66ed8")</f>
        <v>https://jam.dev/c/89cc5b0d-90d9-4015-adb4-d500bdb66ed8</v>
      </c>
      <c r="M79" s="26"/>
      <c r="N79" s="26" t="str">
        <f>IFERROR(__xludf.DUMMYFUNCTION("""COMPUTED_VALUE"""),"Tahsin")</f>
        <v>Tahsin</v>
      </c>
      <c r="O79" s="26"/>
      <c r="P79" s="26"/>
      <c r="Q79" s="24"/>
      <c r="R79" s="24"/>
      <c r="S79" s="24"/>
      <c r="T79" s="24"/>
      <c r="U79" s="24"/>
      <c r="V79" s="24"/>
      <c r="W79" s="24"/>
      <c r="X79" s="24"/>
      <c r="Y79" s="24"/>
      <c r="Z79" s="24"/>
      <c r="AA79" s="24"/>
    </row>
    <row r="80">
      <c r="A80" s="25" t="s">
        <v>100</v>
      </c>
      <c r="B80" s="26" t="str">
        <f>IFERROR(__xludf.DUMMYFUNCTION("""COMPUTED_VALUE"""),"Sell (Flat Fee MLS)")</f>
        <v>Sell (Flat Fee MLS)</v>
      </c>
      <c r="C80" s="26" t="str">
        <f>IFERROR(__xludf.DUMMYFUNCTION("""COMPUTED_VALUE"""),"Recent Sales Properties")</f>
        <v>Recent Sales Properties</v>
      </c>
      <c r="D80" s="26" t="str">
        <f>IFERROR(__xludf.DUMMYFUNCTION("""COMPUTED_VALUE"""),"Verify that 'View All' button is available in Recent Sales Properties section")</f>
        <v>Verify that 'View All' button is available in Recent Sales Properties section</v>
      </c>
      <c r="E80" s="26" t="str">
        <f>IFERROR(__xludf.DUMMYFUNCTION("""COMPUTED_VALUE"""),"User is on Sell → Flat Fee MLS page and scrolls to Recent Sales Properties section")</f>
        <v>User is on Sell → Flat Fee MLS page and scrolls to Recent Sales Properties section</v>
      </c>
      <c r="F80" s="26" t="str">
        <f>IFERROR(__xludf.DUMMYFUNCTION("""COMPUTED_VALUE"""),"1. Navigate to Sell → Flat Fee MLS section 
2. Scroll down to Recent Sales Properties section 
3. Check for 'View All' button")</f>
        <v>1. Navigate to Sell → Flat Fee MLS section 
2. Scroll down to Recent Sales Properties section 
3. Check for 'View All' button</v>
      </c>
      <c r="G80" s="26" t="str">
        <f>IFERROR(__xludf.DUMMYFUNCTION("""COMPUTED_VALUE"""),"None")</f>
        <v>None</v>
      </c>
      <c r="H80" s="26" t="str">
        <f>IFERROR(__xludf.DUMMYFUNCTION("""COMPUTED_VALUE"""),"View All' button should be displayed to allow viewing all sales properties")</f>
        <v>View All' button should be displayed to allow viewing all sales properties</v>
      </c>
      <c r="I80" s="26" t="str">
        <f>IFERROR(__xludf.DUMMYFUNCTION("""COMPUTED_VALUE"""),"View All' button is missing in Recent Sales Properties section")</f>
        <v>View All' button is missing in Recent Sales Properties section</v>
      </c>
      <c r="J80" s="26" t="str">
        <f>IFERROR(__xludf.DUMMYFUNCTION("""COMPUTED_VALUE"""),"Fail")</f>
        <v>Fail</v>
      </c>
      <c r="K80" s="26" t="str">
        <f>IFERROR(__xludf.DUMMYFUNCTION("""COMPUTED_VALUE"""),"High")</f>
        <v>High</v>
      </c>
      <c r="L80" s="27" t="str">
        <f>IFERROR(__xludf.DUMMYFUNCTION("""COMPUTED_VALUE"""),"https://jam.dev/c/404208e6-1c62-4b9f-9e3a-8700a2314550")</f>
        <v>https://jam.dev/c/404208e6-1c62-4b9f-9e3a-8700a2314550</v>
      </c>
      <c r="M80" s="26"/>
      <c r="N80" s="26" t="str">
        <f>IFERROR(__xludf.DUMMYFUNCTION("""COMPUTED_VALUE"""),"Tahsin")</f>
        <v>Tahsin</v>
      </c>
      <c r="O80" s="26"/>
      <c r="P80" s="26"/>
      <c r="Q80" s="24"/>
      <c r="R80" s="24"/>
      <c r="S80" s="24"/>
      <c r="T80" s="24"/>
      <c r="U80" s="24"/>
      <c r="V80" s="24"/>
      <c r="W80" s="24"/>
      <c r="X80" s="24"/>
      <c r="Y80" s="24"/>
      <c r="Z80" s="24"/>
      <c r="AA80" s="24"/>
    </row>
    <row r="81">
      <c r="A81" s="25" t="s">
        <v>101</v>
      </c>
      <c r="B81" s="26" t="str">
        <f>IFERROR(__xludf.DUMMYFUNCTION("""COMPUTED_VALUE"""),"Sell (Sell Your House for Cash)")</f>
        <v>Sell (Sell Your House for Cash)</v>
      </c>
      <c r="C81" s="26" t="str">
        <f>IFERROR(__xludf.DUMMYFUNCTION("""COMPUTED_VALUE"""),"Cash Home Sellers Listlly")</f>
        <v>Cash Home Sellers Listlly</v>
      </c>
      <c r="D81" s="26" t="str">
        <f>IFERROR(__xludf.DUMMYFUNCTION("""COMPUTED_VALUE"""),"Verify that left (&lt;) and right (&gt;) slider navigation buttons are available in Cash Home Sellers Listlly section")</f>
        <v>Verify that left (&lt;) and right (&gt;) slider navigation buttons are available in Cash Home Sellers Listlly section</v>
      </c>
      <c r="E81" s="26" t="str">
        <f>IFERROR(__xludf.DUMMYFUNCTION("""COMPUTED_VALUE"""),"User is on Sell → Sell Your House for Cash page and scrolls to Cash Home Sellers Listlly section")</f>
        <v>User is on Sell → Sell Your House for Cash page and scrolls to Cash Home Sellers Listlly section</v>
      </c>
      <c r="F81" s="26" t="str">
        <f>IFERROR(__xludf.DUMMYFUNCTION("""COMPUTED_VALUE"""),"1. Navigate to Sell → Sell Your House for Cash page 
2. Scroll to Cash Home Sellers Listlly section 
3. Check for left (&lt;) and right (&gt;) slider navigation buttons")</f>
        <v>1. Navigate to Sell → Sell Your House for Cash page 
2. Scroll to Cash Home Sellers Listlly section 
3. Check for left (&lt;) and right (&gt;) slider navigation buttons</v>
      </c>
      <c r="G81" s="26" t="str">
        <f>IFERROR(__xludf.DUMMYFUNCTION("""COMPUTED_VALUE"""),"None")</f>
        <v>None</v>
      </c>
      <c r="H81" s="26" t="str">
        <f>IFERROR(__xludf.DUMMYFUNCTION("""COMPUTED_VALUE"""),"Left (&lt;) and Right (&gt;) slider navigation buttons should be visible and functional in Cash Home Sellers Listlly section")</f>
        <v>Left (&lt;) and Right (&gt;) slider navigation buttons should be visible and functional in Cash Home Sellers Listlly section</v>
      </c>
      <c r="I81" s="26" t="str">
        <f>IFERROR(__xludf.DUMMYFUNCTION("""COMPUTED_VALUE"""),"Slider navigation buttons are missing in Cash Home Sellers Listlly section")</f>
        <v>Slider navigation buttons are missing in Cash Home Sellers Listlly section</v>
      </c>
      <c r="J81" s="26" t="str">
        <f>IFERROR(__xludf.DUMMYFUNCTION("""COMPUTED_VALUE"""),"Fail")</f>
        <v>Fail</v>
      </c>
      <c r="K81" s="26" t="str">
        <f>IFERROR(__xludf.DUMMYFUNCTION("""COMPUTED_VALUE"""),"High")</f>
        <v>High</v>
      </c>
      <c r="L81" s="27" t="str">
        <f>IFERROR(__xludf.DUMMYFUNCTION("""COMPUTED_VALUE"""),"https://jam.dev/c/395aeb40-8f61-406a-9bab-f1d98a804ad2")</f>
        <v>https://jam.dev/c/395aeb40-8f61-406a-9bab-f1d98a804ad2</v>
      </c>
      <c r="M81" s="26"/>
      <c r="N81" s="26" t="str">
        <f>IFERROR(__xludf.DUMMYFUNCTION("""COMPUTED_VALUE"""),"Tahsin")</f>
        <v>Tahsin</v>
      </c>
      <c r="O81" s="26"/>
      <c r="P81" s="26"/>
      <c r="Q81" s="24"/>
      <c r="R81" s="24"/>
      <c r="S81" s="24"/>
      <c r="T81" s="24"/>
      <c r="U81" s="24"/>
      <c r="V81" s="24"/>
      <c r="W81" s="24"/>
      <c r="X81" s="24"/>
      <c r="Y81" s="24"/>
      <c r="Z81" s="24"/>
      <c r="AA81" s="24"/>
    </row>
    <row r="82">
      <c r="A82" s="25" t="s">
        <v>102</v>
      </c>
      <c r="B82" s="26" t="str">
        <f>IFERROR(__xludf.DUMMYFUNCTION("""COMPUTED_VALUE"""),"Submitted Offer")</f>
        <v>Submitted Offer</v>
      </c>
      <c r="C82" s="26" t="str">
        <f>IFERROR(__xludf.DUMMYFUNCTION("""COMPUTED_VALUE"""),"Compare Offer")</f>
        <v>Compare Offer</v>
      </c>
      <c r="D82" s="26" t="str">
        <f>IFERROR(__xludf.DUMMYFUNCTION("""COMPUTED_VALUE"""),"Verify that no Back button is displayed in top-left corner")</f>
        <v>Verify that no Back button is displayed in top-left corner</v>
      </c>
      <c r="E82" s="26" t="str">
        <f>IFERROR(__xludf.DUMMYFUNCTION("""COMPUTED_VALUE"""),"User is on Submitted Offer section")</f>
        <v>User is on Submitted Offer section</v>
      </c>
      <c r="F82" s="26" t="str">
        <f>IFERROR(__xludf.DUMMYFUNCTION("""COMPUTED_VALUE"""),"1. Navigate to Submitted Offer section  
2. Observe the top-left corner for Back button ")</f>
        <v>1. Navigate to Submitted Offer section  
2. Observe the top-left corner for Back button </v>
      </c>
      <c r="G82" s="26" t="str">
        <f>IFERROR(__xludf.DUMMYFUNCTION("""COMPUTED_VALUE"""),"None")</f>
        <v>None</v>
      </c>
      <c r="H82" s="26" t="str">
        <f>IFERROR(__xludf.DUMMYFUNCTION("""COMPUTED_VALUE"""),"No Back button should appear in the top-left corner as per requirements")</f>
        <v>No Back button should appear in the top-left corner as per requirements</v>
      </c>
      <c r="I82" s="26" t="str">
        <f>IFERROR(__xludf.DUMMYFUNCTION("""COMPUTED_VALUE"""),"Back button appears in top-left corner and button position is not eye-catching")</f>
        <v>Back button appears in top-left corner and button position is not eye-catching</v>
      </c>
      <c r="J82" s="26" t="str">
        <f>IFERROR(__xludf.DUMMYFUNCTION("""COMPUTED_VALUE"""),"Fail")</f>
        <v>Fail</v>
      </c>
      <c r="K82" s="26" t="str">
        <f>IFERROR(__xludf.DUMMYFUNCTION("""COMPUTED_VALUE"""),"Medium")</f>
        <v>Medium</v>
      </c>
      <c r="L82" s="27" t="str">
        <f>IFERROR(__xludf.DUMMYFUNCTION("""COMPUTED_VALUE"""),"https://jam.dev/c/b6fc70d1-f90f-46fa-aab3-601985fa1c3b")</f>
        <v>https://jam.dev/c/b6fc70d1-f90f-46fa-aab3-601985fa1c3b</v>
      </c>
      <c r="M82" s="26"/>
      <c r="N82" s="26" t="str">
        <f>IFERROR(__xludf.DUMMYFUNCTION("""COMPUTED_VALUE"""),"Tahsin")</f>
        <v>Tahsin</v>
      </c>
      <c r="O82" s="26"/>
      <c r="P82" s="26"/>
      <c r="Q82" s="24"/>
      <c r="R82" s="24"/>
      <c r="S82" s="24"/>
      <c r="T82" s="24"/>
      <c r="U82" s="24"/>
      <c r="V82" s="24"/>
      <c r="W82" s="24"/>
      <c r="X82" s="24"/>
      <c r="Y82" s="24"/>
      <c r="Z82" s="24"/>
      <c r="AA82" s="24"/>
    </row>
    <row r="83">
      <c r="A83" s="25" t="s">
        <v>103</v>
      </c>
      <c r="B83" s="26" t="str">
        <f>IFERROR(__xludf.DUMMYFUNCTION("""COMPUTED_VALUE"""),"Submitted Offer")</f>
        <v>Submitted Offer</v>
      </c>
      <c r="C83" s="26" t="str">
        <f>IFERROR(__xludf.DUMMYFUNCTION("""COMPUTED_VALUE"""),"Offer Details")</f>
        <v>Offer Details</v>
      </c>
      <c r="D83" s="26" t="str">
        <f>IFERROR(__xludf.DUMMYFUNCTION("""COMPUTED_VALUE"""),"Verify that Inclusion/Exclusion field is present in Offer Details page")</f>
        <v>Verify that Inclusion/Exclusion field is present in Offer Details page</v>
      </c>
      <c r="E83" s="26" t="str">
        <f>IFERROR(__xludf.DUMMYFUNCTION("""COMPUTED_VALUE"""),"User is on Offer Details page")</f>
        <v>User is on Offer Details page</v>
      </c>
      <c r="F83" s="26" t="str">
        <f>IFERROR(__xludf.DUMMYFUNCTION("""COMPUTED_VALUE"""),"1. Navigate to Offer Details page 
2. Look for Inclusion/Exclusion field 
3. Verify if the field is available")</f>
        <v>1. Navigate to Offer Details page 
2. Look for Inclusion/Exclusion field 
3. Verify if the field is available</v>
      </c>
      <c r="G83" s="26" t="str">
        <f>IFERROR(__xludf.DUMMYFUNCTION("""COMPUTED_VALUE"""),"None")</f>
        <v>None</v>
      </c>
      <c r="H83" s="26" t="str">
        <f>IFERROR(__xludf.DUMMYFUNCTION("""COMPUTED_VALUE"""),"Inclusion/Exclusion field should be displayed in Offer Details page as per requirements")</f>
        <v>Inclusion/Exclusion field should be displayed in Offer Details page as per requirements</v>
      </c>
      <c r="I83" s="26" t="str">
        <f>IFERROR(__xludf.DUMMYFUNCTION("""COMPUTED_VALUE"""),"Inclusion/Exclusion field is missing")</f>
        <v>Inclusion/Exclusion field is missing</v>
      </c>
      <c r="J83" s="26" t="str">
        <f>IFERROR(__xludf.DUMMYFUNCTION("""COMPUTED_VALUE"""),"Fail")</f>
        <v>Fail</v>
      </c>
      <c r="K83" s="26" t="str">
        <f>IFERROR(__xludf.DUMMYFUNCTION("""COMPUTED_VALUE"""),"Medium")</f>
        <v>Medium</v>
      </c>
      <c r="L83" s="27" t="str">
        <f>IFERROR(__xludf.DUMMYFUNCTION("""COMPUTED_VALUE"""),"https://jam.dev/c/773df6da-3466-41b6-9fc0-29a074ed6e48")</f>
        <v>https://jam.dev/c/773df6da-3466-41b6-9fc0-29a074ed6e48</v>
      </c>
      <c r="M83" s="26"/>
      <c r="N83" s="26" t="str">
        <f>IFERROR(__xludf.DUMMYFUNCTION("""COMPUTED_VALUE"""),"Tahsin")</f>
        <v>Tahsin</v>
      </c>
      <c r="O83" s="26"/>
      <c r="P83" s="26"/>
      <c r="Q83" s="24"/>
      <c r="R83" s="24"/>
      <c r="S83" s="24"/>
      <c r="T83" s="24"/>
      <c r="U83" s="24"/>
      <c r="V83" s="24"/>
      <c r="W83" s="24"/>
      <c r="X83" s="24"/>
      <c r="Y83" s="24"/>
      <c r="Z83" s="24"/>
      <c r="AA83" s="24"/>
    </row>
    <row r="84">
      <c r="A84" s="25" t="s">
        <v>104</v>
      </c>
      <c r="B84" s="26" t="str">
        <f>IFERROR(__xludf.DUMMYFUNCTION("""COMPUTED_VALUE"""),"Why Listlly Section")</f>
        <v>Why Listlly Section</v>
      </c>
      <c r="C84" s="26" t="str">
        <f>IFERROR(__xludf.DUMMYFUNCTION("""COMPUTED_VALUE"""),"Home")</f>
        <v>Home</v>
      </c>
      <c r="D84" s="26" t="str">
        <f>IFERROR(__xludf.DUMMYFUNCTION("""COMPUTED_VALUE"""),"Verify that '$215 Million in saving and counting' section is fully visible without truncation or cutoff")</f>
        <v>Verify that '$215 Million in saving and counting' section is fully visible without truncation or cutoff</v>
      </c>
      <c r="E84" s="26" t="str">
        <f>IFERROR(__xludf.DUMMYFUNCTION("""COMPUTED_VALUE"""),"User is on Why Listlly section")</f>
        <v>User is on Why Listlly section</v>
      </c>
      <c r="F84" s="26" t="str">
        <f>IFERROR(__xludf.DUMMYFUNCTION("""COMPUTED_VALUE"""),"1. Navigate to Why Listlly section 
2. Observe '$215 Million in saving and counting' section")</f>
        <v>1. Navigate to Why Listlly section 
2. Observe '$215 Million in saving and counting' section</v>
      </c>
      <c r="G84" s="26" t="str">
        <f>IFERROR(__xludf.DUMMYFUNCTION("""COMPUTED_VALUE"""),"None")</f>
        <v>None</v>
      </c>
      <c r="H84" s="26" t="str">
        <f>IFERROR(__xludf.DUMMYFUNCTION("""COMPUTED_VALUE"""),"$215 Million in saving and counting' sectiont should be fully visible and aligned as per client requirement")</f>
        <v>$215 Million in saving and counting' sectiont should be fully visible and aligned as per client requirement</v>
      </c>
      <c r="I84" s="26" t="str">
        <f>IFERROR(__xludf.DUMMYFUNCTION("""COMPUTED_VALUE"""),"not fully visible (partially hidden/truncated)")</f>
        <v>not fully visible (partially hidden/truncated)</v>
      </c>
      <c r="J84" s="26" t="str">
        <f>IFERROR(__xludf.DUMMYFUNCTION("""COMPUTED_VALUE"""),"Fail")</f>
        <v>Fail</v>
      </c>
      <c r="K84" s="26" t="str">
        <f>IFERROR(__xludf.DUMMYFUNCTION("""COMPUTED_VALUE"""),"Medium")</f>
        <v>Medium</v>
      </c>
      <c r="L84" s="27" t="str">
        <f>IFERROR(__xludf.DUMMYFUNCTION("""COMPUTED_VALUE"""),"https://jam.dev/c/9a404789-df9e-4ac4-8662-38affbb8db4a")</f>
        <v>https://jam.dev/c/9a404789-df9e-4ac4-8662-38affbb8db4a</v>
      </c>
      <c r="M84" s="26"/>
      <c r="N84" s="26" t="str">
        <f>IFERROR(__xludf.DUMMYFUNCTION("""COMPUTED_VALUE"""),"Tahsin")</f>
        <v>Tahsin</v>
      </c>
      <c r="O84" s="26"/>
      <c r="P84" s="26"/>
      <c r="Q84" s="24"/>
      <c r="R84" s="24"/>
      <c r="S84" s="24"/>
      <c r="T84" s="24"/>
      <c r="U84" s="24"/>
      <c r="V84" s="24"/>
      <c r="W84" s="24"/>
      <c r="X84" s="24"/>
      <c r="Y84" s="24"/>
      <c r="Z84" s="24"/>
      <c r="AA84" s="24"/>
    </row>
    <row r="85">
      <c r="A85" s="28" t="s">
        <v>105</v>
      </c>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c r="A86" s="28" t="s">
        <v>105</v>
      </c>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c r="A87" s="28" t="s">
        <v>105</v>
      </c>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c r="A88" s="28" t="s">
        <v>105</v>
      </c>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c r="A89" s="28" t="s">
        <v>105</v>
      </c>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c r="A90" s="28" t="s">
        <v>105</v>
      </c>
    </row>
    <row r="91">
      <c r="A91" s="28" t="s">
        <v>105</v>
      </c>
    </row>
    <row r="92">
      <c r="A92" s="28" t="s">
        <v>105</v>
      </c>
    </row>
    <row r="93">
      <c r="A93" s="28" t="s">
        <v>105</v>
      </c>
    </row>
    <row r="94">
      <c r="A94" s="28" t="s">
        <v>105</v>
      </c>
    </row>
    <row r="95">
      <c r="A95" s="28" t="s">
        <v>105</v>
      </c>
    </row>
    <row r="96">
      <c r="A96" s="28" t="s">
        <v>105</v>
      </c>
    </row>
    <row r="97">
      <c r="A97" s="28" t="s">
        <v>105</v>
      </c>
    </row>
    <row r="98">
      <c r="A98" s="28" t="s">
        <v>105</v>
      </c>
    </row>
    <row r="99">
      <c r="A99" s="28" t="s">
        <v>105</v>
      </c>
    </row>
    <row r="100">
      <c r="A100" s="29" t="s">
        <v>105</v>
      </c>
    </row>
  </sheetData>
  <dataValidations>
    <dataValidation type="list" allowBlank="1" showErrorMessage="1" sqref="J11:J84">
      <formula1>"Fail,Pass"</formula1>
    </dataValidation>
    <dataValidation type="list" allowBlank="1" showErrorMessage="1" sqref="O11:O84">
      <formula1>"Solved,Unsolved"</formula1>
    </dataValidation>
    <dataValidation type="list" allowBlank="1" showErrorMessage="1" sqref="K11:K84">
      <formula1>"Low,Medium,High"</formula1>
    </dataValidation>
  </dataValidations>
  <hyperlinks>
    <hyperlink r:id="rId1" ref="B4"/>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26"/>
    <hyperlink r:id="rId18" ref="L27"/>
    <hyperlink r:id="rId19" ref="L28"/>
    <hyperlink r:id="rId20" ref="L29"/>
    <hyperlink r:id="rId21" ref="L30"/>
    <hyperlink r:id="rId22" ref="L31"/>
    <hyperlink r:id="rId23" ref="L32"/>
    <hyperlink r:id="rId24" ref="L33"/>
    <hyperlink r:id="rId25" ref="L34"/>
    <hyperlink r:id="rId26" ref="L35"/>
    <hyperlink r:id="rId27" ref="L36"/>
    <hyperlink r:id="rId28" ref="L37"/>
    <hyperlink r:id="rId29" ref="L38"/>
    <hyperlink r:id="rId30" ref="L39"/>
    <hyperlink r:id="rId31" ref="L40"/>
    <hyperlink r:id="rId32" ref="L41"/>
    <hyperlink r:id="rId33" ref="L42"/>
    <hyperlink r:id="rId34" ref="L43"/>
    <hyperlink r:id="rId35" ref="L44"/>
    <hyperlink r:id="rId36" ref="L45"/>
    <hyperlink r:id="rId37" ref="L46"/>
    <hyperlink r:id="rId38" ref="L47"/>
    <hyperlink r:id="rId39" ref="L48"/>
    <hyperlink r:id="rId40" ref="L49"/>
    <hyperlink r:id="rId41" ref="L50"/>
    <hyperlink r:id="rId42" ref="L51"/>
    <hyperlink r:id="rId43" ref="L52"/>
    <hyperlink r:id="rId44" ref="L53"/>
    <hyperlink r:id="rId45" ref="L54"/>
    <hyperlink r:id="rId46" ref="L55"/>
    <hyperlink r:id="rId47" ref="L56"/>
    <hyperlink r:id="rId48" ref="L57"/>
    <hyperlink r:id="rId49" ref="L58"/>
    <hyperlink r:id="rId50" ref="L59"/>
    <hyperlink r:id="rId51" ref="L60"/>
    <hyperlink r:id="rId52" ref="L61"/>
    <hyperlink r:id="rId53" ref="L62"/>
    <hyperlink r:id="rId54" ref="L63"/>
    <hyperlink r:id="rId55" ref="L64"/>
    <hyperlink r:id="rId56" ref="L65"/>
    <hyperlink r:id="rId57" ref="L66"/>
    <hyperlink r:id="rId58" ref="L67"/>
    <hyperlink r:id="rId59" ref="L68"/>
    <hyperlink r:id="rId60" ref="L69"/>
    <hyperlink r:id="rId61" ref="L70"/>
    <hyperlink r:id="rId62" ref="L71"/>
    <hyperlink r:id="rId63" ref="L72"/>
    <hyperlink r:id="rId64" ref="L73"/>
    <hyperlink r:id="rId65" ref="L74"/>
    <hyperlink r:id="rId66" ref="L75"/>
    <hyperlink r:id="rId67" ref="L76"/>
    <hyperlink r:id="rId68" ref="L77"/>
    <hyperlink r:id="rId69" ref="L78"/>
    <hyperlink r:id="rId70" ref="L79"/>
    <hyperlink r:id="rId71" ref="L80"/>
    <hyperlink r:id="rId72" ref="L81"/>
    <hyperlink r:id="rId73" ref="L82"/>
    <hyperlink r:id="rId74" ref="L83"/>
    <hyperlink r:id="rId75" ref="L84"/>
  </hyperlinks>
  <drawing r:id="rId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2.88"/>
    <col customWidth="1" min="3" max="3" width="12.5"/>
    <col customWidth="1" min="4" max="4" width="16.5"/>
    <col customWidth="1" min="5" max="5" width="15.38"/>
    <col customWidth="1" min="6" max="6" width="16.88"/>
    <col customWidth="1" min="7" max="7" width="18.63"/>
    <col customWidth="1" min="8" max="8" width="17.63"/>
    <col customWidth="1" min="9" max="9" width="16.5"/>
    <col customWidth="1" min="10" max="10" width="11.13"/>
    <col customWidth="1" min="11" max="11" width="13.25"/>
    <col customWidth="1" min="12" max="12" width="14.63"/>
    <col customWidth="1" min="13" max="13" width="12.25"/>
    <col customWidth="1" min="14" max="14" width="14.38"/>
  </cols>
  <sheetData>
    <row r="1">
      <c r="A1" s="2" t="s">
        <v>0</v>
      </c>
      <c r="B1" s="30" t="s">
        <v>106</v>
      </c>
      <c r="C1" s="1"/>
      <c r="D1" s="1"/>
      <c r="E1" s="1"/>
      <c r="F1" s="1"/>
      <c r="G1" s="1"/>
      <c r="H1" s="1"/>
      <c r="I1" s="1"/>
      <c r="J1" s="1"/>
      <c r="K1" s="1"/>
      <c r="L1" s="1"/>
      <c r="M1" s="1"/>
      <c r="N1" s="1"/>
    </row>
    <row r="2">
      <c r="A2" s="2" t="s">
        <v>4</v>
      </c>
      <c r="B2" s="31"/>
      <c r="C2" s="1"/>
      <c r="D2" s="1"/>
      <c r="E2" s="1"/>
      <c r="F2" s="1"/>
      <c r="G2" s="1"/>
      <c r="H2" s="1"/>
      <c r="I2" s="1"/>
      <c r="J2" s="1"/>
      <c r="K2" s="1"/>
      <c r="L2" s="1"/>
      <c r="M2" s="1"/>
      <c r="N2" s="1"/>
    </row>
    <row r="3">
      <c r="A3" s="2" t="s">
        <v>10</v>
      </c>
      <c r="B3" s="32"/>
      <c r="C3" s="1"/>
      <c r="D3" s="1"/>
      <c r="E3" s="1"/>
      <c r="F3" s="1"/>
      <c r="G3" s="1"/>
      <c r="H3" s="1"/>
      <c r="I3" s="1"/>
      <c r="J3" s="1"/>
      <c r="K3" s="1"/>
      <c r="L3" s="1"/>
      <c r="M3" s="1"/>
      <c r="N3" s="1"/>
    </row>
    <row r="4">
      <c r="A4" s="2" t="s">
        <v>13</v>
      </c>
      <c r="B4" s="33" t="s">
        <v>107</v>
      </c>
      <c r="C4" s="1"/>
      <c r="D4" s="1"/>
      <c r="E4" s="1"/>
      <c r="F4" s="1"/>
      <c r="G4" s="1"/>
      <c r="H4" s="1"/>
      <c r="I4" s="1"/>
      <c r="J4" s="1"/>
      <c r="K4" s="1"/>
      <c r="L4" s="1"/>
      <c r="M4" s="1"/>
      <c r="N4" s="1"/>
    </row>
    <row r="5">
      <c r="A5" s="34" t="s">
        <v>108</v>
      </c>
      <c r="B5" s="35" t="s">
        <v>109</v>
      </c>
      <c r="C5" s="1"/>
      <c r="D5" s="1"/>
      <c r="E5" s="1"/>
      <c r="F5" s="1"/>
      <c r="G5" s="1"/>
      <c r="H5" s="1"/>
      <c r="I5" s="1"/>
      <c r="J5" s="1"/>
      <c r="K5" s="1"/>
      <c r="L5" s="1"/>
      <c r="M5" s="1"/>
      <c r="N5" s="1"/>
    </row>
    <row r="6">
      <c r="A6" s="1"/>
      <c r="B6" s="1"/>
      <c r="C6" s="1"/>
      <c r="D6" s="1"/>
      <c r="E6" s="1"/>
      <c r="F6" s="1"/>
      <c r="G6" s="1"/>
      <c r="H6" s="1"/>
      <c r="I6" s="1"/>
      <c r="J6" s="1"/>
      <c r="K6" s="1"/>
      <c r="L6" s="1"/>
      <c r="M6" s="1"/>
      <c r="N6" s="1"/>
    </row>
    <row r="7">
      <c r="A7" s="36" t="s">
        <v>110</v>
      </c>
      <c r="B7" s="36" t="s">
        <v>18</v>
      </c>
      <c r="C7" s="36" t="s">
        <v>19</v>
      </c>
      <c r="D7" s="36" t="s">
        <v>20</v>
      </c>
      <c r="E7" s="36" t="s">
        <v>21</v>
      </c>
      <c r="F7" s="36" t="s">
        <v>22</v>
      </c>
      <c r="G7" s="36" t="s">
        <v>23</v>
      </c>
      <c r="H7" s="36" t="s">
        <v>24</v>
      </c>
      <c r="I7" s="36" t="s">
        <v>25</v>
      </c>
      <c r="J7" s="36" t="s">
        <v>26</v>
      </c>
      <c r="K7" s="36" t="s">
        <v>2</v>
      </c>
      <c r="L7" s="36" t="s">
        <v>27</v>
      </c>
      <c r="M7" s="36" t="s">
        <v>28</v>
      </c>
      <c r="N7" s="36" t="s">
        <v>30</v>
      </c>
      <c r="O7" s="37"/>
      <c r="P7" s="37"/>
      <c r="Q7" s="37"/>
      <c r="R7" s="37"/>
      <c r="S7" s="37"/>
      <c r="T7" s="37"/>
      <c r="U7" s="37"/>
      <c r="V7" s="37"/>
      <c r="W7" s="37"/>
      <c r="X7" s="37"/>
      <c r="Y7" s="37"/>
      <c r="Z7" s="37"/>
    </row>
    <row r="8">
      <c r="A8" s="38" t="s">
        <v>111</v>
      </c>
      <c r="B8" s="39" t="s">
        <v>112</v>
      </c>
      <c r="C8" s="39" t="s">
        <v>113</v>
      </c>
      <c r="D8" s="38" t="s">
        <v>114</v>
      </c>
      <c r="E8" s="38" t="s">
        <v>115</v>
      </c>
      <c r="F8" s="40" t="s">
        <v>116</v>
      </c>
      <c r="G8" s="41" t="s">
        <v>117</v>
      </c>
      <c r="H8" s="38" t="s">
        <v>118</v>
      </c>
      <c r="I8" s="38" t="s">
        <v>119</v>
      </c>
      <c r="J8" s="38" t="s">
        <v>120</v>
      </c>
      <c r="K8" s="38" t="s">
        <v>12</v>
      </c>
      <c r="L8" s="42" t="s">
        <v>121</v>
      </c>
      <c r="M8" s="41" t="s">
        <v>122</v>
      </c>
      <c r="N8" s="41"/>
      <c r="O8" s="24"/>
      <c r="P8" s="24"/>
      <c r="Q8" s="24"/>
      <c r="R8" s="24"/>
      <c r="S8" s="24"/>
      <c r="T8" s="24"/>
      <c r="U8" s="24"/>
      <c r="V8" s="24"/>
      <c r="W8" s="24"/>
      <c r="X8" s="24"/>
      <c r="Y8" s="24"/>
      <c r="Z8" s="24"/>
    </row>
    <row r="9">
      <c r="A9" s="24"/>
      <c r="B9" s="24"/>
      <c r="C9" s="24"/>
      <c r="D9" s="24"/>
      <c r="E9" s="24"/>
      <c r="F9" s="43"/>
      <c r="G9" s="24"/>
      <c r="H9" s="24"/>
      <c r="I9" s="24"/>
      <c r="J9" s="24"/>
      <c r="K9" s="24"/>
      <c r="L9" s="24"/>
      <c r="M9" s="24"/>
      <c r="N9" s="24"/>
      <c r="O9" s="24"/>
      <c r="P9" s="24"/>
      <c r="Q9" s="24"/>
      <c r="R9" s="24"/>
      <c r="S9" s="24"/>
      <c r="T9" s="24"/>
      <c r="U9" s="24"/>
      <c r="V9" s="24"/>
      <c r="W9" s="24"/>
      <c r="X9" s="24"/>
      <c r="Y9" s="24"/>
      <c r="Z9" s="24"/>
    </row>
    <row r="10">
      <c r="A10" s="39" t="s">
        <v>123</v>
      </c>
      <c r="B10" s="39" t="s">
        <v>112</v>
      </c>
      <c r="C10" s="39" t="s">
        <v>113</v>
      </c>
      <c r="D10" s="39" t="s">
        <v>124</v>
      </c>
      <c r="E10" s="39" t="s">
        <v>115</v>
      </c>
      <c r="F10" s="44" t="s">
        <v>125</v>
      </c>
      <c r="G10" s="11" t="s">
        <v>117</v>
      </c>
      <c r="H10" s="39" t="s">
        <v>126</v>
      </c>
      <c r="I10" s="39" t="s">
        <v>127</v>
      </c>
      <c r="J10" s="39" t="s">
        <v>120</v>
      </c>
      <c r="K10" s="39" t="s">
        <v>12</v>
      </c>
      <c r="L10" s="45" t="s">
        <v>128</v>
      </c>
      <c r="M10" s="11"/>
      <c r="N10" s="11"/>
      <c r="O10" s="24"/>
      <c r="P10" s="24"/>
      <c r="Q10" s="24"/>
      <c r="R10" s="24"/>
      <c r="S10" s="24"/>
      <c r="T10" s="24"/>
      <c r="U10" s="24"/>
      <c r="V10" s="24"/>
      <c r="W10" s="24"/>
      <c r="X10" s="24"/>
      <c r="Y10" s="24"/>
      <c r="Z10" s="24"/>
    </row>
    <row r="11">
      <c r="A11" s="24"/>
      <c r="B11" s="24"/>
      <c r="C11" s="24"/>
      <c r="D11" s="24"/>
      <c r="E11" s="24"/>
      <c r="F11" s="43"/>
      <c r="G11" s="24"/>
      <c r="H11" s="24"/>
      <c r="I11" s="24"/>
      <c r="J11" s="24"/>
      <c r="K11" s="24"/>
      <c r="L11" s="24"/>
      <c r="M11" s="24"/>
      <c r="N11" s="24"/>
      <c r="O11" s="24"/>
      <c r="P11" s="24"/>
      <c r="Q11" s="24"/>
      <c r="R11" s="24"/>
      <c r="S11" s="24"/>
      <c r="T11" s="24"/>
      <c r="U11" s="24"/>
      <c r="V11" s="24"/>
      <c r="W11" s="24"/>
      <c r="X11" s="24"/>
      <c r="Y11" s="24"/>
      <c r="Z11" s="24"/>
    </row>
    <row r="12">
      <c r="A12" s="39" t="s">
        <v>129</v>
      </c>
      <c r="B12" s="39" t="s">
        <v>112</v>
      </c>
      <c r="C12" s="39" t="s">
        <v>113</v>
      </c>
      <c r="D12" s="39" t="s">
        <v>130</v>
      </c>
      <c r="E12" s="39" t="s">
        <v>115</v>
      </c>
      <c r="F12" s="44" t="s">
        <v>131</v>
      </c>
      <c r="G12" s="11" t="s">
        <v>117</v>
      </c>
      <c r="H12" s="39" t="s">
        <v>132</v>
      </c>
      <c r="I12" s="39" t="s">
        <v>133</v>
      </c>
      <c r="J12" s="39" t="s">
        <v>120</v>
      </c>
      <c r="K12" s="39" t="s">
        <v>12</v>
      </c>
      <c r="L12" s="46" t="s">
        <v>134</v>
      </c>
      <c r="M12" s="47"/>
      <c r="N12" s="11"/>
      <c r="O12" s="24"/>
      <c r="P12" s="24"/>
      <c r="Q12" s="24"/>
      <c r="R12" s="24"/>
      <c r="S12" s="24"/>
      <c r="T12" s="24"/>
      <c r="U12" s="24"/>
      <c r="V12" s="24"/>
      <c r="W12" s="24"/>
      <c r="X12" s="24"/>
      <c r="Y12" s="24"/>
      <c r="Z12" s="24"/>
    </row>
    <row r="13">
      <c r="A13" s="24"/>
      <c r="B13" s="24"/>
      <c r="C13" s="24"/>
      <c r="D13" s="24"/>
      <c r="E13" s="24"/>
      <c r="F13" s="43"/>
      <c r="G13" s="24"/>
      <c r="H13" s="24"/>
      <c r="I13" s="24"/>
      <c r="J13" s="24"/>
      <c r="K13" s="24"/>
      <c r="L13" s="24"/>
      <c r="M13" s="24"/>
      <c r="N13" s="24"/>
      <c r="O13" s="24"/>
      <c r="P13" s="24"/>
      <c r="Q13" s="24"/>
      <c r="R13" s="24"/>
      <c r="S13" s="24"/>
      <c r="T13" s="24"/>
      <c r="U13" s="24"/>
      <c r="V13" s="24"/>
      <c r="W13" s="24"/>
      <c r="X13" s="24"/>
      <c r="Y13" s="24"/>
      <c r="Z13" s="24"/>
    </row>
    <row r="14">
      <c r="A14" s="39" t="s">
        <v>135</v>
      </c>
      <c r="B14" s="39" t="s">
        <v>112</v>
      </c>
      <c r="C14" s="39" t="s">
        <v>113</v>
      </c>
      <c r="D14" s="39" t="s">
        <v>130</v>
      </c>
      <c r="E14" s="39" t="s">
        <v>115</v>
      </c>
      <c r="F14" s="44" t="s">
        <v>136</v>
      </c>
      <c r="G14" s="11" t="s">
        <v>117</v>
      </c>
      <c r="H14" s="39" t="s">
        <v>132</v>
      </c>
      <c r="I14" s="39" t="s">
        <v>133</v>
      </c>
      <c r="J14" s="39" t="s">
        <v>120</v>
      </c>
      <c r="K14" s="39" t="s">
        <v>9</v>
      </c>
      <c r="L14" s="45" t="s">
        <v>137</v>
      </c>
      <c r="M14" s="48"/>
      <c r="N14" s="11"/>
      <c r="O14" s="24"/>
      <c r="P14" s="24"/>
      <c r="Q14" s="24"/>
      <c r="R14" s="24"/>
      <c r="S14" s="24"/>
      <c r="T14" s="24"/>
      <c r="U14" s="24"/>
      <c r="V14" s="24"/>
      <c r="W14" s="24"/>
      <c r="X14" s="24"/>
      <c r="Y14" s="24"/>
      <c r="Z14" s="24"/>
    </row>
    <row r="15">
      <c r="A15" s="24"/>
      <c r="B15" s="24"/>
      <c r="C15" s="24"/>
      <c r="D15" s="24"/>
      <c r="E15" s="24"/>
      <c r="F15" s="43"/>
      <c r="G15" s="24"/>
      <c r="H15" s="24"/>
      <c r="I15" s="24"/>
      <c r="J15" s="24"/>
      <c r="K15" s="24"/>
      <c r="L15" s="24"/>
      <c r="M15" s="24"/>
      <c r="N15" s="24"/>
      <c r="O15" s="24"/>
      <c r="P15" s="24"/>
      <c r="Q15" s="24"/>
      <c r="R15" s="24"/>
      <c r="S15" s="24"/>
      <c r="T15" s="24"/>
      <c r="U15" s="24"/>
      <c r="V15" s="24"/>
      <c r="W15" s="24"/>
      <c r="X15" s="24"/>
      <c r="Y15" s="24"/>
      <c r="Z15" s="24"/>
    </row>
    <row r="16">
      <c r="A16" s="39" t="s">
        <v>138</v>
      </c>
      <c r="B16" s="39" t="s">
        <v>112</v>
      </c>
      <c r="C16" s="39" t="s">
        <v>113</v>
      </c>
      <c r="D16" s="39" t="s">
        <v>130</v>
      </c>
      <c r="E16" s="39" t="s">
        <v>115</v>
      </c>
      <c r="F16" s="44" t="s">
        <v>139</v>
      </c>
      <c r="G16" s="11" t="s">
        <v>117</v>
      </c>
      <c r="H16" s="39" t="s">
        <v>132</v>
      </c>
      <c r="I16" s="39" t="s">
        <v>140</v>
      </c>
      <c r="J16" s="39" t="s">
        <v>120</v>
      </c>
      <c r="K16" s="39" t="s">
        <v>12</v>
      </c>
      <c r="L16" s="45" t="s">
        <v>141</v>
      </c>
      <c r="M16" s="49"/>
      <c r="N16" s="39"/>
      <c r="O16" s="50"/>
      <c r="P16" s="50"/>
      <c r="Q16" s="50"/>
      <c r="R16" s="50"/>
      <c r="S16" s="50"/>
      <c r="T16" s="50"/>
      <c r="U16" s="50"/>
      <c r="V16" s="50"/>
      <c r="W16" s="50"/>
      <c r="X16" s="50"/>
      <c r="Y16" s="50"/>
      <c r="Z16" s="50"/>
    </row>
    <row r="17">
      <c r="A17" s="24"/>
      <c r="B17" s="24"/>
      <c r="C17" s="24"/>
      <c r="D17" s="24"/>
      <c r="E17" s="24"/>
      <c r="F17" s="43"/>
      <c r="G17" s="24"/>
      <c r="H17" s="24"/>
      <c r="I17" s="24"/>
      <c r="J17" s="24"/>
      <c r="K17" s="24"/>
      <c r="L17" s="24"/>
      <c r="M17" s="24"/>
      <c r="N17" s="24"/>
      <c r="O17" s="24"/>
      <c r="P17" s="24"/>
      <c r="Q17" s="24"/>
      <c r="R17" s="24"/>
      <c r="S17" s="24"/>
      <c r="T17" s="24"/>
      <c r="U17" s="24"/>
      <c r="V17" s="24"/>
      <c r="W17" s="24"/>
      <c r="X17" s="24"/>
      <c r="Y17" s="24"/>
      <c r="Z17" s="24"/>
    </row>
    <row r="18">
      <c r="A18" s="39" t="s">
        <v>142</v>
      </c>
      <c r="B18" s="39" t="s">
        <v>112</v>
      </c>
      <c r="C18" s="39" t="s">
        <v>113</v>
      </c>
      <c r="D18" s="39" t="s">
        <v>143</v>
      </c>
      <c r="E18" s="39" t="s">
        <v>115</v>
      </c>
      <c r="F18" s="44" t="s">
        <v>144</v>
      </c>
      <c r="G18" s="11" t="s">
        <v>117</v>
      </c>
      <c r="H18" s="39" t="s">
        <v>145</v>
      </c>
      <c r="I18" s="39" t="s">
        <v>146</v>
      </c>
      <c r="J18" s="39" t="s">
        <v>120</v>
      </c>
      <c r="K18" s="39" t="s">
        <v>12</v>
      </c>
      <c r="L18" s="45" t="s">
        <v>147</v>
      </c>
      <c r="M18" s="47"/>
      <c r="N18" s="11"/>
      <c r="O18" s="24"/>
      <c r="P18" s="24"/>
      <c r="Q18" s="24"/>
      <c r="R18" s="24"/>
      <c r="S18" s="24"/>
      <c r="T18" s="24"/>
      <c r="U18" s="24"/>
      <c r="V18" s="24"/>
      <c r="W18" s="24"/>
      <c r="X18" s="24"/>
      <c r="Y18" s="24"/>
      <c r="Z18" s="24"/>
    </row>
    <row r="19">
      <c r="A19" s="24"/>
      <c r="B19" s="24"/>
      <c r="C19" s="24"/>
      <c r="D19" s="24"/>
      <c r="E19" s="24"/>
      <c r="F19" s="43"/>
      <c r="G19" s="24"/>
      <c r="H19" s="24"/>
      <c r="I19" s="24"/>
      <c r="J19" s="24"/>
      <c r="K19" s="24"/>
      <c r="L19" s="24"/>
      <c r="M19" s="24"/>
      <c r="N19" s="24"/>
      <c r="O19" s="24"/>
      <c r="P19" s="24"/>
      <c r="Q19" s="24"/>
      <c r="R19" s="24"/>
      <c r="S19" s="24"/>
      <c r="T19" s="24"/>
      <c r="U19" s="24"/>
      <c r="V19" s="24"/>
      <c r="W19" s="24"/>
      <c r="X19" s="24"/>
      <c r="Y19" s="24"/>
      <c r="Z19" s="24"/>
    </row>
    <row r="20">
      <c r="A20" s="39" t="s">
        <v>148</v>
      </c>
      <c r="B20" s="39" t="s">
        <v>149</v>
      </c>
      <c r="C20" s="39" t="s">
        <v>149</v>
      </c>
      <c r="D20" s="39" t="s">
        <v>150</v>
      </c>
      <c r="E20" s="39" t="s">
        <v>115</v>
      </c>
      <c r="F20" s="44" t="s">
        <v>151</v>
      </c>
      <c r="G20" s="11" t="s">
        <v>117</v>
      </c>
      <c r="H20" s="39" t="s">
        <v>152</v>
      </c>
      <c r="I20" s="39" t="s">
        <v>153</v>
      </c>
      <c r="J20" s="39" t="s">
        <v>120</v>
      </c>
      <c r="K20" s="39" t="s">
        <v>6</v>
      </c>
      <c r="L20" s="45" t="s">
        <v>154</v>
      </c>
      <c r="M20" s="47"/>
      <c r="N20" s="11"/>
      <c r="O20" s="24"/>
      <c r="P20" s="24"/>
      <c r="Q20" s="24"/>
      <c r="R20" s="24"/>
      <c r="S20" s="24"/>
      <c r="T20" s="24"/>
      <c r="U20" s="24"/>
      <c r="V20" s="24"/>
      <c r="W20" s="24"/>
      <c r="X20" s="24"/>
      <c r="Y20" s="24"/>
      <c r="Z20" s="24"/>
    </row>
    <row r="21">
      <c r="A21" s="24"/>
      <c r="B21" s="24"/>
      <c r="C21" s="24"/>
      <c r="D21" s="24"/>
      <c r="E21" s="24"/>
      <c r="F21" s="43"/>
      <c r="G21" s="24"/>
      <c r="H21" s="24"/>
      <c r="I21" s="24"/>
      <c r="J21" s="24"/>
      <c r="K21" s="24"/>
      <c r="L21" s="24"/>
      <c r="M21" s="24"/>
      <c r="N21" s="24"/>
      <c r="O21" s="24"/>
      <c r="P21" s="24"/>
      <c r="Q21" s="24"/>
      <c r="R21" s="24"/>
      <c r="S21" s="24"/>
      <c r="T21" s="24"/>
      <c r="U21" s="24"/>
      <c r="V21" s="24"/>
      <c r="W21" s="24"/>
      <c r="X21" s="24"/>
      <c r="Y21" s="24"/>
      <c r="Z21" s="24"/>
    </row>
    <row r="22">
      <c r="A22" s="39" t="s">
        <v>155</v>
      </c>
      <c r="B22" s="39" t="s">
        <v>149</v>
      </c>
      <c r="C22" s="39" t="s">
        <v>149</v>
      </c>
      <c r="D22" s="39" t="s">
        <v>156</v>
      </c>
      <c r="E22" s="39" t="s">
        <v>115</v>
      </c>
      <c r="F22" s="44" t="s">
        <v>157</v>
      </c>
      <c r="G22" s="11" t="s">
        <v>117</v>
      </c>
      <c r="H22" s="39" t="s">
        <v>158</v>
      </c>
      <c r="I22" s="39" t="s">
        <v>159</v>
      </c>
      <c r="J22" s="39" t="s">
        <v>120</v>
      </c>
      <c r="K22" s="39" t="s">
        <v>9</v>
      </c>
      <c r="L22" s="45" t="s">
        <v>160</v>
      </c>
      <c r="M22" s="47"/>
      <c r="N22" s="11"/>
      <c r="O22" s="24"/>
      <c r="P22" s="24"/>
      <c r="Q22" s="24"/>
      <c r="R22" s="24"/>
      <c r="S22" s="24"/>
      <c r="T22" s="24"/>
      <c r="U22" s="24"/>
      <c r="V22" s="24"/>
      <c r="W22" s="24"/>
      <c r="X22" s="24"/>
      <c r="Y22" s="24"/>
      <c r="Z22" s="24"/>
    </row>
    <row r="23">
      <c r="A23" s="24"/>
      <c r="B23" s="24"/>
      <c r="C23" s="24"/>
      <c r="D23" s="24"/>
      <c r="E23" s="24"/>
      <c r="F23" s="43"/>
      <c r="G23" s="24"/>
      <c r="H23" s="24"/>
      <c r="I23" s="24"/>
      <c r="J23" s="24"/>
      <c r="K23" s="24"/>
      <c r="L23" s="24"/>
      <c r="M23" s="24"/>
      <c r="N23" s="24"/>
      <c r="O23" s="24"/>
      <c r="P23" s="24"/>
      <c r="Q23" s="24"/>
      <c r="R23" s="24"/>
      <c r="S23" s="24"/>
      <c r="T23" s="24"/>
      <c r="U23" s="24"/>
      <c r="V23" s="24"/>
      <c r="W23" s="24"/>
      <c r="X23" s="24"/>
      <c r="Y23" s="24"/>
      <c r="Z23" s="24"/>
    </row>
    <row r="24">
      <c r="A24" s="39" t="s">
        <v>161</v>
      </c>
      <c r="B24" s="39" t="s">
        <v>149</v>
      </c>
      <c r="C24" s="39" t="s">
        <v>149</v>
      </c>
      <c r="D24" s="39" t="s">
        <v>162</v>
      </c>
      <c r="E24" s="39" t="s">
        <v>115</v>
      </c>
      <c r="F24" s="44" t="s">
        <v>163</v>
      </c>
      <c r="G24" s="11" t="s">
        <v>117</v>
      </c>
      <c r="H24" s="39" t="s">
        <v>164</v>
      </c>
      <c r="I24" s="39" t="s">
        <v>165</v>
      </c>
      <c r="J24" s="39" t="s">
        <v>120</v>
      </c>
      <c r="K24" s="39" t="s">
        <v>6</v>
      </c>
      <c r="L24" s="45" t="s">
        <v>166</v>
      </c>
      <c r="M24" s="47"/>
      <c r="N24" s="47"/>
      <c r="O24" s="24"/>
      <c r="P24" s="24"/>
      <c r="Q24" s="24"/>
      <c r="R24" s="24"/>
      <c r="S24" s="24"/>
      <c r="T24" s="24"/>
      <c r="U24" s="24"/>
      <c r="V24" s="24"/>
      <c r="W24" s="24"/>
      <c r="X24" s="24"/>
      <c r="Y24" s="24"/>
      <c r="Z24" s="24"/>
    </row>
    <row r="25">
      <c r="A25" s="24"/>
      <c r="B25" s="24"/>
      <c r="C25" s="24"/>
      <c r="D25" s="24"/>
      <c r="E25" s="24"/>
      <c r="F25" s="43"/>
      <c r="G25" s="24"/>
      <c r="H25" s="24"/>
      <c r="I25" s="24"/>
      <c r="J25" s="24"/>
      <c r="K25" s="24"/>
      <c r="L25" s="24"/>
      <c r="M25" s="24"/>
      <c r="N25" s="24"/>
      <c r="O25" s="24"/>
      <c r="P25" s="24"/>
      <c r="Q25" s="24"/>
      <c r="R25" s="24"/>
      <c r="S25" s="24"/>
      <c r="T25" s="24"/>
      <c r="U25" s="24"/>
      <c r="V25" s="24"/>
      <c r="W25" s="24"/>
      <c r="X25" s="24"/>
      <c r="Y25" s="24"/>
      <c r="Z25" s="24"/>
    </row>
    <row r="26">
      <c r="A26" s="39" t="s">
        <v>167</v>
      </c>
      <c r="B26" s="39" t="s">
        <v>149</v>
      </c>
      <c r="C26" s="39" t="s">
        <v>149</v>
      </c>
      <c r="D26" s="39" t="s">
        <v>168</v>
      </c>
      <c r="E26" s="39" t="s">
        <v>115</v>
      </c>
      <c r="F26" s="44" t="s">
        <v>169</v>
      </c>
      <c r="G26" s="11" t="s">
        <v>117</v>
      </c>
      <c r="H26" s="39" t="s">
        <v>170</v>
      </c>
      <c r="I26" s="39" t="s">
        <v>171</v>
      </c>
      <c r="J26" s="39" t="s">
        <v>120</v>
      </c>
      <c r="K26" s="39" t="s">
        <v>9</v>
      </c>
      <c r="L26" s="46" t="s">
        <v>172</v>
      </c>
      <c r="M26" s="47"/>
      <c r="N26" s="47"/>
      <c r="O26" s="24"/>
      <c r="P26" s="24"/>
      <c r="Q26" s="24"/>
      <c r="R26" s="24"/>
      <c r="S26" s="24"/>
      <c r="T26" s="24"/>
      <c r="U26" s="24"/>
      <c r="V26" s="24"/>
      <c r="W26" s="24"/>
      <c r="X26" s="24"/>
      <c r="Y26" s="24"/>
      <c r="Z26" s="24"/>
    </row>
    <row r="27">
      <c r="A27" s="24"/>
      <c r="B27" s="24"/>
      <c r="C27" s="24"/>
      <c r="D27" s="24"/>
      <c r="E27" s="24"/>
      <c r="F27" s="43"/>
      <c r="G27" s="24"/>
      <c r="H27" s="24"/>
      <c r="I27" s="24"/>
      <c r="J27" s="24"/>
      <c r="K27" s="24"/>
      <c r="L27" s="24"/>
      <c r="M27" s="24"/>
      <c r="N27" s="24"/>
      <c r="O27" s="24"/>
      <c r="P27" s="24"/>
      <c r="Q27" s="24"/>
      <c r="R27" s="24"/>
      <c r="S27" s="24"/>
      <c r="T27" s="24"/>
      <c r="U27" s="24"/>
      <c r="V27" s="24"/>
      <c r="W27" s="24"/>
      <c r="X27" s="24"/>
      <c r="Y27" s="24"/>
      <c r="Z27" s="24"/>
    </row>
    <row r="28">
      <c r="A28" s="39" t="s">
        <v>173</v>
      </c>
      <c r="B28" s="39" t="s">
        <v>149</v>
      </c>
      <c r="C28" s="39" t="s">
        <v>149</v>
      </c>
      <c r="D28" s="39" t="s">
        <v>174</v>
      </c>
      <c r="E28" s="39" t="s">
        <v>115</v>
      </c>
      <c r="F28" s="44" t="s">
        <v>175</v>
      </c>
      <c r="G28" s="11" t="s">
        <v>117</v>
      </c>
      <c r="H28" s="39" t="s">
        <v>132</v>
      </c>
      <c r="I28" s="39" t="s">
        <v>176</v>
      </c>
      <c r="J28" s="39" t="s">
        <v>120</v>
      </c>
      <c r="K28" s="39" t="s">
        <v>12</v>
      </c>
      <c r="L28" s="45" t="s">
        <v>177</v>
      </c>
      <c r="M28" s="47"/>
      <c r="N28" s="47"/>
      <c r="O28" s="24"/>
      <c r="P28" s="24"/>
      <c r="Q28" s="24"/>
      <c r="R28" s="24"/>
      <c r="S28" s="24"/>
      <c r="T28" s="24"/>
      <c r="U28" s="24"/>
      <c r="V28" s="24"/>
      <c r="W28" s="24"/>
      <c r="X28" s="24"/>
      <c r="Y28" s="24"/>
      <c r="Z28" s="24"/>
    </row>
    <row r="29">
      <c r="A29" s="24"/>
      <c r="B29" s="24"/>
      <c r="C29" s="24"/>
      <c r="D29" s="24"/>
      <c r="E29" s="24"/>
      <c r="F29" s="43"/>
      <c r="G29" s="24"/>
      <c r="H29" s="24"/>
      <c r="I29" s="24"/>
      <c r="J29" s="24"/>
      <c r="K29" s="24"/>
      <c r="L29" s="24"/>
      <c r="M29" s="24"/>
      <c r="N29" s="24"/>
      <c r="O29" s="24"/>
      <c r="P29" s="24"/>
      <c r="Q29" s="24"/>
      <c r="R29" s="24"/>
      <c r="S29" s="24"/>
      <c r="T29" s="24"/>
      <c r="U29" s="24"/>
      <c r="V29" s="24"/>
      <c r="W29" s="24"/>
      <c r="X29" s="24"/>
      <c r="Y29" s="24"/>
      <c r="Z29" s="24"/>
    </row>
    <row r="30">
      <c r="A30" s="39" t="s">
        <v>178</v>
      </c>
      <c r="B30" s="39" t="s">
        <v>149</v>
      </c>
      <c r="C30" s="39" t="s">
        <v>149</v>
      </c>
      <c r="D30" s="39" t="s">
        <v>179</v>
      </c>
      <c r="E30" s="39" t="s">
        <v>115</v>
      </c>
      <c r="F30" s="44" t="s">
        <v>180</v>
      </c>
      <c r="G30" s="11" t="s">
        <v>117</v>
      </c>
      <c r="H30" s="39" t="s">
        <v>181</v>
      </c>
      <c r="I30" s="39" t="s">
        <v>182</v>
      </c>
      <c r="J30" s="39" t="s">
        <v>120</v>
      </c>
      <c r="K30" s="39" t="s">
        <v>9</v>
      </c>
      <c r="L30" s="45" t="s">
        <v>183</v>
      </c>
      <c r="M30" s="47"/>
      <c r="N30" s="47"/>
      <c r="O30" s="24"/>
      <c r="P30" s="24"/>
      <c r="Q30" s="24"/>
      <c r="R30" s="24"/>
      <c r="S30" s="24"/>
      <c r="T30" s="24"/>
      <c r="U30" s="24"/>
      <c r="V30" s="24"/>
      <c r="W30" s="24"/>
      <c r="X30" s="24"/>
      <c r="Y30" s="24"/>
      <c r="Z30" s="24"/>
    </row>
    <row r="31">
      <c r="A31" s="24"/>
      <c r="B31" s="24"/>
      <c r="C31" s="24"/>
      <c r="D31" s="24"/>
      <c r="E31" s="24"/>
      <c r="F31" s="43"/>
      <c r="G31" s="24"/>
      <c r="H31" s="24"/>
      <c r="I31" s="24"/>
      <c r="J31" s="24"/>
      <c r="K31" s="24"/>
      <c r="L31" s="24"/>
      <c r="M31" s="24"/>
      <c r="N31" s="24"/>
      <c r="O31" s="24"/>
      <c r="P31" s="24"/>
      <c r="Q31" s="24"/>
      <c r="R31" s="24"/>
      <c r="S31" s="24"/>
      <c r="T31" s="24"/>
      <c r="U31" s="24"/>
      <c r="V31" s="24"/>
      <c r="W31" s="24"/>
      <c r="X31" s="24"/>
      <c r="Y31" s="24"/>
      <c r="Z31" s="24"/>
    </row>
    <row r="32">
      <c r="A32" s="39" t="s">
        <v>184</v>
      </c>
      <c r="B32" s="39" t="s">
        <v>149</v>
      </c>
      <c r="C32" s="39" t="s">
        <v>149</v>
      </c>
      <c r="D32" s="39" t="s">
        <v>185</v>
      </c>
      <c r="E32" s="39" t="s">
        <v>115</v>
      </c>
      <c r="F32" s="44" t="s">
        <v>186</v>
      </c>
      <c r="G32" s="11" t="s">
        <v>117</v>
      </c>
      <c r="H32" s="39" t="s">
        <v>132</v>
      </c>
      <c r="I32" s="39" t="s">
        <v>187</v>
      </c>
      <c r="J32" s="39" t="s">
        <v>120</v>
      </c>
      <c r="K32" s="39" t="s">
        <v>12</v>
      </c>
      <c r="L32" s="45" t="s">
        <v>188</v>
      </c>
      <c r="M32" s="47"/>
      <c r="N32" s="47"/>
      <c r="O32" s="24"/>
      <c r="P32" s="24"/>
      <c r="Q32" s="24"/>
      <c r="R32" s="24"/>
      <c r="S32" s="24"/>
      <c r="T32" s="24"/>
      <c r="U32" s="24"/>
      <c r="V32" s="24"/>
      <c r="W32" s="24"/>
      <c r="X32" s="24"/>
      <c r="Y32" s="24"/>
      <c r="Z32" s="24"/>
    </row>
    <row r="33">
      <c r="A33" s="24"/>
      <c r="B33" s="24"/>
      <c r="C33" s="24"/>
      <c r="D33" s="24"/>
      <c r="E33" s="24"/>
      <c r="F33" s="43"/>
      <c r="G33" s="24"/>
      <c r="H33" s="24"/>
      <c r="I33" s="24"/>
      <c r="J33" s="24"/>
      <c r="K33" s="24"/>
      <c r="L33" s="24"/>
      <c r="M33" s="24"/>
      <c r="N33" s="24"/>
      <c r="O33" s="24"/>
      <c r="P33" s="24"/>
      <c r="Q33" s="24"/>
      <c r="R33" s="24"/>
      <c r="S33" s="24"/>
      <c r="T33" s="24"/>
      <c r="U33" s="24"/>
      <c r="V33" s="24"/>
      <c r="W33" s="24"/>
      <c r="X33" s="24"/>
      <c r="Y33" s="24"/>
      <c r="Z33" s="24"/>
    </row>
    <row r="34">
      <c r="A34" s="39" t="s">
        <v>189</v>
      </c>
      <c r="B34" s="39" t="s">
        <v>149</v>
      </c>
      <c r="C34" s="39" t="s">
        <v>149</v>
      </c>
      <c r="D34" s="39" t="s">
        <v>190</v>
      </c>
      <c r="E34" s="39" t="s">
        <v>115</v>
      </c>
      <c r="F34" s="44" t="s">
        <v>191</v>
      </c>
      <c r="G34" s="11" t="s">
        <v>117</v>
      </c>
      <c r="H34" s="39" t="s">
        <v>192</v>
      </c>
      <c r="I34" s="39" t="s">
        <v>193</v>
      </c>
      <c r="J34" s="39" t="s">
        <v>120</v>
      </c>
      <c r="K34" s="39" t="s">
        <v>9</v>
      </c>
      <c r="L34" s="45" t="s">
        <v>194</v>
      </c>
      <c r="M34" s="47"/>
      <c r="N34" s="47"/>
      <c r="O34" s="24"/>
      <c r="P34" s="24"/>
      <c r="Q34" s="24"/>
      <c r="R34" s="24"/>
      <c r="S34" s="24"/>
      <c r="T34" s="24"/>
      <c r="U34" s="24"/>
      <c r="V34" s="24"/>
      <c r="W34" s="24"/>
      <c r="X34" s="24"/>
      <c r="Y34" s="24"/>
      <c r="Z34" s="24"/>
    </row>
    <row r="35">
      <c r="A35" s="24"/>
      <c r="B35" s="24"/>
      <c r="C35" s="24"/>
      <c r="D35" s="24"/>
      <c r="E35" s="24"/>
      <c r="F35" s="43"/>
      <c r="G35" s="24"/>
      <c r="H35" s="24"/>
      <c r="I35" s="24"/>
      <c r="J35" s="24"/>
      <c r="K35" s="24"/>
      <c r="L35" s="24"/>
      <c r="M35" s="24"/>
      <c r="N35" s="24"/>
      <c r="O35" s="24"/>
      <c r="P35" s="24"/>
      <c r="Q35" s="24"/>
      <c r="R35" s="24"/>
      <c r="S35" s="24"/>
      <c r="T35" s="24"/>
      <c r="U35" s="24"/>
      <c r="V35" s="24"/>
      <c r="W35" s="24"/>
      <c r="X35" s="24"/>
      <c r="Y35" s="24"/>
      <c r="Z35" s="24"/>
    </row>
    <row r="36">
      <c r="A36" s="39" t="s">
        <v>195</v>
      </c>
      <c r="B36" s="39" t="s">
        <v>149</v>
      </c>
      <c r="C36" s="39" t="s">
        <v>196</v>
      </c>
      <c r="D36" s="39" t="s">
        <v>197</v>
      </c>
      <c r="E36" s="39" t="s">
        <v>115</v>
      </c>
      <c r="F36" s="44" t="s">
        <v>198</v>
      </c>
      <c r="G36" s="11" t="s">
        <v>117</v>
      </c>
      <c r="H36" s="39" t="s">
        <v>132</v>
      </c>
      <c r="I36" s="39" t="s">
        <v>199</v>
      </c>
      <c r="J36" s="39" t="s">
        <v>120</v>
      </c>
      <c r="K36" s="39" t="s">
        <v>12</v>
      </c>
      <c r="L36" s="45" t="s">
        <v>200</v>
      </c>
      <c r="M36" s="47"/>
      <c r="N36" s="47"/>
      <c r="O36" s="24"/>
      <c r="P36" s="24"/>
      <c r="Q36" s="24"/>
      <c r="R36" s="24"/>
      <c r="S36" s="24"/>
      <c r="T36" s="24"/>
      <c r="U36" s="24"/>
      <c r="V36" s="24"/>
      <c r="W36" s="24"/>
      <c r="X36" s="24"/>
      <c r="Y36" s="24"/>
      <c r="Z36" s="24"/>
    </row>
    <row r="37">
      <c r="A37" s="24"/>
      <c r="B37" s="24"/>
      <c r="C37" s="24"/>
      <c r="D37" s="24"/>
      <c r="E37" s="24"/>
      <c r="F37" s="43"/>
      <c r="G37" s="24"/>
      <c r="H37" s="24"/>
      <c r="I37" s="24"/>
      <c r="J37" s="24"/>
      <c r="K37" s="24"/>
      <c r="L37" s="24"/>
      <c r="M37" s="24"/>
      <c r="N37" s="24"/>
      <c r="O37" s="24"/>
      <c r="P37" s="24"/>
      <c r="Q37" s="24"/>
      <c r="R37" s="24"/>
      <c r="S37" s="24"/>
      <c r="T37" s="24"/>
      <c r="U37" s="24"/>
      <c r="V37" s="24"/>
      <c r="W37" s="24"/>
      <c r="X37" s="24"/>
      <c r="Y37" s="24"/>
      <c r="Z37" s="24"/>
    </row>
    <row r="38">
      <c r="A38" s="39" t="s">
        <v>201</v>
      </c>
      <c r="B38" s="39" t="s">
        <v>149</v>
      </c>
      <c r="C38" s="39" t="s">
        <v>196</v>
      </c>
      <c r="D38" s="39" t="s">
        <v>202</v>
      </c>
      <c r="E38" s="39" t="s">
        <v>115</v>
      </c>
      <c r="F38" s="44" t="s">
        <v>203</v>
      </c>
      <c r="G38" s="11" t="s">
        <v>117</v>
      </c>
      <c r="H38" s="39" t="s">
        <v>204</v>
      </c>
      <c r="I38" s="39" t="s">
        <v>205</v>
      </c>
      <c r="J38" s="39" t="s">
        <v>120</v>
      </c>
      <c r="K38" s="39" t="s">
        <v>12</v>
      </c>
      <c r="L38" s="45" t="s">
        <v>206</v>
      </c>
      <c r="M38" s="11" t="s">
        <v>207</v>
      </c>
      <c r="N38" s="47"/>
      <c r="O38" s="24"/>
      <c r="P38" s="24"/>
      <c r="Q38" s="24"/>
      <c r="R38" s="24"/>
      <c r="S38" s="24"/>
      <c r="T38" s="24"/>
      <c r="U38" s="24"/>
      <c r="V38" s="24"/>
      <c r="W38" s="24"/>
      <c r="X38" s="24"/>
      <c r="Y38" s="24"/>
      <c r="Z38" s="24"/>
    </row>
    <row r="39">
      <c r="A39" s="24"/>
      <c r="B39" s="24"/>
      <c r="C39" s="24"/>
      <c r="D39" s="24"/>
      <c r="E39" s="24"/>
      <c r="F39" s="43"/>
      <c r="G39" s="24"/>
      <c r="H39" s="24"/>
      <c r="I39" s="24"/>
      <c r="J39" s="24"/>
      <c r="K39" s="24"/>
      <c r="L39" s="24"/>
      <c r="M39" s="24"/>
      <c r="N39" s="24"/>
      <c r="O39" s="24"/>
      <c r="P39" s="24"/>
      <c r="Q39" s="24"/>
      <c r="R39" s="24"/>
      <c r="S39" s="24"/>
      <c r="T39" s="24"/>
      <c r="U39" s="24"/>
      <c r="V39" s="24"/>
      <c r="W39" s="24"/>
      <c r="X39" s="24"/>
      <c r="Y39" s="24"/>
      <c r="Z39" s="24"/>
    </row>
    <row r="40">
      <c r="A40" s="39" t="s">
        <v>208</v>
      </c>
      <c r="B40" s="39" t="s">
        <v>149</v>
      </c>
      <c r="C40" s="39" t="s">
        <v>196</v>
      </c>
      <c r="D40" s="39" t="s">
        <v>209</v>
      </c>
      <c r="E40" s="39" t="s">
        <v>210</v>
      </c>
      <c r="F40" s="44" t="s">
        <v>211</v>
      </c>
      <c r="G40" s="11" t="s">
        <v>117</v>
      </c>
      <c r="H40" s="39" t="s">
        <v>212</v>
      </c>
      <c r="I40" s="39" t="s">
        <v>213</v>
      </c>
      <c r="J40" s="39" t="s">
        <v>120</v>
      </c>
      <c r="K40" s="39" t="s">
        <v>9</v>
      </c>
      <c r="L40" s="45" t="s">
        <v>214</v>
      </c>
      <c r="M40" s="47"/>
      <c r="N40" s="47"/>
      <c r="O40" s="24"/>
      <c r="P40" s="24"/>
      <c r="Q40" s="24"/>
      <c r="R40" s="24"/>
      <c r="S40" s="24"/>
      <c r="T40" s="24"/>
      <c r="U40" s="24"/>
      <c r="V40" s="24"/>
      <c r="W40" s="24"/>
      <c r="X40" s="24"/>
      <c r="Y40" s="24"/>
      <c r="Z40" s="24"/>
    </row>
    <row r="41">
      <c r="A41" s="24"/>
      <c r="B41" s="24"/>
      <c r="C41" s="24"/>
      <c r="D41" s="24"/>
      <c r="E41" s="24"/>
      <c r="F41" s="43"/>
      <c r="G41" s="24"/>
      <c r="H41" s="24"/>
      <c r="I41" s="24"/>
      <c r="J41" s="24"/>
      <c r="K41" s="24"/>
      <c r="L41" s="24"/>
      <c r="M41" s="24"/>
      <c r="N41" s="24"/>
      <c r="O41" s="24"/>
      <c r="P41" s="24"/>
      <c r="Q41" s="24"/>
      <c r="R41" s="24"/>
      <c r="S41" s="24"/>
      <c r="T41" s="24"/>
      <c r="U41" s="24"/>
      <c r="V41" s="24"/>
      <c r="W41" s="24"/>
      <c r="X41" s="24"/>
      <c r="Y41" s="24"/>
      <c r="Z41" s="24"/>
    </row>
    <row r="42">
      <c r="A42" s="39" t="s">
        <v>215</v>
      </c>
      <c r="B42" s="39" t="s">
        <v>149</v>
      </c>
      <c r="C42" s="39" t="s">
        <v>196</v>
      </c>
      <c r="D42" s="39" t="s">
        <v>216</v>
      </c>
      <c r="E42" s="39" t="s">
        <v>210</v>
      </c>
      <c r="F42" s="44" t="s">
        <v>217</v>
      </c>
      <c r="G42" s="11" t="s">
        <v>117</v>
      </c>
      <c r="H42" s="39" t="s">
        <v>218</v>
      </c>
      <c r="I42" s="39" t="s">
        <v>219</v>
      </c>
      <c r="J42" s="39" t="s">
        <v>120</v>
      </c>
      <c r="K42" s="39" t="s">
        <v>9</v>
      </c>
      <c r="L42" s="45" t="s">
        <v>220</v>
      </c>
      <c r="M42" s="47"/>
      <c r="N42" s="47"/>
      <c r="O42" s="24"/>
      <c r="P42" s="24"/>
      <c r="Q42" s="24"/>
      <c r="R42" s="24"/>
      <c r="S42" s="24"/>
      <c r="T42" s="24"/>
      <c r="U42" s="24"/>
      <c r="V42" s="24"/>
      <c r="W42" s="24"/>
      <c r="X42" s="24"/>
      <c r="Y42" s="24"/>
      <c r="Z42" s="24"/>
    </row>
    <row r="43">
      <c r="A43" s="24"/>
      <c r="B43" s="24"/>
      <c r="C43" s="24"/>
      <c r="D43" s="24"/>
      <c r="E43" s="24"/>
      <c r="F43" s="43"/>
      <c r="G43" s="24"/>
      <c r="H43" s="24"/>
      <c r="I43" s="24"/>
      <c r="J43" s="24"/>
      <c r="K43" s="24"/>
      <c r="L43" s="24"/>
      <c r="M43" s="24"/>
      <c r="N43" s="24"/>
      <c r="O43" s="24"/>
      <c r="P43" s="24"/>
      <c r="Q43" s="24"/>
      <c r="R43" s="24"/>
      <c r="S43" s="24"/>
      <c r="T43" s="24"/>
      <c r="U43" s="24"/>
      <c r="V43" s="24"/>
      <c r="W43" s="24"/>
      <c r="X43" s="24"/>
      <c r="Y43" s="24"/>
      <c r="Z43" s="24"/>
    </row>
    <row r="44">
      <c r="A44" s="39" t="s">
        <v>221</v>
      </c>
      <c r="B44" s="39" t="s">
        <v>222</v>
      </c>
      <c r="C44" s="39" t="s">
        <v>223</v>
      </c>
      <c r="D44" s="39" t="s">
        <v>224</v>
      </c>
      <c r="E44" s="39" t="s">
        <v>115</v>
      </c>
      <c r="F44" s="44" t="s">
        <v>225</v>
      </c>
      <c r="G44" s="11" t="s">
        <v>117</v>
      </c>
      <c r="H44" s="39" t="s">
        <v>226</v>
      </c>
      <c r="I44" s="39" t="s">
        <v>227</v>
      </c>
      <c r="J44" s="39" t="s">
        <v>120</v>
      </c>
      <c r="K44" s="39" t="s">
        <v>9</v>
      </c>
      <c r="L44" s="45" t="s">
        <v>228</v>
      </c>
      <c r="M44" s="47"/>
      <c r="N44" s="47"/>
      <c r="O44" s="24"/>
      <c r="P44" s="24"/>
      <c r="Q44" s="24"/>
      <c r="R44" s="24"/>
      <c r="S44" s="24"/>
      <c r="T44" s="24"/>
      <c r="U44" s="24"/>
      <c r="V44" s="24"/>
      <c r="W44" s="24"/>
      <c r="X44" s="24"/>
      <c r="Y44" s="24"/>
      <c r="Z44" s="24"/>
    </row>
    <row r="45">
      <c r="A45" s="24"/>
      <c r="B45" s="24"/>
      <c r="C45" s="24"/>
      <c r="D45" s="24"/>
      <c r="E45" s="24"/>
      <c r="F45" s="43"/>
      <c r="G45" s="24"/>
      <c r="H45" s="24"/>
      <c r="I45" s="24"/>
      <c r="J45" s="24"/>
      <c r="K45" s="24"/>
      <c r="L45" s="24"/>
      <c r="M45" s="24"/>
      <c r="N45" s="24"/>
      <c r="O45" s="24"/>
      <c r="P45" s="24"/>
      <c r="Q45" s="24"/>
      <c r="R45" s="24"/>
      <c r="S45" s="24"/>
      <c r="T45" s="24"/>
      <c r="U45" s="24"/>
      <c r="V45" s="24"/>
      <c r="W45" s="24"/>
      <c r="X45" s="24"/>
      <c r="Y45" s="24"/>
      <c r="Z45" s="24"/>
    </row>
    <row r="46">
      <c r="A46" s="39" t="s">
        <v>229</v>
      </c>
      <c r="B46" s="39" t="s">
        <v>222</v>
      </c>
      <c r="C46" s="39" t="s">
        <v>223</v>
      </c>
      <c r="D46" s="39" t="s">
        <v>230</v>
      </c>
      <c r="E46" s="39" t="s">
        <v>115</v>
      </c>
      <c r="F46" s="44" t="s">
        <v>231</v>
      </c>
      <c r="G46" s="11" t="s">
        <v>117</v>
      </c>
      <c r="H46" s="39" t="s">
        <v>232</v>
      </c>
      <c r="I46" s="39" t="s">
        <v>233</v>
      </c>
      <c r="J46" s="39" t="s">
        <v>120</v>
      </c>
      <c r="K46" s="39" t="s">
        <v>9</v>
      </c>
      <c r="L46" s="45" t="s">
        <v>234</v>
      </c>
      <c r="M46" s="47"/>
      <c r="N46" s="47"/>
      <c r="O46" s="24"/>
      <c r="P46" s="24"/>
      <c r="Q46" s="24"/>
      <c r="R46" s="24"/>
      <c r="S46" s="24"/>
      <c r="T46" s="24"/>
      <c r="U46" s="24"/>
      <c r="V46" s="24"/>
      <c r="W46" s="24"/>
      <c r="X46" s="24"/>
      <c r="Y46" s="24"/>
      <c r="Z46" s="24"/>
    </row>
    <row r="47">
      <c r="A47" s="24"/>
      <c r="B47" s="24"/>
      <c r="C47" s="24"/>
      <c r="D47" s="24"/>
      <c r="E47" s="24"/>
      <c r="F47" s="43"/>
      <c r="G47" s="24"/>
      <c r="H47" s="24"/>
      <c r="I47" s="24"/>
      <c r="J47" s="24"/>
      <c r="K47" s="24"/>
      <c r="L47" s="24"/>
      <c r="M47" s="24"/>
      <c r="N47" s="24"/>
      <c r="O47" s="24"/>
      <c r="P47" s="24"/>
      <c r="Q47" s="24"/>
      <c r="R47" s="24"/>
      <c r="S47" s="24"/>
      <c r="T47" s="24"/>
      <c r="U47" s="24"/>
      <c r="V47" s="24"/>
      <c r="W47" s="24"/>
      <c r="X47" s="24"/>
      <c r="Y47" s="24"/>
      <c r="Z47" s="24"/>
    </row>
    <row r="48">
      <c r="A48" s="39" t="s">
        <v>235</v>
      </c>
      <c r="B48" s="39" t="s">
        <v>222</v>
      </c>
      <c r="C48" s="39" t="s">
        <v>223</v>
      </c>
      <c r="D48" s="39" t="s">
        <v>236</v>
      </c>
      <c r="E48" s="39" t="s">
        <v>210</v>
      </c>
      <c r="F48" s="44" t="s">
        <v>237</v>
      </c>
      <c r="G48" s="11" t="s">
        <v>117</v>
      </c>
      <c r="H48" s="39" t="s">
        <v>132</v>
      </c>
      <c r="I48" s="39" t="s">
        <v>238</v>
      </c>
      <c r="J48" s="39" t="s">
        <v>120</v>
      </c>
      <c r="K48" s="39" t="s">
        <v>12</v>
      </c>
      <c r="L48" s="45" t="s">
        <v>239</v>
      </c>
      <c r="M48" s="11"/>
      <c r="N48" s="47"/>
      <c r="O48" s="24"/>
      <c r="P48" s="24"/>
      <c r="Q48" s="24"/>
      <c r="R48" s="24"/>
      <c r="S48" s="24"/>
      <c r="T48" s="24"/>
      <c r="U48" s="24"/>
      <c r="V48" s="24"/>
      <c r="W48" s="24"/>
      <c r="X48" s="24"/>
      <c r="Y48" s="24"/>
      <c r="Z48" s="24"/>
    </row>
    <row r="49">
      <c r="A49" s="24"/>
      <c r="B49" s="24"/>
      <c r="C49" s="24"/>
      <c r="D49" s="24"/>
      <c r="E49" s="24"/>
      <c r="F49" s="43"/>
      <c r="G49" s="24"/>
      <c r="H49" s="24"/>
      <c r="I49" s="24"/>
      <c r="J49" s="24"/>
      <c r="K49" s="24"/>
      <c r="L49" s="24"/>
      <c r="M49" s="24"/>
      <c r="N49" s="24"/>
      <c r="O49" s="24"/>
      <c r="P49" s="24"/>
      <c r="Q49" s="24"/>
      <c r="R49" s="24"/>
      <c r="S49" s="24"/>
      <c r="T49" s="24"/>
      <c r="U49" s="24"/>
      <c r="V49" s="24"/>
      <c r="W49" s="24"/>
      <c r="X49" s="24"/>
      <c r="Y49" s="24"/>
      <c r="Z49" s="24"/>
    </row>
    <row r="50">
      <c r="A50" s="39" t="s">
        <v>240</v>
      </c>
      <c r="B50" s="39" t="s">
        <v>222</v>
      </c>
      <c r="C50" s="39" t="s">
        <v>223</v>
      </c>
      <c r="D50" s="39" t="s">
        <v>241</v>
      </c>
      <c r="E50" s="39" t="s">
        <v>115</v>
      </c>
      <c r="F50" s="44" t="s">
        <v>242</v>
      </c>
      <c r="G50" s="11" t="s">
        <v>117</v>
      </c>
      <c r="H50" s="39" t="s">
        <v>243</v>
      </c>
      <c r="I50" s="39" t="s">
        <v>244</v>
      </c>
      <c r="J50" s="39" t="s">
        <v>120</v>
      </c>
      <c r="K50" s="39" t="s">
        <v>9</v>
      </c>
      <c r="L50" s="45" t="s">
        <v>245</v>
      </c>
      <c r="M50" s="47"/>
      <c r="N50" s="47"/>
      <c r="O50" s="24"/>
      <c r="P50" s="24"/>
      <c r="Q50" s="24"/>
      <c r="R50" s="24"/>
      <c r="S50" s="24"/>
      <c r="T50" s="24"/>
      <c r="U50" s="24"/>
      <c r="V50" s="24"/>
      <c r="W50" s="24"/>
      <c r="X50" s="24"/>
      <c r="Y50" s="24"/>
      <c r="Z50" s="24"/>
    </row>
    <row r="51">
      <c r="A51" s="24"/>
      <c r="B51" s="24"/>
      <c r="C51" s="24"/>
      <c r="D51" s="24"/>
      <c r="E51" s="24"/>
      <c r="F51" s="43"/>
      <c r="G51" s="24"/>
      <c r="H51" s="24"/>
      <c r="I51" s="24"/>
      <c r="J51" s="24"/>
      <c r="K51" s="24"/>
      <c r="L51" s="24"/>
      <c r="M51" s="24"/>
      <c r="N51" s="24"/>
      <c r="O51" s="24"/>
      <c r="P51" s="24"/>
      <c r="Q51" s="24"/>
      <c r="R51" s="24"/>
      <c r="S51" s="24"/>
      <c r="T51" s="24"/>
      <c r="U51" s="24"/>
      <c r="V51" s="24"/>
      <c r="W51" s="24"/>
      <c r="X51" s="24"/>
      <c r="Y51" s="24"/>
      <c r="Z51" s="24"/>
    </row>
    <row r="52">
      <c r="A52" s="39" t="s">
        <v>246</v>
      </c>
      <c r="B52" s="39" t="s">
        <v>222</v>
      </c>
      <c r="C52" s="39" t="s">
        <v>223</v>
      </c>
      <c r="D52" s="39" t="s">
        <v>247</v>
      </c>
      <c r="E52" s="39" t="s">
        <v>115</v>
      </c>
      <c r="F52" s="44" t="s">
        <v>248</v>
      </c>
      <c r="G52" s="11" t="s">
        <v>117</v>
      </c>
      <c r="H52" s="39" t="s">
        <v>249</v>
      </c>
      <c r="I52" s="39" t="s">
        <v>250</v>
      </c>
      <c r="J52" s="39" t="s">
        <v>120</v>
      </c>
      <c r="K52" s="39" t="s">
        <v>12</v>
      </c>
      <c r="L52" s="46" t="s">
        <v>251</v>
      </c>
      <c r="M52" s="47"/>
      <c r="N52" s="47"/>
      <c r="O52" s="24"/>
      <c r="P52" s="24"/>
      <c r="Q52" s="24"/>
      <c r="R52" s="24"/>
      <c r="S52" s="24"/>
      <c r="T52" s="24"/>
      <c r="U52" s="24"/>
      <c r="V52" s="24"/>
      <c r="W52" s="24"/>
      <c r="X52" s="24"/>
      <c r="Y52" s="24"/>
      <c r="Z52" s="24"/>
    </row>
    <row r="53">
      <c r="A53" s="24"/>
      <c r="B53" s="24"/>
      <c r="C53" s="24"/>
      <c r="D53" s="24"/>
      <c r="E53" s="24"/>
      <c r="F53" s="43"/>
      <c r="G53" s="24"/>
      <c r="H53" s="24"/>
      <c r="I53" s="24"/>
      <c r="J53" s="24"/>
      <c r="K53" s="24"/>
      <c r="L53" s="24"/>
      <c r="M53" s="24"/>
      <c r="N53" s="24"/>
      <c r="O53" s="24"/>
      <c r="P53" s="24"/>
      <c r="Q53" s="24"/>
      <c r="R53" s="24"/>
      <c r="S53" s="24"/>
      <c r="T53" s="24"/>
      <c r="U53" s="24"/>
      <c r="V53" s="24"/>
      <c r="W53" s="24"/>
      <c r="X53" s="24"/>
      <c r="Y53" s="24"/>
      <c r="Z53" s="24"/>
    </row>
    <row r="54">
      <c r="A54" s="39" t="s">
        <v>252</v>
      </c>
      <c r="B54" s="39" t="s">
        <v>222</v>
      </c>
      <c r="C54" s="39" t="s">
        <v>223</v>
      </c>
      <c r="D54" s="39" t="s">
        <v>253</v>
      </c>
      <c r="E54" s="39" t="s">
        <v>115</v>
      </c>
      <c r="F54" s="44" t="s">
        <v>254</v>
      </c>
      <c r="G54" s="11" t="s">
        <v>117</v>
      </c>
      <c r="H54" s="39" t="s">
        <v>255</v>
      </c>
      <c r="I54" s="39" t="s">
        <v>256</v>
      </c>
      <c r="J54" s="39" t="s">
        <v>120</v>
      </c>
      <c r="K54" s="39" t="s">
        <v>12</v>
      </c>
      <c r="L54" s="45" t="s">
        <v>257</v>
      </c>
      <c r="M54" s="47"/>
      <c r="N54" s="47"/>
      <c r="O54" s="24"/>
      <c r="P54" s="24"/>
      <c r="Q54" s="24"/>
      <c r="R54" s="24"/>
      <c r="S54" s="24"/>
      <c r="T54" s="24"/>
      <c r="U54" s="24"/>
      <c r="V54" s="24"/>
      <c r="W54" s="24"/>
      <c r="X54" s="24"/>
      <c r="Y54" s="24"/>
      <c r="Z54" s="24"/>
    </row>
    <row r="55">
      <c r="A55" s="24"/>
      <c r="B55" s="24"/>
      <c r="C55" s="24"/>
      <c r="D55" s="24"/>
      <c r="E55" s="24"/>
      <c r="F55" s="43"/>
      <c r="G55" s="24"/>
      <c r="H55" s="24"/>
      <c r="I55" s="24"/>
      <c r="J55" s="24"/>
      <c r="K55" s="24"/>
      <c r="L55" s="24"/>
      <c r="M55" s="24"/>
      <c r="N55" s="24"/>
      <c r="O55" s="24"/>
      <c r="P55" s="24"/>
      <c r="Q55" s="24"/>
      <c r="R55" s="24"/>
      <c r="S55" s="24"/>
      <c r="T55" s="24"/>
      <c r="U55" s="24"/>
      <c r="V55" s="24"/>
      <c r="W55" s="24"/>
      <c r="X55" s="24"/>
      <c r="Y55" s="24"/>
      <c r="Z55" s="24"/>
    </row>
    <row r="56">
      <c r="A56" s="39" t="s">
        <v>258</v>
      </c>
      <c r="B56" s="39" t="s">
        <v>222</v>
      </c>
      <c r="C56" s="39" t="s">
        <v>259</v>
      </c>
      <c r="D56" s="39" t="s">
        <v>260</v>
      </c>
      <c r="E56" s="39" t="s">
        <v>115</v>
      </c>
      <c r="F56" s="44" t="s">
        <v>261</v>
      </c>
      <c r="G56" s="11" t="s">
        <v>117</v>
      </c>
      <c r="H56" s="39" t="s">
        <v>132</v>
      </c>
      <c r="I56" s="39" t="s">
        <v>262</v>
      </c>
      <c r="J56" s="39" t="s">
        <v>120</v>
      </c>
      <c r="K56" s="39" t="s">
        <v>12</v>
      </c>
      <c r="L56" s="45" t="s">
        <v>263</v>
      </c>
      <c r="M56" s="47"/>
      <c r="N56" s="47"/>
      <c r="O56" s="24"/>
      <c r="P56" s="24"/>
      <c r="Q56" s="24"/>
      <c r="R56" s="24"/>
      <c r="S56" s="24"/>
      <c r="T56" s="24"/>
      <c r="U56" s="24"/>
      <c r="V56" s="24"/>
      <c r="W56" s="24"/>
      <c r="X56" s="24"/>
      <c r="Y56" s="24"/>
      <c r="Z56" s="24"/>
    </row>
    <row r="57">
      <c r="A57" s="24"/>
      <c r="B57" s="24"/>
      <c r="C57" s="24"/>
      <c r="D57" s="24"/>
      <c r="E57" s="24"/>
      <c r="F57" s="43"/>
      <c r="G57" s="24"/>
      <c r="H57" s="24"/>
      <c r="I57" s="24"/>
      <c r="J57" s="24"/>
      <c r="K57" s="24"/>
      <c r="L57" s="24"/>
      <c r="M57" s="24"/>
      <c r="N57" s="24"/>
      <c r="O57" s="24"/>
      <c r="P57" s="24"/>
      <c r="Q57" s="24"/>
      <c r="R57" s="24"/>
      <c r="S57" s="24"/>
      <c r="T57" s="24"/>
      <c r="U57" s="24"/>
      <c r="V57" s="24"/>
      <c r="W57" s="24"/>
      <c r="X57" s="24"/>
      <c r="Y57" s="24"/>
      <c r="Z57" s="24"/>
    </row>
    <row r="58">
      <c r="A58" s="39" t="s">
        <v>264</v>
      </c>
      <c r="B58" s="39" t="s">
        <v>222</v>
      </c>
      <c r="C58" s="39" t="s">
        <v>259</v>
      </c>
      <c r="D58" s="39" t="s">
        <v>265</v>
      </c>
      <c r="E58" s="39" t="s">
        <v>115</v>
      </c>
      <c r="F58" s="44" t="s">
        <v>266</v>
      </c>
      <c r="G58" s="11" t="s">
        <v>117</v>
      </c>
      <c r="H58" s="39" t="s">
        <v>132</v>
      </c>
      <c r="I58" s="39" t="s">
        <v>267</v>
      </c>
      <c r="J58" s="39" t="s">
        <v>120</v>
      </c>
      <c r="K58" s="39" t="s">
        <v>9</v>
      </c>
      <c r="L58" s="45" t="s">
        <v>268</v>
      </c>
      <c r="M58" s="47"/>
      <c r="N58" s="47"/>
      <c r="O58" s="24"/>
      <c r="P58" s="24"/>
      <c r="Q58" s="24"/>
      <c r="R58" s="24"/>
      <c r="S58" s="24"/>
      <c r="T58" s="24"/>
      <c r="U58" s="24"/>
      <c r="V58" s="24"/>
      <c r="W58" s="24"/>
      <c r="X58" s="24"/>
      <c r="Y58" s="24"/>
      <c r="Z58" s="24"/>
    </row>
    <row r="59">
      <c r="A59" s="24"/>
      <c r="B59" s="24"/>
      <c r="C59" s="24"/>
      <c r="D59" s="24"/>
      <c r="E59" s="24"/>
      <c r="F59" s="43"/>
      <c r="G59" s="24"/>
      <c r="H59" s="24"/>
      <c r="I59" s="24"/>
      <c r="J59" s="24"/>
      <c r="K59" s="24"/>
      <c r="L59" s="24"/>
      <c r="M59" s="24"/>
      <c r="N59" s="24"/>
      <c r="O59" s="24"/>
      <c r="P59" s="24"/>
      <c r="Q59" s="24"/>
      <c r="R59" s="24"/>
      <c r="S59" s="24"/>
      <c r="T59" s="24"/>
      <c r="U59" s="24"/>
      <c r="V59" s="24"/>
      <c r="W59" s="24"/>
      <c r="X59" s="24"/>
      <c r="Y59" s="24"/>
      <c r="Z59" s="24"/>
    </row>
    <row r="60">
      <c r="A60" s="39" t="s">
        <v>269</v>
      </c>
      <c r="B60" s="39" t="s">
        <v>222</v>
      </c>
      <c r="C60" s="39" t="s">
        <v>259</v>
      </c>
      <c r="D60" s="39" t="s">
        <v>270</v>
      </c>
      <c r="E60" s="39" t="s">
        <v>115</v>
      </c>
      <c r="F60" s="44" t="s">
        <v>271</v>
      </c>
      <c r="G60" s="11" t="s">
        <v>117</v>
      </c>
      <c r="H60" s="39" t="s">
        <v>272</v>
      </c>
      <c r="I60" s="39" t="s">
        <v>273</v>
      </c>
      <c r="J60" s="39" t="s">
        <v>120</v>
      </c>
      <c r="K60" s="39" t="s">
        <v>6</v>
      </c>
      <c r="L60" s="45" t="s">
        <v>274</v>
      </c>
      <c r="M60" s="47"/>
      <c r="N60" s="47"/>
      <c r="O60" s="24"/>
      <c r="P60" s="24"/>
      <c r="Q60" s="24"/>
      <c r="R60" s="24"/>
      <c r="S60" s="24"/>
      <c r="T60" s="24"/>
      <c r="U60" s="24"/>
      <c r="V60" s="24"/>
      <c r="W60" s="24"/>
      <c r="X60" s="24"/>
      <c r="Y60" s="24"/>
      <c r="Z60" s="24"/>
    </row>
    <row r="61">
      <c r="A61" s="24"/>
      <c r="B61" s="24"/>
      <c r="C61" s="24"/>
      <c r="D61" s="24"/>
      <c r="E61" s="24"/>
      <c r="F61" s="43"/>
      <c r="G61" s="24"/>
      <c r="H61" s="24"/>
      <c r="I61" s="24"/>
      <c r="J61" s="24"/>
      <c r="K61" s="24"/>
      <c r="L61" s="24"/>
      <c r="M61" s="24"/>
      <c r="N61" s="24"/>
      <c r="O61" s="24"/>
      <c r="P61" s="24"/>
      <c r="Q61" s="24"/>
      <c r="R61" s="24"/>
      <c r="S61" s="24"/>
      <c r="T61" s="24"/>
      <c r="U61" s="24"/>
      <c r="V61" s="24"/>
      <c r="W61" s="24"/>
      <c r="X61" s="24"/>
      <c r="Y61" s="24"/>
      <c r="Z61" s="24"/>
    </row>
    <row r="62">
      <c r="A62" s="39" t="s">
        <v>275</v>
      </c>
      <c r="B62" s="39" t="s">
        <v>222</v>
      </c>
      <c r="C62" s="39" t="s">
        <v>259</v>
      </c>
      <c r="D62" s="39" t="s">
        <v>276</v>
      </c>
      <c r="E62" s="39" t="s">
        <v>115</v>
      </c>
      <c r="F62" s="44" t="s">
        <v>277</v>
      </c>
      <c r="G62" s="11" t="s">
        <v>117</v>
      </c>
      <c r="H62" s="39" t="s">
        <v>278</v>
      </c>
      <c r="I62" s="39" t="s">
        <v>279</v>
      </c>
      <c r="J62" s="39" t="s">
        <v>120</v>
      </c>
      <c r="K62" s="39" t="s">
        <v>6</v>
      </c>
      <c r="L62" s="45" t="s">
        <v>280</v>
      </c>
      <c r="M62" s="11" t="s">
        <v>281</v>
      </c>
      <c r="N62" s="47"/>
      <c r="O62" s="24"/>
      <c r="P62" s="24"/>
      <c r="Q62" s="24"/>
      <c r="R62" s="24"/>
      <c r="S62" s="24"/>
      <c r="T62" s="24"/>
      <c r="U62" s="24"/>
      <c r="V62" s="24"/>
      <c r="W62" s="24"/>
      <c r="X62" s="24"/>
      <c r="Y62" s="24"/>
      <c r="Z62" s="24"/>
    </row>
    <row r="63">
      <c r="A63" s="24"/>
      <c r="B63" s="24"/>
      <c r="C63" s="24"/>
      <c r="D63" s="24"/>
      <c r="E63" s="24"/>
      <c r="F63" s="43"/>
      <c r="G63" s="24"/>
      <c r="H63" s="24"/>
      <c r="I63" s="24"/>
      <c r="J63" s="24"/>
      <c r="K63" s="24"/>
      <c r="L63" s="24"/>
      <c r="M63" s="24"/>
      <c r="N63" s="24"/>
      <c r="O63" s="24"/>
      <c r="P63" s="24"/>
      <c r="Q63" s="24"/>
      <c r="R63" s="24"/>
      <c r="S63" s="24"/>
      <c r="T63" s="24"/>
      <c r="U63" s="24"/>
      <c r="V63" s="24"/>
      <c r="W63" s="24"/>
      <c r="X63" s="24"/>
      <c r="Y63" s="24"/>
      <c r="Z63" s="24"/>
    </row>
    <row r="64">
      <c r="A64" s="39" t="s">
        <v>282</v>
      </c>
      <c r="B64" s="39" t="s">
        <v>222</v>
      </c>
      <c r="C64" s="39" t="s">
        <v>259</v>
      </c>
      <c r="D64" s="39" t="s">
        <v>260</v>
      </c>
      <c r="E64" s="39" t="s">
        <v>115</v>
      </c>
      <c r="F64" s="44" t="s">
        <v>283</v>
      </c>
      <c r="G64" s="11" t="s">
        <v>117</v>
      </c>
      <c r="H64" s="39" t="s">
        <v>132</v>
      </c>
      <c r="I64" s="39" t="s">
        <v>284</v>
      </c>
      <c r="J64" s="39" t="s">
        <v>120</v>
      </c>
      <c r="K64" s="39" t="s">
        <v>9</v>
      </c>
      <c r="L64" s="45" t="s">
        <v>285</v>
      </c>
      <c r="M64" s="47"/>
      <c r="N64" s="47"/>
      <c r="O64" s="24"/>
      <c r="P64" s="24"/>
      <c r="Q64" s="24"/>
      <c r="R64" s="24"/>
      <c r="S64" s="24"/>
      <c r="T64" s="24"/>
      <c r="U64" s="24"/>
      <c r="V64" s="24"/>
      <c r="W64" s="24"/>
      <c r="X64" s="24"/>
      <c r="Y64" s="24"/>
      <c r="Z64" s="24"/>
    </row>
    <row r="65">
      <c r="A65" s="24"/>
      <c r="B65" s="24"/>
      <c r="C65" s="24"/>
      <c r="D65" s="24"/>
      <c r="E65" s="24"/>
      <c r="F65" s="43"/>
      <c r="G65" s="24"/>
      <c r="H65" s="24"/>
      <c r="I65" s="24"/>
      <c r="J65" s="24"/>
      <c r="K65" s="24"/>
      <c r="L65" s="24"/>
      <c r="M65" s="24"/>
      <c r="N65" s="24"/>
      <c r="O65" s="24"/>
      <c r="P65" s="24"/>
      <c r="Q65" s="24"/>
      <c r="R65" s="24"/>
      <c r="S65" s="24"/>
      <c r="T65" s="24"/>
      <c r="U65" s="24"/>
      <c r="V65" s="24"/>
      <c r="W65" s="24"/>
      <c r="X65" s="24"/>
      <c r="Y65" s="24"/>
      <c r="Z65" s="24"/>
    </row>
    <row r="66">
      <c r="A66" s="39" t="s">
        <v>286</v>
      </c>
      <c r="B66" s="39" t="s">
        <v>222</v>
      </c>
      <c r="C66" s="39" t="s">
        <v>259</v>
      </c>
      <c r="D66" s="39" t="s">
        <v>287</v>
      </c>
      <c r="E66" s="39" t="s">
        <v>115</v>
      </c>
      <c r="F66" s="44" t="s">
        <v>288</v>
      </c>
      <c r="G66" s="11" t="s">
        <v>117</v>
      </c>
      <c r="H66" s="39" t="s">
        <v>289</v>
      </c>
      <c r="I66" s="39" t="s">
        <v>290</v>
      </c>
      <c r="J66" s="39" t="s">
        <v>120</v>
      </c>
      <c r="K66" s="39" t="s">
        <v>9</v>
      </c>
      <c r="L66" s="45" t="s">
        <v>291</v>
      </c>
      <c r="M66" s="47"/>
      <c r="N66" s="47"/>
      <c r="O66" s="24"/>
      <c r="P66" s="24"/>
      <c r="Q66" s="24"/>
      <c r="R66" s="24"/>
      <c r="S66" s="24"/>
      <c r="T66" s="24"/>
      <c r="U66" s="24"/>
      <c r="V66" s="24"/>
      <c r="W66" s="24"/>
      <c r="X66" s="24"/>
      <c r="Y66" s="24"/>
      <c r="Z66" s="24"/>
    </row>
    <row r="67">
      <c r="A67" s="24"/>
      <c r="B67" s="24"/>
      <c r="C67" s="24"/>
      <c r="D67" s="24"/>
      <c r="E67" s="24"/>
      <c r="F67" s="43"/>
      <c r="G67" s="24"/>
      <c r="H67" s="24"/>
      <c r="I67" s="24"/>
      <c r="J67" s="24"/>
      <c r="K67" s="24"/>
      <c r="L67" s="24"/>
      <c r="M67" s="24"/>
      <c r="N67" s="24"/>
      <c r="O67" s="24"/>
      <c r="P67" s="24"/>
      <c r="Q67" s="24"/>
      <c r="R67" s="24"/>
      <c r="S67" s="24"/>
      <c r="T67" s="24"/>
      <c r="U67" s="24"/>
      <c r="V67" s="24"/>
      <c r="W67" s="24"/>
      <c r="X67" s="24"/>
      <c r="Y67" s="24"/>
      <c r="Z67" s="24"/>
    </row>
    <row r="68">
      <c r="A68" s="39" t="s">
        <v>292</v>
      </c>
      <c r="B68" s="39" t="s">
        <v>222</v>
      </c>
      <c r="C68" s="39" t="s">
        <v>259</v>
      </c>
      <c r="D68" s="39" t="s">
        <v>293</v>
      </c>
      <c r="E68" s="39" t="s">
        <v>115</v>
      </c>
      <c r="F68" s="44" t="s">
        <v>294</v>
      </c>
      <c r="G68" s="11" t="s">
        <v>117</v>
      </c>
      <c r="H68" s="39" t="s">
        <v>132</v>
      </c>
      <c r="I68" s="39" t="s">
        <v>295</v>
      </c>
      <c r="J68" s="39" t="s">
        <v>120</v>
      </c>
      <c r="K68" s="39" t="s">
        <v>9</v>
      </c>
      <c r="L68" s="45" t="s">
        <v>296</v>
      </c>
      <c r="M68" s="47"/>
      <c r="N68" s="47"/>
      <c r="O68" s="24"/>
      <c r="P68" s="24"/>
      <c r="Q68" s="24"/>
      <c r="R68" s="24"/>
      <c r="S68" s="24"/>
      <c r="T68" s="24"/>
      <c r="U68" s="24"/>
      <c r="V68" s="24"/>
      <c r="W68" s="24"/>
      <c r="X68" s="24"/>
      <c r="Y68" s="24"/>
      <c r="Z68" s="24"/>
    </row>
    <row r="69">
      <c r="A69" s="24"/>
      <c r="B69" s="24"/>
      <c r="C69" s="24"/>
      <c r="D69" s="24"/>
      <c r="E69" s="24"/>
      <c r="F69" s="43"/>
      <c r="G69" s="24"/>
      <c r="H69" s="24"/>
      <c r="I69" s="24"/>
      <c r="J69" s="24"/>
      <c r="K69" s="24"/>
      <c r="L69" s="24"/>
      <c r="M69" s="24"/>
      <c r="N69" s="24"/>
      <c r="O69" s="24"/>
      <c r="P69" s="24"/>
      <c r="Q69" s="24"/>
      <c r="R69" s="24"/>
      <c r="S69" s="24"/>
      <c r="T69" s="24"/>
      <c r="U69" s="24"/>
      <c r="V69" s="24"/>
      <c r="W69" s="24"/>
      <c r="X69" s="24"/>
      <c r="Y69" s="24"/>
      <c r="Z69" s="24"/>
    </row>
    <row r="70">
      <c r="A70" s="39" t="s">
        <v>297</v>
      </c>
      <c r="B70" s="39" t="s">
        <v>222</v>
      </c>
      <c r="C70" s="39" t="s">
        <v>259</v>
      </c>
      <c r="D70" s="39" t="s">
        <v>293</v>
      </c>
      <c r="E70" s="39" t="s">
        <v>115</v>
      </c>
      <c r="F70" s="44" t="s">
        <v>298</v>
      </c>
      <c r="G70" s="11" t="s">
        <v>117</v>
      </c>
      <c r="H70" s="39" t="s">
        <v>132</v>
      </c>
      <c r="I70" s="39" t="s">
        <v>299</v>
      </c>
      <c r="J70" s="39" t="s">
        <v>120</v>
      </c>
      <c r="K70" s="39" t="s">
        <v>12</v>
      </c>
      <c r="L70" s="45" t="s">
        <v>300</v>
      </c>
      <c r="M70" s="47"/>
      <c r="N70" s="47"/>
      <c r="O70" s="24"/>
      <c r="P70" s="24"/>
      <c r="Q70" s="24"/>
      <c r="R70" s="24"/>
      <c r="S70" s="24"/>
      <c r="T70" s="24"/>
      <c r="U70" s="24"/>
      <c r="V70" s="24"/>
      <c r="W70" s="24"/>
      <c r="X70" s="24"/>
      <c r="Y70" s="24"/>
      <c r="Z70" s="24"/>
    </row>
    <row r="71">
      <c r="A71" s="24"/>
      <c r="B71" s="24"/>
      <c r="C71" s="24"/>
      <c r="D71" s="24"/>
      <c r="E71" s="24"/>
      <c r="F71" s="43"/>
      <c r="G71" s="24"/>
      <c r="H71" s="24"/>
      <c r="I71" s="24"/>
      <c r="J71" s="24"/>
      <c r="K71" s="24"/>
      <c r="L71" s="24"/>
      <c r="M71" s="24"/>
      <c r="N71" s="24"/>
      <c r="O71" s="24"/>
      <c r="P71" s="24"/>
      <c r="Q71" s="24"/>
      <c r="R71" s="24"/>
      <c r="S71" s="24"/>
      <c r="T71" s="24"/>
      <c r="U71" s="24"/>
      <c r="V71" s="24"/>
      <c r="W71" s="24"/>
      <c r="X71" s="24"/>
      <c r="Y71" s="24"/>
      <c r="Z71" s="24"/>
    </row>
    <row r="72">
      <c r="A72" s="39" t="s">
        <v>301</v>
      </c>
      <c r="B72" s="39" t="s">
        <v>222</v>
      </c>
      <c r="C72" s="39" t="s">
        <v>259</v>
      </c>
      <c r="D72" s="39" t="s">
        <v>302</v>
      </c>
      <c r="E72" s="39" t="s">
        <v>115</v>
      </c>
      <c r="F72" s="44" t="s">
        <v>303</v>
      </c>
      <c r="G72" s="11" t="s">
        <v>117</v>
      </c>
      <c r="H72" s="39" t="s">
        <v>132</v>
      </c>
      <c r="I72" s="39" t="s">
        <v>304</v>
      </c>
      <c r="J72" s="39" t="s">
        <v>120</v>
      </c>
      <c r="K72" s="39" t="s">
        <v>9</v>
      </c>
      <c r="L72" s="45" t="s">
        <v>305</v>
      </c>
      <c r="M72" s="47"/>
      <c r="N72" s="47"/>
      <c r="O72" s="24"/>
      <c r="P72" s="24"/>
      <c r="Q72" s="24"/>
      <c r="R72" s="24"/>
      <c r="S72" s="24"/>
      <c r="T72" s="24"/>
      <c r="U72" s="24"/>
      <c r="V72" s="24"/>
      <c r="W72" s="24"/>
      <c r="X72" s="24"/>
      <c r="Y72" s="24"/>
      <c r="Z72" s="24"/>
    </row>
    <row r="73">
      <c r="A73" s="24"/>
      <c r="B73" s="24"/>
      <c r="C73" s="24"/>
      <c r="D73" s="24"/>
      <c r="E73" s="24"/>
      <c r="F73" s="43"/>
      <c r="G73" s="24"/>
      <c r="H73" s="24"/>
      <c r="I73" s="24"/>
      <c r="J73" s="24"/>
      <c r="K73" s="24"/>
      <c r="L73" s="24"/>
      <c r="M73" s="24"/>
      <c r="N73" s="24"/>
      <c r="O73" s="24"/>
      <c r="P73" s="24"/>
      <c r="Q73" s="24"/>
      <c r="R73" s="24"/>
      <c r="S73" s="24"/>
      <c r="T73" s="24"/>
      <c r="U73" s="24"/>
      <c r="V73" s="24"/>
      <c r="W73" s="24"/>
      <c r="X73" s="24"/>
      <c r="Y73" s="24"/>
      <c r="Z73" s="24"/>
    </row>
    <row r="74">
      <c r="A74" s="39" t="s">
        <v>306</v>
      </c>
      <c r="B74" s="39" t="s">
        <v>222</v>
      </c>
      <c r="C74" s="39" t="s">
        <v>259</v>
      </c>
      <c r="D74" s="39" t="s">
        <v>307</v>
      </c>
      <c r="E74" s="39" t="s">
        <v>115</v>
      </c>
      <c r="F74" s="44" t="s">
        <v>308</v>
      </c>
      <c r="G74" s="11" t="s">
        <v>117</v>
      </c>
      <c r="H74" s="39" t="s">
        <v>309</v>
      </c>
      <c r="I74" s="39" t="s">
        <v>310</v>
      </c>
      <c r="J74" s="39" t="s">
        <v>120</v>
      </c>
      <c r="K74" s="39" t="s">
        <v>9</v>
      </c>
      <c r="L74" s="45" t="s">
        <v>311</v>
      </c>
      <c r="M74" s="47"/>
      <c r="N74" s="47"/>
      <c r="O74" s="24"/>
      <c r="P74" s="24"/>
      <c r="Q74" s="24"/>
      <c r="R74" s="24"/>
      <c r="S74" s="24"/>
      <c r="T74" s="24"/>
      <c r="U74" s="24"/>
      <c r="V74" s="24"/>
      <c r="W74" s="24"/>
      <c r="X74" s="24"/>
      <c r="Y74" s="24"/>
      <c r="Z74" s="24"/>
    </row>
    <row r="75">
      <c r="A75" s="24"/>
      <c r="B75" s="24"/>
      <c r="C75" s="24"/>
      <c r="D75" s="24"/>
      <c r="E75" s="24"/>
      <c r="F75" s="43"/>
      <c r="G75" s="24"/>
      <c r="H75" s="24"/>
      <c r="I75" s="24"/>
      <c r="J75" s="24"/>
      <c r="K75" s="24"/>
      <c r="L75" s="24"/>
      <c r="M75" s="24"/>
      <c r="N75" s="24"/>
      <c r="O75" s="24"/>
      <c r="P75" s="24"/>
      <c r="Q75" s="24"/>
      <c r="R75" s="24"/>
      <c r="S75" s="24"/>
      <c r="T75" s="24"/>
      <c r="U75" s="24"/>
      <c r="V75" s="24"/>
      <c r="W75" s="24"/>
      <c r="X75" s="24"/>
      <c r="Y75" s="24"/>
      <c r="Z75" s="24"/>
    </row>
    <row r="76">
      <c r="A76" s="39" t="s">
        <v>312</v>
      </c>
      <c r="B76" s="39" t="s">
        <v>222</v>
      </c>
      <c r="C76" s="39" t="s">
        <v>259</v>
      </c>
      <c r="D76" s="39" t="s">
        <v>302</v>
      </c>
      <c r="E76" s="39" t="s">
        <v>115</v>
      </c>
      <c r="F76" s="44" t="s">
        <v>313</v>
      </c>
      <c r="G76" s="11" t="s">
        <v>117</v>
      </c>
      <c r="H76" s="39" t="s">
        <v>132</v>
      </c>
      <c r="I76" s="39" t="s">
        <v>314</v>
      </c>
      <c r="J76" s="39" t="s">
        <v>120</v>
      </c>
      <c r="K76" s="39" t="s">
        <v>9</v>
      </c>
      <c r="L76" s="45" t="s">
        <v>315</v>
      </c>
      <c r="M76" s="47"/>
      <c r="N76" s="47"/>
      <c r="O76" s="24"/>
      <c r="P76" s="24"/>
      <c r="Q76" s="24"/>
      <c r="R76" s="24"/>
      <c r="S76" s="24"/>
      <c r="T76" s="24"/>
      <c r="U76" s="24"/>
      <c r="V76" s="24"/>
      <c r="W76" s="24"/>
      <c r="X76" s="24"/>
      <c r="Y76" s="24"/>
      <c r="Z76" s="24"/>
    </row>
    <row r="77">
      <c r="A77" s="24"/>
      <c r="B77" s="24"/>
      <c r="C77" s="24"/>
      <c r="D77" s="24"/>
      <c r="E77" s="24"/>
      <c r="F77" s="43"/>
      <c r="G77" s="24"/>
      <c r="H77" s="24"/>
      <c r="I77" s="24"/>
      <c r="J77" s="24"/>
      <c r="K77" s="24"/>
      <c r="L77" s="24"/>
      <c r="M77" s="24"/>
      <c r="N77" s="24"/>
      <c r="O77" s="24"/>
      <c r="P77" s="24"/>
      <c r="Q77" s="24"/>
      <c r="R77" s="24"/>
      <c r="S77" s="24"/>
      <c r="T77" s="24"/>
      <c r="U77" s="24"/>
      <c r="V77" s="24"/>
      <c r="W77" s="24"/>
      <c r="X77" s="24"/>
      <c r="Y77" s="24"/>
      <c r="Z77" s="24"/>
    </row>
    <row r="78">
      <c r="A78" s="39" t="s">
        <v>316</v>
      </c>
      <c r="B78" s="39" t="s">
        <v>222</v>
      </c>
      <c r="C78" s="39" t="s">
        <v>259</v>
      </c>
      <c r="D78" s="39" t="s">
        <v>317</v>
      </c>
      <c r="E78" s="39" t="s">
        <v>115</v>
      </c>
      <c r="F78" s="44" t="s">
        <v>318</v>
      </c>
      <c r="G78" s="11" t="s">
        <v>117</v>
      </c>
      <c r="H78" s="39" t="s">
        <v>319</v>
      </c>
      <c r="I78" s="39" t="s">
        <v>320</v>
      </c>
      <c r="J78" s="39" t="s">
        <v>120</v>
      </c>
      <c r="K78" s="39" t="s">
        <v>6</v>
      </c>
      <c r="L78" s="45" t="s">
        <v>321</v>
      </c>
      <c r="M78" s="47"/>
      <c r="N78" s="47"/>
      <c r="O78" s="24"/>
      <c r="P78" s="24"/>
      <c r="Q78" s="24"/>
      <c r="R78" s="24"/>
      <c r="S78" s="24"/>
      <c r="T78" s="24"/>
      <c r="U78" s="24"/>
      <c r="V78" s="24"/>
      <c r="W78" s="24"/>
      <c r="X78" s="24"/>
      <c r="Y78" s="24"/>
      <c r="Z78" s="24"/>
    </row>
    <row r="79">
      <c r="A79" s="24"/>
      <c r="B79" s="24"/>
      <c r="C79" s="24"/>
      <c r="D79" s="24"/>
      <c r="E79" s="24"/>
      <c r="F79" s="43"/>
      <c r="G79" s="24"/>
      <c r="H79" s="24"/>
      <c r="I79" s="24"/>
      <c r="J79" s="24"/>
      <c r="K79" s="24"/>
      <c r="L79" s="24"/>
      <c r="M79" s="24"/>
      <c r="N79" s="24"/>
      <c r="O79" s="24"/>
      <c r="P79" s="24"/>
      <c r="Q79" s="24"/>
      <c r="R79" s="24"/>
      <c r="S79" s="24"/>
      <c r="T79" s="24"/>
      <c r="U79" s="24"/>
      <c r="V79" s="24"/>
      <c r="W79" s="24"/>
      <c r="X79" s="24"/>
      <c r="Y79" s="24"/>
      <c r="Z79" s="24"/>
    </row>
    <row r="80">
      <c r="A80" s="39" t="s">
        <v>322</v>
      </c>
      <c r="B80" s="39" t="s">
        <v>222</v>
      </c>
      <c r="C80" s="39" t="s">
        <v>323</v>
      </c>
      <c r="D80" s="39" t="s">
        <v>324</v>
      </c>
      <c r="E80" s="39" t="s">
        <v>115</v>
      </c>
      <c r="F80" s="44" t="s">
        <v>325</v>
      </c>
      <c r="G80" s="11" t="s">
        <v>117</v>
      </c>
      <c r="H80" s="39" t="s">
        <v>326</v>
      </c>
      <c r="I80" s="39" t="s">
        <v>327</v>
      </c>
      <c r="J80" s="39" t="s">
        <v>120</v>
      </c>
      <c r="K80" s="39" t="s">
        <v>12</v>
      </c>
      <c r="L80" s="45" t="s">
        <v>328</v>
      </c>
      <c r="M80" s="47"/>
      <c r="N80" s="47"/>
      <c r="O80" s="24"/>
      <c r="P80" s="24"/>
      <c r="Q80" s="24"/>
      <c r="R80" s="24"/>
      <c r="S80" s="24"/>
      <c r="T80" s="24"/>
      <c r="U80" s="24"/>
      <c r="V80" s="24"/>
      <c r="W80" s="24"/>
      <c r="X80" s="24"/>
      <c r="Y80" s="24"/>
      <c r="Z80" s="24"/>
    </row>
    <row r="81">
      <c r="A81" s="24"/>
      <c r="B81" s="24"/>
      <c r="C81" s="24"/>
      <c r="D81" s="24"/>
      <c r="E81" s="24"/>
      <c r="F81" s="43"/>
      <c r="G81" s="24"/>
      <c r="H81" s="24"/>
      <c r="I81" s="24"/>
      <c r="J81" s="24"/>
      <c r="K81" s="24"/>
      <c r="L81" s="24"/>
      <c r="M81" s="24"/>
      <c r="N81" s="24"/>
      <c r="O81" s="24"/>
      <c r="P81" s="24"/>
      <c r="Q81" s="24"/>
      <c r="R81" s="24"/>
      <c r="S81" s="24"/>
      <c r="T81" s="24"/>
      <c r="U81" s="24"/>
      <c r="V81" s="24"/>
      <c r="W81" s="24"/>
      <c r="X81" s="24"/>
      <c r="Y81" s="24"/>
      <c r="Z81" s="24"/>
    </row>
    <row r="82">
      <c r="A82" s="39" t="s">
        <v>329</v>
      </c>
      <c r="B82" s="39" t="s">
        <v>222</v>
      </c>
      <c r="C82" s="39" t="s">
        <v>330</v>
      </c>
      <c r="D82" s="39" t="s">
        <v>293</v>
      </c>
      <c r="E82" s="39" t="s">
        <v>115</v>
      </c>
      <c r="F82" s="44" t="s">
        <v>331</v>
      </c>
      <c r="G82" s="11" t="s">
        <v>117</v>
      </c>
      <c r="H82" s="39" t="s">
        <v>332</v>
      </c>
      <c r="I82" s="39" t="s">
        <v>333</v>
      </c>
      <c r="J82" s="39" t="s">
        <v>120</v>
      </c>
      <c r="K82" s="39" t="s">
        <v>12</v>
      </c>
      <c r="L82" s="45" t="s">
        <v>334</v>
      </c>
      <c r="M82" s="47"/>
      <c r="N82" s="47"/>
      <c r="O82" s="24"/>
      <c r="P82" s="24"/>
      <c r="Q82" s="24"/>
      <c r="R82" s="24"/>
      <c r="S82" s="24"/>
      <c r="T82" s="24"/>
      <c r="U82" s="24"/>
      <c r="V82" s="24"/>
      <c r="W82" s="24"/>
      <c r="X82" s="24"/>
      <c r="Y82" s="24"/>
      <c r="Z82" s="24"/>
    </row>
    <row r="84">
      <c r="A84" s="39" t="s">
        <v>335</v>
      </c>
      <c r="B84" s="39" t="s">
        <v>222</v>
      </c>
      <c r="C84" s="39" t="s">
        <v>330</v>
      </c>
      <c r="D84" s="39" t="s">
        <v>293</v>
      </c>
      <c r="E84" s="39" t="s">
        <v>115</v>
      </c>
      <c r="F84" s="44" t="s">
        <v>336</v>
      </c>
      <c r="G84" s="11" t="s">
        <v>117</v>
      </c>
      <c r="H84" s="39" t="s">
        <v>337</v>
      </c>
      <c r="I84" s="39" t="s">
        <v>338</v>
      </c>
      <c r="J84" s="39" t="s">
        <v>120</v>
      </c>
      <c r="K84" s="39" t="s">
        <v>12</v>
      </c>
      <c r="L84" s="45" t="s">
        <v>339</v>
      </c>
      <c r="M84" s="47"/>
      <c r="N84" s="47"/>
    </row>
    <row r="86">
      <c r="A86" s="39" t="s">
        <v>340</v>
      </c>
      <c r="B86" s="39" t="s">
        <v>222</v>
      </c>
      <c r="C86" s="39" t="s">
        <v>330</v>
      </c>
      <c r="D86" s="39" t="s">
        <v>341</v>
      </c>
      <c r="E86" s="39" t="s">
        <v>115</v>
      </c>
      <c r="F86" s="44" t="s">
        <v>342</v>
      </c>
      <c r="G86" s="11" t="s">
        <v>117</v>
      </c>
      <c r="H86" s="39" t="s">
        <v>343</v>
      </c>
      <c r="I86" s="39" t="s">
        <v>344</v>
      </c>
      <c r="J86" s="39" t="s">
        <v>120</v>
      </c>
      <c r="K86" s="39" t="s">
        <v>6</v>
      </c>
      <c r="L86" s="45" t="s">
        <v>345</v>
      </c>
      <c r="M86" s="47"/>
      <c r="N86" s="47"/>
    </row>
    <row r="88">
      <c r="A88" s="39" t="s">
        <v>346</v>
      </c>
      <c r="B88" s="39" t="s">
        <v>222</v>
      </c>
      <c r="C88" s="39" t="s">
        <v>330</v>
      </c>
      <c r="D88" s="39" t="s">
        <v>347</v>
      </c>
      <c r="E88" s="39" t="s">
        <v>115</v>
      </c>
      <c r="F88" s="44" t="s">
        <v>348</v>
      </c>
      <c r="G88" s="11" t="s">
        <v>117</v>
      </c>
      <c r="H88" s="39" t="s">
        <v>343</v>
      </c>
      <c r="I88" s="39" t="s">
        <v>349</v>
      </c>
      <c r="J88" s="39" t="s">
        <v>120</v>
      </c>
      <c r="K88" s="39" t="s">
        <v>12</v>
      </c>
      <c r="L88" s="45" t="s">
        <v>350</v>
      </c>
      <c r="M88" s="47"/>
      <c r="N88" s="47"/>
    </row>
    <row r="90">
      <c r="A90" s="39" t="s">
        <v>351</v>
      </c>
      <c r="B90" s="39" t="s">
        <v>222</v>
      </c>
      <c r="C90" s="39" t="s">
        <v>330</v>
      </c>
      <c r="D90" s="39" t="s">
        <v>352</v>
      </c>
      <c r="E90" s="39" t="s">
        <v>115</v>
      </c>
      <c r="F90" s="44" t="s">
        <v>353</v>
      </c>
      <c r="G90" s="11" t="s">
        <v>117</v>
      </c>
      <c r="H90" s="39" t="s">
        <v>354</v>
      </c>
      <c r="I90" s="39" t="s">
        <v>355</v>
      </c>
      <c r="J90" s="39" t="s">
        <v>120</v>
      </c>
      <c r="K90" s="39" t="s">
        <v>6</v>
      </c>
      <c r="L90" s="45" t="s">
        <v>356</v>
      </c>
      <c r="M90" s="47"/>
      <c r="N90" s="47"/>
    </row>
    <row r="92">
      <c r="A92" s="39" t="s">
        <v>357</v>
      </c>
      <c r="B92" s="49"/>
      <c r="C92" s="49"/>
      <c r="D92" s="49"/>
      <c r="E92" s="49"/>
      <c r="F92" s="49"/>
      <c r="G92" s="47"/>
      <c r="H92" s="49"/>
      <c r="I92" s="49"/>
      <c r="J92" s="49"/>
      <c r="K92" s="49"/>
      <c r="L92" s="51"/>
      <c r="M92" s="47"/>
      <c r="N92" s="47"/>
    </row>
    <row r="94">
      <c r="A94" s="39" t="s">
        <v>358</v>
      </c>
      <c r="B94" s="49"/>
      <c r="C94" s="49"/>
      <c r="D94" s="49"/>
      <c r="E94" s="49"/>
      <c r="F94" s="49"/>
      <c r="G94" s="47"/>
      <c r="H94" s="49"/>
      <c r="I94" s="49"/>
      <c r="J94" s="49"/>
      <c r="K94" s="49"/>
      <c r="L94" s="51"/>
      <c r="M94" s="47"/>
      <c r="N94" s="47"/>
    </row>
    <row r="96">
      <c r="A96" s="39" t="s">
        <v>359</v>
      </c>
      <c r="B96" s="49"/>
      <c r="C96" s="49"/>
      <c r="D96" s="49"/>
      <c r="E96" s="49"/>
      <c r="F96" s="49"/>
      <c r="G96" s="47"/>
      <c r="H96" s="49"/>
      <c r="I96" s="49"/>
      <c r="J96" s="49"/>
      <c r="K96" s="49"/>
      <c r="L96" s="51"/>
      <c r="M96" s="47"/>
      <c r="N96" s="47"/>
    </row>
    <row r="98">
      <c r="A98" s="39" t="s">
        <v>360</v>
      </c>
      <c r="B98" s="49"/>
      <c r="C98" s="49"/>
      <c r="D98" s="49"/>
      <c r="E98" s="49"/>
      <c r="F98" s="49"/>
      <c r="G98" s="47"/>
      <c r="H98" s="49"/>
      <c r="I98" s="49"/>
      <c r="J98" s="49"/>
      <c r="K98" s="49"/>
      <c r="L98" s="51"/>
      <c r="M98" s="47"/>
      <c r="N98" s="47"/>
    </row>
    <row r="100">
      <c r="A100" s="39" t="s">
        <v>361</v>
      </c>
      <c r="B100" s="49"/>
      <c r="C100" s="49"/>
      <c r="D100" s="49"/>
      <c r="E100" s="49"/>
      <c r="F100" s="49"/>
      <c r="G100" s="47"/>
      <c r="H100" s="49"/>
      <c r="I100" s="49"/>
      <c r="J100" s="49"/>
      <c r="K100" s="49"/>
      <c r="L100" s="51"/>
      <c r="M100" s="47"/>
      <c r="N100" s="47"/>
    </row>
    <row r="102">
      <c r="A102" s="39" t="s">
        <v>362</v>
      </c>
      <c r="B102" s="49"/>
      <c r="C102" s="49"/>
      <c r="D102" s="49"/>
      <c r="E102" s="49"/>
      <c r="F102" s="49"/>
      <c r="G102" s="47"/>
      <c r="H102" s="49"/>
      <c r="I102" s="49"/>
      <c r="J102" s="49"/>
      <c r="K102" s="49"/>
      <c r="L102" s="51"/>
      <c r="M102" s="47"/>
      <c r="N102" s="47"/>
    </row>
    <row r="104">
      <c r="A104" s="39" t="s">
        <v>363</v>
      </c>
      <c r="B104" s="49"/>
      <c r="C104" s="49"/>
      <c r="D104" s="49"/>
      <c r="E104" s="49"/>
      <c r="F104" s="49"/>
      <c r="G104" s="47"/>
      <c r="H104" s="49"/>
      <c r="I104" s="49"/>
      <c r="J104" s="49"/>
      <c r="K104" s="49"/>
      <c r="L104" s="51"/>
      <c r="M104" s="47"/>
      <c r="N104" s="47"/>
    </row>
  </sheetData>
  <dataValidations>
    <dataValidation type="list" allowBlank="1" showErrorMessage="1" sqref="N8 N10 N12 N14 N16 N18 N20 N22 N24 N26 N28 N30 N32 N34 N36 N38 N40 N42 N44 N46 N48 N50 N52 N54 N56 N58 N60 N62 N64 N66 N68 N70 N72 N74 N76 N78 N80 N82 N84 N86 N88 N90 N92 N94 N96 N98 N100 N102 N104">
      <formula1>"Solved,Unsolve"</formula1>
    </dataValidation>
    <dataValidation type="list" allowBlank="1" showErrorMessage="1" sqref="J8 J10 J12 J14 J16 J18 J20 J22 J24 J26 J28 J30 J32 J34 J36 J38 J40 J42 J44 J46 J48 J50 J52 J54 J56 J58 J60 J62 J64 J66 J68 J70 J72 J74 J76 J78 J80 J82 J84 J86 J88 J90 J92 J94 J96 J98 J100 J102 J104">
      <formula1>"Pass,Fail"</formula1>
    </dataValidation>
    <dataValidation type="list" allowBlank="1" showErrorMessage="1" sqref="K8 K10 K12 K14 K16 K18 K20 K22 K24 K26 K28 K30 K32 K34 K36 K38 K40 K42 K44 K46 K48 K50 K52 K54 K56 K58 K60 K62 K64 K66 K68 K70 K72 K74 K76 K78 K80 K82 K84 K86 K88 K90 K92 K94 K96 K98 K100 K102 K104">
      <formula1>"High,Medium,Low"</formula1>
    </dataValidation>
  </dataValidations>
  <hyperlinks>
    <hyperlink r:id="rId1" ref="F8"/>
    <hyperlink r:id="rId2" ref="L8"/>
    <hyperlink r:id="rId3" ref="F10"/>
    <hyperlink r:id="rId4" ref="L10"/>
    <hyperlink r:id="rId5" ref="F12"/>
    <hyperlink r:id="rId6" ref="L12"/>
    <hyperlink r:id="rId7" ref="F14"/>
    <hyperlink r:id="rId8" ref="L14"/>
    <hyperlink r:id="rId9" ref="F16"/>
    <hyperlink r:id="rId10" ref="L16"/>
    <hyperlink r:id="rId11" ref="F18"/>
    <hyperlink r:id="rId12" ref="L18"/>
    <hyperlink r:id="rId13" ref="F20"/>
    <hyperlink r:id="rId14" ref="L20"/>
    <hyperlink r:id="rId15" ref="F22"/>
    <hyperlink r:id="rId16" ref="L22"/>
    <hyperlink r:id="rId17" ref="F24"/>
    <hyperlink r:id="rId18" ref="L24"/>
    <hyperlink r:id="rId19" ref="F26"/>
    <hyperlink r:id="rId20" ref="L26"/>
    <hyperlink r:id="rId21" ref="F28"/>
    <hyperlink r:id="rId22" ref="L28"/>
    <hyperlink r:id="rId23" ref="F30"/>
    <hyperlink r:id="rId24" ref="L30"/>
    <hyperlink r:id="rId25" ref="F32"/>
    <hyperlink r:id="rId26" ref="L32"/>
    <hyperlink r:id="rId27" ref="F34"/>
    <hyperlink r:id="rId28" ref="L34"/>
    <hyperlink r:id="rId29" ref="F36"/>
    <hyperlink r:id="rId30" ref="L36"/>
    <hyperlink r:id="rId31" ref="F38"/>
    <hyperlink r:id="rId32" ref="L38"/>
    <hyperlink r:id="rId33" ref="F40"/>
    <hyperlink r:id="rId34" ref="L40"/>
    <hyperlink r:id="rId35" ref="F42"/>
    <hyperlink r:id="rId36" ref="L42"/>
    <hyperlink r:id="rId37" ref="F44"/>
    <hyperlink r:id="rId38" ref="L44"/>
    <hyperlink r:id="rId39" ref="F46"/>
    <hyperlink r:id="rId40" ref="L46"/>
    <hyperlink r:id="rId41" ref="F48"/>
    <hyperlink r:id="rId42" ref="L48"/>
    <hyperlink r:id="rId43" ref="F50"/>
    <hyperlink r:id="rId44" ref="L50"/>
    <hyperlink r:id="rId45" ref="F52"/>
    <hyperlink r:id="rId46" ref="L52"/>
    <hyperlink r:id="rId47" ref="F54"/>
    <hyperlink r:id="rId48" ref="L54"/>
    <hyperlink r:id="rId49" ref="F56"/>
    <hyperlink r:id="rId50" ref="L56"/>
    <hyperlink r:id="rId51" ref="F58"/>
    <hyperlink r:id="rId52" ref="L58"/>
    <hyperlink r:id="rId53" ref="F60"/>
    <hyperlink r:id="rId54" ref="L60"/>
    <hyperlink r:id="rId55" ref="F62"/>
    <hyperlink r:id="rId56" ref="L62"/>
    <hyperlink r:id="rId57" ref="F64"/>
    <hyperlink r:id="rId58" ref="L64"/>
    <hyperlink r:id="rId59" ref="F66"/>
    <hyperlink r:id="rId60" ref="L66"/>
    <hyperlink r:id="rId61" ref="F68"/>
    <hyperlink r:id="rId62" ref="L68"/>
    <hyperlink r:id="rId63" ref="F70"/>
    <hyperlink r:id="rId64" ref="L70"/>
    <hyperlink r:id="rId65" ref="F72"/>
    <hyperlink r:id="rId66" ref="L72"/>
    <hyperlink r:id="rId67" ref="F74"/>
    <hyperlink r:id="rId68" ref="L74"/>
    <hyperlink r:id="rId69" ref="F76"/>
    <hyperlink r:id="rId70" ref="L76"/>
    <hyperlink r:id="rId71" ref="F78"/>
    <hyperlink r:id="rId72" ref="L78"/>
    <hyperlink r:id="rId73" ref="F80"/>
    <hyperlink r:id="rId74" ref="L80"/>
    <hyperlink r:id="rId75" ref="F82"/>
    <hyperlink r:id="rId76" ref="L82"/>
    <hyperlink r:id="rId77" ref="F84"/>
    <hyperlink r:id="rId78" ref="L84"/>
    <hyperlink r:id="rId79" ref="F86"/>
    <hyperlink r:id="rId80" ref="L86"/>
    <hyperlink r:id="rId81" ref="F88"/>
    <hyperlink r:id="rId82" ref="L88"/>
    <hyperlink r:id="rId83" ref="F90"/>
    <hyperlink r:id="rId84" ref="L90"/>
  </hyperlinks>
  <drawing r:id="rId8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9.5"/>
    <col customWidth="1" min="3" max="3" width="15.75"/>
    <col customWidth="1" min="4" max="4" width="21.63"/>
    <col customWidth="1" min="5" max="5" width="17.13"/>
    <col customWidth="1" min="6" max="6" width="23.13"/>
    <col customWidth="1" min="8" max="8" width="19.63"/>
    <col customWidth="1" min="9" max="9" width="15.88"/>
    <col customWidth="1" min="11" max="11" width="16.0"/>
    <col customWidth="1" min="12" max="12" width="16.5"/>
    <col customWidth="1" min="13" max="13" width="17.13"/>
    <col customWidth="1" min="14" max="14" width="14.13"/>
  </cols>
  <sheetData>
    <row r="1">
      <c r="A1" s="52"/>
      <c r="B1" s="52"/>
      <c r="C1" s="52"/>
      <c r="D1" s="52"/>
      <c r="E1" s="1"/>
      <c r="F1" s="1"/>
      <c r="G1" s="52"/>
      <c r="H1" s="52"/>
      <c r="I1" s="52"/>
      <c r="J1" s="52"/>
      <c r="K1" s="52"/>
      <c r="L1" s="52"/>
      <c r="M1" s="52"/>
      <c r="N1" s="52"/>
      <c r="O1" s="52"/>
      <c r="P1" s="52"/>
    </row>
    <row r="2">
      <c r="A2" s="53" t="s">
        <v>0</v>
      </c>
      <c r="B2" s="54"/>
      <c r="C2" s="52"/>
      <c r="D2" s="4" t="s">
        <v>2</v>
      </c>
      <c r="E2" s="4" t="s">
        <v>3</v>
      </c>
      <c r="F2" s="52"/>
      <c r="G2" s="52"/>
      <c r="H2" s="52"/>
      <c r="I2" s="52"/>
      <c r="J2" s="52"/>
      <c r="K2" s="52"/>
      <c r="L2" s="52"/>
      <c r="M2" s="52"/>
      <c r="N2" s="52"/>
      <c r="O2" s="52"/>
      <c r="P2" s="52"/>
    </row>
    <row r="3">
      <c r="A3" s="53" t="s">
        <v>4</v>
      </c>
      <c r="B3" s="55"/>
      <c r="C3" s="52"/>
      <c r="D3" s="56" t="s">
        <v>6</v>
      </c>
      <c r="E3" s="57">
        <f>COUNTIF(K14:K1008, "High")</f>
        <v>11</v>
      </c>
      <c r="F3" s="52"/>
      <c r="G3" s="52"/>
      <c r="H3" s="52"/>
      <c r="I3" s="52"/>
      <c r="J3" s="52"/>
      <c r="K3" s="52"/>
      <c r="L3" s="52"/>
      <c r="M3" s="52"/>
      <c r="N3" s="52"/>
      <c r="O3" s="52"/>
      <c r="P3" s="52"/>
    </row>
    <row r="4">
      <c r="A4" s="53" t="s">
        <v>7</v>
      </c>
      <c r="B4" s="58"/>
      <c r="C4" s="52"/>
      <c r="D4" s="56" t="s">
        <v>9</v>
      </c>
      <c r="E4" s="57">
        <f>COUNTIF(K14:K1009, "Medium")</f>
        <v>18</v>
      </c>
      <c r="F4" s="52"/>
      <c r="G4" s="52"/>
      <c r="H4" s="52"/>
      <c r="I4" s="52"/>
      <c r="J4" s="52"/>
      <c r="K4" s="52"/>
      <c r="L4" s="52"/>
      <c r="M4" s="52"/>
      <c r="N4" s="52"/>
      <c r="O4" s="52"/>
      <c r="P4" s="52"/>
    </row>
    <row r="5">
      <c r="A5" s="53" t="s">
        <v>10</v>
      </c>
      <c r="B5" s="59"/>
      <c r="C5" s="52"/>
      <c r="D5" s="56" t="s">
        <v>12</v>
      </c>
      <c r="E5" s="57">
        <f>COUNTIF(K14:K1010, "Low") </f>
        <v>3</v>
      </c>
      <c r="F5" s="52"/>
      <c r="G5" s="52"/>
      <c r="H5" s="52"/>
      <c r="I5" s="52"/>
      <c r="J5" s="52"/>
      <c r="K5" s="52"/>
      <c r="L5" s="52"/>
      <c r="M5" s="52"/>
      <c r="N5" s="52"/>
      <c r="O5" s="52"/>
      <c r="P5" s="52"/>
    </row>
    <row r="6">
      <c r="A6" s="53" t="s">
        <v>13</v>
      </c>
      <c r="B6" s="59"/>
      <c r="C6" s="52"/>
      <c r="D6" s="52"/>
      <c r="E6" s="52"/>
      <c r="F6" s="52"/>
      <c r="G6" s="52"/>
      <c r="H6" s="52"/>
      <c r="I6" s="52"/>
      <c r="J6" s="52"/>
      <c r="K6" s="52"/>
      <c r="L6" s="52"/>
      <c r="M6" s="52"/>
      <c r="N6" s="52"/>
      <c r="O6" s="52"/>
      <c r="P6" s="52"/>
    </row>
    <row r="7">
      <c r="A7" s="60" t="s">
        <v>14</v>
      </c>
      <c r="B7" s="59"/>
      <c r="C7" s="52"/>
      <c r="D7" s="61" t="s">
        <v>15</v>
      </c>
      <c r="E7" s="62">
        <f>SUM(E3:E5)</f>
        <v>32</v>
      </c>
      <c r="F7" s="52"/>
      <c r="G7" s="52"/>
      <c r="H7" s="52"/>
      <c r="J7" s="52"/>
      <c r="K7" s="52"/>
      <c r="L7" s="52"/>
      <c r="M7" s="52"/>
      <c r="N7" s="52"/>
      <c r="O7" s="52"/>
      <c r="P7" s="52"/>
    </row>
    <row r="8">
      <c r="A8" s="52"/>
      <c r="B8" s="52"/>
      <c r="C8" s="52"/>
      <c r="D8" s="61" t="s">
        <v>16</v>
      </c>
      <c r="E8" s="59"/>
      <c r="F8" s="52"/>
      <c r="G8" s="52"/>
      <c r="H8" s="52"/>
      <c r="J8" s="52"/>
      <c r="K8" s="52"/>
      <c r="L8" s="52"/>
      <c r="M8" s="52"/>
      <c r="N8" s="52"/>
      <c r="O8" s="52"/>
      <c r="P8" s="52"/>
    </row>
    <row r="9">
      <c r="A9" s="52"/>
      <c r="B9" s="52"/>
      <c r="C9" s="52"/>
      <c r="D9" s="52"/>
      <c r="E9" s="52"/>
      <c r="F9" s="52"/>
      <c r="G9" s="52"/>
      <c r="H9" s="52"/>
      <c r="I9" s="52"/>
      <c r="J9" s="52"/>
      <c r="K9" s="52"/>
      <c r="L9" s="52"/>
      <c r="M9" s="52"/>
      <c r="N9" s="52"/>
      <c r="O9" s="52"/>
      <c r="P9" s="52"/>
    </row>
    <row r="10">
      <c r="A10" s="52"/>
      <c r="B10" s="52"/>
      <c r="C10" s="52"/>
      <c r="D10" s="52"/>
      <c r="E10" s="52"/>
      <c r="F10" s="52"/>
      <c r="G10" s="52"/>
      <c r="H10" s="52"/>
      <c r="I10" s="52"/>
      <c r="J10" s="52"/>
      <c r="K10" s="52"/>
      <c r="L10" s="52"/>
      <c r="M10" s="52"/>
      <c r="N10" s="52"/>
      <c r="O10" s="52"/>
      <c r="P10" s="52"/>
    </row>
    <row r="11">
      <c r="A11" s="52"/>
      <c r="B11" s="52"/>
      <c r="C11" s="52"/>
      <c r="D11" s="52"/>
      <c r="E11" s="52"/>
      <c r="F11" s="52"/>
      <c r="G11" s="52"/>
      <c r="H11" s="52"/>
      <c r="I11" s="52"/>
      <c r="J11" s="52"/>
      <c r="K11" s="52"/>
      <c r="L11" s="52"/>
      <c r="M11" s="52"/>
      <c r="N11" s="52"/>
      <c r="O11" s="52"/>
      <c r="P11" s="52"/>
    </row>
    <row r="12">
      <c r="A12" s="52"/>
      <c r="B12" s="52"/>
      <c r="C12" s="52"/>
      <c r="D12" s="52"/>
      <c r="E12" s="52"/>
      <c r="F12" s="52"/>
      <c r="G12" s="52"/>
      <c r="H12" s="52"/>
      <c r="I12" s="52"/>
      <c r="J12" s="52"/>
      <c r="K12" s="52"/>
      <c r="L12" s="52"/>
      <c r="M12" s="52"/>
      <c r="N12" s="52"/>
      <c r="O12" s="52"/>
      <c r="P12" s="52"/>
    </row>
    <row r="13">
      <c r="A13" s="52"/>
      <c r="B13" s="52"/>
      <c r="C13" s="52"/>
      <c r="D13" s="52"/>
      <c r="E13" s="52"/>
      <c r="F13" s="52"/>
      <c r="G13" s="52"/>
      <c r="H13" s="52"/>
      <c r="I13" s="52"/>
      <c r="J13" s="52"/>
      <c r="K13" s="52"/>
      <c r="L13" s="52"/>
      <c r="M13" s="52"/>
      <c r="N13" s="52"/>
      <c r="O13" s="52"/>
      <c r="P13" s="52"/>
    </row>
    <row r="14">
      <c r="A14" s="63" t="s">
        <v>17</v>
      </c>
      <c r="B14" s="63" t="s">
        <v>18</v>
      </c>
      <c r="C14" s="63" t="s">
        <v>19</v>
      </c>
      <c r="D14" s="63" t="s">
        <v>20</v>
      </c>
      <c r="E14" s="63" t="s">
        <v>21</v>
      </c>
      <c r="F14" s="63" t="s">
        <v>22</v>
      </c>
      <c r="G14" s="63" t="s">
        <v>23</v>
      </c>
      <c r="H14" s="63" t="s">
        <v>24</v>
      </c>
      <c r="I14" s="63" t="s">
        <v>25</v>
      </c>
      <c r="J14" s="63" t="s">
        <v>26</v>
      </c>
      <c r="K14" s="63" t="s">
        <v>2</v>
      </c>
      <c r="L14" s="63" t="s">
        <v>27</v>
      </c>
      <c r="M14" s="63" t="s">
        <v>28</v>
      </c>
      <c r="N14" s="63" t="s">
        <v>30</v>
      </c>
      <c r="O14" s="52"/>
      <c r="P14" s="52"/>
    </row>
    <row r="15">
      <c r="A15" s="64" t="s">
        <v>364</v>
      </c>
      <c r="B15" s="64" t="s">
        <v>365</v>
      </c>
      <c r="C15" s="64" t="s">
        <v>366</v>
      </c>
      <c r="D15" s="64" t="s">
        <v>367</v>
      </c>
      <c r="E15" s="64" t="s">
        <v>368</v>
      </c>
      <c r="F15" s="64" t="s">
        <v>369</v>
      </c>
      <c r="G15" s="64" t="s">
        <v>370</v>
      </c>
      <c r="H15" s="64" t="s">
        <v>371</v>
      </c>
      <c r="I15" s="64" t="s">
        <v>372</v>
      </c>
      <c r="J15" s="64" t="s">
        <v>120</v>
      </c>
      <c r="K15" s="64" t="s">
        <v>9</v>
      </c>
      <c r="L15" s="65" t="s">
        <v>373</v>
      </c>
      <c r="M15" s="66"/>
      <c r="N15" s="67"/>
      <c r="O15" s="52"/>
      <c r="P15" s="52"/>
    </row>
    <row r="16">
      <c r="A16" s="64" t="s">
        <v>374</v>
      </c>
      <c r="B16" s="64" t="s">
        <v>365</v>
      </c>
      <c r="C16" s="64" t="s">
        <v>366</v>
      </c>
      <c r="D16" s="64" t="s">
        <v>375</v>
      </c>
      <c r="E16" s="64" t="s">
        <v>368</v>
      </c>
      <c r="F16" s="64" t="s">
        <v>369</v>
      </c>
      <c r="G16" s="64" t="s">
        <v>370</v>
      </c>
      <c r="H16" s="64" t="s">
        <v>376</v>
      </c>
      <c r="I16" s="64" t="s">
        <v>377</v>
      </c>
      <c r="J16" s="64" t="s">
        <v>120</v>
      </c>
      <c r="K16" s="64" t="s">
        <v>9</v>
      </c>
      <c r="L16" s="65" t="s">
        <v>378</v>
      </c>
      <c r="M16" s="66"/>
      <c r="N16" s="68"/>
      <c r="O16" s="52"/>
      <c r="P16" s="52"/>
    </row>
    <row r="17">
      <c r="A17" s="64" t="s">
        <v>379</v>
      </c>
      <c r="B17" s="64" t="s">
        <v>365</v>
      </c>
      <c r="C17" s="64" t="s">
        <v>366</v>
      </c>
      <c r="D17" s="64" t="s">
        <v>380</v>
      </c>
      <c r="E17" s="64" t="s">
        <v>368</v>
      </c>
      <c r="F17" s="64" t="s">
        <v>381</v>
      </c>
      <c r="G17" s="64" t="s">
        <v>370</v>
      </c>
      <c r="H17" s="64" t="s">
        <v>382</v>
      </c>
      <c r="I17" s="64" t="s">
        <v>383</v>
      </c>
      <c r="J17" s="64" t="s">
        <v>120</v>
      </c>
      <c r="K17" s="64" t="s">
        <v>9</v>
      </c>
      <c r="L17" s="65" t="s">
        <v>384</v>
      </c>
      <c r="M17" s="66"/>
      <c r="N17" s="67"/>
      <c r="O17" s="52"/>
      <c r="P17" s="52"/>
    </row>
    <row r="18">
      <c r="A18" s="64" t="s">
        <v>385</v>
      </c>
      <c r="B18" s="64" t="s">
        <v>365</v>
      </c>
      <c r="C18" s="64" t="s">
        <v>386</v>
      </c>
      <c r="D18" s="64" t="s">
        <v>387</v>
      </c>
      <c r="E18" s="64" t="s">
        <v>368</v>
      </c>
      <c r="F18" s="64" t="s">
        <v>388</v>
      </c>
      <c r="G18" s="69" t="s">
        <v>370</v>
      </c>
      <c r="H18" s="64" t="s">
        <v>389</v>
      </c>
      <c r="I18" s="64" t="s">
        <v>390</v>
      </c>
      <c r="J18" s="64" t="s">
        <v>120</v>
      </c>
      <c r="K18" s="64" t="s">
        <v>9</v>
      </c>
      <c r="L18" s="65" t="s">
        <v>391</v>
      </c>
      <c r="M18" s="66"/>
      <c r="N18" s="68"/>
      <c r="O18" s="52"/>
      <c r="P18" s="52"/>
    </row>
    <row r="19">
      <c r="A19" s="64" t="s">
        <v>392</v>
      </c>
      <c r="B19" s="64" t="s">
        <v>365</v>
      </c>
      <c r="C19" s="64" t="s">
        <v>386</v>
      </c>
      <c r="D19" s="64" t="s">
        <v>393</v>
      </c>
      <c r="E19" s="64" t="s">
        <v>368</v>
      </c>
      <c r="F19" s="64" t="s">
        <v>394</v>
      </c>
      <c r="G19" s="64" t="s">
        <v>370</v>
      </c>
      <c r="H19" s="64" t="s">
        <v>395</v>
      </c>
      <c r="I19" s="64" t="s">
        <v>396</v>
      </c>
      <c r="J19" s="64" t="s">
        <v>120</v>
      </c>
      <c r="K19" s="64" t="s">
        <v>9</v>
      </c>
      <c r="L19" s="65" t="s">
        <v>397</v>
      </c>
      <c r="M19" s="66"/>
      <c r="N19" s="67"/>
      <c r="O19" s="52"/>
      <c r="P19" s="52"/>
    </row>
    <row r="20">
      <c r="A20" s="64" t="s">
        <v>398</v>
      </c>
      <c r="B20" s="64" t="s">
        <v>365</v>
      </c>
      <c r="C20" s="64" t="s">
        <v>399</v>
      </c>
      <c r="D20" s="64" t="s">
        <v>400</v>
      </c>
      <c r="E20" s="64" t="s">
        <v>368</v>
      </c>
      <c r="F20" s="64" t="s">
        <v>401</v>
      </c>
      <c r="G20" s="64" t="s">
        <v>370</v>
      </c>
      <c r="H20" s="64" t="s">
        <v>402</v>
      </c>
      <c r="I20" s="64" t="s">
        <v>403</v>
      </c>
      <c r="J20" s="64" t="s">
        <v>120</v>
      </c>
      <c r="K20" s="64" t="s">
        <v>12</v>
      </c>
      <c r="L20" s="65" t="s">
        <v>404</v>
      </c>
      <c r="M20" s="66"/>
      <c r="N20" s="68"/>
      <c r="O20" s="52"/>
      <c r="P20" s="52"/>
    </row>
    <row r="21">
      <c r="A21" s="64" t="s">
        <v>405</v>
      </c>
      <c r="B21" s="64" t="s">
        <v>365</v>
      </c>
      <c r="C21" s="64" t="s">
        <v>406</v>
      </c>
      <c r="D21" s="64" t="s">
        <v>407</v>
      </c>
      <c r="E21" s="64" t="s">
        <v>368</v>
      </c>
      <c r="F21" s="64" t="s">
        <v>408</v>
      </c>
      <c r="G21" s="64" t="s">
        <v>370</v>
      </c>
      <c r="H21" s="64" t="s">
        <v>409</v>
      </c>
      <c r="I21" s="64" t="s">
        <v>410</v>
      </c>
      <c r="J21" s="64" t="s">
        <v>120</v>
      </c>
      <c r="K21" s="64" t="s">
        <v>6</v>
      </c>
      <c r="L21" s="65" t="s">
        <v>411</v>
      </c>
      <c r="M21" s="66"/>
      <c r="N21" s="67"/>
      <c r="O21" s="52"/>
      <c r="P21" s="52"/>
    </row>
    <row r="22">
      <c r="A22" s="64" t="s">
        <v>412</v>
      </c>
      <c r="B22" s="64" t="s">
        <v>365</v>
      </c>
      <c r="C22" s="64" t="s">
        <v>406</v>
      </c>
      <c r="D22" s="64" t="s">
        <v>413</v>
      </c>
      <c r="E22" s="64" t="s">
        <v>368</v>
      </c>
      <c r="F22" s="64" t="s">
        <v>414</v>
      </c>
      <c r="G22" s="64" t="s">
        <v>370</v>
      </c>
      <c r="H22" s="64" t="s">
        <v>415</v>
      </c>
      <c r="I22" s="64" t="s">
        <v>416</v>
      </c>
      <c r="J22" s="64" t="s">
        <v>120</v>
      </c>
      <c r="K22" s="64" t="s">
        <v>6</v>
      </c>
      <c r="L22" s="65" t="s">
        <v>417</v>
      </c>
      <c r="M22" s="66"/>
      <c r="N22" s="68"/>
      <c r="O22" s="52"/>
      <c r="P22" s="52"/>
    </row>
    <row r="23">
      <c r="A23" s="64" t="s">
        <v>418</v>
      </c>
      <c r="B23" s="64" t="s">
        <v>419</v>
      </c>
      <c r="C23" s="64" t="s">
        <v>406</v>
      </c>
      <c r="D23" s="64" t="s">
        <v>420</v>
      </c>
      <c r="E23" s="64" t="s">
        <v>421</v>
      </c>
      <c r="F23" s="64" t="s">
        <v>422</v>
      </c>
      <c r="G23" s="64" t="s">
        <v>370</v>
      </c>
      <c r="H23" s="64" t="s">
        <v>423</v>
      </c>
      <c r="I23" s="64" t="s">
        <v>424</v>
      </c>
      <c r="J23" s="64" t="s">
        <v>120</v>
      </c>
      <c r="K23" s="64" t="s">
        <v>12</v>
      </c>
      <c r="L23" s="65" t="s">
        <v>425</v>
      </c>
      <c r="M23" s="70"/>
      <c r="N23" s="67"/>
      <c r="O23" s="52"/>
      <c r="P23" s="52"/>
    </row>
    <row r="24">
      <c r="A24" s="64" t="s">
        <v>426</v>
      </c>
      <c r="B24" s="64" t="s">
        <v>419</v>
      </c>
      <c r="C24" s="64" t="s">
        <v>406</v>
      </c>
      <c r="D24" s="64" t="s">
        <v>427</v>
      </c>
      <c r="E24" s="64" t="s">
        <v>421</v>
      </c>
      <c r="F24" s="64" t="s">
        <v>428</v>
      </c>
      <c r="G24" s="64" t="s">
        <v>370</v>
      </c>
      <c r="H24" s="71" t="s">
        <v>429</v>
      </c>
      <c r="I24" s="71" t="s">
        <v>430</v>
      </c>
      <c r="J24" s="64" t="s">
        <v>120</v>
      </c>
      <c r="K24" s="64" t="s">
        <v>9</v>
      </c>
      <c r="L24" s="65" t="s">
        <v>431</v>
      </c>
      <c r="M24" s="70"/>
      <c r="N24" s="68"/>
      <c r="O24" s="52"/>
      <c r="P24" s="52"/>
    </row>
    <row r="25">
      <c r="A25" s="64" t="s">
        <v>432</v>
      </c>
      <c r="B25" s="72" t="s">
        <v>433</v>
      </c>
      <c r="C25" s="72" t="s">
        <v>434</v>
      </c>
      <c r="D25" s="72" t="s">
        <v>435</v>
      </c>
      <c r="E25" s="72" t="s">
        <v>436</v>
      </c>
      <c r="F25" s="72" t="s">
        <v>437</v>
      </c>
      <c r="G25" s="72" t="s">
        <v>370</v>
      </c>
      <c r="H25" s="72" t="s">
        <v>438</v>
      </c>
      <c r="I25" s="72" t="s">
        <v>439</v>
      </c>
      <c r="J25" s="72" t="s">
        <v>120</v>
      </c>
      <c r="K25" s="72" t="s">
        <v>12</v>
      </c>
      <c r="L25" s="73" t="s">
        <v>440</v>
      </c>
      <c r="M25" s="70"/>
      <c r="N25" s="67"/>
      <c r="O25" s="52"/>
      <c r="P25" s="52"/>
    </row>
    <row r="26">
      <c r="A26" s="64" t="s">
        <v>441</v>
      </c>
      <c r="B26" s="72" t="s">
        <v>433</v>
      </c>
      <c r="C26" s="72" t="s">
        <v>434</v>
      </c>
      <c r="D26" s="72" t="s">
        <v>442</v>
      </c>
      <c r="E26" s="72" t="s">
        <v>436</v>
      </c>
      <c r="F26" s="72" t="s">
        <v>443</v>
      </c>
      <c r="G26" s="72" t="s">
        <v>444</v>
      </c>
      <c r="H26" s="72" t="s">
        <v>445</v>
      </c>
      <c r="I26" s="72" t="s">
        <v>446</v>
      </c>
      <c r="J26" s="72" t="s">
        <v>120</v>
      </c>
      <c r="K26" s="72" t="s">
        <v>9</v>
      </c>
      <c r="L26" s="73" t="s">
        <v>447</v>
      </c>
      <c r="M26" s="70"/>
      <c r="N26" s="68"/>
      <c r="O26" s="52"/>
      <c r="P26" s="52"/>
    </row>
    <row r="27">
      <c r="A27" s="64" t="s">
        <v>448</v>
      </c>
      <c r="B27" s="72" t="s">
        <v>433</v>
      </c>
      <c r="C27" s="72" t="s">
        <v>449</v>
      </c>
      <c r="D27" s="72" t="s">
        <v>450</v>
      </c>
      <c r="E27" s="72" t="s">
        <v>451</v>
      </c>
      <c r="F27" s="72" t="s">
        <v>452</v>
      </c>
      <c r="G27" s="72" t="s">
        <v>453</v>
      </c>
      <c r="H27" s="72" t="s">
        <v>454</v>
      </c>
      <c r="I27" s="72" t="s">
        <v>455</v>
      </c>
      <c r="J27" s="72" t="s">
        <v>120</v>
      </c>
      <c r="K27" s="72" t="s">
        <v>9</v>
      </c>
      <c r="L27" s="73" t="s">
        <v>456</v>
      </c>
      <c r="M27" s="70"/>
      <c r="N27" s="67"/>
      <c r="O27" s="52"/>
      <c r="P27" s="52"/>
    </row>
    <row r="28">
      <c r="A28" s="64" t="s">
        <v>457</v>
      </c>
      <c r="B28" s="72" t="s">
        <v>433</v>
      </c>
      <c r="C28" s="72" t="s">
        <v>458</v>
      </c>
      <c r="D28" s="72" t="s">
        <v>459</v>
      </c>
      <c r="E28" s="72" t="s">
        <v>460</v>
      </c>
      <c r="F28" s="72" t="s">
        <v>461</v>
      </c>
      <c r="G28" s="72" t="s">
        <v>462</v>
      </c>
      <c r="H28" s="72" t="s">
        <v>463</v>
      </c>
      <c r="I28" s="72" t="s">
        <v>464</v>
      </c>
      <c r="J28" s="72" t="s">
        <v>120</v>
      </c>
      <c r="K28" s="72" t="s">
        <v>6</v>
      </c>
      <c r="L28" s="73" t="s">
        <v>465</v>
      </c>
      <c r="M28" s="70"/>
      <c r="N28" s="68"/>
      <c r="O28" s="52"/>
      <c r="P28" s="52"/>
    </row>
    <row r="29">
      <c r="A29" s="64" t="s">
        <v>466</v>
      </c>
      <c r="B29" s="72" t="s">
        <v>433</v>
      </c>
      <c r="C29" s="72" t="s">
        <v>458</v>
      </c>
      <c r="D29" s="72" t="s">
        <v>467</v>
      </c>
      <c r="E29" s="72" t="s">
        <v>468</v>
      </c>
      <c r="F29" s="72" t="s">
        <v>469</v>
      </c>
      <c r="G29" s="72" t="s">
        <v>462</v>
      </c>
      <c r="H29" s="72" t="s">
        <v>470</v>
      </c>
      <c r="I29" s="72" t="s">
        <v>471</v>
      </c>
      <c r="J29" s="72" t="s">
        <v>120</v>
      </c>
      <c r="K29" s="72" t="s">
        <v>6</v>
      </c>
      <c r="L29" s="73" t="s">
        <v>472</v>
      </c>
      <c r="M29" s="70"/>
      <c r="N29" s="68"/>
      <c r="O29" s="52"/>
      <c r="P29" s="52"/>
    </row>
    <row r="30">
      <c r="A30" s="64" t="s">
        <v>473</v>
      </c>
      <c r="B30" s="72" t="s">
        <v>433</v>
      </c>
      <c r="C30" s="72" t="s">
        <v>474</v>
      </c>
      <c r="D30" s="72" t="s">
        <v>475</v>
      </c>
      <c r="E30" s="72" t="s">
        <v>476</v>
      </c>
      <c r="F30" s="72" t="s">
        <v>477</v>
      </c>
      <c r="G30" s="72" t="s">
        <v>478</v>
      </c>
      <c r="H30" s="72" t="s">
        <v>454</v>
      </c>
      <c r="I30" s="72" t="s">
        <v>479</v>
      </c>
      <c r="J30" s="72" t="s">
        <v>120</v>
      </c>
      <c r="K30" s="72" t="s">
        <v>9</v>
      </c>
      <c r="L30" s="73" t="s">
        <v>480</v>
      </c>
      <c r="M30" s="70"/>
      <c r="N30" s="68"/>
      <c r="O30" s="52"/>
      <c r="P30" s="52"/>
    </row>
    <row r="31">
      <c r="A31" s="64" t="s">
        <v>481</v>
      </c>
      <c r="B31" s="72" t="s">
        <v>433</v>
      </c>
      <c r="C31" s="74" t="s">
        <v>482</v>
      </c>
      <c r="D31" s="72" t="s">
        <v>483</v>
      </c>
      <c r="E31" s="72" t="s">
        <v>484</v>
      </c>
      <c r="F31" s="72" t="s">
        <v>485</v>
      </c>
      <c r="G31" s="72" t="s">
        <v>486</v>
      </c>
      <c r="H31" s="72" t="s">
        <v>487</v>
      </c>
      <c r="I31" s="72" t="s">
        <v>488</v>
      </c>
      <c r="J31" s="72" t="s">
        <v>120</v>
      </c>
      <c r="K31" s="72" t="s">
        <v>6</v>
      </c>
      <c r="L31" s="73" t="s">
        <v>489</v>
      </c>
      <c r="M31" s="70"/>
      <c r="N31" s="67"/>
      <c r="O31" s="52"/>
      <c r="P31" s="52"/>
    </row>
    <row r="32">
      <c r="A32" s="64" t="s">
        <v>490</v>
      </c>
      <c r="B32" s="72" t="s">
        <v>433</v>
      </c>
      <c r="C32" s="72" t="s">
        <v>491</v>
      </c>
      <c r="D32" s="72" t="s">
        <v>492</v>
      </c>
      <c r="E32" s="72" t="s">
        <v>493</v>
      </c>
      <c r="F32" s="72" t="s">
        <v>494</v>
      </c>
      <c r="G32" s="75" t="s">
        <v>495</v>
      </c>
      <c r="H32" s="72" t="s">
        <v>496</v>
      </c>
      <c r="I32" s="72" t="s">
        <v>497</v>
      </c>
      <c r="J32" s="72" t="s">
        <v>120</v>
      </c>
      <c r="K32" s="72" t="s">
        <v>6</v>
      </c>
      <c r="L32" s="73" t="s">
        <v>498</v>
      </c>
      <c r="M32" s="70"/>
      <c r="N32" s="67"/>
      <c r="O32" s="52"/>
      <c r="P32" s="52"/>
    </row>
    <row r="33">
      <c r="A33" s="64" t="s">
        <v>499</v>
      </c>
      <c r="B33" s="72" t="s">
        <v>433</v>
      </c>
      <c r="C33" s="72" t="s">
        <v>491</v>
      </c>
      <c r="D33" s="72" t="s">
        <v>500</v>
      </c>
      <c r="E33" s="72" t="s">
        <v>493</v>
      </c>
      <c r="F33" s="72" t="s">
        <v>501</v>
      </c>
      <c r="G33" s="75" t="s">
        <v>495</v>
      </c>
      <c r="H33" s="72" t="s">
        <v>502</v>
      </c>
      <c r="I33" s="72" t="s">
        <v>503</v>
      </c>
      <c r="J33" s="72" t="s">
        <v>120</v>
      </c>
      <c r="K33" s="72" t="s">
        <v>6</v>
      </c>
      <c r="L33" s="73" t="s">
        <v>504</v>
      </c>
      <c r="M33" s="70"/>
      <c r="N33" s="68"/>
      <c r="O33" s="52"/>
      <c r="P33" s="52"/>
    </row>
    <row r="34">
      <c r="A34" s="64" t="s">
        <v>505</v>
      </c>
      <c r="B34" s="72" t="s">
        <v>506</v>
      </c>
      <c r="C34" s="72" t="s">
        <v>449</v>
      </c>
      <c r="D34" s="72" t="s">
        <v>507</v>
      </c>
      <c r="E34" s="72" t="s">
        <v>508</v>
      </c>
      <c r="F34" s="72" t="s">
        <v>509</v>
      </c>
      <c r="G34" s="72" t="s">
        <v>370</v>
      </c>
      <c r="H34" s="72" t="s">
        <v>510</v>
      </c>
      <c r="I34" s="72" t="s">
        <v>511</v>
      </c>
      <c r="J34" s="72" t="s">
        <v>120</v>
      </c>
      <c r="K34" s="72" t="s">
        <v>6</v>
      </c>
      <c r="L34" s="73" t="s">
        <v>512</v>
      </c>
      <c r="M34" s="70"/>
      <c r="N34" s="67"/>
      <c r="O34" s="52"/>
      <c r="P34" s="52"/>
    </row>
    <row r="35">
      <c r="A35" s="64" t="s">
        <v>513</v>
      </c>
      <c r="B35" s="72" t="s">
        <v>506</v>
      </c>
      <c r="C35" s="72" t="s">
        <v>491</v>
      </c>
      <c r="D35" s="72" t="s">
        <v>514</v>
      </c>
      <c r="E35" s="72" t="s">
        <v>508</v>
      </c>
      <c r="F35" s="72" t="s">
        <v>515</v>
      </c>
      <c r="G35" s="72" t="s">
        <v>370</v>
      </c>
      <c r="H35" s="72" t="s">
        <v>516</v>
      </c>
      <c r="I35" s="72" t="s">
        <v>517</v>
      </c>
      <c r="J35" s="72" t="s">
        <v>120</v>
      </c>
      <c r="K35" s="72" t="s">
        <v>9</v>
      </c>
      <c r="L35" s="73" t="s">
        <v>518</v>
      </c>
      <c r="M35" s="70"/>
      <c r="N35" s="68"/>
      <c r="O35" s="52"/>
      <c r="P35" s="52"/>
    </row>
    <row r="36">
      <c r="A36" s="64" t="s">
        <v>519</v>
      </c>
      <c r="B36" s="72" t="s">
        <v>506</v>
      </c>
      <c r="C36" s="72" t="s">
        <v>491</v>
      </c>
      <c r="D36" s="72" t="s">
        <v>520</v>
      </c>
      <c r="E36" s="72" t="s">
        <v>521</v>
      </c>
      <c r="F36" s="72" t="s">
        <v>522</v>
      </c>
      <c r="G36" s="72" t="s">
        <v>370</v>
      </c>
      <c r="H36" s="72" t="s">
        <v>523</v>
      </c>
      <c r="I36" s="72" t="s">
        <v>524</v>
      </c>
      <c r="J36" s="72" t="s">
        <v>120</v>
      </c>
      <c r="K36" s="72" t="s">
        <v>9</v>
      </c>
      <c r="L36" s="73" t="s">
        <v>525</v>
      </c>
      <c r="M36" s="70"/>
      <c r="N36" s="67"/>
      <c r="O36" s="52"/>
      <c r="P36" s="52"/>
    </row>
    <row r="37">
      <c r="A37" s="64" t="s">
        <v>526</v>
      </c>
      <c r="B37" s="72" t="s">
        <v>527</v>
      </c>
      <c r="C37" s="72" t="s">
        <v>528</v>
      </c>
      <c r="D37" s="72" t="s">
        <v>529</v>
      </c>
      <c r="E37" s="72" t="s">
        <v>530</v>
      </c>
      <c r="F37" s="72" t="s">
        <v>531</v>
      </c>
      <c r="G37" s="72" t="s">
        <v>370</v>
      </c>
      <c r="H37" s="72" t="s">
        <v>532</v>
      </c>
      <c r="I37" s="72" t="s">
        <v>533</v>
      </c>
      <c r="J37" s="72" t="s">
        <v>120</v>
      </c>
      <c r="K37" s="72" t="s">
        <v>9</v>
      </c>
      <c r="L37" s="73" t="s">
        <v>534</v>
      </c>
      <c r="M37" s="70"/>
      <c r="N37" s="68"/>
      <c r="O37" s="52"/>
      <c r="P37" s="52"/>
    </row>
    <row r="38">
      <c r="A38" s="64" t="s">
        <v>535</v>
      </c>
      <c r="B38" s="72" t="s">
        <v>527</v>
      </c>
      <c r="C38" s="72" t="s">
        <v>536</v>
      </c>
      <c r="D38" s="72" t="s">
        <v>537</v>
      </c>
      <c r="E38" s="72" t="s">
        <v>538</v>
      </c>
      <c r="F38" s="72" t="s">
        <v>539</v>
      </c>
      <c r="G38" s="72" t="s">
        <v>540</v>
      </c>
      <c r="H38" s="72" t="s">
        <v>541</v>
      </c>
      <c r="I38" s="72" t="s">
        <v>542</v>
      </c>
      <c r="J38" s="72" t="s">
        <v>120</v>
      </c>
      <c r="K38" s="72" t="s">
        <v>9</v>
      </c>
      <c r="L38" s="73" t="s">
        <v>543</v>
      </c>
      <c r="M38" s="70"/>
      <c r="N38" s="67"/>
      <c r="O38" s="52"/>
      <c r="P38" s="52"/>
    </row>
    <row r="39">
      <c r="A39" s="64" t="s">
        <v>544</v>
      </c>
      <c r="B39" s="72" t="s">
        <v>545</v>
      </c>
      <c r="C39" s="72" t="s">
        <v>546</v>
      </c>
      <c r="D39" s="72" t="s">
        <v>547</v>
      </c>
      <c r="E39" s="72" t="s">
        <v>548</v>
      </c>
      <c r="F39" s="72" t="s">
        <v>549</v>
      </c>
      <c r="G39" s="72" t="s">
        <v>370</v>
      </c>
      <c r="H39" s="75" t="s">
        <v>550</v>
      </c>
      <c r="I39" s="75" t="s">
        <v>551</v>
      </c>
      <c r="J39" s="72" t="s">
        <v>120</v>
      </c>
      <c r="K39" s="72" t="s">
        <v>9</v>
      </c>
      <c r="L39" s="73" t="s">
        <v>552</v>
      </c>
      <c r="M39" s="70"/>
      <c r="N39" s="68"/>
      <c r="O39" s="52"/>
      <c r="P39" s="52"/>
    </row>
    <row r="40">
      <c r="A40" s="64" t="s">
        <v>553</v>
      </c>
      <c r="B40" s="72" t="s">
        <v>554</v>
      </c>
      <c r="C40" s="72" t="s">
        <v>555</v>
      </c>
      <c r="D40" s="72" t="s">
        <v>556</v>
      </c>
      <c r="E40" s="72" t="s">
        <v>557</v>
      </c>
      <c r="F40" s="72" t="s">
        <v>558</v>
      </c>
      <c r="G40" s="72" t="s">
        <v>370</v>
      </c>
      <c r="H40" s="75" t="s">
        <v>559</v>
      </c>
      <c r="I40" s="75" t="s">
        <v>560</v>
      </c>
      <c r="J40" s="72" t="s">
        <v>120</v>
      </c>
      <c r="K40" s="72" t="s">
        <v>6</v>
      </c>
      <c r="L40" s="73" t="s">
        <v>561</v>
      </c>
      <c r="M40" s="70"/>
      <c r="N40" s="67"/>
      <c r="O40" s="52"/>
      <c r="P40" s="52"/>
    </row>
    <row r="41">
      <c r="A41" s="64" t="s">
        <v>562</v>
      </c>
      <c r="B41" s="72" t="s">
        <v>554</v>
      </c>
      <c r="C41" s="72" t="s">
        <v>563</v>
      </c>
      <c r="D41" s="72" t="s">
        <v>564</v>
      </c>
      <c r="E41" s="72" t="s">
        <v>565</v>
      </c>
      <c r="F41" s="72" t="s">
        <v>566</v>
      </c>
      <c r="G41" s="72" t="s">
        <v>370</v>
      </c>
      <c r="H41" s="72" t="s">
        <v>567</v>
      </c>
      <c r="I41" s="72" t="s">
        <v>568</v>
      </c>
      <c r="J41" s="72" t="s">
        <v>120</v>
      </c>
      <c r="K41" s="72" t="s">
        <v>9</v>
      </c>
      <c r="L41" s="73" t="s">
        <v>569</v>
      </c>
      <c r="M41" s="70"/>
      <c r="N41" s="68"/>
      <c r="O41" s="52"/>
      <c r="P41" s="52"/>
    </row>
    <row r="42">
      <c r="A42" s="64" t="s">
        <v>570</v>
      </c>
      <c r="B42" s="72" t="s">
        <v>545</v>
      </c>
      <c r="C42" s="72" t="s">
        <v>546</v>
      </c>
      <c r="D42" s="72" t="s">
        <v>571</v>
      </c>
      <c r="E42" s="72" t="s">
        <v>572</v>
      </c>
      <c r="F42" s="72" t="s">
        <v>573</v>
      </c>
      <c r="G42" s="72" t="s">
        <v>370</v>
      </c>
      <c r="H42" s="75" t="s">
        <v>574</v>
      </c>
      <c r="I42" s="72" t="s">
        <v>575</v>
      </c>
      <c r="J42" s="72" t="s">
        <v>120</v>
      </c>
      <c r="K42" s="72" t="s">
        <v>6</v>
      </c>
      <c r="L42" s="73" t="s">
        <v>576</v>
      </c>
      <c r="M42" s="70"/>
      <c r="N42" s="67"/>
      <c r="O42" s="52"/>
      <c r="P42" s="52"/>
    </row>
    <row r="43">
      <c r="A43" s="64" t="s">
        <v>577</v>
      </c>
      <c r="B43" s="72" t="s">
        <v>578</v>
      </c>
      <c r="C43" s="72" t="s">
        <v>579</v>
      </c>
      <c r="D43" s="72" t="s">
        <v>580</v>
      </c>
      <c r="E43" s="72" t="s">
        <v>581</v>
      </c>
      <c r="F43" s="72" t="s">
        <v>582</v>
      </c>
      <c r="G43" s="72" t="s">
        <v>370</v>
      </c>
      <c r="H43" s="72" t="s">
        <v>583</v>
      </c>
      <c r="I43" s="72" t="s">
        <v>584</v>
      </c>
      <c r="J43" s="72" t="s">
        <v>120</v>
      </c>
      <c r="K43" s="72" t="s">
        <v>6</v>
      </c>
      <c r="L43" s="73" t="s">
        <v>585</v>
      </c>
      <c r="M43" s="70"/>
      <c r="N43" s="68"/>
      <c r="O43" s="52"/>
      <c r="P43" s="52"/>
    </row>
    <row r="44">
      <c r="A44" s="64" t="s">
        <v>586</v>
      </c>
      <c r="B44" s="72" t="s">
        <v>587</v>
      </c>
      <c r="C44" s="72" t="s">
        <v>113</v>
      </c>
      <c r="D44" s="72" t="s">
        <v>588</v>
      </c>
      <c r="E44" s="72" t="s">
        <v>589</v>
      </c>
      <c r="F44" s="72" t="s">
        <v>590</v>
      </c>
      <c r="G44" s="72" t="s">
        <v>370</v>
      </c>
      <c r="H44" s="75" t="s">
        <v>591</v>
      </c>
      <c r="I44" s="72" t="s">
        <v>592</v>
      </c>
      <c r="J44" s="72" t="s">
        <v>120</v>
      </c>
      <c r="K44" s="72" t="s">
        <v>9</v>
      </c>
      <c r="L44" s="73" t="s">
        <v>593</v>
      </c>
      <c r="M44" s="70"/>
      <c r="N44" s="67"/>
      <c r="O44" s="52"/>
      <c r="P44" s="52"/>
    </row>
    <row r="45">
      <c r="A45" s="64" t="s">
        <v>594</v>
      </c>
      <c r="B45" s="72" t="s">
        <v>595</v>
      </c>
      <c r="C45" s="72" t="s">
        <v>596</v>
      </c>
      <c r="D45" s="72" t="s">
        <v>597</v>
      </c>
      <c r="E45" s="72" t="s">
        <v>598</v>
      </c>
      <c r="F45" s="72" t="s">
        <v>599</v>
      </c>
      <c r="G45" s="72" t="s">
        <v>370</v>
      </c>
      <c r="H45" s="72" t="s">
        <v>600</v>
      </c>
      <c r="I45" s="72" t="s">
        <v>601</v>
      </c>
      <c r="J45" s="72" t="s">
        <v>120</v>
      </c>
      <c r="K45" s="72" t="s">
        <v>9</v>
      </c>
      <c r="L45" s="73" t="s">
        <v>602</v>
      </c>
      <c r="M45" s="70"/>
      <c r="N45" s="68"/>
      <c r="O45" s="52"/>
      <c r="P45" s="52"/>
    </row>
    <row r="46">
      <c r="A46" s="64" t="s">
        <v>603</v>
      </c>
      <c r="B46" s="72" t="s">
        <v>595</v>
      </c>
      <c r="C46" s="72" t="s">
        <v>604</v>
      </c>
      <c r="D46" s="72" t="s">
        <v>605</v>
      </c>
      <c r="E46" s="72" t="s">
        <v>606</v>
      </c>
      <c r="F46" s="72" t="s">
        <v>607</v>
      </c>
      <c r="G46" s="72" t="s">
        <v>370</v>
      </c>
      <c r="H46" s="72" t="s">
        <v>608</v>
      </c>
      <c r="I46" s="72" t="s">
        <v>609</v>
      </c>
      <c r="J46" s="72" t="s">
        <v>120</v>
      </c>
      <c r="K46" s="72" t="s">
        <v>9</v>
      </c>
      <c r="L46" s="73" t="s">
        <v>610</v>
      </c>
      <c r="M46" s="70"/>
      <c r="N46" s="67"/>
      <c r="O46" s="52"/>
      <c r="P46" s="52"/>
    </row>
    <row r="47">
      <c r="A47" s="64" t="s">
        <v>611</v>
      </c>
      <c r="B47" s="70"/>
      <c r="C47" s="70"/>
      <c r="D47" s="70"/>
      <c r="E47" s="70"/>
      <c r="F47" s="70"/>
      <c r="G47" s="70"/>
      <c r="H47" s="70"/>
      <c r="I47" s="70"/>
      <c r="J47" s="70"/>
      <c r="K47" s="70"/>
      <c r="L47" s="70"/>
      <c r="M47" s="70"/>
      <c r="N47" s="68"/>
      <c r="O47" s="52"/>
      <c r="P47" s="52"/>
    </row>
    <row r="48">
      <c r="A48" s="64" t="s">
        <v>612</v>
      </c>
      <c r="B48" s="70"/>
      <c r="C48" s="70"/>
      <c r="D48" s="70"/>
      <c r="E48" s="70"/>
      <c r="F48" s="70"/>
      <c r="G48" s="70"/>
      <c r="H48" s="70"/>
      <c r="I48" s="70"/>
      <c r="J48" s="70"/>
      <c r="K48" s="70"/>
      <c r="L48" s="70"/>
      <c r="M48" s="70"/>
      <c r="N48" s="67"/>
      <c r="O48" s="52"/>
      <c r="P48" s="52"/>
    </row>
    <row r="49">
      <c r="A49" s="64" t="s">
        <v>613</v>
      </c>
      <c r="B49" s="70"/>
      <c r="C49" s="70"/>
      <c r="D49" s="70"/>
      <c r="E49" s="70"/>
      <c r="F49" s="70"/>
      <c r="G49" s="70"/>
      <c r="H49" s="70"/>
      <c r="I49" s="70"/>
      <c r="J49" s="70"/>
      <c r="K49" s="70"/>
      <c r="L49" s="70"/>
      <c r="M49" s="70"/>
      <c r="N49" s="68"/>
      <c r="O49" s="52"/>
      <c r="P49" s="52"/>
    </row>
    <row r="50">
      <c r="A50" s="64" t="s">
        <v>614</v>
      </c>
      <c r="B50" s="70"/>
      <c r="C50" s="70"/>
      <c r="D50" s="70"/>
      <c r="E50" s="70"/>
      <c r="F50" s="70"/>
      <c r="G50" s="70"/>
      <c r="H50" s="70"/>
      <c r="I50" s="70"/>
      <c r="J50" s="70"/>
      <c r="K50" s="70"/>
      <c r="L50" s="70"/>
      <c r="M50" s="70"/>
      <c r="N50" s="67"/>
      <c r="O50" s="52"/>
      <c r="P50" s="52"/>
    </row>
    <row r="51">
      <c r="A51" s="64" t="s">
        <v>615</v>
      </c>
      <c r="B51" s="70"/>
      <c r="C51" s="70"/>
      <c r="D51" s="70"/>
      <c r="E51" s="70"/>
      <c r="F51" s="70"/>
      <c r="G51" s="70"/>
      <c r="H51" s="70"/>
      <c r="I51" s="70"/>
      <c r="J51" s="70"/>
      <c r="K51" s="70"/>
      <c r="L51" s="70"/>
      <c r="M51" s="70"/>
      <c r="N51" s="68"/>
      <c r="O51" s="52"/>
      <c r="P51" s="52"/>
    </row>
    <row r="52">
      <c r="A52" s="64" t="s">
        <v>616</v>
      </c>
      <c r="B52" s="70"/>
      <c r="C52" s="70"/>
      <c r="D52" s="70"/>
      <c r="E52" s="70"/>
      <c r="F52" s="70"/>
      <c r="G52" s="70"/>
      <c r="H52" s="70"/>
      <c r="I52" s="70"/>
      <c r="J52" s="70"/>
      <c r="K52" s="70"/>
      <c r="L52" s="70"/>
      <c r="M52" s="70"/>
      <c r="N52" s="67"/>
      <c r="O52" s="52"/>
      <c r="P52" s="52"/>
    </row>
    <row r="53">
      <c r="A53" s="64" t="s">
        <v>617</v>
      </c>
      <c r="B53" s="70"/>
      <c r="C53" s="70"/>
      <c r="D53" s="70"/>
      <c r="E53" s="70"/>
      <c r="F53" s="70"/>
      <c r="G53" s="70"/>
      <c r="H53" s="70"/>
      <c r="I53" s="70"/>
      <c r="J53" s="70"/>
      <c r="K53" s="70"/>
      <c r="L53" s="70"/>
      <c r="M53" s="70"/>
      <c r="N53" s="68"/>
      <c r="O53" s="52"/>
      <c r="P53" s="52"/>
    </row>
    <row r="54">
      <c r="A54" s="64" t="s">
        <v>618</v>
      </c>
      <c r="B54" s="70"/>
      <c r="C54" s="70"/>
      <c r="D54" s="70"/>
      <c r="E54" s="70"/>
      <c r="F54" s="70"/>
      <c r="G54" s="70"/>
      <c r="H54" s="70"/>
      <c r="I54" s="70"/>
      <c r="J54" s="70"/>
      <c r="K54" s="70"/>
      <c r="L54" s="70"/>
      <c r="M54" s="70"/>
      <c r="N54" s="67"/>
      <c r="O54" s="52"/>
      <c r="P54" s="52"/>
    </row>
    <row r="55">
      <c r="A55" s="64" t="s">
        <v>619</v>
      </c>
      <c r="B55" s="70"/>
      <c r="C55" s="70"/>
      <c r="D55" s="70"/>
      <c r="E55" s="70"/>
      <c r="F55" s="70"/>
      <c r="G55" s="70"/>
      <c r="H55" s="70"/>
      <c r="I55" s="70"/>
      <c r="J55" s="70"/>
      <c r="K55" s="70"/>
      <c r="L55" s="70"/>
      <c r="M55" s="70"/>
      <c r="N55" s="68"/>
      <c r="O55" s="52"/>
      <c r="P55" s="52"/>
    </row>
    <row r="56">
      <c r="A56" s="64" t="s">
        <v>620</v>
      </c>
      <c r="B56" s="70"/>
      <c r="C56" s="70"/>
      <c r="D56" s="70"/>
      <c r="E56" s="70"/>
      <c r="F56" s="70"/>
      <c r="G56" s="70"/>
      <c r="H56" s="70"/>
      <c r="I56" s="70"/>
      <c r="J56" s="70"/>
      <c r="K56" s="70"/>
      <c r="L56" s="70"/>
      <c r="M56" s="70"/>
      <c r="N56" s="67"/>
      <c r="O56" s="52"/>
      <c r="P56" s="52"/>
    </row>
    <row r="57">
      <c r="A57" s="64" t="s">
        <v>621</v>
      </c>
      <c r="B57" s="70"/>
      <c r="C57" s="70"/>
      <c r="D57" s="70"/>
      <c r="E57" s="70"/>
      <c r="F57" s="70"/>
      <c r="G57" s="70"/>
      <c r="H57" s="70"/>
      <c r="I57" s="70"/>
      <c r="J57" s="70"/>
      <c r="K57" s="70"/>
      <c r="L57" s="70"/>
      <c r="M57" s="70"/>
      <c r="N57" s="68"/>
      <c r="O57" s="52"/>
      <c r="P57" s="52"/>
    </row>
    <row r="58">
      <c r="A58" s="64" t="s">
        <v>622</v>
      </c>
      <c r="B58" s="70"/>
      <c r="C58" s="70"/>
      <c r="D58" s="70"/>
      <c r="E58" s="70"/>
      <c r="F58" s="70"/>
      <c r="G58" s="70"/>
      <c r="H58" s="70"/>
      <c r="I58" s="70"/>
      <c r="J58" s="70"/>
      <c r="K58" s="70"/>
      <c r="L58" s="70"/>
      <c r="M58" s="70"/>
      <c r="N58" s="67"/>
      <c r="O58" s="52"/>
      <c r="P58" s="52"/>
    </row>
    <row r="59">
      <c r="A59" s="64" t="s">
        <v>623</v>
      </c>
      <c r="B59" s="70"/>
      <c r="C59" s="70"/>
      <c r="D59" s="70"/>
      <c r="E59" s="70"/>
      <c r="F59" s="70"/>
      <c r="G59" s="70"/>
      <c r="H59" s="70"/>
      <c r="I59" s="70"/>
      <c r="J59" s="70"/>
      <c r="K59" s="70"/>
      <c r="L59" s="70"/>
      <c r="M59" s="70"/>
      <c r="N59" s="68"/>
      <c r="O59" s="52"/>
      <c r="P59" s="52"/>
    </row>
    <row r="60">
      <c r="A60" s="64" t="s">
        <v>624</v>
      </c>
      <c r="B60" s="70"/>
      <c r="C60" s="70"/>
      <c r="D60" s="70"/>
      <c r="E60" s="70"/>
      <c r="F60" s="70"/>
      <c r="G60" s="70"/>
      <c r="H60" s="70"/>
      <c r="I60" s="70"/>
      <c r="J60" s="70"/>
      <c r="K60" s="70"/>
      <c r="L60" s="70"/>
      <c r="M60" s="70"/>
      <c r="N60" s="67"/>
      <c r="O60" s="52"/>
      <c r="P60" s="52"/>
    </row>
    <row r="61">
      <c r="A61" s="64" t="s">
        <v>625</v>
      </c>
      <c r="B61" s="70"/>
      <c r="C61" s="70"/>
      <c r="D61" s="70"/>
      <c r="E61" s="70"/>
      <c r="F61" s="70"/>
      <c r="G61" s="70"/>
      <c r="H61" s="70"/>
      <c r="I61" s="70"/>
      <c r="J61" s="70"/>
      <c r="K61" s="70"/>
      <c r="L61" s="70"/>
      <c r="M61" s="70"/>
      <c r="N61" s="68"/>
      <c r="O61" s="52"/>
      <c r="P61" s="52"/>
    </row>
    <row r="62">
      <c r="A62" s="64" t="s">
        <v>626</v>
      </c>
      <c r="B62" s="70"/>
      <c r="C62" s="70"/>
      <c r="D62" s="70"/>
      <c r="E62" s="70"/>
      <c r="F62" s="70"/>
      <c r="G62" s="70"/>
      <c r="H62" s="70"/>
      <c r="I62" s="70"/>
      <c r="J62" s="70"/>
      <c r="K62" s="70"/>
      <c r="L62" s="70"/>
      <c r="M62" s="70"/>
      <c r="N62" s="67"/>
      <c r="O62" s="52"/>
      <c r="P62" s="52"/>
    </row>
    <row r="63">
      <c r="A63" s="64" t="s">
        <v>627</v>
      </c>
      <c r="B63" s="70"/>
      <c r="C63" s="70"/>
      <c r="D63" s="70"/>
      <c r="E63" s="70"/>
      <c r="F63" s="70"/>
      <c r="G63" s="70"/>
      <c r="H63" s="70"/>
      <c r="I63" s="70"/>
      <c r="J63" s="70"/>
      <c r="K63" s="70"/>
      <c r="L63" s="70"/>
      <c r="M63" s="70"/>
      <c r="N63" s="68"/>
      <c r="O63" s="52"/>
      <c r="P63" s="52"/>
    </row>
    <row r="64">
      <c r="A64" s="64" t="s">
        <v>628</v>
      </c>
      <c r="B64" s="70"/>
      <c r="C64" s="70"/>
      <c r="D64" s="70"/>
      <c r="E64" s="70"/>
      <c r="F64" s="70"/>
      <c r="G64" s="70"/>
      <c r="H64" s="70"/>
      <c r="I64" s="70"/>
      <c r="J64" s="70"/>
      <c r="K64" s="70"/>
      <c r="L64" s="70"/>
      <c r="M64" s="70"/>
      <c r="N64" s="67"/>
      <c r="O64" s="52"/>
      <c r="P64" s="52"/>
    </row>
    <row r="65">
      <c r="A65" s="70"/>
      <c r="B65" s="70"/>
      <c r="C65" s="70"/>
      <c r="D65" s="70"/>
      <c r="E65" s="70"/>
      <c r="F65" s="70"/>
      <c r="G65" s="70"/>
      <c r="H65" s="70"/>
      <c r="I65" s="70"/>
      <c r="J65" s="70"/>
      <c r="K65" s="70"/>
      <c r="L65" s="70"/>
      <c r="M65" s="70"/>
      <c r="N65" s="68"/>
      <c r="O65" s="52"/>
      <c r="P65" s="52"/>
    </row>
    <row r="66">
      <c r="A66" s="70"/>
      <c r="B66" s="70"/>
      <c r="C66" s="70"/>
      <c r="D66" s="70"/>
      <c r="E66" s="70"/>
      <c r="F66" s="70"/>
      <c r="G66" s="70"/>
      <c r="H66" s="70"/>
      <c r="I66" s="70"/>
      <c r="J66" s="70"/>
      <c r="K66" s="70"/>
      <c r="L66" s="70"/>
      <c r="M66" s="70"/>
      <c r="N66" s="67"/>
      <c r="O66" s="52"/>
      <c r="P66" s="52"/>
    </row>
    <row r="67">
      <c r="A67" s="70"/>
      <c r="B67" s="70"/>
      <c r="C67" s="70"/>
      <c r="D67" s="70"/>
      <c r="E67" s="70"/>
      <c r="F67" s="70"/>
      <c r="G67" s="70"/>
      <c r="H67" s="70"/>
      <c r="I67" s="70"/>
      <c r="J67" s="70"/>
      <c r="K67" s="70"/>
      <c r="L67" s="70"/>
      <c r="M67" s="70"/>
      <c r="N67" s="68"/>
      <c r="O67" s="52"/>
      <c r="P67" s="52"/>
    </row>
    <row r="68">
      <c r="A68" s="70"/>
      <c r="B68" s="66"/>
      <c r="C68" s="66"/>
      <c r="D68" s="66"/>
      <c r="E68" s="66"/>
      <c r="F68" s="66"/>
      <c r="G68" s="66"/>
      <c r="H68" s="66"/>
      <c r="I68" s="66"/>
      <c r="J68" s="66"/>
      <c r="K68" s="66"/>
      <c r="L68" s="66"/>
      <c r="M68" s="66"/>
      <c r="N68" s="67"/>
      <c r="O68" s="52"/>
      <c r="P68" s="52"/>
    </row>
    <row r="69">
      <c r="A69" s="70"/>
      <c r="B69" s="66"/>
      <c r="C69" s="66"/>
      <c r="D69" s="66"/>
      <c r="E69" s="66"/>
      <c r="F69" s="66"/>
      <c r="G69" s="66"/>
      <c r="H69" s="66"/>
      <c r="I69" s="66"/>
      <c r="J69" s="66"/>
      <c r="K69" s="66"/>
      <c r="L69" s="66"/>
      <c r="M69" s="66"/>
      <c r="N69" s="68"/>
      <c r="O69" s="52"/>
      <c r="P69" s="52"/>
    </row>
    <row r="70">
      <c r="A70" s="70"/>
      <c r="B70" s="66"/>
      <c r="C70" s="66"/>
      <c r="D70" s="66"/>
      <c r="E70" s="66"/>
      <c r="F70" s="66"/>
      <c r="G70" s="66"/>
      <c r="H70" s="66"/>
      <c r="I70" s="66"/>
      <c r="J70" s="66"/>
      <c r="K70" s="66"/>
      <c r="L70" s="66"/>
      <c r="M70" s="66"/>
      <c r="N70" s="67"/>
      <c r="O70" s="52"/>
      <c r="P70" s="52"/>
    </row>
    <row r="71">
      <c r="A71" s="70"/>
      <c r="B71" s="66"/>
      <c r="C71" s="66"/>
      <c r="D71" s="66"/>
      <c r="E71" s="66"/>
      <c r="F71" s="66"/>
      <c r="G71" s="66"/>
      <c r="H71" s="66"/>
      <c r="I71" s="66"/>
      <c r="J71" s="66"/>
      <c r="K71" s="66"/>
      <c r="L71" s="66"/>
      <c r="M71" s="66"/>
      <c r="N71" s="68"/>
      <c r="O71" s="52"/>
      <c r="P71" s="52"/>
    </row>
    <row r="72">
      <c r="A72" s="70"/>
      <c r="B72" s="66"/>
      <c r="C72" s="66"/>
      <c r="D72" s="66"/>
      <c r="E72" s="66"/>
      <c r="F72" s="66"/>
      <c r="G72" s="66"/>
      <c r="H72" s="66"/>
      <c r="I72" s="66"/>
      <c r="J72" s="66"/>
      <c r="K72" s="66"/>
      <c r="L72" s="66"/>
      <c r="M72" s="66"/>
      <c r="N72" s="67"/>
      <c r="O72" s="52"/>
      <c r="P72" s="52"/>
    </row>
    <row r="73">
      <c r="A73" s="70"/>
      <c r="B73" s="66"/>
      <c r="C73" s="66"/>
      <c r="D73" s="66"/>
      <c r="E73" s="66"/>
      <c r="F73" s="66"/>
      <c r="G73" s="66"/>
      <c r="H73" s="66"/>
      <c r="I73" s="66"/>
      <c r="J73" s="66"/>
      <c r="K73" s="66"/>
      <c r="L73" s="66"/>
      <c r="M73" s="66"/>
      <c r="N73" s="68"/>
      <c r="O73" s="52"/>
      <c r="P73" s="52"/>
    </row>
    <row r="74">
      <c r="A74" s="70"/>
      <c r="B74" s="66"/>
      <c r="C74" s="66"/>
      <c r="D74" s="66"/>
      <c r="E74" s="66"/>
      <c r="F74" s="66"/>
      <c r="G74" s="66"/>
      <c r="H74" s="66"/>
      <c r="I74" s="66"/>
      <c r="J74" s="66"/>
      <c r="K74" s="66"/>
      <c r="L74" s="66"/>
      <c r="M74" s="66"/>
      <c r="N74" s="67"/>
      <c r="O74" s="52"/>
      <c r="P74" s="52"/>
    </row>
    <row r="75">
      <c r="A75" s="70"/>
      <c r="B75" s="66"/>
      <c r="C75" s="66"/>
      <c r="D75" s="66"/>
      <c r="E75" s="66"/>
      <c r="F75" s="66"/>
      <c r="G75" s="66"/>
      <c r="H75" s="66"/>
      <c r="I75" s="66"/>
      <c r="J75" s="66"/>
      <c r="K75" s="66"/>
      <c r="L75" s="66"/>
      <c r="M75" s="66"/>
      <c r="N75" s="68"/>
      <c r="O75" s="52"/>
      <c r="P75" s="52"/>
    </row>
    <row r="76">
      <c r="A76" s="70"/>
      <c r="B76" s="66"/>
      <c r="C76" s="66"/>
      <c r="D76" s="66"/>
      <c r="E76" s="66"/>
      <c r="F76" s="66"/>
      <c r="G76" s="66"/>
      <c r="H76" s="66"/>
      <c r="I76" s="66"/>
      <c r="J76" s="66"/>
      <c r="K76" s="66"/>
      <c r="L76" s="66"/>
      <c r="M76" s="66"/>
      <c r="N76" s="67"/>
      <c r="O76" s="52"/>
      <c r="P76" s="52"/>
    </row>
    <row r="77">
      <c r="A77" s="70"/>
      <c r="B77" s="66"/>
      <c r="C77" s="66"/>
      <c r="D77" s="66"/>
      <c r="E77" s="66"/>
      <c r="F77" s="66"/>
      <c r="G77" s="66"/>
      <c r="H77" s="66"/>
      <c r="I77" s="66"/>
      <c r="J77" s="66"/>
      <c r="K77" s="66"/>
      <c r="L77" s="66"/>
      <c r="M77" s="66"/>
      <c r="N77" s="68"/>
      <c r="O77" s="52"/>
      <c r="P77" s="52"/>
    </row>
    <row r="78">
      <c r="A78" s="70"/>
      <c r="B78" s="66"/>
      <c r="C78" s="66"/>
      <c r="D78" s="66"/>
      <c r="E78" s="66"/>
      <c r="F78" s="66"/>
      <c r="G78" s="66"/>
      <c r="H78" s="66"/>
      <c r="I78" s="66"/>
      <c r="J78" s="66"/>
      <c r="K78" s="66"/>
      <c r="L78" s="66"/>
      <c r="M78" s="66"/>
      <c r="N78" s="67"/>
      <c r="O78" s="52"/>
      <c r="P78" s="52"/>
    </row>
    <row r="79">
      <c r="A79" s="70"/>
      <c r="B79" s="66"/>
      <c r="C79" s="66"/>
      <c r="D79" s="66"/>
      <c r="E79" s="66"/>
      <c r="F79" s="66"/>
      <c r="G79" s="66"/>
      <c r="H79" s="66"/>
      <c r="I79" s="66"/>
      <c r="J79" s="66"/>
      <c r="K79" s="66"/>
      <c r="L79" s="66"/>
      <c r="M79" s="66"/>
      <c r="N79" s="68"/>
      <c r="O79" s="52"/>
      <c r="P79" s="52"/>
    </row>
    <row r="80">
      <c r="A80" s="70"/>
      <c r="B80" s="66"/>
      <c r="C80" s="66"/>
      <c r="D80" s="66"/>
      <c r="E80" s="66"/>
      <c r="F80" s="66"/>
      <c r="G80" s="66"/>
      <c r="H80" s="66"/>
      <c r="I80" s="66"/>
      <c r="J80" s="66"/>
      <c r="K80" s="66"/>
      <c r="L80" s="66"/>
      <c r="M80" s="66"/>
      <c r="N80" s="67"/>
      <c r="O80" s="52"/>
      <c r="P80" s="52"/>
    </row>
    <row r="81">
      <c r="A81" s="70"/>
      <c r="B81" s="66"/>
      <c r="C81" s="66"/>
      <c r="D81" s="66"/>
      <c r="E81" s="66"/>
      <c r="F81" s="66"/>
      <c r="G81" s="66"/>
      <c r="H81" s="66"/>
      <c r="I81" s="66"/>
      <c r="J81" s="66"/>
      <c r="K81" s="66"/>
      <c r="L81" s="66"/>
      <c r="M81" s="66"/>
      <c r="N81" s="68"/>
      <c r="O81" s="52"/>
      <c r="P81" s="52"/>
    </row>
    <row r="82">
      <c r="A82" s="70"/>
      <c r="B82" s="66"/>
      <c r="C82" s="66"/>
      <c r="D82" s="66"/>
      <c r="E82" s="66"/>
      <c r="F82" s="66"/>
      <c r="G82" s="66"/>
      <c r="H82" s="66"/>
      <c r="I82" s="66"/>
      <c r="J82" s="66"/>
      <c r="K82" s="66"/>
      <c r="L82" s="66"/>
      <c r="M82" s="66"/>
      <c r="N82" s="67"/>
      <c r="O82" s="52"/>
      <c r="P82" s="52"/>
    </row>
    <row r="83">
      <c r="A83" s="66"/>
      <c r="B83" s="66"/>
      <c r="C83" s="66"/>
      <c r="D83" s="66"/>
      <c r="E83" s="66"/>
      <c r="F83" s="66"/>
      <c r="G83" s="66"/>
      <c r="H83" s="66"/>
      <c r="I83" s="66"/>
      <c r="J83" s="66"/>
      <c r="K83" s="66"/>
      <c r="L83" s="66"/>
      <c r="M83" s="66"/>
      <c r="N83" s="68"/>
      <c r="O83" s="52"/>
      <c r="P83" s="52"/>
    </row>
    <row r="84">
      <c r="A84" s="66"/>
      <c r="B84" s="66"/>
      <c r="C84" s="66"/>
      <c r="D84" s="66"/>
      <c r="E84" s="66"/>
      <c r="F84" s="66"/>
      <c r="G84" s="66"/>
      <c r="H84" s="66"/>
      <c r="I84" s="66"/>
      <c r="J84" s="66"/>
      <c r="K84" s="66"/>
      <c r="L84" s="66"/>
      <c r="M84" s="66"/>
      <c r="N84" s="67"/>
      <c r="O84" s="52"/>
      <c r="P84" s="52"/>
    </row>
    <row r="85">
      <c r="A85" s="66"/>
      <c r="B85" s="66"/>
      <c r="C85" s="66"/>
      <c r="D85" s="66"/>
      <c r="E85" s="66"/>
      <c r="F85" s="66"/>
      <c r="G85" s="66"/>
      <c r="H85" s="66"/>
      <c r="I85" s="66"/>
      <c r="J85" s="66"/>
      <c r="K85" s="66"/>
      <c r="L85" s="66"/>
      <c r="M85" s="66"/>
      <c r="N85" s="68"/>
      <c r="O85" s="52"/>
      <c r="P85" s="52"/>
    </row>
    <row r="86">
      <c r="A86" s="66"/>
      <c r="B86" s="66"/>
      <c r="C86" s="66"/>
      <c r="D86" s="66"/>
      <c r="E86" s="66"/>
      <c r="F86" s="66"/>
      <c r="G86" s="66"/>
      <c r="H86" s="66"/>
      <c r="I86" s="66"/>
      <c r="J86" s="66"/>
      <c r="K86" s="66"/>
      <c r="L86" s="66"/>
      <c r="M86" s="66"/>
      <c r="N86" s="67"/>
      <c r="O86" s="52"/>
      <c r="P86" s="52"/>
    </row>
    <row r="87">
      <c r="A87" s="66"/>
      <c r="B87" s="66"/>
      <c r="C87" s="66"/>
      <c r="D87" s="66"/>
      <c r="E87" s="66"/>
      <c r="F87" s="66"/>
      <c r="G87" s="66"/>
      <c r="H87" s="66"/>
      <c r="I87" s="66"/>
      <c r="J87" s="66"/>
      <c r="K87" s="66"/>
      <c r="L87" s="66"/>
      <c r="M87" s="66"/>
      <c r="N87" s="68"/>
      <c r="O87" s="52"/>
      <c r="P87" s="52"/>
    </row>
    <row r="88">
      <c r="A88" s="66"/>
      <c r="B88" s="66"/>
      <c r="C88" s="66"/>
      <c r="D88" s="66"/>
      <c r="E88" s="66"/>
      <c r="F88" s="66"/>
      <c r="G88" s="66"/>
      <c r="H88" s="66"/>
      <c r="I88" s="66"/>
      <c r="J88" s="66"/>
      <c r="K88" s="66"/>
      <c r="L88" s="66"/>
      <c r="M88" s="66"/>
      <c r="N88" s="67"/>
      <c r="O88" s="52"/>
      <c r="P88" s="52"/>
    </row>
    <row r="89">
      <c r="A89" s="66"/>
      <c r="B89" s="66"/>
      <c r="C89" s="66"/>
      <c r="D89" s="66"/>
      <c r="E89" s="66"/>
      <c r="F89" s="66"/>
      <c r="G89" s="66"/>
      <c r="H89" s="66"/>
      <c r="I89" s="66"/>
      <c r="J89" s="66"/>
      <c r="K89" s="66"/>
      <c r="L89" s="66"/>
      <c r="M89" s="66"/>
      <c r="N89" s="68"/>
      <c r="O89" s="52"/>
      <c r="P89" s="52"/>
    </row>
    <row r="90">
      <c r="A90" s="67"/>
      <c r="B90" s="67"/>
      <c r="C90" s="67"/>
      <c r="D90" s="67"/>
      <c r="E90" s="67"/>
      <c r="F90" s="67"/>
      <c r="G90" s="67"/>
      <c r="H90" s="67"/>
      <c r="I90" s="67"/>
      <c r="J90" s="67"/>
      <c r="K90" s="67"/>
      <c r="L90" s="67"/>
      <c r="M90" s="67"/>
      <c r="N90" s="67"/>
      <c r="O90" s="52"/>
      <c r="P90" s="52"/>
    </row>
    <row r="91">
      <c r="A91" s="67"/>
      <c r="B91" s="67"/>
      <c r="C91" s="67"/>
      <c r="D91" s="67"/>
      <c r="E91" s="67"/>
      <c r="F91" s="67"/>
      <c r="G91" s="67"/>
      <c r="H91" s="67"/>
      <c r="I91" s="67"/>
      <c r="J91" s="67"/>
      <c r="K91" s="67"/>
      <c r="L91" s="67"/>
      <c r="M91" s="67"/>
      <c r="N91" s="68"/>
      <c r="O91" s="52"/>
      <c r="P91" s="52"/>
    </row>
    <row r="92">
      <c r="A92" s="67"/>
      <c r="B92" s="67"/>
      <c r="C92" s="67"/>
      <c r="D92" s="67"/>
      <c r="E92" s="67"/>
      <c r="F92" s="67"/>
      <c r="G92" s="67"/>
      <c r="H92" s="67"/>
      <c r="I92" s="67"/>
      <c r="J92" s="67"/>
      <c r="K92" s="67"/>
      <c r="L92" s="67"/>
      <c r="M92" s="67"/>
      <c r="N92" s="67"/>
      <c r="O92" s="52"/>
      <c r="P92" s="52"/>
    </row>
    <row r="93">
      <c r="A93" s="67"/>
      <c r="B93" s="67"/>
      <c r="C93" s="67"/>
      <c r="D93" s="67"/>
      <c r="E93" s="67"/>
      <c r="F93" s="67"/>
      <c r="G93" s="67"/>
      <c r="H93" s="67"/>
      <c r="I93" s="67"/>
      <c r="J93" s="67"/>
      <c r="K93" s="67"/>
      <c r="L93" s="67"/>
      <c r="M93" s="67"/>
      <c r="N93" s="68"/>
      <c r="O93" s="52"/>
      <c r="P93" s="52"/>
    </row>
    <row r="94">
      <c r="A94" s="67"/>
      <c r="B94" s="67"/>
      <c r="C94" s="67"/>
      <c r="D94" s="67"/>
      <c r="E94" s="67"/>
      <c r="F94" s="67"/>
      <c r="G94" s="67"/>
      <c r="H94" s="67"/>
      <c r="I94" s="67"/>
      <c r="J94" s="67"/>
      <c r="K94" s="67"/>
      <c r="L94" s="67"/>
      <c r="M94" s="67"/>
      <c r="N94" s="67"/>
      <c r="O94" s="52"/>
      <c r="P94" s="52"/>
    </row>
    <row r="95">
      <c r="A95" s="67"/>
      <c r="B95" s="67"/>
      <c r="C95" s="67"/>
      <c r="D95" s="67"/>
      <c r="E95" s="67"/>
      <c r="F95" s="67"/>
      <c r="G95" s="67"/>
      <c r="H95" s="67"/>
      <c r="I95" s="67"/>
      <c r="J95" s="67"/>
      <c r="K95" s="67"/>
      <c r="L95" s="67"/>
      <c r="M95" s="67"/>
      <c r="N95" s="68"/>
      <c r="O95" s="52"/>
      <c r="P95" s="52"/>
    </row>
    <row r="96">
      <c r="A96" s="67"/>
      <c r="B96" s="67"/>
      <c r="C96" s="67"/>
      <c r="D96" s="67"/>
      <c r="E96" s="67"/>
      <c r="F96" s="67"/>
      <c r="G96" s="67"/>
      <c r="H96" s="67"/>
      <c r="I96" s="67"/>
      <c r="J96" s="67"/>
      <c r="K96" s="67"/>
      <c r="L96" s="67"/>
      <c r="M96" s="67"/>
      <c r="N96" s="67"/>
      <c r="O96" s="52"/>
      <c r="P96" s="52"/>
    </row>
    <row r="97">
      <c r="A97" s="67"/>
      <c r="B97" s="67"/>
      <c r="C97" s="67"/>
      <c r="D97" s="67"/>
      <c r="E97" s="67"/>
      <c r="F97" s="67"/>
      <c r="G97" s="67"/>
      <c r="H97" s="67"/>
      <c r="I97" s="67"/>
      <c r="J97" s="67"/>
      <c r="K97" s="67"/>
      <c r="L97" s="67"/>
      <c r="M97" s="67"/>
      <c r="N97" s="68"/>
      <c r="O97" s="52"/>
      <c r="P97" s="52"/>
    </row>
    <row r="98">
      <c r="A98" s="76"/>
      <c r="B98" s="72"/>
      <c r="C98" s="72"/>
      <c r="D98" s="72"/>
      <c r="E98" s="72"/>
      <c r="F98" s="72"/>
      <c r="G98" s="72"/>
      <c r="H98" s="72"/>
      <c r="I98" s="72"/>
      <c r="J98" s="72"/>
      <c r="K98" s="72"/>
      <c r="L98" s="77"/>
      <c r="M98" s="72"/>
      <c r="N98" s="72"/>
      <c r="O98" s="52"/>
      <c r="P98" s="52"/>
    </row>
    <row r="99">
      <c r="A99" s="72"/>
      <c r="B99" s="78"/>
      <c r="C99" s="78"/>
      <c r="D99" s="78"/>
      <c r="E99" s="78"/>
      <c r="F99" s="78"/>
      <c r="G99" s="78"/>
      <c r="H99" s="78"/>
      <c r="I99" s="78"/>
      <c r="J99" s="78"/>
      <c r="K99" s="78"/>
      <c r="L99" s="79"/>
      <c r="M99" s="78"/>
      <c r="N99" s="80"/>
      <c r="O99" s="52"/>
      <c r="P99" s="52"/>
    </row>
    <row r="100">
      <c r="A100" s="81"/>
      <c r="B100" s="82"/>
      <c r="C100" s="82"/>
      <c r="D100" s="82"/>
      <c r="E100" s="82"/>
      <c r="F100" s="82"/>
      <c r="G100" s="82"/>
      <c r="H100" s="82"/>
      <c r="I100" s="82"/>
      <c r="J100" s="82"/>
      <c r="K100" s="82"/>
      <c r="L100" s="83"/>
      <c r="M100" s="82"/>
      <c r="N100" s="82"/>
      <c r="O100" s="52"/>
      <c r="P100" s="52"/>
    </row>
    <row r="101">
      <c r="A101" s="84"/>
      <c r="B101" s="81"/>
      <c r="C101" s="81"/>
      <c r="D101" s="81"/>
      <c r="E101" s="81"/>
      <c r="F101" s="81"/>
      <c r="G101" s="81"/>
      <c r="H101" s="81"/>
      <c r="I101" s="81"/>
      <c r="J101" s="81"/>
      <c r="K101" s="81"/>
      <c r="L101" s="85"/>
      <c r="M101" s="81"/>
      <c r="N101" s="86"/>
      <c r="O101" s="52"/>
      <c r="P101" s="52"/>
    </row>
    <row r="102">
      <c r="A102" s="82"/>
      <c r="B102" s="82"/>
      <c r="C102" s="82"/>
      <c r="D102" s="82"/>
      <c r="E102" s="82"/>
      <c r="F102" s="82"/>
      <c r="G102" s="82"/>
      <c r="H102" s="82"/>
      <c r="I102" s="82"/>
      <c r="J102" s="82"/>
      <c r="K102" s="82"/>
      <c r="L102" s="83"/>
      <c r="M102" s="82"/>
      <c r="N102" s="82"/>
      <c r="O102" s="52"/>
      <c r="P102" s="52"/>
    </row>
    <row r="103">
      <c r="A103" s="52"/>
      <c r="B103" s="52"/>
      <c r="C103" s="52"/>
      <c r="D103" s="52"/>
      <c r="E103" s="52"/>
      <c r="F103" s="52"/>
      <c r="G103" s="52"/>
      <c r="H103" s="52"/>
      <c r="I103" s="52"/>
      <c r="J103" s="52"/>
      <c r="K103" s="52"/>
      <c r="L103" s="52"/>
      <c r="M103" s="52"/>
      <c r="N103" s="52"/>
      <c r="O103" s="52"/>
      <c r="P103" s="52"/>
    </row>
    <row r="104">
      <c r="A104" s="52"/>
      <c r="B104" s="52"/>
      <c r="C104" s="52"/>
      <c r="D104" s="52"/>
      <c r="E104" s="52"/>
      <c r="F104" s="52"/>
      <c r="G104" s="52"/>
      <c r="H104" s="52"/>
      <c r="I104" s="52"/>
      <c r="J104" s="52"/>
      <c r="K104" s="52"/>
      <c r="L104" s="52"/>
      <c r="M104" s="52"/>
      <c r="N104" s="52"/>
      <c r="O104" s="52"/>
      <c r="P104" s="52"/>
    </row>
    <row r="105">
      <c r="A105" s="52"/>
      <c r="B105" s="52"/>
      <c r="C105" s="52"/>
      <c r="D105" s="52"/>
      <c r="E105" s="52"/>
      <c r="F105" s="52"/>
      <c r="G105" s="52"/>
      <c r="H105" s="52"/>
      <c r="I105" s="52"/>
      <c r="J105" s="52"/>
      <c r="K105" s="52"/>
      <c r="L105" s="52"/>
      <c r="M105" s="52"/>
      <c r="N105" s="52"/>
      <c r="O105" s="52"/>
      <c r="P105" s="52"/>
    </row>
    <row r="106">
      <c r="A106" s="52"/>
      <c r="B106" s="52"/>
      <c r="C106" s="52"/>
      <c r="D106" s="52"/>
      <c r="E106" s="52"/>
      <c r="F106" s="52"/>
      <c r="G106" s="52"/>
      <c r="H106" s="52"/>
      <c r="I106" s="52"/>
      <c r="J106" s="52"/>
      <c r="K106" s="52"/>
      <c r="L106" s="52"/>
      <c r="M106" s="52"/>
      <c r="N106" s="52"/>
      <c r="O106" s="52"/>
      <c r="P106" s="52"/>
    </row>
    <row r="107">
      <c r="A107" s="52"/>
      <c r="B107" s="52"/>
      <c r="C107" s="52"/>
      <c r="D107" s="52"/>
      <c r="E107" s="52"/>
      <c r="F107" s="52"/>
      <c r="G107" s="52"/>
      <c r="H107" s="52"/>
      <c r="I107" s="52"/>
      <c r="J107" s="52"/>
      <c r="K107" s="52"/>
      <c r="L107" s="52"/>
      <c r="M107" s="52"/>
      <c r="N107" s="52"/>
      <c r="O107" s="52"/>
      <c r="P107" s="52"/>
    </row>
    <row r="108">
      <c r="A108" s="52"/>
      <c r="B108" s="52"/>
      <c r="C108" s="52"/>
      <c r="D108" s="52"/>
      <c r="E108" s="52"/>
      <c r="F108" s="52"/>
      <c r="G108" s="52"/>
      <c r="H108" s="52"/>
      <c r="I108" s="52"/>
      <c r="J108" s="52"/>
      <c r="K108" s="52"/>
      <c r="L108" s="52"/>
      <c r="M108" s="52"/>
      <c r="N108" s="52"/>
      <c r="O108" s="52"/>
      <c r="P108" s="52"/>
    </row>
  </sheetData>
  <dataValidations>
    <dataValidation type="list" allowBlank="1" showErrorMessage="1" sqref="K17">
      <formula1>"High,Medium,Low"</formula1>
    </dataValidation>
    <dataValidation type="list" allowBlank="1" showErrorMessage="1" sqref="N15:N98 N100 N102">
      <formula1>"Solved,Unsolved"</formula1>
    </dataValidation>
    <dataValidation type="list" allowBlank="1" showErrorMessage="1" sqref="K15:K16 K18:K98 K100 K102">
      <formula1>"High,Medium,Low,Severity"</formula1>
    </dataValidation>
    <dataValidation type="list" allowBlank="1" showErrorMessage="1" sqref="J15:J98 J100 J102">
      <formula1>"Pass,Fail"</formula1>
    </dataValidation>
  </dataValidations>
  <hyperlinks>
    <hyperlink r:id="rId1" ref="L15"/>
    <hyperlink r:id="rId2" ref="L16"/>
    <hyperlink r:id="rId3" ref="L17"/>
    <hyperlink r:id="rId4" ref="L18"/>
    <hyperlink r:id="rId5" ref="L19"/>
    <hyperlink r:id="rId6" ref="L20"/>
    <hyperlink r:id="rId7" ref="L21"/>
    <hyperlink r:id="rId8" ref="L22"/>
    <hyperlink r:id="rId9" ref="L23"/>
    <hyperlink r:id="rId10" ref="L24"/>
    <hyperlink r:id="rId11" ref="L25"/>
    <hyperlink r:id="rId12" ref="L26"/>
    <hyperlink r:id="rId13" ref="L27"/>
    <hyperlink r:id="rId14" ref="L28"/>
    <hyperlink r:id="rId15" ref="L29"/>
    <hyperlink r:id="rId16" ref="L30"/>
    <hyperlink r:id="rId17" ref="L31"/>
    <hyperlink r:id="rId18" ref="L32"/>
    <hyperlink r:id="rId19" ref="L33"/>
    <hyperlink r:id="rId20" ref="L34"/>
    <hyperlink r:id="rId21" ref="L35"/>
    <hyperlink r:id="rId22" ref="L36"/>
    <hyperlink r:id="rId23" ref="L37"/>
    <hyperlink r:id="rId24" ref="L38"/>
    <hyperlink r:id="rId25" ref="L39"/>
    <hyperlink r:id="rId26" ref="L40"/>
    <hyperlink r:id="rId27" ref="L41"/>
    <hyperlink r:id="rId28" ref="L42"/>
    <hyperlink r:id="rId29" ref="L43"/>
    <hyperlink r:id="rId30" ref="L44"/>
    <hyperlink r:id="rId31" ref="L45"/>
    <hyperlink r:id="rId32" ref="L46"/>
  </hyperlinks>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2.5"/>
    <col customWidth="1" min="3" max="3" width="19.63"/>
    <col customWidth="1" min="4" max="4" width="11.25"/>
    <col customWidth="1" min="5" max="5" width="12.63"/>
    <col customWidth="1" min="6" max="6" width="16.38"/>
  </cols>
  <sheetData>
    <row r="1">
      <c r="A1" s="87" t="s">
        <v>18</v>
      </c>
      <c r="B1" s="87" t="s">
        <v>19</v>
      </c>
      <c r="C1" s="88" t="s">
        <v>17</v>
      </c>
      <c r="D1" s="87" t="s">
        <v>629</v>
      </c>
      <c r="E1" s="87" t="s">
        <v>630</v>
      </c>
      <c r="F1" s="89" t="s">
        <v>631</v>
      </c>
      <c r="G1" s="90"/>
      <c r="H1" s="90"/>
      <c r="I1" s="90"/>
      <c r="J1" s="90"/>
      <c r="K1" s="90"/>
      <c r="L1" s="90"/>
      <c r="M1" s="90"/>
      <c r="N1" s="90"/>
      <c r="O1" s="90"/>
      <c r="P1" s="90"/>
      <c r="Q1" s="90"/>
      <c r="R1" s="90"/>
      <c r="S1" s="90"/>
      <c r="T1" s="90"/>
      <c r="U1" s="90"/>
      <c r="V1" s="90"/>
      <c r="W1" s="90"/>
      <c r="X1" s="90"/>
      <c r="Y1" s="90"/>
      <c r="Z1" s="90"/>
      <c r="AA1" s="90"/>
    </row>
    <row r="2">
      <c r="A2" s="91" t="str">
        <f>IFERROR(__xludf.DUMMYFUNCTION("SORT(
  SPLIT(
    UNIQUE(
      FILTER('Main Report'!B11:B100 &amp; ""♦"" &amp; 'Main Report'!C11:C100, LEN('Main Report'!C11:C100))
    ),
    ""♦""
  ),
  1, TRUE, 2, TRUE
)
"),"Contact Agent")</f>
        <v>Contact Agent</v>
      </c>
      <c r="B2" s="91" t="str">
        <f>IFERROR(__xludf.DUMMYFUNCTION("""COMPUTED_VALUE"""),"Contact Information Form")</f>
        <v>Contact Information Form</v>
      </c>
      <c r="C2" s="91" t="str">
        <f>IFERROR(__xludf.DUMMYFUNCTION("TEXTJOIN("", "", TRUE, 
  FILTER('Main Report'!A11:A100, 
    ('Main Report'!B11:B100=A2) * ('Main Report'!C11:C100=B2)
  )
)
"),"BR-001")</f>
        <v>BR-001</v>
      </c>
      <c r="D2" s="91">
        <f>IFERROR(__xludf.DUMMYFUNCTION("COUNTA(UNIQUE(TRANSPOSE(SPLIT(C2, "", ""))))
"),1.0)</f>
        <v>1</v>
      </c>
      <c r="E2" s="91" t="str">
        <f>IF(D2="", "", TEXT((D2 / 'Main Report'!$E$7), "0.00%"))
</f>
        <v>1.35%</v>
      </c>
      <c r="F2" s="92" t="str">
        <f>IFERROR(__xludf.DUMMYFUNCTION("IF(C2="""", """", 
   TEXTJOIN("", "", TRUE, 
      ""High: "" &amp; COUNTIF(FILTER('Main Report'!K11:K100, ISNUMBER(MATCH('Main Report'!A11:A100, SPLIT(C2, "", ""), 0))), ""High"") &amp; CHAR(10) &amp;
      ""Medium: "" &amp; COUNTIF(FILTER('Main Report'!K11:K100, ISNU"&amp;"MBER(MATCH('Main Report'!A11:A100, SPLIT(C2, "", ""), 0))), ""Medium"") &amp; CHAR(10) &amp;
      ""Low: "" &amp; COUNTIF(FILTER('Main Report'!K11:K100, ISNUMBER(MATCH('Main Report'!A11:A100, SPLIT(C2, "", ""), 0))), ""Low"")
   )
)
"),"High: 0
Medium: 1
Low: 0")</f>
        <v>High: 0
Medium: 1
Low: 0</v>
      </c>
      <c r="G2" s="90"/>
      <c r="H2" s="90"/>
      <c r="I2" s="90"/>
      <c r="J2" s="90"/>
      <c r="K2" s="90"/>
      <c r="L2" s="90"/>
      <c r="M2" s="90"/>
      <c r="N2" s="90"/>
      <c r="O2" s="90"/>
      <c r="P2" s="90"/>
      <c r="Q2" s="90"/>
      <c r="R2" s="90"/>
      <c r="S2" s="90"/>
      <c r="T2" s="90"/>
      <c r="U2" s="90"/>
      <c r="V2" s="90"/>
      <c r="W2" s="90"/>
      <c r="X2" s="90"/>
      <c r="Y2" s="90"/>
      <c r="Z2" s="90"/>
      <c r="AA2" s="90"/>
    </row>
    <row r="3">
      <c r="A3" s="47" t="str">
        <f>IFERROR(__xludf.DUMMYFUNCTION("""COMPUTED_VALUE"""),"Contact Agent")</f>
        <v>Contact Agent</v>
      </c>
      <c r="B3" s="47" t="str">
        <f>IFERROR(__xludf.DUMMYFUNCTION("""COMPUTED_VALUE"""),"Post-Verification Page")</f>
        <v>Post-Verification Page</v>
      </c>
      <c r="C3" s="47" t="str">
        <f>IFERROR(__xludf.DUMMYFUNCTION("TEXTJOIN("", "", TRUE, 
  FILTER('Main Report'!A12:A101, 
    ('Main Report'!B12:B101=A3) * ('Main Report'!C12:C101=B3)
  )
)
"),"BR-002")</f>
        <v>BR-002</v>
      </c>
      <c r="D3" s="91">
        <f>IFERROR(__xludf.DUMMYFUNCTION("COUNTA(UNIQUE(TRANSPOSE(SPLIT(C3, "", ""))))
"),1.0)</f>
        <v>1</v>
      </c>
      <c r="E3" s="47" t="str">
        <f>IF(D3="", "", TEXT((D3 / 'Main Report'!$E$7), "0.00%"))
</f>
        <v>1.35%</v>
      </c>
      <c r="F3" s="93" t="str">
        <f>IFERROR(__xludf.DUMMYFUNCTION("IF(C3="""", """", 
   TEXTJOIN("", "", TRUE, 
      ""High: "" &amp; COUNTIF(FILTER('Main Report'!K12:K101, ISNUMBER(MATCH('Main Report'!A12:A101, SPLIT(C3, "", ""), 0))), ""High"") &amp; CHAR(10) &amp;
      ""Medium: "" &amp; COUNTIF(FILTER('Main Report'!K12:K101, ISNU"&amp;"MBER(MATCH('Main Report'!A12:A101, SPLIT(C3, "", ""), 0))), ""Medium"") &amp; CHAR(10) &amp;
      ""Low: "" &amp; COUNTIF(FILTER('Main Report'!K12:K101, ISNUMBER(MATCH('Main Report'!A12:A101, SPLIT(C3, "", ""), 0))), ""Low"")
   )
)
"),"High: 0
Medium: 1
Low: 0")</f>
        <v>High: 0
Medium: 1
Low: 0</v>
      </c>
      <c r="G3" s="90"/>
      <c r="H3" s="90"/>
      <c r="I3" s="90"/>
      <c r="J3" s="90"/>
      <c r="K3" s="90"/>
      <c r="L3" s="90"/>
      <c r="M3" s="90"/>
      <c r="N3" s="90"/>
      <c r="O3" s="90"/>
      <c r="P3" s="90"/>
      <c r="Q3" s="90"/>
      <c r="R3" s="90"/>
      <c r="S3" s="90"/>
      <c r="T3" s="90"/>
      <c r="U3" s="90"/>
      <c r="V3" s="90"/>
      <c r="W3" s="90"/>
      <c r="X3" s="90"/>
      <c r="Y3" s="90"/>
      <c r="Z3" s="90"/>
      <c r="AA3" s="90"/>
    </row>
    <row r="4">
      <c r="A4" s="47" t="str">
        <f>IFERROR(__xludf.DUMMYFUNCTION("""COMPUTED_VALUE"""),"Dashboard")</f>
        <v>Dashboard</v>
      </c>
      <c r="B4" s="47" t="str">
        <f>IFERROR(__xludf.DUMMYFUNCTION("""COMPUTED_VALUE"""),"Buy Properties")</f>
        <v>Buy Properties</v>
      </c>
      <c r="C4" s="47" t="str">
        <f>IFERROR(__xludf.DUMMYFUNCTION("TEXTJOIN("", "", TRUE, 
  FILTER('Main Report'!A13:A102, 
    ('Main Report'!B13:B102=A4) * ('Main Report'!C13:C102=B4)
  )
)
"),"BR-003")</f>
        <v>BR-003</v>
      </c>
      <c r="D4" s="91">
        <f>IFERROR(__xludf.DUMMYFUNCTION("COUNTA(UNIQUE(TRANSPOSE(SPLIT(C4, "", ""))))
"),1.0)</f>
        <v>1</v>
      </c>
      <c r="E4" s="47" t="str">
        <f>IF(D4="", "", TEXT((D4 / 'Main Report'!$E$7), "0.00%"))
</f>
        <v>1.35%</v>
      </c>
      <c r="F4" s="93" t="str">
        <f>IFERROR(__xludf.DUMMYFUNCTION("IF(C4="""", """", 
   TEXTJOIN("", "", TRUE, 
      ""High: "" &amp; COUNTIF(FILTER('Main Report'!K13:K102, ISNUMBER(MATCH('Main Report'!A13:A102, SPLIT(C4, "", ""), 0))), ""High"") &amp; CHAR(10) &amp;
      ""Medium: "" &amp; COUNTIF(FILTER('Main Report'!K13:K102, ISNU"&amp;"MBER(MATCH('Main Report'!A13:A102, SPLIT(C4, "", ""), 0))), ""Medium"") &amp; CHAR(10) &amp;
      ""Low: "" &amp; COUNTIF(FILTER('Main Report'!K13:K102, ISNUMBER(MATCH('Main Report'!A13:A102, SPLIT(C4, "", ""), 0))), ""Low"")
   )
)
"),"High: 0
Medium: 0
Low: 1")</f>
        <v>High: 0
Medium: 0
Low: 1</v>
      </c>
      <c r="G4" s="90"/>
      <c r="H4" s="90"/>
      <c r="I4" s="90"/>
      <c r="J4" s="90"/>
      <c r="K4" s="90"/>
      <c r="L4" s="90"/>
      <c r="M4" s="90"/>
      <c r="N4" s="90"/>
      <c r="O4" s="90"/>
      <c r="P4" s="90"/>
      <c r="Q4" s="90"/>
      <c r="R4" s="90"/>
      <c r="S4" s="90"/>
      <c r="T4" s="90"/>
      <c r="U4" s="90"/>
      <c r="V4" s="90"/>
      <c r="W4" s="90"/>
      <c r="X4" s="90"/>
      <c r="Y4" s="90"/>
      <c r="Z4" s="90"/>
      <c r="AA4" s="90"/>
    </row>
    <row r="5">
      <c r="A5" s="47" t="str">
        <f>IFERROR(__xludf.DUMMYFUNCTION("""COMPUTED_VALUE"""),"Dashboard")</f>
        <v>Dashboard</v>
      </c>
      <c r="B5" s="47" t="str">
        <f>IFERROR(__xludf.DUMMYFUNCTION("""COMPUTED_VALUE"""),"Buy Properties &gt; Offer details")</f>
        <v>Buy Properties &gt; Offer details</v>
      </c>
      <c r="C5" s="47" t="str">
        <f>IFERROR(__xludf.DUMMYFUNCTION("TEXTJOIN("", "", TRUE, 
  FILTER('Main Report'!A14:A103, 
    ('Main Report'!B14:B103=A5) * ('Main Report'!C14:C103=B5)
  )
)
"),"BR-004, BR-005, BR-006, BR-007, BR-008")</f>
        <v>BR-004, BR-005, BR-006, BR-007, BR-008</v>
      </c>
      <c r="D5" s="91">
        <f>IFERROR(__xludf.DUMMYFUNCTION("COUNTA(UNIQUE(TRANSPOSE(SPLIT(C5, "", ""))))
"),5.0)</f>
        <v>5</v>
      </c>
      <c r="E5" s="47" t="str">
        <f>IF(D5="", "", TEXT((D5 / 'Main Report'!$E$7), "0.00%"))
</f>
        <v>6.76%</v>
      </c>
      <c r="F5" s="93" t="str">
        <f>IFERROR(__xludf.DUMMYFUNCTION("IF(C5="""", """", 
   TEXTJOIN("", "", TRUE, 
      ""High: "" &amp; COUNTIF(FILTER('Main Report'!K14:K103, ISNUMBER(MATCH('Main Report'!A14:A103, SPLIT(C5, "", ""), 0))), ""High"") &amp; CHAR(10) &amp;
      ""Medium: "" &amp; COUNTIF(FILTER('Main Report'!K14:K103, ISNU"&amp;"MBER(MATCH('Main Report'!A14:A103, SPLIT(C5, "", ""), 0))), ""Medium"") &amp; CHAR(10) &amp;
      ""Low: "" &amp; COUNTIF(FILTER('Main Report'!K14:K103, ISNUMBER(MATCH('Main Report'!A14:A103, SPLIT(C5, "", ""), 0))), ""Low"")
   )
)
"),"High: 2
Medium: 0
Low: 3")</f>
        <v>High: 2
Medium: 0
Low: 3</v>
      </c>
      <c r="G5" s="90"/>
      <c r="H5" s="90"/>
      <c r="I5" s="90"/>
      <c r="J5" s="90"/>
      <c r="K5" s="90"/>
      <c r="L5" s="90"/>
      <c r="M5" s="90"/>
      <c r="N5" s="90"/>
      <c r="O5" s="90"/>
      <c r="P5" s="90"/>
      <c r="Q5" s="90"/>
      <c r="R5" s="90"/>
      <c r="S5" s="90"/>
      <c r="T5" s="90"/>
      <c r="U5" s="90"/>
      <c r="V5" s="90"/>
      <c r="W5" s="90"/>
      <c r="X5" s="90"/>
      <c r="Y5" s="90"/>
      <c r="Z5" s="90"/>
      <c r="AA5" s="90"/>
    </row>
    <row r="6">
      <c r="A6" s="47" t="str">
        <f>IFERROR(__xludf.DUMMYFUNCTION("""COMPUTED_VALUE"""),"Dashboard")</f>
        <v>Dashboard</v>
      </c>
      <c r="B6" s="47" t="str">
        <f>IFERROR(__xludf.DUMMYFUNCTION("""COMPUTED_VALUE"""),"Selling properties")</f>
        <v>Selling properties</v>
      </c>
      <c r="C6" s="47" t="str">
        <f>IFERROR(__xludf.DUMMYFUNCTION("TEXTJOIN("", "", TRUE, 
  FILTER('Main Report'!A15:A104, 
    ('Main Report'!B15:B104=A6) * ('Main Report'!C15:C104=B6)
  )
)
"),"BR-009, BR-010, BR-011, BR-012, BR-013, BR-014")</f>
        <v>BR-009, BR-010, BR-011, BR-012, BR-013, BR-014</v>
      </c>
      <c r="D6" s="91">
        <f>IFERROR(__xludf.DUMMYFUNCTION("COUNTA(UNIQUE(TRANSPOSE(SPLIT(C6, "", ""))))
"),6.0)</f>
        <v>6</v>
      </c>
      <c r="E6" s="47" t="str">
        <f>IF(D6="", "", TEXT((D6 / 'Main Report'!$E$7), "0.00%"))
</f>
        <v>8.11%</v>
      </c>
      <c r="F6" s="93" t="str">
        <f>IFERROR(__xludf.DUMMYFUNCTION("IF(C6="""", """", 
   TEXTJOIN("", "", TRUE, 
      ""High: "" &amp; COUNTIF(FILTER('Main Report'!K15:K104, ISNUMBER(MATCH('Main Report'!A15:A104, SPLIT(C6, "", ""), 0))), ""High"") &amp; CHAR(10) &amp;
      ""Medium: "" &amp; COUNTIF(FILTER('Main Report'!K15:K104, ISNU"&amp;"MBER(MATCH('Main Report'!A15:A104, SPLIT(C6, "", ""), 0))), ""Medium"") &amp; CHAR(10) &amp;
      ""Low: "" &amp; COUNTIF(FILTER('Main Report'!K15:K104, ISNUMBER(MATCH('Main Report'!A15:A104, SPLIT(C6, "", ""), 0))), ""Low"")
   )
)
"),"High: 0
Medium: 3
Low: 3")</f>
        <v>High: 0
Medium: 3
Low: 3</v>
      </c>
      <c r="G6" s="90"/>
      <c r="H6" s="90"/>
      <c r="I6" s="90"/>
      <c r="J6" s="90"/>
      <c r="K6" s="90"/>
      <c r="L6" s="90"/>
      <c r="M6" s="90"/>
      <c r="N6" s="90"/>
      <c r="O6" s="90"/>
      <c r="P6" s="90"/>
      <c r="Q6" s="90"/>
      <c r="R6" s="90"/>
      <c r="S6" s="90"/>
      <c r="T6" s="90"/>
      <c r="U6" s="90"/>
      <c r="V6" s="90"/>
      <c r="W6" s="90"/>
      <c r="X6" s="90"/>
      <c r="Y6" s="90"/>
      <c r="Z6" s="90"/>
      <c r="AA6" s="90"/>
    </row>
    <row r="7">
      <c r="A7" s="47" t="str">
        <f>IFERROR(__xludf.DUMMYFUNCTION("""COMPUTED_VALUE"""),"Dashboard")</f>
        <v>Dashboard</v>
      </c>
      <c r="B7" s="47" t="str">
        <f>IFERROR(__xludf.DUMMYFUNCTION("""COMPUTED_VALUE"""),"Selling properties &gt; Escrow Section")</f>
        <v>Selling properties &gt; Escrow Section</v>
      </c>
      <c r="C7" s="47" t="str">
        <f>IFERROR(__xludf.DUMMYFUNCTION("TEXTJOIN("", "", TRUE, 
  FILTER('Main Report'!A16:A105, 
    ('Main Report'!B16:B105=A7) * ('Main Report'!C16:C105=B7)
  )
)
"),"BR-015, BR-016, BR-017, BR-018, BR-019, BR-020, BR-021, BR-022, BR-023, BR-024, BR-025, BR-026")</f>
        <v>BR-015, BR-016, BR-017, BR-018, BR-019, BR-020, BR-021, BR-022, BR-023, BR-024, BR-025, BR-026</v>
      </c>
      <c r="D7" s="91">
        <f>IFERROR(__xludf.DUMMYFUNCTION("COUNTA(UNIQUE(TRANSPOSE(SPLIT(C7, "", ""))))
"),12.0)</f>
        <v>12</v>
      </c>
      <c r="E7" s="47" t="str">
        <f>IF(D7="", "", TEXT((D7 / 'Main Report'!$E$7), "0.00%"))
</f>
        <v>16.22%</v>
      </c>
      <c r="F7" s="93" t="str">
        <f>IFERROR(__xludf.DUMMYFUNCTION("IF(C7="""", """", 
   TEXTJOIN("", "", TRUE, 
      ""High: "" &amp; COUNTIF(FILTER('Main Report'!K16:K105, ISNUMBER(MATCH('Main Report'!A16:A105, SPLIT(C7, "", ""), 0))), ""High"") &amp; CHAR(10) &amp;
      ""Medium: "" &amp; COUNTIF(FILTER('Main Report'!K16:K105, ISNU"&amp;"MBER(MATCH('Main Report'!A16:A105, SPLIT(C7, "", ""), 0))), ""Medium"") &amp; CHAR(10) &amp;
      ""Low: "" &amp; COUNTIF(FILTER('Main Report'!K16:K105, ISNUMBER(MATCH('Main Report'!A16:A105, SPLIT(C7, "", ""), 0))), ""Low"")
   )
)
"),"High: 3
Medium: 7
Low: 2")</f>
        <v>High: 3
Medium: 7
Low: 2</v>
      </c>
      <c r="G7" s="90"/>
      <c r="H7" s="90"/>
      <c r="I7" s="90"/>
      <c r="J7" s="90"/>
      <c r="K7" s="90"/>
      <c r="L7" s="90"/>
      <c r="M7" s="90"/>
      <c r="N7" s="90"/>
      <c r="O7" s="90"/>
      <c r="P7" s="90"/>
      <c r="Q7" s="90"/>
      <c r="R7" s="90"/>
      <c r="S7" s="90"/>
      <c r="T7" s="90"/>
      <c r="U7" s="90"/>
      <c r="V7" s="90"/>
      <c r="W7" s="90"/>
      <c r="X7" s="90"/>
      <c r="Y7" s="90"/>
      <c r="Z7" s="90"/>
      <c r="AA7" s="90"/>
    </row>
    <row r="8">
      <c r="A8" s="47" t="str">
        <f>IFERROR(__xludf.DUMMYFUNCTION("""COMPUTED_VALUE"""),"Home for sell")</f>
        <v>Home for sell</v>
      </c>
      <c r="B8" s="47" t="str">
        <f>IFERROR(__xludf.DUMMYFUNCTION("""COMPUTED_VALUE"""),"Home for sell")</f>
        <v>Home for sell</v>
      </c>
      <c r="C8" s="47" t="str">
        <f>IFERROR(__xludf.DUMMYFUNCTION("TEXTJOIN("", "", TRUE, 
  FILTER('Main Report'!A17:A106, 
    ('Main Report'!B17:B106=A8) * ('Main Report'!C17:C106=B8)
  )
)
"),"BR-027, BR-028, BR-029, BR-030, BR-031, BR-032, BR-033, BR-034")</f>
        <v>BR-027, BR-028, BR-029, BR-030, BR-031, BR-032, BR-033, BR-034</v>
      </c>
      <c r="D8" s="91">
        <f>IFERROR(__xludf.DUMMYFUNCTION("COUNTA(UNIQUE(TRANSPOSE(SPLIT(C8, "", ""))))
"),8.0)</f>
        <v>8</v>
      </c>
      <c r="E8" s="47" t="str">
        <f>IF(D8="", "", TEXT((D8 / 'Main Report'!$E$7), "0.00%"))
</f>
        <v>10.81%</v>
      </c>
      <c r="F8" s="93" t="str">
        <f>IFERROR(__xludf.DUMMYFUNCTION("IF(C8="""", """", 
   TEXTJOIN("", "", TRUE, 
      ""High: "" &amp; COUNTIF(FILTER('Main Report'!K17:K106, ISNUMBER(MATCH('Main Report'!A17:A106, SPLIT(C8, "", ""), 0))), ""High"") &amp; CHAR(10) &amp;
      ""Medium: "" &amp; COUNTIF(FILTER('Main Report'!K17:K106, ISNU"&amp;"MBER(MATCH('Main Report'!A17:A106, SPLIT(C8, "", ""), 0))), ""Medium"") &amp; CHAR(10) &amp;
      ""Low: "" &amp; COUNTIF(FILTER('Main Report'!K17:K106, ISNUMBER(MATCH('Main Report'!A17:A106, SPLIT(C8, "", ""), 0))), ""Low"")
   )
)
"),"High: 2
Medium: 4
Low: 2")</f>
        <v>High: 2
Medium: 4
Low: 2</v>
      </c>
      <c r="G8" s="90"/>
      <c r="H8" s="90"/>
      <c r="I8" s="90"/>
      <c r="J8" s="90"/>
      <c r="K8" s="90"/>
      <c r="L8" s="90"/>
      <c r="M8" s="90"/>
      <c r="N8" s="90"/>
      <c r="O8" s="90"/>
      <c r="P8" s="90"/>
      <c r="Q8" s="90"/>
      <c r="R8" s="90"/>
      <c r="S8" s="90"/>
      <c r="T8" s="90"/>
      <c r="U8" s="90"/>
      <c r="V8" s="90"/>
      <c r="W8" s="90"/>
      <c r="X8" s="90"/>
      <c r="Y8" s="90"/>
      <c r="Z8" s="90"/>
      <c r="AA8" s="90"/>
    </row>
    <row r="9">
      <c r="A9" s="47" t="str">
        <f>IFERROR(__xludf.DUMMYFUNCTION("""COMPUTED_VALUE"""),"Home for sell")</f>
        <v>Home for sell</v>
      </c>
      <c r="B9" s="47" t="str">
        <f>IFERROR(__xludf.DUMMYFUNCTION("""COMPUTED_VALUE"""),"Property Details")</f>
        <v>Property Details</v>
      </c>
      <c r="C9" s="47" t="str">
        <f>IFERROR(__xludf.DUMMYFUNCTION("TEXTJOIN("", "", TRUE, 
  FILTER('Main Report'!A18:A107, 
    ('Main Report'!B18:B107=A9) * ('Main Report'!C18:C107=B9)
  )
)
"),"BR-035, BR-036, BR-037, BR-038")</f>
        <v>BR-035, BR-036, BR-037, BR-038</v>
      </c>
      <c r="D9" s="91">
        <f>IFERROR(__xludf.DUMMYFUNCTION("COUNTA(UNIQUE(TRANSPOSE(SPLIT(C9, "", ""))))
"),4.0)</f>
        <v>4</v>
      </c>
      <c r="E9" s="47" t="str">
        <f>IF(D9="", "", TEXT((D9 / 'Main Report'!$E$7), "0.00%"))
</f>
        <v>5.41%</v>
      </c>
      <c r="F9" s="93" t="str">
        <f>IFERROR(__xludf.DUMMYFUNCTION("IF(C9="""", """", 
   TEXTJOIN("", "", TRUE, 
      ""High: "" &amp; COUNTIF(FILTER('Main Report'!K18:K107, ISNUMBER(MATCH('Main Report'!A18:A107, SPLIT(C9, "", ""), 0))), ""High"") &amp; CHAR(10) &amp;
      ""Medium: "" &amp; COUNTIF(FILTER('Main Report'!K18:K107, ISNU"&amp;"MBER(MATCH('Main Report'!A18:A107, SPLIT(C9, "", ""), 0))), ""Medium"") &amp; CHAR(10) &amp;
      ""Low: "" &amp; COUNTIF(FILTER('Main Report'!K18:K107, ISNUMBER(MATCH('Main Report'!A18:A107, SPLIT(C9, "", ""), 0))), ""Low"")
   )
)
"),"High: 0
Medium: 2
Low: 2")</f>
        <v>High: 0
Medium: 2
Low: 2</v>
      </c>
      <c r="G9" s="90"/>
      <c r="H9" s="90"/>
      <c r="I9" s="90"/>
      <c r="J9" s="90"/>
      <c r="K9" s="90"/>
      <c r="L9" s="90"/>
      <c r="M9" s="90"/>
      <c r="N9" s="90"/>
      <c r="O9" s="90"/>
      <c r="P9" s="90"/>
      <c r="Q9" s="90"/>
      <c r="R9" s="90"/>
      <c r="S9" s="90"/>
      <c r="T9" s="90"/>
      <c r="U9" s="90"/>
      <c r="V9" s="90"/>
      <c r="W9" s="90"/>
      <c r="X9" s="90"/>
      <c r="Y9" s="90"/>
      <c r="Z9" s="90"/>
      <c r="AA9" s="90"/>
    </row>
    <row r="10">
      <c r="A10" s="47" t="str">
        <f>IFERROR(__xludf.DUMMYFUNCTION("""COMPUTED_VALUE"""),"Landing Page")</f>
        <v>Landing Page</v>
      </c>
      <c r="B10" s="47" t="str">
        <f>IFERROR(__xludf.DUMMYFUNCTION("""COMPUTED_VALUE"""),"Home")</f>
        <v>Home</v>
      </c>
      <c r="C10" s="47" t="str">
        <f>IFERROR(__xludf.DUMMYFUNCTION("TEXTJOIN("", "", TRUE, 
  FILTER('Main Report'!A19:A108, 
    ('Main Report'!B19:B108=A10) * ('Main Report'!C19:C108=B10)
  )
)
"),"BR-039, BR-040, BR-041, BR-042, BR-043, BR-044")</f>
        <v>BR-039, BR-040, BR-041, BR-042, BR-043, BR-044</v>
      </c>
      <c r="D10" s="91">
        <f>IFERROR(__xludf.DUMMYFUNCTION("COUNTA(UNIQUE(TRANSPOSE(SPLIT(C10, "", ""))))
"),6.0)</f>
        <v>6</v>
      </c>
      <c r="E10" s="47" t="str">
        <f>IF(D10="", "", TEXT((D10 / 'Main Report'!$E$7), "0.00%"))
</f>
        <v>8.11%</v>
      </c>
      <c r="F10" s="93" t="str">
        <f>IFERROR(__xludf.DUMMYFUNCTION("IF(C10="""", """", 
   TEXTJOIN("", "", TRUE, 
      ""High: "" &amp; COUNTIF(FILTER('Main Report'!K19:K108, ISNUMBER(MATCH('Main Report'!A19:A108, SPLIT(C10, "", ""), 0))), ""High"") &amp; CHAR(10) &amp;
      ""Medium: "" &amp; COUNTIF(FILTER('Main Report'!K19:K108, IS"&amp;"NUMBER(MATCH('Main Report'!A19:A108, SPLIT(C10, "", ""), 0))), ""Medium"") &amp; CHAR(10) &amp;
      ""Low: "" &amp; COUNTIF(FILTER('Main Report'!K19:K108, ISNUMBER(MATCH('Main Report'!A19:A108, SPLIT(C10, "", ""), 0))), ""Low"")
   )
)
"),"High: 0
Medium: 1
Low: 5")</f>
        <v>High: 0
Medium: 1
Low: 5</v>
      </c>
      <c r="G10" s="90"/>
      <c r="H10" s="90"/>
      <c r="I10" s="90"/>
      <c r="J10" s="90"/>
      <c r="K10" s="90"/>
      <c r="L10" s="90"/>
      <c r="M10" s="90"/>
      <c r="N10" s="90"/>
      <c r="O10" s="90"/>
      <c r="P10" s="90"/>
      <c r="Q10" s="90"/>
      <c r="R10" s="90"/>
      <c r="S10" s="90"/>
      <c r="T10" s="90"/>
      <c r="U10" s="90"/>
      <c r="V10" s="90"/>
      <c r="W10" s="90"/>
      <c r="X10" s="90"/>
      <c r="Y10" s="90"/>
      <c r="Z10" s="90"/>
      <c r="AA10" s="90"/>
    </row>
    <row r="11">
      <c r="A11" s="47" t="str">
        <f>IFERROR(__xludf.DUMMYFUNCTION("""COMPUTED_VALUE"""),"Login")</f>
        <v>Login</v>
      </c>
      <c r="B11" s="47" t="str">
        <f>IFERROR(__xludf.DUMMYFUNCTION("""COMPUTED_VALUE"""),"Form Section")</f>
        <v>Form Section</v>
      </c>
      <c r="C11" s="47" t="str">
        <f>IFERROR(__xludf.DUMMYFUNCTION("TEXTJOIN("", "", TRUE, 
  FILTER('Main Report'!A20:A109, 
    ('Main Report'!B20:B109=A11) * ('Main Report'!C20:C109=B11)
  )
)
"),"BR-045, BR-046")</f>
        <v>BR-045, BR-046</v>
      </c>
      <c r="D11" s="91">
        <f>IFERROR(__xludf.DUMMYFUNCTION("COUNTA(UNIQUE(TRANSPOSE(SPLIT(C11, "", ""))))
"),2.0)</f>
        <v>2</v>
      </c>
      <c r="E11" s="47" t="str">
        <f>IF(D11="", "", TEXT((D11 / 'Main Report'!$E$7), "0.00%"))
</f>
        <v>2.70%</v>
      </c>
      <c r="F11" s="93" t="str">
        <f>IFERROR(__xludf.DUMMYFUNCTION("IF(C11="""", """", 
   TEXTJOIN("", "", TRUE, 
      ""High: "" &amp; COUNTIF(FILTER('Main Report'!K20:K109, ISNUMBER(MATCH('Main Report'!A20:A109, SPLIT(C11, "", ""), 0))), ""High"") &amp; CHAR(10) &amp;
      ""Medium: "" &amp; COUNTIF(FILTER('Main Report'!K20:K109, IS"&amp;"NUMBER(MATCH('Main Report'!A20:A109, SPLIT(C11, "", ""), 0))), ""Medium"") &amp; CHAR(10) &amp;
      ""Low: "" &amp; COUNTIF(FILTER('Main Report'!K20:K109, ISNUMBER(MATCH('Main Report'!A20:A109, SPLIT(C11, "", ""), 0))), ""Low"")
   )
)
"),"High: 0
Medium: 1
Low: 1")</f>
        <v>High: 0
Medium: 1
Low: 1</v>
      </c>
      <c r="G11" s="90"/>
      <c r="H11" s="90"/>
      <c r="I11" s="90"/>
      <c r="J11" s="90"/>
      <c r="K11" s="90"/>
      <c r="L11" s="90"/>
      <c r="M11" s="90"/>
      <c r="N11" s="90"/>
      <c r="O11" s="90"/>
      <c r="P11" s="90"/>
      <c r="Q11" s="90"/>
      <c r="R11" s="90"/>
      <c r="S11" s="90"/>
      <c r="T11" s="90"/>
      <c r="U11" s="90"/>
      <c r="V11" s="90"/>
      <c r="W11" s="90"/>
      <c r="X11" s="90"/>
      <c r="Y11" s="90"/>
      <c r="Z11" s="90"/>
      <c r="AA11" s="90"/>
    </row>
    <row r="12">
      <c r="A12" s="47" t="str">
        <f>IFERROR(__xludf.DUMMYFUNCTION("""COMPUTED_VALUE"""),"Make an Offer (Buyer’s Agent)")</f>
        <v>Make an Offer (Buyer’s Agent)</v>
      </c>
      <c r="B12" s="47" t="str">
        <f>IFERROR(__xludf.DUMMYFUNCTION("""COMPUTED_VALUE"""),"Agent Contact &amp; Quote Form")</f>
        <v>Agent Contact &amp; Quote Form</v>
      </c>
      <c r="C12" s="47" t="str">
        <f>IFERROR(__xludf.DUMMYFUNCTION("TEXTJOIN("", "", TRUE, 
  FILTER('Main Report'!A21:A110, 
    ('Main Report'!B21:B110=A12) * ('Main Report'!C21:C110=B12)
  )
)
"),"BR-056, BR-057")</f>
        <v>BR-056, BR-057</v>
      </c>
      <c r="D12" s="91">
        <f>IFERROR(__xludf.DUMMYFUNCTION("COUNTA(UNIQUE(TRANSPOSE(SPLIT(C12, "", ""))))
"),2.0)</f>
        <v>2</v>
      </c>
      <c r="E12" s="47" t="str">
        <f>IF(D12="", "", TEXT((D12 / 'Main Report'!$E$7), "0.00%"))
</f>
        <v>2.70%</v>
      </c>
      <c r="F12" s="93" t="str">
        <f>IFERROR(__xludf.DUMMYFUNCTION("IF(C12="""", """", 
   TEXTJOIN("", "", TRUE, 
      ""High: "" &amp; COUNTIF(FILTER('Main Report'!K21:K110, ISNUMBER(MATCH('Main Report'!A21:A110, SPLIT(C12, "", ""), 0))), ""High"") &amp; CHAR(10) &amp;
      ""Medium: "" &amp; COUNTIF(FILTER('Main Report'!K21:K110, IS"&amp;"NUMBER(MATCH('Main Report'!A21:A110, SPLIT(C12, "", ""), 0))), ""Medium"") &amp; CHAR(10) &amp;
      ""Low: "" &amp; COUNTIF(FILTER('Main Report'!K21:K110, ISNUMBER(MATCH('Main Report'!A21:A110, SPLIT(C12, "", ""), 0))), ""Low"")
   )
)
"),"High: 0
Medium: 2
Low: 0")</f>
        <v>High: 0
Medium: 2
Low: 0</v>
      </c>
      <c r="G12" s="90"/>
      <c r="H12" s="90"/>
      <c r="I12" s="90"/>
      <c r="J12" s="90"/>
      <c r="K12" s="90"/>
      <c r="L12" s="90"/>
      <c r="M12" s="90"/>
      <c r="N12" s="90"/>
      <c r="O12" s="90"/>
      <c r="P12" s="90"/>
      <c r="Q12" s="90"/>
      <c r="R12" s="90"/>
      <c r="S12" s="90"/>
      <c r="T12" s="90"/>
      <c r="U12" s="90"/>
      <c r="V12" s="90"/>
      <c r="W12" s="90"/>
      <c r="X12" s="90"/>
      <c r="Y12" s="90"/>
      <c r="Z12" s="90"/>
      <c r="AA12" s="90"/>
    </row>
    <row r="13">
      <c r="A13" s="47" t="str">
        <f>IFERROR(__xludf.DUMMYFUNCTION("""COMPUTED_VALUE"""),"Make an Offer (Buyer’s Agent)")</f>
        <v>Make an Offer (Buyer’s Agent)</v>
      </c>
      <c r="B13" s="47" t="str">
        <f>IFERROR(__xludf.DUMMYFUNCTION("""COMPUTED_VALUE"""),"How will you finance this purchase?")</f>
        <v>How will you finance this purchase?</v>
      </c>
      <c r="C13" s="47" t="str">
        <f>IFERROR(__xludf.DUMMYFUNCTION("TEXTJOIN("", "", TRUE, 
  FILTER('Main Report'!A22:A111, 
    ('Main Report'!B22:B111=A13) * ('Main Report'!C22:C111=B13)
  )
)
"),"BR-058")</f>
        <v>BR-058</v>
      </c>
      <c r="D13" s="91">
        <f>IFERROR(__xludf.DUMMYFUNCTION("COUNTA(UNIQUE(TRANSPOSE(SPLIT(C13, "", ""))))
"),1.0)</f>
        <v>1</v>
      </c>
      <c r="E13" s="47" t="str">
        <f>IF(D13="", "", TEXT((D13 / 'Main Report'!$E$7), "0.00%"))
</f>
        <v>1.35%</v>
      </c>
      <c r="F13" s="93" t="str">
        <f>IFERROR(__xludf.DUMMYFUNCTION("IF(C13="""", """", 
   TEXTJOIN("", "", TRUE, 
      ""High: "" &amp; COUNTIF(FILTER('Main Report'!K22:K111, ISNUMBER(MATCH('Main Report'!A22:A111, SPLIT(C13, "", ""), 0))), ""High"") &amp; CHAR(10) &amp;
      ""Medium: "" &amp; COUNTIF(FILTER('Main Report'!K22:K111, IS"&amp;"NUMBER(MATCH('Main Report'!A22:A111, SPLIT(C13, "", ""), 0))), ""Medium"") &amp; CHAR(10) &amp;
      ""Low: "" &amp; COUNTIF(FILTER('Main Report'!K22:K111, ISNUMBER(MATCH('Main Report'!A22:A111, SPLIT(C13, "", ""), 0))), ""Low"")
   )
)
"),"High: 1
Medium: 0
Low: 0")</f>
        <v>High: 1
Medium: 0
Low: 0</v>
      </c>
      <c r="G13" s="90"/>
      <c r="H13" s="90"/>
      <c r="I13" s="90"/>
      <c r="J13" s="90"/>
      <c r="K13" s="90"/>
      <c r="L13" s="90"/>
      <c r="M13" s="90"/>
      <c r="N13" s="90"/>
      <c r="O13" s="90"/>
      <c r="P13" s="90"/>
      <c r="Q13" s="90"/>
      <c r="R13" s="90"/>
      <c r="S13" s="90"/>
      <c r="T13" s="90"/>
      <c r="U13" s="90"/>
      <c r="V13" s="90"/>
      <c r="W13" s="90"/>
      <c r="X13" s="90"/>
      <c r="Y13" s="90"/>
      <c r="Z13" s="90"/>
      <c r="AA13" s="90"/>
    </row>
    <row r="14">
      <c r="A14" s="47" t="str">
        <f>IFERROR(__xludf.DUMMYFUNCTION("""COMPUTED_VALUE"""),"Make an Offer (Buyer)")</f>
        <v>Make an Offer (Buyer)</v>
      </c>
      <c r="B14" s="47" t="str">
        <f>IFERROR(__xludf.DUMMYFUNCTION("""COMPUTED_VALUE"""),"Agent Contact &amp; Quote Form")</f>
        <v>Agent Contact &amp; Quote Form</v>
      </c>
      <c r="C14" s="47" t="str">
        <f>IFERROR(__xludf.DUMMYFUNCTION("TEXTJOIN("", "", TRUE, 
  FILTER('Main Report'!A23:A112, 
    ('Main Report'!B23:B112=A14) * ('Main Report'!C23:C112=B14)
  )
)
"),"BR-047, BR-048")</f>
        <v>BR-047, BR-048</v>
      </c>
      <c r="D14" s="91">
        <f>IFERROR(__xludf.DUMMYFUNCTION("COUNTA(UNIQUE(TRANSPOSE(SPLIT(C14, "", ""))))
"),2.0)</f>
        <v>2</v>
      </c>
      <c r="E14" s="47" t="str">
        <f>IF(D14="", "", TEXT((D14 / 'Main Report'!$E$7), "0.00%"))
</f>
        <v>2.70%</v>
      </c>
      <c r="F14" s="93" t="str">
        <f>IFERROR(__xludf.DUMMYFUNCTION("IF(C14="""", """", 
   TEXTJOIN("", "", TRUE, 
      ""High: "" &amp; COUNTIF(FILTER('Main Report'!K23:K112, ISNUMBER(MATCH('Main Report'!A23:A112, SPLIT(C14, "", ""), 0))), ""High"") &amp; CHAR(10) &amp;
      ""Medium: "" &amp; COUNTIF(FILTER('Main Report'!K23:K112, IS"&amp;"NUMBER(MATCH('Main Report'!A23:A112, SPLIT(C14, "", ""), 0))), ""Medium"") &amp; CHAR(10) &amp;
      ""Low: "" &amp; COUNTIF(FILTER('Main Report'!K23:K112, ISNUMBER(MATCH('Main Report'!A23:A112, SPLIT(C14, "", ""), 0))), ""Low"")
   )
)
"),"High: 2
Medium: 0
Low: 0")</f>
        <v>High: 2
Medium: 0
Low: 0</v>
      </c>
      <c r="G14" s="90"/>
      <c r="H14" s="90"/>
      <c r="I14" s="90"/>
      <c r="J14" s="90"/>
      <c r="K14" s="90"/>
      <c r="L14" s="90"/>
      <c r="M14" s="90"/>
      <c r="N14" s="90"/>
      <c r="O14" s="90"/>
      <c r="P14" s="90"/>
      <c r="Q14" s="90"/>
      <c r="R14" s="90"/>
      <c r="S14" s="90"/>
      <c r="T14" s="90"/>
      <c r="U14" s="90"/>
      <c r="V14" s="90"/>
      <c r="W14" s="90"/>
      <c r="X14" s="90"/>
      <c r="Y14" s="90"/>
      <c r="Z14" s="90"/>
      <c r="AA14" s="90"/>
    </row>
    <row r="15">
      <c r="A15" s="47" t="str">
        <f>IFERROR(__xludf.DUMMYFUNCTION("""COMPUTED_VALUE"""),"Make an Offer (Buyer)")</f>
        <v>Make an Offer (Buyer)</v>
      </c>
      <c r="B15" s="47" t="str">
        <f>IFERROR(__xludf.DUMMYFUNCTION("""COMPUTED_VALUE"""),"Do You Have a Pre-Approval?")</f>
        <v>Do You Have a Pre-Approval?</v>
      </c>
      <c r="C15" s="47" t="str">
        <f>IFERROR(__xludf.DUMMYFUNCTION("TEXTJOIN("", "", TRUE, 
  FILTER('Main Report'!A24:A113, 
    ('Main Report'!B24:B113=A15) * ('Main Report'!C24:C113=B15)
  )
)
"),"BR-049")</f>
        <v>BR-049</v>
      </c>
      <c r="D15" s="91">
        <f>IFERROR(__xludf.DUMMYFUNCTION("COUNTA(UNIQUE(TRANSPOSE(SPLIT(C15, "", ""))))
"),1.0)</f>
        <v>1</v>
      </c>
      <c r="E15" s="47" t="str">
        <f>IF(D15="", "", TEXT((D15 / 'Main Report'!$E$7), "0.00%"))
</f>
        <v>1.35%</v>
      </c>
      <c r="F15" s="93" t="str">
        <f>IFERROR(__xludf.DUMMYFUNCTION("IF(C15="""", """", 
   TEXTJOIN("", "", TRUE, 
      ""High: "" &amp; COUNTIF(FILTER('Main Report'!K24:K113, ISNUMBER(MATCH('Main Report'!A24:A113, SPLIT(C15, "", ""), 0))), ""High"") &amp; CHAR(10) &amp;
      ""Medium: "" &amp; COUNTIF(FILTER('Main Report'!K24:K113, IS"&amp;"NUMBER(MATCH('Main Report'!A24:A113, SPLIT(C15, "", ""), 0))), ""Medium"") &amp; CHAR(10) &amp;
      ""Low: "" &amp; COUNTIF(FILTER('Main Report'!K24:K113, ISNUMBER(MATCH('Main Report'!A24:A113, SPLIT(C15, "", ""), 0))), ""Low"")
   )
)
"),"High: 1
Medium: 0
Low: 0")</f>
        <v>High: 1
Medium: 0
Low: 0</v>
      </c>
      <c r="G15" s="90"/>
      <c r="H15" s="90"/>
      <c r="I15" s="90"/>
      <c r="J15" s="90"/>
      <c r="K15" s="90"/>
      <c r="L15" s="90"/>
      <c r="M15" s="90"/>
      <c r="N15" s="90"/>
      <c r="O15" s="90"/>
      <c r="P15" s="90"/>
      <c r="Q15" s="90"/>
      <c r="R15" s="90"/>
      <c r="S15" s="90"/>
      <c r="T15" s="90"/>
      <c r="U15" s="90"/>
      <c r="V15" s="90"/>
      <c r="W15" s="90"/>
      <c r="X15" s="90"/>
      <c r="Y15" s="90"/>
      <c r="Z15" s="90"/>
      <c r="AA15" s="90"/>
    </row>
    <row r="16">
      <c r="A16" s="47" t="str">
        <f>IFERROR(__xludf.DUMMYFUNCTION("""COMPUTED_VALUE"""),"Make an Offer (Buyer)")</f>
        <v>Make an Offer (Buyer)</v>
      </c>
      <c r="B16" s="47" t="str">
        <f>IFERROR(__xludf.DUMMYFUNCTION("""COMPUTED_VALUE"""),"Have you seen this property in person?")</f>
        <v>Have you seen this property in person?</v>
      </c>
      <c r="C16" s="47" t="str">
        <f>IFERROR(__xludf.DUMMYFUNCTION("TEXTJOIN("", "", TRUE, 
  FILTER('Main Report'!A25:A114, 
    ('Main Report'!B25:B114=A16) * ('Main Report'!C25:C114=B16)
  )
)
"),"BR-050, BR-051")</f>
        <v>BR-050, BR-051</v>
      </c>
      <c r="D16" s="91">
        <f>IFERROR(__xludf.DUMMYFUNCTION("COUNTA(UNIQUE(TRANSPOSE(SPLIT(C16, "", ""))))
"),2.0)</f>
        <v>2</v>
      </c>
      <c r="E16" s="47" t="str">
        <f>IF(D16="", "", TEXT((D16 / 'Main Report'!$E$7), "0.00%"))
</f>
        <v>2.70%</v>
      </c>
      <c r="F16" s="93" t="str">
        <f>IFERROR(__xludf.DUMMYFUNCTION("IF(C16="""", """", 
   TEXTJOIN("", "", TRUE, 
      ""High: "" &amp; COUNTIF(FILTER('Main Report'!K25:K114, ISNUMBER(MATCH('Main Report'!A25:A114, SPLIT(C16, "", ""), 0))), ""High"") &amp; CHAR(10) &amp;
      ""Medium: "" &amp; COUNTIF(FILTER('Main Report'!K25:K114, IS"&amp;"NUMBER(MATCH('Main Report'!A25:A114, SPLIT(C16, "", ""), 0))), ""Medium"") &amp; CHAR(10) &amp;
      ""Low: "" &amp; COUNTIF(FILTER('Main Report'!K25:K114, ISNUMBER(MATCH('Main Report'!A25:A114, SPLIT(C16, "", ""), 0))), ""Low"")
   )
)
"),"High: 0
Medium: 1
Low: 1")</f>
        <v>High: 0
Medium: 1
Low: 1</v>
      </c>
      <c r="G16" s="90"/>
      <c r="H16" s="90"/>
      <c r="I16" s="90"/>
      <c r="J16" s="90"/>
      <c r="K16" s="90"/>
      <c r="L16" s="90"/>
      <c r="M16" s="90"/>
      <c r="N16" s="90"/>
      <c r="O16" s="90"/>
      <c r="P16" s="90"/>
      <c r="Q16" s="90"/>
      <c r="R16" s="90"/>
      <c r="S16" s="90"/>
      <c r="T16" s="90"/>
      <c r="U16" s="90"/>
      <c r="V16" s="90"/>
      <c r="W16" s="90"/>
      <c r="X16" s="90"/>
      <c r="Y16" s="90"/>
      <c r="Z16" s="90"/>
      <c r="AA16" s="90"/>
    </row>
    <row r="17">
      <c r="A17" s="47" t="str">
        <f>IFERROR(__xludf.DUMMYFUNCTION("""COMPUTED_VALUE"""),"Make an Offer (Buyer)")</f>
        <v>Make an Offer (Buyer)</v>
      </c>
      <c r="B17" s="47" t="str">
        <f>IFERROR(__xludf.DUMMYFUNCTION("""COMPUTED_VALUE"""),"Have you signed an Exclusive Agency Agreement with an agent?")</f>
        <v>Have you signed an Exclusive Agency Agreement with an agent?</v>
      </c>
      <c r="C17" s="47" t="str">
        <f>IFERROR(__xludf.DUMMYFUNCTION("TEXTJOIN("", "", TRUE, 
  FILTER('Main Report'!A26:A115, 
    ('Main Report'!B26:B115=A17) * ('Main Report'!C26:C115=B17)
  )
)
"),"BR-052")</f>
        <v>BR-052</v>
      </c>
      <c r="D17" s="91">
        <f>IFERROR(__xludf.DUMMYFUNCTION("COUNTA(UNIQUE(TRANSPOSE(SPLIT(C17, "", ""))))
"),1.0)</f>
        <v>1</v>
      </c>
      <c r="E17" s="47" t="str">
        <f>IF(D17="", "", TEXT((D17 / 'Main Report'!$E$7), "0.00%"))
</f>
        <v>1.35%</v>
      </c>
      <c r="F17" s="93" t="str">
        <f>IFERROR(__xludf.DUMMYFUNCTION("IF(C17="""", """", 
   TEXTJOIN("", "", TRUE, 
      ""High: "" &amp; COUNTIF(FILTER('Main Report'!K26:K115, ISNUMBER(MATCH('Main Report'!A26:A115, SPLIT(C17, "", ""), 0))), ""High"") &amp; CHAR(10) &amp;
      ""Medium: "" &amp; COUNTIF(FILTER('Main Report'!K26:K115, IS"&amp;"NUMBER(MATCH('Main Report'!A26:A115, SPLIT(C17, "", ""), 0))), ""Medium"") &amp; CHAR(10) &amp;
      ""Low: "" &amp; COUNTIF(FILTER('Main Report'!K26:K115, ISNUMBER(MATCH('Main Report'!A26:A115, SPLIT(C17, "", ""), 0))), ""Low"")
   )
)
"),"High: 0
Medium: 1
Low: 0")</f>
        <v>High: 0
Medium: 1
Low: 0</v>
      </c>
      <c r="G17" s="90"/>
      <c r="H17" s="90"/>
      <c r="I17" s="90"/>
      <c r="J17" s="90"/>
      <c r="K17" s="90"/>
      <c r="L17" s="90"/>
      <c r="M17" s="90"/>
      <c r="N17" s="90"/>
      <c r="O17" s="90"/>
      <c r="P17" s="90"/>
      <c r="Q17" s="90"/>
      <c r="R17" s="90"/>
      <c r="S17" s="90"/>
      <c r="T17" s="90"/>
      <c r="U17" s="90"/>
      <c r="V17" s="90"/>
      <c r="W17" s="90"/>
      <c r="X17" s="90"/>
      <c r="Y17" s="90"/>
      <c r="Z17" s="90"/>
      <c r="AA17" s="90"/>
    </row>
    <row r="18">
      <c r="A18" s="47" t="str">
        <f>IFERROR(__xludf.DUMMYFUNCTION("""COMPUTED_VALUE"""),"Make an Offer (Buyer)")</f>
        <v>Make an Offer (Buyer)</v>
      </c>
      <c r="B18" s="47" t="str">
        <f>IFERROR(__xludf.DUMMYFUNCTION("""COMPUTED_VALUE"""),"How will you finance this purchase?")</f>
        <v>How will you finance this purchase?</v>
      </c>
      <c r="C18" s="47" t="str">
        <f>IFERROR(__xludf.DUMMYFUNCTION("TEXTJOIN("", "", TRUE, 
  FILTER('Main Report'!A27:A116, 
    ('Main Report'!B27:B116=A18) * ('Main Report'!C27:C116=B18)
  )
)
"),"BR-053")</f>
        <v>BR-053</v>
      </c>
      <c r="D18" s="91">
        <f>IFERROR(__xludf.DUMMYFUNCTION("COUNTA(UNIQUE(TRANSPOSE(SPLIT(C18, "", ""))))
"),1.0)</f>
        <v>1</v>
      </c>
      <c r="E18" s="47" t="str">
        <f>IF(D18="", "", TEXT((D18 / 'Main Report'!$E$7), "0.00%"))
</f>
        <v>1.35%</v>
      </c>
      <c r="F18" s="93" t="str">
        <f>IFERROR(__xludf.DUMMYFUNCTION("IF(C18="""", """", 
   TEXTJOIN("", "", TRUE, 
      ""High: "" &amp; COUNTIF(FILTER('Main Report'!K27:K116, ISNUMBER(MATCH('Main Report'!A27:A116, SPLIT(C18, "", ""), 0))), ""High"") &amp; CHAR(10) &amp;
      ""Medium: "" &amp; COUNTIF(FILTER('Main Report'!K27:K116, IS"&amp;"NUMBER(MATCH('Main Report'!A27:A116, SPLIT(C18, "", ""), 0))), ""Medium"") &amp; CHAR(10) &amp;
      ""Low: "" &amp; COUNTIF(FILTER('Main Report'!K27:K116, ISNUMBER(MATCH('Main Report'!A27:A116, SPLIT(C18, "", ""), 0))), ""Low"")
   )
)
"),"High: 0
Medium: 1
Low: 0")</f>
        <v>High: 0
Medium: 1
Low: 0</v>
      </c>
      <c r="G18" s="90"/>
      <c r="H18" s="90"/>
      <c r="I18" s="90"/>
      <c r="J18" s="90"/>
      <c r="K18" s="90"/>
      <c r="L18" s="90"/>
      <c r="M18" s="90"/>
      <c r="N18" s="90"/>
      <c r="O18" s="90"/>
      <c r="P18" s="90"/>
      <c r="Q18" s="90"/>
      <c r="R18" s="90"/>
      <c r="S18" s="90"/>
      <c r="T18" s="90"/>
      <c r="U18" s="90"/>
      <c r="V18" s="90"/>
      <c r="W18" s="90"/>
      <c r="X18" s="90"/>
      <c r="Y18" s="90"/>
      <c r="Z18" s="90"/>
      <c r="AA18" s="90"/>
    </row>
    <row r="19">
      <c r="A19" s="47" t="str">
        <f>IFERROR(__xludf.DUMMYFUNCTION("""COMPUTED_VALUE"""),"Make an Offer (Buyer)")</f>
        <v>Make an Offer (Buyer)</v>
      </c>
      <c r="B19" s="47" t="str">
        <f>IFERROR(__xludf.DUMMYFUNCTION("""COMPUTED_VALUE"""),"Schedule Page")</f>
        <v>Schedule Page</v>
      </c>
      <c r="C19" s="47" t="str">
        <f>IFERROR(__xludf.DUMMYFUNCTION("TEXTJOIN("", "", TRUE, 
  FILTER('Main Report'!A28:A117, 
    ('Main Report'!B28:B117=A19) * ('Main Report'!C28:C117=B19)
  )
)
"),"BR-054, BR-055")</f>
        <v>BR-054, BR-055</v>
      </c>
      <c r="D19" s="91">
        <f>IFERROR(__xludf.DUMMYFUNCTION("COUNTA(UNIQUE(TRANSPOSE(SPLIT(C19, "", ""))))
"),2.0)</f>
        <v>2</v>
      </c>
      <c r="E19" s="47" t="str">
        <f>IF(D19="", "", TEXT((D19 / 'Main Report'!$E$7), "0.00%"))
</f>
        <v>2.70%</v>
      </c>
      <c r="F19" s="93" t="str">
        <f>IFERROR(__xludf.DUMMYFUNCTION("IF(C19="""", """", 
   TEXTJOIN("", "", TRUE, 
      ""High: "" &amp; COUNTIF(FILTER('Main Report'!K28:K117, ISNUMBER(MATCH('Main Report'!A28:A117, SPLIT(C19, "", ""), 0))), ""High"") &amp; CHAR(10) &amp;
      ""Medium: "" &amp; COUNTIF(FILTER('Main Report'!K28:K117, IS"&amp;"NUMBER(MATCH('Main Report'!A28:A117, SPLIT(C19, "", ""), 0))), ""Medium"") &amp; CHAR(10) &amp;
      ""Low: "" &amp; COUNTIF(FILTER('Main Report'!K28:K117, ISNUMBER(MATCH('Main Report'!A28:A117, SPLIT(C19, "", ""), 0))), ""Low"")
   )
)
"),"High: 2
Medium: 0
Low: 0")</f>
        <v>High: 2
Medium: 0
Low: 0</v>
      </c>
      <c r="G19" s="90"/>
      <c r="H19" s="90"/>
      <c r="I19" s="90"/>
      <c r="J19" s="90"/>
      <c r="K19" s="90"/>
      <c r="L19" s="90"/>
      <c r="M19" s="90"/>
      <c r="N19" s="90"/>
      <c r="O19" s="90"/>
      <c r="P19" s="90"/>
      <c r="Q19" s="90"/>
      <c r="R19" s="90"/>
      <c r="S19" s="90"/>
      <c r="T19" s="90"/>
      <c r="U19" s="90"/>
      <c r="V19" s="90"/>
      <c r="W19" s="90"/>
      <c r="X19" s="90"/>
      <c r="Y19" s="90"/>
      <c r="Z19" s="90"/>
      <c r="AA19" s="90"/>
    </row>
    <row r="20">
      <c r="A20" s="91" t="str">
        <f>IFERROR(__xludf.DUMMYFUNCTION("""COMPUTED_VALUE"""),"Registration")</f>
        <v>Registration</v>
      </c>
      <c r="B20" s="91" t="str">
        <f>IFERROR(__xludf.DUMMYFUNCTION("""COMPUTED_VALUE"""),"Form Buttons")</f>
        <v>Form Buttons</v>
      </c>
      <c r="C20" s="47" t="str">
        <f>IFERROR(__xludf.DUMMYFUNCTION("TEXTJOIN("", "", TRUE, 
  FILTER('Main Report'!A29:A118, 
    ('Main Report'!B29:B118=A20) * ('Main Report'!C29:C118=B20)
  )
)
"),"BR-059")</f>
        <v>BR-059</v>
      </c>
      <c r="D20" s="91">
        <f>IFERROR(__xludf.DUMMYFUNCTION("COUNTA(UNIQUE(TRANSPOSE(SPLIT(C20, "", ""))))
"),1.0)</f>
        <v>1</v>
      </c>
      <c r="E20" s="47" t="str">
        <f>IF(D20="", "", TEXT((D20 / 'Main Report'!$E$7), "0.00%"))
</f>
        <v>1.35%</v>
      </c>
      <c r="F20" s="93" t="str">
        <f>IFERROR(__xludf.DUMMYFUNCTION("IF(C20="""", """", 
   TEXTJOIN("", "", TRUE, 
      ""High: "" &amp; COUNTIF(FILTER('Main Report'!K29:K118, ISNUMBER(MATCH('Main Report'!A29:A118, SPLIT(C20, "", ""), 0))), ""High"") &amp; CHAR(10) &amp;
      ""Medium: "" &amp; COUNTIF(FILTER('Main Report'!K29:K118, IS"&amp;"NUMBER(MATCH('Main Report'!A29:A118, SPLIT(C20, "", ""), 0))), ""Medium"") &amp; CHAR(10) &amp;
      ""Low: "" &amp; COUNTIF(FILTER('Main Report'!K29:K118, ISNUMBER(MATCH('Main Report'!A29:A118, SPLIT(C20, "", ""), 0))), ""Low"")
   )
)
"),"High: 0
Medium: 0
Low: 1")</f>
        <v>High: 0
Medium: 0
Low: 1</v>
      </c>
      <c r="G20" s="90"/>
      <c r="H20" s="90"/>
      <c r="I20" s="90"/>
      <c r="J20" s="90"/>
      <c r="K20" s="90"/>
      <c r="L20" s="90"/>
      <c r="M20" s="90"/>
      <c r="N20" s="90"/>
      <c r="O20" s="90"/>
      <c r="P20" s="90"/>
      <c r="Q20" s="90"/>
      <c r="R20" s="90"/>
      <c r="S20" s="90"/>
      <c r="T20" s="90"/>
      <c r="U20" s="90"/>
      <c r="V20" s="90"/>
      <c r="W20" s="90"/>
      <c r="X20" s="90"/>
      <c r="Y20" s="90"/>
      <c r="Z20" s="90"/>
      <c r="AA20" s="90"/>
    </row>
    <row r="21">
      <c r="A21" s="47" t="str">
        <f>IFERROR(__xludf.DUMMYFUNCTION("""COMPUTED_VALUE"""),"Registration")</f>
        <v>Registration</v>
      </c>
      <c r="B21" s="47" t="str">
        <f>IFERROR(__xludf.DUMMYFUNCTION("""COMPUTED_VALUE"""),"Form Design")</f>
        <v>Form Design</v>
      </c>
      <c r="C21" s="47" t="str">
        <f>IFERROR(__xludf.DUMMYFUNCTION("TEXTJOIN("", "", TRUE, 
  FILTER('Main Report'!A30:A119, 
    ('Main Report'!B30:B119=A21) * ('Main Report'!C30:C119=B21)
  )
)
"),"BR-060, BR-061")</f>
        <v>BR-060, BR-061</v>
      </c>
      <c r="D21" s="91">
        <f>IFERROR(__xludf.DUMMYFUNCTION("COUNTA(UNIQUE(TRANSPOSE(SPLIT(C21, "", ""))))
"),2.0)</f>
        <v>2</v>
      </c>
      <c r="E21" s="47" t="str">
        <f>IF(D21="", "", TEXT((D21 / 'Main Report'!$E$7), "0.00%"))
</f>
        <v>2.70%</v>
      </c>
      <c r="F21" s="93" t="str">
        <f>IFERROR(__xludf.DUMMYFUNCTION("IF(C21="""", """", 
   TEXTJOIN("", "", TRUE, 
      ""High: "" &amp; COUNTIF(FILTER('Main Report'!K30:K119, ISNUMBER(MATCH('Main Report'!A30:A119, SPLIT(C21, "", ""), 0))), ""High"") &amp; CHAR(10) &amp;
      ""Medium: "" &amp; COUNTIF(FILTER('Main Report'!K30:K119, IS"&amp;"NUMBER(MATCH('Main Report'!A30:A119, SPLIT(C21, "", ""), 0))), ""Medium"") &amp; CHAR(10) &amp;
      ""Low: "" &amp; COUNTIF(FILTER('Main Report'!K30:K119, ISNUMBER(MATCH('Main Report'!A30:A119, SPLIT(C21, "", ""), 0))), ""Low"")
   )
)
"),"High: 0
Medium: 2
Low: 0")</f>
        <v>High: 0
Medium: 2
Low: 0</v>
      </c>
      <c r="G21" s="90"/>
      <c r="H21" s="90"/>
      <c r="I21" s="90"/>
      <c r="J21" s="90"/>
      <c r="K21" s="90"/>
      <c r="L21" s="90"/>
      <c r="M21" s="90"/>
      <c r="N21" s="90"/>
      <c r="O21" s="90"/>
      <c r="P21" s="90"/>
      <c r="Q21" s="90"/>
      <c r="R21" s="90"/>
      <c r="S21" s="90"/>
      <c r="T21" s="90"/>
      <c r="U21" s="90"/>
      <c r="V21" s="90"/>
      <c r="W21" s="90"/>
      <c r="X21" s="90"/>
      <c r="Y21" s="90"/>
      <c r="Z21" s="90"/>
      <c r="AA21" s="90"/>
    </row>
    <row r="22">
      <c r="A22" s="47" t="str">
        <f>IFERROR(__xludf.DUMMYFUNCTION("""COMPUTED_VALUE"""),"Registration")</f>
        <v>Registration</v>
      </c>
      <c r="B22" s="47" t="str">
        <f>IFERROR(__xludf.DUMMYFUNCTION("""COMPUTED_VALUE"""),"Form Section")</f>
        <v>Form Section</v>
      </c>
      <c r="C22" s="47" t="str">
        <f>IFERROR(__xludf.DUMMYFUNCTION("TEXTJOIN("", "", TRUE, 
  FILTER('Main Report'!A31:A120, 
    ('Main Report'!B31:B120=A22) * ('Main Report'!C31:C120=B22)
  )
)
"),"BR-062, BR-063")</f>
        <v>BR-062, BR-063</v>
      </c>
      <c r="D22" s="91">
        <f>IFERROR(__xludf.DUMMYFUNCTION("COUNTA(UNIQUE(TRANSPOSE(SPLIT(C22, "", ""))))
"),2.0)</f>
        <v>2</v>
      </c>
      <c r="E22" s="47" t="str">
        <f>IF(D22="", "", TEXT((D22 / 'Main Report'!$E$7), "0.00%"))
</f>
        <v>2.70%</v>
      </c>
      <c r="F22" s="93" t="str">
        <f>IFERROR(__xludf.DUMMYFUNCTION("IF(C22="""", """", 
   TEXTJOIN("", "", TRUE, 
      ""High: "" &amp; COUNTIF(FILTER('Main Report'!K31:K120, ISNUMBER(MATCH('Main Report'!A31:A120, SPLIT(C22, "", ""), 0))), ""High"") &amp; CHAR(10) &amp;
      ""Medium: "" &amp; COUNTIF(FILTER('Main Report'!K31:K120, IS"&amp;"NUMBER(MATCH('Main Report'!A31:A120, SPLIT(C22, "", ""), 0))), ""Medium"") &amp; CHAR(10) &amp;
      ""Low: "" &amp; COUNTIF(FILTER('Main Report'!K31:K120, ISNUMBER(MATCH('Main Report'!A31:A120, SPLIT(C22, "", ""), 0))), ""Low"")
   )
)
"),"High: 2
Medium: 0
Low: 0")</f>
        <v>High: 2
Medium: 0
Low: 0</v>
      </c>
      <c r="G22" s="90"/>
      <c r="H22" s="90"/>
      <c r="I22" s="90"/>
      <c r="J22" s="90"/>
      <c r="K22" s="90"/>
      <c r="L22" s="90"/>
      <c r="M22" s="90"/>
      <c r="N22" s="90"/>
      <c r="O22" s="90"/>
      <c r="P22" s="90"/>
      <c r="Q22" s="90"/>
      <c r="R22" s="90"/>
      <c r="S22" s="90"/>
      <c r="T22" s="90"/>
      <c r="U22" s="90"/>
      <c r="V22" s="90"/>
      <c r="W22" s="90"/>
      <c r="X22" s="90"/>
      <c r="Y22" s="90"/>
      <c r="Z22" s="90"/>
      <c r="AA22" s="90"/>
    </row>
    <row r="23">
      <c r="A23" s="47" t="str">
        <f>IFERROR(__xludf.DUMMYFUNCTION("""COMPUTED_VALUE"""),"Registration")</f>
        <v>Registration</v>
      </c>
      <c r="B23" s="47" t="str">
        <f>IFERROR(__xludf.DUMMYFUNCTION("""COMPUTED_VALUE"""),"Page Layout")</f>
        <v>Page Layout</v>
      </c>
      <c r="C23" s="47" t="str">
        <f>IFERROR(__xludf.DUMMYFUNCTION("TEXTJOIN("", "", TRUE, 
  FILTER('Main Report'!A32:A121, 
    ('Main Report'!B32:B121=A23) * ('Main Report'!C32:C121=B23)
  )
)
"),"BR-064, BR-065, BR-066")</f>
        <v>BR-064, BR-065, BR-066</v>
      </c>
      <c r="D23" s="91">
        <f>IFERROR(__xludf.DUMMYFUNCTION("COUNTA(UNIQUE(TRANSPOSE(SPLIT(C23, "", ""))))
"),3.0)</f>
        <v>3</v>
      </c>
      <c r="E23" s="47" t="str">
        <f>IF(D23="", "", TEXT((D23 / 'Main Report'!$E$7), "0.00%"))
</f>
        <v>4.05%</v>
      </c>
      <c r="F23" s="93" t="str">
        <f>IFERROR(__xludf.DUMMYFUNCTION("IF(C23="""", """", 
   TEXTJOIN("", "", TRUE, 
      ""High: "" &amp; COUNTIF(FILTER('Main Report'!K32:K121, ISNUMBER(MATCH('Main Report'!A32:A121, SPLIT(C23, "", ""), 0))), ""High"") &amp; CHAR(10) &amp;
      ""Medium: "" &amp; COUNTIF(FILTER('Main Report'!K32:K121, IS"&amp;"NUMBER(MATCH('Main Report'!A32:A121, SPLIT(C23, "", ""), 0))), ""Medium"") &amp; CHAR(10) &amp;
      ""Low: "" &amp; COUNTIF(FILTER('Main Report'!K32:K121, ISNUMBER(MATCH('Main Report'!A32:A121, SPLIT(C23, "", ""), 0))), ""Low"")
   )
)
"),"High: 0
Medium: 3
Low: 0")</f>
        <v>High: 0
Medium: 3
Low: 0</v>
      </c>
      <c r="G23" s="90"/>
      <c r="H23" s="90"/>
      <c r="I23" s="90"/>
      <c r="J23" s="90"/>
      <c r="K23" s="90"/>
      <c r="L23" s="90"/>
      <c r="M23" s="90"/>
      <c r="N23" s="90"/>
      <c r="O23" s="90"/>
      <c r="P23" s="90"/>
      <c r="Q23" s="90"/>
      <c r="R23" s="90"/>
      <c r="S23" s="90"/>
      <c r="T23" s="90"/>
      <c r="U23" s="90"/>
      <c r="V23" s="90"/>
      <c r="W23" s="90"/>
      <c r="X23" s="90"/>
      <c r="Y23" s="90"/>
      <c r="Z23" s="90"/>
      <c r="AA23" s="90"/>
    </row>
    <row r="24">
      <c r="A24" s="47" t="str">
        <f>IFERROR(__xludf.DUMMYFUNCTION("""COMPUTED_VALUE"""),"Sell")</f>
        <v>Sell</v>
      </c>
      <c r="B24" s="47" t="str">
        <f>IFERROR(__xludf.DUMMYFUNCTION("""COMPUTED_VALUE"""),"Flat Fee MLS")</f>
        <v>Flat Fee MLS</v>
      </c>
      <c r="C24" s="47" t="str">
        <f>IFERROR(__xludf.DUMMYFUNCTION("TEXTJOIN("", "", TRUE, 
  FILTER('Main Report'!A33:A122, 
    ('Main Report'!B33:B122=A24) * ('Main Report'!C33:C122=B24)
  )
)
"),"BR-067, BR-068")</f>
        <v>BR-067, BR-068</v>
      </c>
      <c r="D24" s="91">
        <f>IFERROR(__xludf.DUMMYFUNCTION("COUNTA(UNIQUE(TRANSPOSE(SPLIT(C24, "", ""))))
"),2.0)</f>
        <v>2</v>
      </c>
      <c r="E24" s="47" t="str">
        <f>IF(D24="", "", TEXT((D24 / 'Main Report'!$E$7), "0.00%"))
</f>
        <v>2.70%</v>
      </c>
      <c r="F24" s="93" t="str">
        <f>IFERROR(__xludf.DUMMYFUNCTION("IF(C24="""", """", 
   TEXTJOIN("", "", TRUE, 
      ""High: "" &amp; COUNTIF(FILTER('Main Report'!K33:K122, ISNUMBER(MATCH('Main Report'!A33:A122, SPLIT(C24, "", ""), 0))), ""High"") &amp; CHAR(10) &amp;
      ""Medium: "" &amp; COUNTIF(FILTER('Main Report'!K33:K122, IS"&amp;"NUMBER(MATCH('Main Report'!A33:A122, SPLIT(C24, "", ""), 0))), ""Medium"") &amp; CHAR(10) &amp;
      ""Low: "" &amp; COUNTIF(FILTER('Main Report'!K33:K122, ISNUMBER(MATCH('Main Report'!A33:A122, SPLIT(C24, "", ""), 0))), ""Low"")
   )
)
"),"High: 1
Medium: 1
Low: 0")</f>
        <v>High: 1
Medium: 1
Low: 0</v>
      </c>
      <c r="G24" s="90"/>
      <c r="H24" s="90"/>
      <c r="I24" s="90"/>
      <c r="J24" s="90"/>
      <c r="K24" s="90"/>
      <c r="L24" s="90"/>
      <c r="M24" s="90"/>
      <c r="N24" s="90"/>
      <c r="O24" s="90"/>
      <c r="P24" s="90"/>
      <c r="Q24" s="90"/>
      <c r="R24" s="90"/>
      <c r="S24" s="90"/>
      <c r="T24" s="90"/>
      <c r="U24" s="90"/>
      <c r="V24" s="90"/>
      <c r="W24" s="90"/>
      <c r="X24" s="90"/>
      <c r="Y24" s="90"/>
      <c r="Z24" s="90"/>
      <c r="AA24" s="90"/>
    </row>
    <row r="25">
      <c r="A25" s="47" t="str">
        <f>IFERROR(__xludf.DUMMYFUNCTION("""COMPUTED_VALUE"""),"Sell (Flat Fee MLS)")</f>
        <v>Sell (Flat Fee MLS)</v>
      </c>
      <c r="B25" s="47" t="str">
        <f>IFERROR(__xludf.DUMMYFUNCTION("""COMPUTED_VALUE"""),"Los Angeles Listlly Section")</f>
        <v>Los Angeles Listlly Section</v>
      </c>
      <c r="C25" s="47" t="str">
        <f>IFERROR(__xludf.DUMMYFUNCTION("TEXTJOIN("", "", TRUE, 
  FILTER('Main Report'!A34:A123, 
    ('Main Report'!B34:B123=A25) * ('Main Report'!C34:C123=B25)
  )
)
"),"BR-069")</f>
        <v>BR-069</v>
      </c>
      <c r="D25" s="91">
        <f>IFERROR(__xludf.DUMMYFUNCTION("COUNTA(UNIQUE(TRANSPOSE(SPLIT(C25, "", ""))))
"),1.0)</f>
        <v>1</v>
      </c>
      <c r="E25" s="47" t="str">
        <f>IF(D25="", "", TEXT((D25 / 'Main Report'!$E$7), "0.00%"))
</f>
        <v>1.35%</v>
      </c>
      <c r="F25" s="93" t="str">
        <f>IFERROR(__xludf.DUMMYFUNCTION("IF(C25="""", """", 
   TEXTJOIN("", "", TRUE, 
      ""High: "" &amp; COUNTIF(FILTER('Main Report'!K34:K123, ISNUMBER(MATCH('Main Report'!A34:A123, SPLIT(C25, "", ""), 0))), ""High"") &amp; CHAR(10) &amp;
      ""Medium: "" &amp; COUNTIF(FILTER('Main Report'!K34:K123, IS"&amp;"NUMBER(MATCH('Main Report'!A34:A123, SPLIT(C25, "", ""), 0))), ""Medium"") &amp; CHAR(10) &amp;
      ""Low: "" &amp; COUNTIF(FILTER('Main Report'!K34:K123, ISNUMBER(MATCH('Main Report'!A34:A123, SPLIT(C25, "", ""), 0))), ""Low"")
   )
)
"),"High: 0
Medium: 1
Low: 0")</f>
        <v>High: 0
Medium: 1
Low: 0</v>
      </c>
      <c r="G25" s="90"/>
      <c r="H25" s="90"/>
      <c r="I25" s="90"/>
      <c r="J25" s="90"/>
      <c r="K25" s="90"/>
      <c r="L25" s="90"/>
      <c r="M25" s="90"/>
      <c r="N25" s="90"/>
      <c r="O25" s="90"/>
      <c r="P25" s="90"/>
      <c r="Q25" s="90"/>
      <c r="R25" s="90"/>
      <c r="S25" s="90"/>
      <c r="T25" s="90"/>
      <c r="U25" s="90"/>
      <c r="V25" s="90"/>
      <c r="W25" s="90"/>
      <c r="X25" s="90"/>
      <c r="Y25" s="90"/>
      <c r="Z25" s="90"/>
      <c r="AA25" s="90"/>
    </row>
    <row r="26">
      <c r="A26" s="47" t="str">
        <f>IFERROR(__xludf.DUMMYFUNCTION("""COMPUTED_VALUE"""),"Sell (Flat Fee MLS)")</f>
        <v>Sell (Flat Fee MLS)</v>
      </c>
      <c r="B26" s="47" t="str">
        <f>IFERROR(__xludf.DUMMYFUNCTION("""COMPUTED_VALUE"""),"Recent Sales Properties")</f>
        <v>Recent Sales Properties</v>
      </c>
      <c r="C26" s="47" t="str">
        <f>IFERROR(__xludf.DUMMYFUNCTION("TEXTJOIN("", "", TRUE, 
  FILTER('Main Report'!A35:A124, 
    ('Main Report'!B35:B124=A26) * ('Main Report'!C35:C124=B26)
  )
)
"),"BR-070")</f>
        <v>BR-070</v>
      </c>
      <c r="D26" s="91">
        <f>IFERROR(__xludf.DUMMYFUNCTION("COUNTA(UNIQUE(TRANSPOSE(SPLIT(C26, "", ""))))
"),1.0)</f>
        <v>1</v>
      </c>
      <c r="E26" s="47" t="str">
        <f>IF(D26="", "", TEXT((D26 / 'Main Report'!$E$7), "0.00%"))
</f>
        <v>1.35%</v>
      </c>
      <c r="F26" s="93" t="str">
        <f>IFERROR(__xludf.DUMMYFUNCTION("IF(C26="""", """", 
   TEXTJOIN("", "", TRUE, 
      ""High: "" &amp; COUNTIF(FILTER('Main Report'!K35:K124, ISNUMBER(MATCH('Main Report'!A35:A124, SPLIT(C26, "", ""), 0))), ""High"") &amp; CHAR(10) &amp;
      ""Medium: "" &amp; COUNTIF(FILTER('Main Report'!K35:K124, IS"&amp;"NUMBER(MATCH('Main Report'!A35:A124, SPLIT(C26, "", ""), 0))), ""Medium"") &amp; CHAR(10) &amp;
      ""Low: "" &amp; COUNTIF(FILTER('Main Report'!K35:K124, ISNUMBER(MATCH('Main Report'!A35:A124, SPLIT(C26, "", ""), 0))), ""Low"")
   )
)
"),"High: 1
Medium: 0
Low: 0")</f>
        <v>High: 1
Medium: 0
Low: 0</v>
      </c>
      <c r="G26" s="90"/>
      <c r="H26" s="90"/>
      <c r="I26" s="90"/>
      <c r="J26" s="90"/>
      <c r="K26" s="90"/>
      <c r="L26" s="90"/>
      <c r="M26" s="90"/>
      <c r="N26" s="90"/>
      <c r="O26" s="90"/>
      <c r="P26" s="90"/>
      <c r="Q26" s="90"/>
      <c r="R26" s="90"/>
      <c r="S26" s="90"/>
      <c r="T26" s="90"/>
      <c r="U26" s="90"/>
      <c r="V26" s="90"/>
      <c r="W26" s="90"/>
      <c r="X26" s="90"/>
      <c r="Y26" s="90"/>
      <c r="Z26" s="90"/>
      <c r="AA26" s="90"/>
    </row>
    <row r="27">
      <c r="A27" s="47" t="str">
        <f>IFERROR(__xludf.DUMMYFUNCTION("""COMPUTED_VALUE"""),"Sell (Sell Your House for Cash)")</f>
        <v>Sell (Sell Your House for Cash)</v>
      </c>
      <c r="B27" s="47" t="str">
        <f>IFERROR(__xludf.DUMMYFUNCTION("""COMPUTED_VALUE"""),"Cash Home Sellers Listlly")</f>
        <v>Cash Home Sellers Listlly</v>
      </c>
      <c r="C27" s="47" t="str">
        <f>IFERROR(__xludf.DUMMYFUNCTION("TEXTJOIN("", "", TRUE, 
  FILTER('Main Report'!A36:A125, 
    ('Main Report'!B36:B125=A27) * ('Main Report'!C36:C125=B27)
  )
)
"),"BR-071")</f>
        <v>BR-071</v>
      </c>
      <c r="D27" s="91">
        <f>IFERROR(__xludf.DUMMYFUNCTION("COUNTA(UNIQUE(TRANSPOSE(SPLIT(C27, "", ""))))
"),1.0)</f>
        <v>1</v>
      </c>
      <c r="E27" s="47" t="str">
        <f>IF(D27="", "", TEXT((D27 / 'Main Report'!$E$7), "0.00%"))
</f>
        <v>1.35%</v>
      </c>
      <c r="F27" s="93" t="str">
        <f>IFERROR(__xludf.DUMMYFUNCTION("IF(C27="""", """", 
   TEXTJOIN("", "", TRUE, 
      ""High: "" &amp; COUNTIF(FILTER('Main Report'!K36:K125, ISNUMBER(MATCH('Main Report'!A36:A125, SPLIT(C27, "", ""), 0))), ""High"") &amp; CHAR(10) &amp;
      ""Medium: "" &amp; COUNTIF(FILTER('Main Report'!K36:K125, IS"&amp;"NUMBER(MATCH('Main Report'!A36:A125, SPLIT(C27, "", ""), 0))), ""Medium"") &amp; CHAR(10) &amp;
      ""Low: "" &amp; COUNTIF(FILTER('Main Report'!K36:K125, ISNUMBER(MATCH('Main Report'!A36:A125, SPLIT(C27, "", ""), 0))), ""Low"")
   )
)
"),"High: 1
Medium: 0
Low: 0")</f>
        <v>High: 1
Medium: 0
Low: 0</v>
      </c>
      <c r="G27" s="90"/>
      <c r="H27" s="90"/>
      <c r="I27" s="90"/>
      <c r="J27" s="90"/>
      <c r="K27" s="90"/>
      <c r="L27" s="90"/>
      <c r="M27" s="90"/>
      <c r="N27" s="90"/>
      <c r="O27" s="90"/>
      <c r="P27" s="90"/>
      <c r="Q27" s="90"/>
      <c r="R27" s="90"/>
      <c r="S27" s="90"/>
      <c r="T27" s="90"/>
      <c r="U27" s="90"/>
      <c r="V27" s="90"/>
      <c r="W27" s="90"/>
      <c r="X27" s="90"/>
      <c r="Y27" s="90"/>
      <c r="Z27" s="90"/>
      <c r="AA27" s="90"/>
    </row>
    <row r="28">
      <c r="A28" s="47" t="str">
        <f>IFERROR(__xludf.DUMMYFUNCTION("""COMPUTED_VALUE"""),"Submitted Offer")</f>
        <v>Submitted Offer</v>
      </c>
      <c r="B28" s="47" t="str">
        <f>IFERROR(__xludf.DUMMYFUNCTION("""COMPUTED_VALUE"""),"Compare Offer")</f>
        <v>Compare Offer</v>
      </c>
      <c r="C28" s="47" t="str">
        <f>IFERROR(__xludf.DUMMYFUNCTION("TEXTJOIN("", "", TRUE, 
  FILTER('Main Report'!A37:A126, 
    ('Main Report'!B37:B126=A28) * ('Main Report'!C37:C126=B28)
  )
)
"),"BR-072")</f>
        <v>BR-072</v>
      </c>
      <c r="D28" s="91">
        <f>IFERROR(__xludf.DUMMYFUNCTION("COUNTA(UNIQUE(TRANSPOSE(SPLIT(C28, "", ""))))
"),1.0)</f>
        <v>1</v>
      </c>
      <c r="E28" s="47" t="str">
        <f>IF(D28="", "", TEXT((D28 / 'Main Report'!$E$7), "0.00%"))
</f>
        <v>1.35%</v>
      </c>
      <c r="F28" s="93" t="str">
        <f>IFERROR(__xludf.DUMMYFUNCTION("IF(C28="""", """", 
   TEXTJOIN("", "", TRUE, 
      ""High: "" &amp; COUNTIF(FILTER('Main Report'!K37:K126, ISNUMBER(MATCH('Main Report'!A37:A126, SPLIT(C28, "", ""), 0))), ""High"") &amp; CHAR(10) &amp;
      ""Medium: "" &amp; COUNTIF(FILTER('Main Report'!K37:K126, IS"&amp;"NUMBER(MATCH('Main Report'!A37:A126, SPLIT(C28, "", ""), 0))), ""Medium"") &amp; CHAR(10) &amp;
      ""Low: "" &amp; COUNTIF(FILTER('Main Report'!K37:K126, ISNUMBER(MATCH('Main Report'!A37:A126, SPLIT(C28, "", ""), 0))), ""Low"")
   )
)
"),"High: 0
Medium: 1
Low: 0")</f>
        <v>High: 0
Medium: 1
Low: 0</v>
      </c>
      <c r="G28" s="90"/>
      <c r="H28" s="90"/>
      <c r="I28" s="90"/>
      <c r="J28" s="90"/>
      <c r="K28" s="90"/>
      <c r="L28" s="90"/>
      <c r="M28" s="90"/>
      <c r="N28" s="90"/>
      <c r="O28" s="90"/>
      <c r="P28" s="90"/>
      <c r="Q28" s="90"/>
      <c r="R28" s="90"/>
      <c r="S28" s="90"/>
      <c r="T28" s="90"/>
      <c r="U28" s="90"/>
      <c r="V28" s="90"/>
      <c r="W28" s="90"/>
      <c r="X28" s="90"/>
      <c r="Y28" s="90"/>
      <c r="Z28" s="90"/>
      <c r="AA28" s="90"/>
    </row>
    <row r="29">
      <c r="A29" s="47" t="str">
        <f>IFERROR(__xludf.DUMMYFUNCTION("""COMPUTED_VALUE"""),"Submitted Offer")</f>
        <v>Submitted Offer</v>
      </c>
      <c r="B29" s="47" t="str">
        <f>IFERROR(__xludf.DUMMYFUNCTION("""COMPUTED_VALUE"""),"Offer Details")</f>
        <v>Offer Details</v>
      </c>
      <c r="C29" s="47" t="str">
        <f>IFERROR(__xludf.DUMMYFUNCTION("TEXTJOIN("", "", TRUE, 
  FILTER('Main Report'!A38:A127, 
    ('Main Report'!B38:B127=A29) * ('Main Report'!C38:C127=B29)
  )
)
"),"BR-073")</f>
        <v>BR-073</v>
      </c>
      <c r="D29" s="91">
        <f>IFERROR(__xludf.DUMMYFUNCTION("COUNTA(UNIQUE(TRANSPOSE(SPLIT(C29, "", ""))))
"),1.0)</f>
        <v>1</v>
      </c>
      <c r="E29" s="47" t="str">
        <f>IF(D29="", "", TEXT((D29 / 'Main Report'!$E$7), "0.00%"))
</f>
        <v>1.35%</v>
      </c>
      <c r="F29" s="93" t="str">
        <f>IFERROR(__xludf.DUMMYFUNCTION("IF(C29="""", """", 
   TEXTJOIN("", "", TRUE, 
      ""High: "" &amp; COUNTIF(FILTER('Main Report'!K38:K127, ISNUMBER(MATCH('Main Report'!A38:A127, SPLIT(C29, "", ""), 0))), ""High"") &amp; CHAR(10) &amp;
      ""Medium: "" &amp; COUNTIF(FILTER('Main Report'!K38:K127, IS"&amp;"NUMBER(MATCH('Main Report'!A38:A127, SPLIT(C29, "", ""), 0))), ""Medium"") &amp; CHAR(10) &amp;
      ""Low: "" &amp; COUNTIF(FILTER('Main Report'!K38:K127, ISNUMBER(MATCH('Main Report'!A38:A127, SPLIT(C29, "", ""), 0))), ""Low"")
   )
)
"),"High: 0
Medium: 1
Low: 0")</f>
        <v>High: 0
Medium: 1
Low: 0</v>
      </c>
      <c r="G29" s="90"/>
      <c r="H29" s="90"/>
      <c r="I29" s="90"/>
      <c r="J29" s="90"/>
      <c r="K29" s="90"/>
      <c r="L29" s="90"/>
      <c r="M29" s="90"/>
      <c r="N29" s="90"/>
      <c r="O29" s="90"/>
      <c r="P29" s="90"/>
      <c r="Q29" s="90"/>
      <c r="R29" s="90"/>
      <c r="S29" s="90"/>
      <c r="T29" s="90"/>
      <c r="U29" s="90"/>
      <c r="V29" s="90"/>
      <c r="W29" s="90"/>
      <c r="X29" s="90"/>
      <c r="Y29" s="90"/>
      <c r="Z29" s="90"/>
      <c r="AA29" s="90"/>
    </row>
    <row r="30">
      <c r="A30" s="47" t="str">
        <f>IFERROR(__xludf.DUMMYFUNCTION("""COMPUTED_VALUE"""),"Why Listlly Section")</f>
        <v>Why Listlly Section</v>
      </c>
      <c r="B30" s="47" t="str">
        <f>IFERROR(__xludf.DUMMYFUNCTION("""COMPUTED_VALUE"""),"Home")</f>
        <v>Home</v>
      </c>
      <c r="C30" s="47" t="str">
        <f>IFERROR(__xludf.DUMMYFUNCTION("TEXTJOIN("", "", TRUE, 
  FILTER('Main Report'!A39:A128, 
    ('Main Report'!B39:B128=A30) * ('Main Report'!C39:C128=B30)
  )
)
"),"BR-074")</f>
        <v>BR-074</v>
      </c>
      <c r="D30" s="91">
        <f>IFERROR(__xludf.DUMMYFUNCTION("COUNTA(UNIQUE(TRANSPOSE(SPLIT(C30, "", ""))))
"),1.0)</f>
        <v>1</v>
      </c>
      <c r="E30" s="47" t="str">
        <f>IF(D30="", "", TEXT((D30 / 'Main Report'!$E$7), "0.00%"))
</f>
        <v>1.35%</v>
      </c>
      <c r="F30" s="93" t="str">
        <f>IFERROR(__xludf.DUMMYFUNCTION("IF(C30="""", """", 
   TEXTJOIN("", "", TRUE, 
      ""High: "" &amp; COUNTIF(FILTER('Main Report'!K39:K128, ISNUMBER(MATCH('Main Report'!A39:A128, SPLIT(C30, "", ""), 0))), ""High"") &amp; CHAR(10) &amp;
      ""Medium: "" &amp; COUNTIF(FILTER('Main Report'!K39:K128, IS"&amp;"NUMBER(MATCH('Main Report'!A39:A128, SPLIT(C30, "", ""), 0))), ""Medium"") &amp; CHAR(10) &amp;
      ""Low: "" &amp; COUNTIF(FILTER('Main Report'!K39:K128, ISNUMBER(MATCH('Main Report'!A39:A128, SPLIT(C30, "", ""), 0))), ""Low"")
   )
)
"),"High: 0
Medium: 1
Low: 0")</f>
        <v>High: 0
Medium: 1
Low: 0</v>
      </c>
      <c r="G30" s="90"/>
      <c r="H30" s="90"/>
      <c r="I30" s="90"/>
      <c r="J30" s="90"/>
      <c r="K30" s="90"/>
      <c r="L30" s="90"/>
      <c r="M30" s="90"/>
      <c r="N30" s="90"/>
      <c r="O30" s="90"/>
      <c r="P30" s="90"/>
      <c r="Q30" s="90"/>
      <c r="R30" s="90"/>
      <c r="S30" s="90"/>
      <c r="T30" s="90"/>
      <c r="U30" s="90"/>
      <c r="V30" s="90"/>
      <c r="W30" s="90"/>
      <c r="X30" s="90"/>
      <c r="Y30" s="90"/>
      <c r="Z30" s="90"/>
      <c r="AA30" s="90"/>
    </row>
    <row r="31">
      <c r="A31" s="47"/>
      <c r="B31" s="47"/>
      <c r="C31" s="47"/>
      <c r="D31" s="47"/>
      <c r="E31" s="47"/>
      <c r="F31" s="47"/>
      <c r="G31" s="90"/>
      <c r="H31" s="90"/>
      <c r="I31" s="90"/>
      <c r="J31" s="90"/>
      <c r="K31" s="90"/>
      <c r="L31" s="90"/>
      <c r="M31" s="90"/>
      <c r="N31" s="90"/>
      <c r="O31" s="90"/>
      <c r="P31" s="90"/>
      <c r="Q31" s="90"/>
      <c r="R31" s="90"/>
      <c r="S31" s="90"/>
      <c r="T31" s="90"/>
      <c r="U31" s="90"/>
      <c r="V31" s="90"/>
      <c r="W31" s="90"/>
      <c r="X31" s="90"/>
      <c r="Y31" s="90"/>
      <c r="Z31" s="90"/>
      <c r="AA31" s="90"/>
    </row>
    <row r="32">
      <c r="A32" s="47"/>
      <c r="B32" s="47"/>
      <c r="C32" s="47"/>
      <c r="D32" s="47"/>
      <c r="E32" s="47"/>
      <c r="F32" s="47"/>
      <c r="G32" s="90"/>
      <c r="H32" s="90"/>
      <c r="I32" s="90"/>
      <c r="J32" s="90"/>
      <c r="K32" s="90"/>
      <c r="L32" s="90"/>
      <c r="M32" s="90"/>
      <c r="N32" s="90"/>
      <c r="O32" s="90"/>
      <c r="P32" s="90"/>
      <c r="Q32" s="90"/>
      <c r="R32" s="90"/>
      <c r="S32" s="90"/>
      <c r="T32" s="90"/>
      <c r="U32" s="90"/>
      <c r="V32" s="90"/>
      <c r="W32" s="90"/>
      <c r="X32" s="90"/>
      <c r="Y32" s="90"/>
      <c r="Z32" s="90"/>
      <c r="AA32" s="90"/>
    </row>
    <row r="33">
      <c r="A33" s="47"/>
      <c r="B33" s="47"/>
      <c r="C33" s="47"/>
      <c r="D33" s="47"/>
      <c r="E33" s="47"/>
      <c r="F33" s="47"/>
      <c r="G33" s="90"/>
      <c r="H33" s="90"/>
      <c r="I33" s="90"/>
      <c r="J33" s="90"/>
      <c r="K33" s="90"/>
      <c r="L33" s="90"/>
      <c r="M33" s="90"/>
      <c r="N33" s="90"/>
      <c r="O33" s="90"/>
      <c r="P33" s="90"/>
      <c r="Q33" s="90"/>
      <c r="R33" s="90"/>
      <c r="S33" s="90"/>
      <c r="T33" s="90"/>
      <c r="U33" s="90"/>
      <c r="V33" s="90"/>
      <c r="W33" s="90"/>
      <c r="X33" s="90"/>
      <c r="Y33" s="90"/>
      <c r="Z33" s="90"/>
      <c r="AA33" s="90"/>
    </row>
    <row r="34">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row>
    <row r="35">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row>
    <row r="36">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row>
    <row r="37">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row>
    <row r="38">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row>
    <row r="39">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row>
    <row r="40">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row>
    <row r="4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row>
    <row r="42">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c r="AA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c r="AA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c r="AA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c r="AA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c r="AA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c r="AA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c r="AA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row>
    <row r="999">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row>
    <row r="1000">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row>
  </sheetData>
  <drawing r:id="rId1"/>
</worksheet>
</file>