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Report" sheetId="1" r:id="rId4"/>
    <sheet state="visible" name="Tahsin" sheetId="2" r:id="rId5"/>
    <sheet state="visible" name="Fahad" sheetId="3" r:id="rId6"/>
    <sheet state="visible" name="Summary Report" sheetId="4" r:id="rId7"/>
  </sheets>
  <definedNames/>
  <calcPr/>
</workbook>
</file>

<file path=xl/sharedStrings.xml><?xml version="1.0" encoding="utf-8"?>
<sst xmlns="http://schemas.openxmlformats.org/spreadsheetml/2006/main" count="643" uniqueCount="355">
  <si>
    <t xml:space="preserve">Tester : </t>
  </si>
  <si>
    <t>Mohammed Fahad Faisal
Tahsin Ahmmed</t>
  </si>
  <si>
    <t>Severity</t>
  </si>
  <si>
    <t>Issues</t>
  </si>
  <si>
    <t>Project Name:</t>
  </si>
  <si>
    <t>Noahzipp</t>
  </si>
  <si>
    <t>High</t>
  </si>
  <si>
    <t>Project URL:</t>
  </si>
  <si>
    <t>Medium</t>
  </si>
  <si>
    <t>Developer:</t>
  </si>
  <si>
    <t>Low</t>
  </si>
  <si>
    <t xml:space="preserve">OS: </t>
  </si>
  <si>
    <t>Windows (x86) 11</t>
  </si>
  <si>
    <t>Environment</t>
  </si>
  <si>
    <t>Total Test Cases:</t>
  </si>
  <si>
    <t>Test Case Solved :</t>
  </si>
  <si>
    <t>Report ID</t>
  </si>
  <si>
    <t>Module</t>
  </si>
  <si>
    <t>Sub Module</t>
  </si>
  <si>
    <t>Test Case Description</t>
  </si>
  <si>
    <t>Preconditions</t>
  </si>
  <si>
    <t>Test Steps</t>
  </si>
  <si>
    <t>Test Data</t>
  </si>
  <si>
    <t>Expected Result</t>
  </si>
  <si>
    <t>Actual Result</t>
  </si>
  <si>
    <t>Status</t>
  </si>
  <si>
    <t>Screen Shots</t>
  </si>
  <si>
    <t>Suggestion</t>
  </si>
  <si>
    <t>Tester</t>
  </si>
  <si>
    <t>Feedback</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</si>
  <si>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</si>
  <si>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</si>
  <si>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</si>
  <si>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</si>
  <si>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</si>
  <si>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</si>
  <si>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</si>
  <si>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</si>
  <si>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</si>
  <si>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</si>
  <si>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</si>
  <si>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</si>
  <si>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</si>
  <si>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</si>
  <si>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</si>
  <si>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</si>
  <si>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</si>
  <si>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</si>
  <si>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</si>
  <si>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</si>
  <si>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</si>
  <si>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</si>
  <si>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</si>
  <si>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</si>
  <si>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</si>
  <si>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</si>
  <si>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</si>
  <si>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</si>
  <si>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</si>
  <si>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</si>
  <si>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</si>
  <si>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</si>
  <si>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</si>
  <si>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</si>
  <si>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</si>
  <si>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</si>
  <si>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</si>
  <si>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</si>
  <si>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Tahsin Ahmmed</t>
  </si>
  <si>
    <t xml:space="preserve">noahzipp </t>
  </si>
  <si>
    <t>https://lucky-rolypoly-4b3d22.netlify.app/</t>
  </si>
  <si>
    <t>Test Case ID</t>
  </si>
  <si>
    <t>TC_01</t>
  </si>
  <si>
    <t>Landing Page</t>
  </si>
  <si>
    <t>Header and logo</t>
  </si>
  <si>
    <t>Header and logo size issue in landing page</t>
  </si>
  <si>
    <t>User opens landing page</t>
  </si>
  <si>
    <t>Navigate to landing page and observe header and logo size</t>
  </si>
  <si>
    <t>-</t>
  </si>
  <si>
    <t>Header size should match the requirement and logo should be properly visible and proportionate</t>
  </si>
  <si>
    <t>Header appears too narrow and logo is too small to read clearly</t>
  </si>
  <si>
    <t>Fail</t>
  </si>
  <si>
    <t>https://jam.dev/c/c2e76772-bc19-4c74-87c5-d6f004e98f6b</t>
  </si>
  <si>
    <t>Increase header height and enlarge logo for better visibility and readability</t>
  </si>
  <si>
    <t>TC_02</t>
  </si>
  <si>
    <t>Home</t>
  </si>
  <si>
    <t>Intro section with text and button is smaller than required</t>
  </si>
  <si>
    <t>User opens home page</t>
  </si>
  <si>
    <t>Scroll to the section with "Let AI Handle Your Schedule" text and observe size</t>
  </si>
  <si>
    <t>Section should follow client-specified height and spacing standards</t>
  </si>
  <si>
    <t>Section is smaller than the required size</t>
  </si>
  <si>
    <t>https://jam.dev/c/436724c4-2fb7-497d-b0f9-6e037917ff7a</t>
  </si>
  <si>
    <t>Increase height and padding of the section as per client requirement</t>
  </si>
  <si>
    <t>TC_03</t>
  </si>
  <si>
    <t>Process</t>
  </si>
  <si>
    <t>Excessive left and right margin in process page</t>
  </si>
  <si>
    <t>User opens process page</t>
  </si>
  <si>
    <t>Navigate to process page and observe left and right spacing</t>
  </si>
  <si>
    <t>Page content should have balanced and reasonable horizontal margins</t>
  </si>
  <si>
    <t>Content has too much margin on both left and right sides, making it look squeezed</t>
  </si>
  <si>
    <t>https://jam.dev/c/6defb5f1-4d06-48b2-8e97-6e6defcc5b4d</t>
  </si>
  <si>
    <t>Reduce horizontal margins to better utilize space and improve layout balance</t>
  </si>
  <si>
    <t>TC_04</t>
  </si>
  <si>
    <t>Pricing plans</t>
  </si>
  <si>
    <t>Excessive left and right margin in Pricing plans page</t>
  </si>
  <si>
    <t>User opens Pricing planspage</t>
  </si>
  <si>
    <t>Navigate to Pricing plans page and observe left and right spacing</t>
  </si>
  <si>
    <t>https://jam.dev/c/a6223bef-5dea-4331-863d-e15d04af8b63</t>
  </si>
  <si>
    <t>TC_05</t>
  </si>
  <si>
    <t>1. when I go to the user review page, the pricing table shifting its position (keeps moving), which is visually distracted
2. same for contact us, when I go to contact us section, reviews moving</t>
  </si>
  <si>
    <t>User navigates to user review page</t>
  </si>
  <si>
    <t>Go to user review page and observe pricing table behavior</t>
  </si>
  <si>
    <t>Pricing table should stay fixed in position without movement</t>
  </si>
  <si>
    <t>Pricing table keeps shifting its position, causing visual distraction</t>
  </si>
  <si>
    <t>Fix layout stability to ensure pricing table remains in a fixed position</t>
  </si>
  <si>
    <t>TC_06</t>
  </si>
  <si>
    <t>Excessive left and right margin on landing page (excluding home)</t>
  </si>
  <si>
    <t>User opens landing page and scrolls below home section</t>
  </si>
  <si>
    <t>Observe margin on all sections except the home section</t>
  </si>
  <si>
    <t>Page sections should have balanced left and right spacing</t>
  </si>
  <si>
    <t>Margins on left and right are too wide, wasting space and compressing content</t>
  </si>
  <si>
    <t>Reduce horizontal margins on all sections of the landing page except the home section</t>
  </si>
  <si>
    <t>TC_07</t>
  </si>
  <si>
    <t>User Dashboard</t>
  </si>
  <si>
    <t>Dashboard</t>
  </si>
  <si>
    <t>Incorrect column names in user dashboard</t>
  </si>
  <si>
    <t>User logs into dashboard and views user table</t>
  </si>
  <si>
    <t>Navigate to user dashboard and check table headers</t>
  </si>
  <si>
    <t>Column names should be: Recent Appointment, Customer Name, Contact Number</t>
  </si>
  <si>
    <t>The columns are labeled "ID", "Customer", and "Contact", which do not match the required names</t>
  </si>
  <si>
    <t>https://jam.dev/c/306b41b5-598a-4e6c-be25-88cca70d57e2</t>
  </si>
  <si>
    <t>Update column headers to: Recent Appointment, Customer Name, Contact Number</t>
  </si>
  <si>
    <t>TC_08</t>
  </si>
  <si>
    <t>Appointments</t>
  </si>
  <si>
    <t>Missing "Appointments" label</t>
  </si>
  <si>
    <t>User accesses the appointment section</t>
  </si>
  <si>
    <t>Navigate to the section and review proper labeling</t>
  </si>
  <si>
    <t xml:space="preserve"> should contain the text "Appointments" as per design requirement</t>
  </si>
  <si>
    <t>No text "Appointments" where it is expected</t>
  </si>
  <si>
    <t>https://jam.dev/c/43bb3bc6-e7fc-485b-9226-2272a186189b</t>
  </si>
  <si>
    <t>Add the text "Appointments" to the appropriate table row as per design requirement</t>
  </si>
  <si>
    <t>TC_09</t>
  </si>
  <si>
    <t>Incorrect button label and missing cancel page</t>
  </si>
  <si>
    <t>Click the 3dots icon in action column</t>
  </si>
  <si>
    <t>A button should be labeled "Cancel" instead of "Edit" and navigate to the cancel page as per requirement</t>
  </si>
  <si>
    <t>Button is incorrectly labeled "Edit" and no cancel page exists</t>
  </si>
  <si>
    <t>https://jam.dev/c/c9d16dc4-9de1-488c-bd3b-c4632d8df6fb</t>
  </si>
  <si>
    <t>Rename the button to "Cancel" and add the required cancel page functionality</t>
  </si>
  <si>
    <t>TC_10</t>
  </si>
  <si>
    <t>Service List(Discount offers)</t>
  </si>
  <si>
    <t>Incorrect button label in discount offer section of service list</t>
  </si>
  <si>
    <t>User navigates to service list and selects discount offer section</t>
  </si>
  <si>
    <t>Observe the button label in the discount offer section</t>
  </si>
  <si>
    <t>Button should be labeled "Add Discount" as per requirement</t>
  </si>
  <si>
    <t>Button is incorrectly labeled "Add Service"</t>
  </si>
  <si>
    <t>https://jam.dev/c/c5867c32-34c3-4c9d-bea2-9b8e15a6f709</t>
  </si>
  <si>
    <t>Update button label to "Add Discount" to match the functionality and requirement</t>
  </si>
  <si>
    <t>TC_11</t>
  </si>
  <si>
    <t>Incorrect button functionality in discount offer section</t>
  </si>
  <si>
    <t>Click the "Add Discount" (currently labeled "Add Service") button and observe behavior</t>
  </si>
  <si>
    <t>Button should trigger discount-related functionality, not service addition</t>
  </si>
  <si>
    <t>Clicking the button triggers service addition functionality instead of discount-specific action</t>
  </si>
  <si>
    <t>https://jam.dev/c/a3e2dab2-59bc-4121-8511-3da202701a67</t>
  </si>
  <si>
    <t>Update the button functionality to handle discount offers separately from regular service addition</t>
  </si>
  <si>
    <t>TC_12</t>
  </si>
  <si>
    <t>Chatbot</t>
  </si>
  <si>
    <t>User messages appear on left side in chatbot</t>
  </si>
  <si>
    <t>User opens chatbot and sends a message</t>
  </si>
  <si>
    <t>Send any message in chatbot and observe the alignment</t>
  </si>
  <si>
    <t>Any sample message</t>
  </si>
  <si>
    <t>User messages should appear on the right side (standard convention)</t>
  </si>
  <si>
    <t>User messages are incorrectly shown on the left side</t>
  </si>
  <si>
    <t>https://jam.dev/c/b341b569-39b9-48a5-8178-078918cf9e0b</t>
  </si>
  <si>
    <t>Align user messages to the right side to follow standard chat UI conventions</t>
  </si>
  <si>
    <t>TC_13</t>
  </si>
  <si>
    <t>Profile</t>
  </si>
  <si>
    <t>UI issues in Edit Profile form and upload fields</t>
  </si>
  <si>
    <t>User navigates to Edit Profile section</t>
  </si>
  <si>
    <t>Open Edit Profile form and review field alignment and upload areas</t>
  </si>
  <si>
    <t>Form fields should be aligned, and upload fields should have visible boxes</t>
  </si>
  <si>
    <t>Form fields are misaligned, and Upload Profile Picture &amp; Upload Logo fields only show plain text without any visible upload box</t>
  </si>
  <si>
    <t>https://jam.dev/c/a4a61d01-53b3-4c2c-8e29-c1a02b29d276</t>
  </si>
  <si>
    <t>Fix form alignment and add visible upload boxes for profile picture and logo upload fields</t>
  </si>
  <si>
    <t>TC_14</t>
  </si>
  <si>
    <t>Incorrect label "Availability" in profile section</t>
  </si>
  <si>
    <t>User navigates to profile section</t>
  </si>
  <si>
    <t>Open profile and observe the label related to availability status</t>
  </si>
  <si>
    <t>Label should be "Unavailability" as per requirement</t>
  </si>
  <si>
    <t>Label is incorrectly shown as "Availability"</t>
  </si>
  <si>
    <t>https://jam.dev/c/a588c16f-6ac6-42d9-859d-34ffb4d171cb</t>
  </si>
  <si>
    <t>Update the label text to "Unavailability" to match the requirement</t>
  </si>
  <si>
    <t>TC_15</t>
  </si>
  <si>
    <t>Super Admin Dashboard</t>
  </si>
  <si>
    <t>Super Admin dashboard UI is same as User dashboard</t>
  </si>
  <si>
    <t>User logs in as Super Admin and opens dashboard</t>
  </si>
  <si>
    <t>Navigate to dashboard and compare layout with client requirement</t>
  </si>
  <si>
    <t>Super Admin dashboard should have a distinct UI as per requirement</t>
  </si>
  <si>
    <t>The dashboard UI appears identical to the user dashboard, not meeting design expectations</t>
  </si>
  <si>
    <t>https://jam.dev/c/32f419b0-fb76-4d40-9ee3-059984b105cf</t>
  </si>
  <si>
    <t>Update the Super Admin dashboard layout to match the approved design (see screenshot for reference)</t>
  </si>
  <si>
    <t>TC_16</t>
  </si>
  <si>
    <t>Change Password and Email</t>
  </si>
  <si>
    <t>UI issue in Change Password and Email form</t>
  </si>
  <si>
    <t>User opens Super Admin dashboard and navigates to Change Password form</t>
  </si>
  <si>
    <t>Observe the layout, spacing, and alignment of input fields and buttons</t>
  </si>
  <si>
    <t>The buuton "Back" should be in the top left corner, and the text "Change Password" &amp; ""Change Email" allignment should be in center</t>
  </si>
  <si>
    <t>Change Password and mail form has UI isues, chech screen shot</t>
  </si>
  <si>
    <t>https://jam.dev/c/22df44e5-c088-4f67-bda6-b6ec46d68844</t>
  </si>
  <si>
    <t>Fix layout and alignment issues in Change Password form to ensure clean and consistent UI</t>
  </si>
  <si>
    <t>TC_17</t>
  </si>
  <si>
    <t>TC_18</t>
  </si>
  <si>
    <t>TC_19</t>
  </si>
  <si>
    <t>TC_20</t>
  </si>
  <si>
    <t>TC_21</t>
  </si>
  <si>
    <t>TC_22</t>
  </si>
  <si>
    <t>TC_23</t>
  </si>
  <si>
    <t>TC_24</t>
  </si>
  <si>
    <t>TC_25</t>
  </si>
  <si>
    <t>TC_26</t>
  </si>
  <si>
    <t>TC_27</t>
  </si>
  <si>
    <t>TC_28</t>
  </si>
  <si>
    <t>TC_29</t>
  </si>
  <si>
    <t>Mohammed Fahad Faisal</t>
  </si>
  <si>
    <t>Edge 138.0.7204.158</t>
  </si>
  <si>
    <t>Test ID</t>
  </si>
  <si>
    <t>Sign Up</t>
  </si>
  <si>
    <t>Sign up</t>
  </si>
  <si>
    <t>The signup page has a button in the top left corner that redirects to the home page when clicked.</t>
  </si>
  <si>
    <t>User must be in web browser</t>
  </si>
  <si>
    <r>
      <rPr>
        <rFont val="Times New Roman"/>
        <sz val="12.0"/>
      </rPr>
      <t xml:space="preserve">1. Open </t>
    </r>
    <r>
      <rPr>
        <rFont val="Times New Roman"/>
        <color rgb="FF1155CC"/>
        <sz val="12.0"/>
        <u/>
      </rPr>
      <t xml:space="preserve">Noahzipp
</t>
    </r>
    <r>
      <rPr>
        <rFont val="Times New Roman"/>
        <sz val="12.0"/>
      </rPr>
      <t>2. Click on Login
3. Select login or register</t>
    </r>
  </si>
  <si>
    <t>N/A</t>
  </si>
  <si>
    <t>Based on the client's requirements, there should be no button in the top left corner.</t>
  </si>
  <si>
    <t>A button in the top left corner has been noticed, which redirects to the homepage when clicked.</t>
  </si>
  <si>
    <t>https://jam.dev/c/e40a99df-5707-4a83-b66e-16fa0e384ee6</t>
  </si>
  <si>
    <t>Unsolve</t>
  </si>
  <si>
    <t>The password field displays a visible icon when no password is entered.</t>
  </si>
  <si>
    <r>
      <rPr>
        <rFont val="Times New Roman"/>
        <sz val="12.0"/>
      </rPr>
      <t xml:space="preserve">1. Open </t>
    </r>
    <r>
      <rPr>
        <rFont val="Times New Roman"/>
        <color rgb="FF1155CC"/>
        <sz val="12.0"/>
        <u/>
      </rPr>
      <t xml:space="preserve">Noahzipp
</t>
    </r>
    <r>
      <rPr>
        <rFont val="Times New Roman"/>
        <sz val="12.0"/>
      </rPr>
      <t>2. Click on Login
3. Select login or register</t>
    </r>
  </si>
  <si>
    <t>When a password is entered, a visible icon should appear, and when it is pressed, an invisible icon should replace it.</t>
  </si>
  <si>
    <t>By default, a visible icon appears when the password has not been entered.</t>
  </si>
  <si>
    <t>https://jam.dev/c/e28672e5-306f-48a8-b64f-8f07a5c03f6c</t>
  </si>
  <si>
    <t xml:space="preserve"> For example: Facebook login page</t>
  </si>
  <si>
    <t>The password field displays two icons when a password is entered, and both are functioning correctly.</t>
  </si>
  <si>
    <r>
      <rPr>
        <rFont val="Times New Roman"/>
        <sz val="12.0"/>
      </rPr>
      <t xml:space="preserve">1. Open </t>
    </r>
    <r>
      <rPr>
        <rFont val="Times New Roman"/>
        <color rgb="FF1155CC"/>
        <sz val="12.0"/>
        <u/>
      </rPr>
      <t xml:space="preserve">Noahzipp
</t>
    </r>
    <r>
      <rPr>
        <rFont val="Times New Roman"/>
        <sz val="12.0"/>
      </rPr>
      <t>2. Click on Login
3. Select login or register</t>
    </r>
  </si>
  <si>
    <t>When the password is entered, the icon should appear, and there should only be one functional icon displayed.</t>
  </si>
  <si>
    <t>Multiple icons are visible, and both are functioning properly. When one is pressed, the other disappears.</t>
  </si>
  <si>
    <r>
      <rPr>
        <color rgb="FF1155CC"/>
        <u/>
      </rPr>
      <t>https://jam.dev/c/89eddb34-3929-4c78-9ab2-13330b340d7c</t>
    </r>
  </si>
  <si>
    <t>The password strength indicator and the strong password recommendation feature have not been implemented.</t>
  </si>
  <si>
    <r>
      <rPr>
        <rFont val="Times New Roman"/>
        <sz val="12.0"/>
      </rPr>
      <t xml:space="preserve">1. Open </t>
    </r>
    <r>
      <rPr>
        <rFont val="Times New Roman"/>
        <color rgb="FF1155CC"/>
        <sz val="12.0"/>
        <u/>
      </rPr>
      <t xml:space="preserve">Noahzipp
</t>
    </r>
    <r>
      <rPr>
        <rFont val="Times New Roman"/>
        <sz val="12.0"/>
      </rPr>
      <t>2. Click on Login
3. Select login or register</t>
    </r>
  </si>
  <si>
    <t>When users enter their desired password on a web sign-up page, the field should display the password's strength and provide recommendations on how to make it stronger.</t>
  </si>
  <si>
    <t>No password length has been specified, nor has the strength level of the password been addressed. Recommendations on how to create a strong password are also missing.</t>
  </si>
  <si>
    <t>https://jam.dev/c/afec5bd3-8768-4333-bb11-3193b9eb77a3</t>
  </si>
  <si>
    <t>https://www.lifewire.com/strong-password-examples-2483118</t>
  </si>
  <si>
    <t>The Google sign-up icon is not working.</t>
  </si>
  <si>
    <r>
      <rPr>
        <rFont val="Times New Roman"/>
        <sz val="12.0"/>
      </rPr>
      <t xml:space="preserve">1. Open </t>
    </r>
    <r>
      <rPr>
        <rFont val="Times New Roman"/>
        <color rgb="FF1155CC"/>
        <sz val="12.0"/>
        <u/>
      </rPr>
      <t xml:space="preserve">Noahzipp
</t>
    </r>
    <r>
      <rPr>
        <rFont val="Times New Roman"/>
        <sz val="12.0"/>
      </rPr>
      <t>2. Click on Login
3. Select login or register</t>
    </r>
  </si>
  <si>
    <t>The "Sign Up with Google" option should include a clear Google icon to help users easily identify the platform they are signing up or logging into.</t>
  </si>
  <si>
    <t>The missing Google icon in the signup form could cause confusion for users.</t>
  </si>
  <si>
    <t>https://jam.dev/c/397c9fcb-8c37-44b7-b0c6-0b35ec064a79</t>
  </si>
  <si>
    <t>OTP</t>
  </si>
  <si>
    <t>Failed to receive OTP while trying to register.</t>
  </si>
  <si>
    <r>
      <rPr>
        <rFont val="Times New Roman"/>
        <sz val="12.0"/>
      </rPr>
      <t xml:space="preserve">1. Open </t>
    </r>
    <r>
      <rPr>
        <rFont val="Times New Roman"/>
        <color rgb="FF1155CC"/>
        <sz val="12.0"/>
        <u/>
      </rPr>
      <t xml:space="preserve">Noahzipp
</t>
    </r>
    <r>
      <rPr>
        <rFont val="Times New Roman"/>
        <sz val="12.0"/>
      </rPr>
      <t>2. Click on Login
3. Select login or register</t>
    </r>
  </si>
  <si>
    <t>Email : zsdrrmntpojuyajfld@fxavaj.com
Pass : 123456</t>
  </si>
  <si>
    <t>After entering their email and password during registration, users should receive an OTP to enhance authentication.</t>
  </si>
  <si>
    <t>Unable to receive the OTP in the registered email. Entering a random OTP and clicking then redirects to the login page.</t>
  </si>
  <si>
    <t>https://jam.dev/c/1eb96914-bad0-4f46-befa-0be67c4f57ef</t>
  </si>
  <si>
    <t>The UI does not match the client's requirements.</t>
  </si>
  <si>
    <r>
      <rPr>
        <rFont val="Times New Roman"/>
        <sz val="12.0"/>
      </rPr>
      <t xml:space="preserve">1. Open </t>
    </r>
    <r>
      <rPr>
        <rFont val="Times New Roman"/>
        <color rgb="FF1155CC"/>
        <sz val="12.0"/>
        <u/>
      </rPr>
      <t xml:space="preserve">Noahzipp
</t>
    </r>
    <r>
      <rPr>
        <rFont val="Times New Roman"/>
        <sz val="12.0"/>
      </rPr>
      <t>2. Click on Login
3. Select login or register</t>
    </r>
  </si>
  <si>
    <t>UI design should align with client requirements to ensure their satisfaction.</t>
  </si>
  <si>
    <t>A different UI from the client's requirements was noticed, which could result in client dissatisfaction.</t>
  </si>
  <si>
    <t>https://jam.dev/c/9c3b7e94-8649-4511-9224-4310e0338d0e</t>
  </si>
  <si>
    <t>Image in OTP page missing</t>
  </si>
  <si>
    <r>
      <rPr>
        <rFont val="Times New Roman"/>
        <sz val="12.0"/>
      </rPr>
      <t xml:space="preserve">1. Open </t>
    </r>
    <r>
      <rPr>
        <rFont val="Times New Roman"/>
        <color rgb="FF1155CC"/>
        <sz val="12.0"/>
        <u/>
      </rPr>
      <t xml:space="preserve">Noahzipp
</t>
    </r>
    <r>
      <rPr>
        <rFont val="Times New Roman"/>
        <sz val="12.0"/>
      </rPr>
      <t>2. Click on Login
3. Select login or register</t>
    </r>
  </si>
  <si>
    <t>The image used on the OTP page should be perfectly visible.</t>
  </si>
  <si>
    <t>A broken image on the OTP page has been noticed, which could result in client dissatisfaction.</t>
  </si>
  <si>
    <t>https://jam.dev/c/445a626c-3d7e-4590-b837-ee7f0c6bb306</t>
  </si>
  <si>
    <t>Mail verified successfully page is missing.</t>
  </si>
  <si>
    <r>
      <rPr>
        <rFont val="Times New Roman"/>
        <sz val="12.0"/>
      </rPr>
      <t xml:space="preserve">1. Open </t>
    </r>
    <r>
      <rPr>
        <rFont val="Times New Roman"/>
        <color rgb="FF1155CC"/>
        <sz val="12.0"/>
        <u/>
      </rPr>
      <t xml:space="preserve">Noahzipp
</t>
    </r>
    <r>
      <rPr>
        <rFont val="Times New Roman"/>
        <sz val="12.0"/>
      </rPr>
      <t>2. Click on Login
3. Select login or register</t>
    </r>
  </si>
  <si>
    <t>After submitting a valid OTP, the user should be taken to the "Mail Verified Successfully" page, which will then redirect them to the login page.</t>
  </si>
  <si>
    <t>The page flow is incomplete, and the OTP verified page is missing in the web app.</t>
  </si>
  <si>
    <t>https://jam.dev/c/0dac3e29-da27-4a42-8c66-1fa257d5040f</t>
  </si>
  <si>
    <t>Forget Passowrd</t>
  </si>
  <si>
    <r>
      <rPr>
        <rFont val="Times New Roman"/>
        <sz val="12.0"/>
      </rPr>
      <t xml:space="preserve">1. Open </t>
    </r>
    <r>
      <rPr>
        <rFont val="Times New Roman"/>
        <color rgb="FF1155CC"/>
        <sz val="12.0"/>
        <u/>
      </rPr>
      <t xml:space="preserve">Noahzipp
</t>
    </r>
    <r>
      <rPr>
        <rFont val="Times New Roman"/>
        <sz val="12.0"/>
      </rPr>
      <t>2. Click on Login
3. Select login or register</t>
    </r>
  </si>
  <si>
    <t>The image used on the confirm email page should be perfectly visible.</t>
  </si>
  <si>
    <t>A broken image on the confirm email page has been noticed, which could result in client dissatisfaction.</t>
  </si>
  <si>
    <t>https://jam.dev/c/371ce91c-f1da-44e8-89bc-a32b9cf16f03</t>
  </si>
  <si>
    <t>Alignment issue</t>
  </si>
  <si>
    <r>
      <rPr>
        <rFont val="Times New Roman"/>
        <sz val="12.0"/>
      </rPr>
      <t xml:space="preserve">1. Open </t>
    </r>
    <r>
      <rPr>
        <rFont val="Times New Roman"/>
        <color rgb="FF1155CC"/>
        <sz val="12.0"/>
        <u/>
      </rPr>
      <t xml:space="preserve">Noahzipp
</t>
    </r>
    <r>
      <rPr>
        <rFont val="Times New Roman"/>
        <sz val="12.0"/>
      </rPr>
      <t>2. Click on Login
3. Select login or register</t>
    </r>
  </si>
  <si>
    <t>Forget password option should be on right side below password field</t>
  </si>
  <si>
    <t>Align on the left side, which is not accurate.</t>
  </si>
  <si>
    <t>https://jam.dev/c/79596992-21f0-4303-8e3e-9a8b2c98dfe0</t>
  </si>
  <si>
    <t>AI Chat Bot</t>
  </si>
  <si>
    <t>Users can access the chatbot even without logging in.</t>
  </si>
  <si>
    <r>
      <rPr>
        <rFont val="Times New Roman"/>
        <sz val="12.0"/>
      </rPr>
      <t xml:space="preserve">1. Open </t>
    </r>
    <r>
      <rPr>
        <rFont val="Times New Roman"/>
        <color rgb="FF1155CC"/>
        <sz val="12.0"/>
        <u/>
      </rPr>
      <t xml:space="preserve">Noahzipp
</t>
    </r>
    <r>
      <rPr>
        <rFont val="Times New Roman"/>
        <sz val="12.0"/>
      </rPr>
      <t>2. Click on Login
3. Select login or register</t>
    </r>
  </si>
  <si>
    <t>Users can access the chatbot after successfully logging into the web app.</t>
  </si>
  <si>
    <t>When users are not logged into the app, they can still access the chatbot.</t>
  </si>
  <si>
    <t>https://jam.dev/c/d07a2fc5-359d-40fe-b1df-67fad8aa8a2e</t>
  </si>
  <si>
    <t>Design jumps when it becomes transactional and when it scroll down</t>
  </si>
  <si>
    <r>
      <rPr>
        <rFont val="Times New Roman"/>
        <sz val="12.0"/>
      </rPr>
      <t xml:space="preserve">1. Open </t>
    </r>
    <r>
      <rPr>
        <rFont val="Times New Roman"/>
        <color rgb="FF1155CC"/>
        <sz val="12.0"/>
        <u/>
      </rPr>
      <t xml:space="preserve">Noahzipp
</t>
    </r>
    <r>
      <rPr>
        <rFont val="Times New Roman"/>
        <sz val="12.0"/>
      </rPr>
      <t>2. Click on Login
3. Select login or register</t>
    </r>
  </si>
  <si>
    <t>Design should be stable and not erratic.</t>
  </si>
  <si>
    <t>A jumping design was noticed while scrolling down.</t>
  </si>
  <si>
    <t>https://jam.dev/c/2a55585e-2537-47ad-8f42-3a2311fcda56</t>
  </si>
  <si>
    <t>Contact us</t>
  </si>
  <si>
    <t>The contact us flow is not functioning properly on mobile devices.</t>
  </si>
  <si>
    <t>User must be in mobile browser</t>
  </si>
  <si>
    <r>
      <rPr>
        <rFont val="Times New Roman"/>
        <sz val="12.0"/>
      </rPr>
      <t xml:space="preserve">1. Open link </t>
    </r>
    <r>
      <rPr>
        <rFont val="Times New Roman"/>
        <color rgb="FF1155CC"/>
        <sz val="12.0"/>
        <u/>
      </rPr>
      <t>Noahzipp</t>
    </r>
  </si>
  <si>
    <t>Flow should be maintained across different platforms or for devices</t>
  </si>
  <si>
    <t>A missing flow has been noticed on mobile devices when the device is in horizontal view, but in vertical view, it remains consistent with the design.</t>
  </si>
  <si>
    <t>https://jam.dev/c/3e244ad9-b8a0-4507-81d5-942dc1613993</t>
  </si>
  <si>
    <t>Management</t>
  </si>
  <si>
    <t>Country code on the phone number is not included.</t>
  </si>
  <si>
    <r>
      <rPr>
        <rFont val="Times New Roman"/>
        <sz val="12.0"/>
      </rPr>
      <t xml:space="preserve">1. Open </t>
    </r>
    <r>
      <rPr>
        <rFont val="Times New Roman"/>
        <color rgb="FF1155CC"/>
        <sz val="12.0"/>
        <u/>
      </rPr>
      <t xml:space="preserve">Noahzipp
</t>
    </r>
    <r>
      <rPr>
        <rFont val="Times New Roman"/>
        <sz val="12.0"/>
      </rPr>
      <t>2. Click on Management
3. Click on Add Subscribe</t>
    </r>
  </si>
  <si>
    <t>Country codes on phone numbers are used to verify which country the number belongs to.</t>
  </si>
  <si>
    <t>Missing country code on a phone number can sometimes cause issues when receiving OTPs.</t>
  </si>
  <si>
    <t>https://jam.dev/c/06addd92-4fbc-447c-9c99-76bb3fc32f1a</t>
  </si>
  <si>
    <t>Phone number length is not fixed.</t>
  </si>
  <si>
    <r>
      <rPr>
        <rFont val="Times New Roman"/>
        <sz val="12.0"/>
      </rPr>
      <t xml:space="preserve">1. Open </t>
    </r>
    <r>
      <rPr>
        <rFont val="Times New Roman"/>
        <color rgb="FF1155CC"/>
        <sz val="12.0"/>
        <u/>
      </rPr>
      <t xml:space="preserve">Noahzipp
</t>
    </r>
    <r>
      <rPr>
        <rFont val="Times New Roman"/>
        <sz val="12.0"/>
      </rPr>
      <t>2. Click on Management
3. Click on Add Subscribe</t>
    </r>
  </si>
  <si>
    <t>Phone number length should be determined by the country code.</t>
  </si>
  <si>
    <t>Missing phone number length can sometimes result in the entry of fake numbers.</t>
  </si>
  <si>
    <t>https://jam.dev/c/f335d761-c763-4b3d-83d2-783d7b65f079</t>
  </si>
  <si>
    <t>The user's name and contact number are not displaying correctly on the dashboard.</t>
  </si>
  <si>
    <r>
      <rPr>
        <rFont val="Times New Roman"/>
        <sz val="12.0"/>
      </rPr>
      <t xml:space="preserve">1. Open </t>
    </r>
    <r>
      <rPr>
        <rFont val="Times New Roman"/>
        <color rgb="FF1155CC"/>
        <sz val="12.0"/>
        <u/>
      </rPr>
      <t xml:space="preserve">Noahzipp
</t>
    </r>
    <r>
      <rPr>
        <rFont val="Times New Roman"/>
        <sz val="12.0"/>
      </rPr>
      <t>2. Click on Management
3. Click on Add Subscribe</t>
    </r>
  </si>
  <si>
    <t>The user information provided should be displayed correctly in the dashboard section.</t>
  </si>
  <si>
    <t>The user name and contact information are not displayed correctly in the dashboard section, which could cause problems with user management.</t>
  </si>
  <si>
    <t>https://jam.dev/c/d3a3d664-b5a5-454c-8acc-2ba975b06106</t>
  </si>
  <si>
    <t>Alignment and text style issues identified.</t>
  </si>
  <si>
    <r>
      <rPr>
        <rFont val="Times New Roman"/>
        <sz val="12.0"/>
      </rPr>
      <t xml:space="preserve">1. Open </t>
    </r>
    <r>
      <rPr>
        <rFont val="Times New Roman"/>
        <color rgb="FF1155CC"/>
        <sz val="12.0"/>
        <u/>
      </rPr>
      <t xml:space="preserve">Noahzipp
</t>
    </r>
    <r>
      <rPr>
        <rFont val="Times New Roman"/>
        <sz val="12.0"/>
      </rPr>
      <t>2. Click on Management</t>
    </r>
  </si>
  <si>
    <t>Alignment should be based on the client's requirements and also for the text header.</t>
  </si>
  <si>
    <t>Various alignment issues have been observed, along with a missing header and inconsistent header styles.</t>
  </si>
  <si>
    <t>https://jam.dev/c/7ad59346-3a1b-43db-aef4-f833ff6a4693</t>
  </si>
  <si>
    <t>The click button on the dashboard isn't working properly.</t>
  </si>
  <si>
    <r>
      <rPr>
        <rFont val="Times New Roman"/>
        <sz val="12.0"/>
      </rPr>
      <t xml:space="preserve">1. Open </t>
    </r>
    <r>
      <rPr>
        <rFont val="Times New Roman"/>
        <color rgb="FF1155CC"/>
        <sz val="12.0"/>
        <u/>
      </rPr>
      <t xml:space="preserve">Noahzipp
</t>
    </r>
    <r>
      <rPr>
        <rFont val="Times New Roman"/>
        <sz val="12.0"/>
      </rPr>
      <t>2. Click on Management</t>
    </r>
  </si>
  <si>
    <t>Clicking the button on the dashboard should display client information in a popup within the web app.</t>
  </si>
  <si>
    <t>Unable to display client information from the dashboard when the client info button is clicked.</t>
  </si>
  <si>
    <t>https://jam.dev/c/77d70f8d-288b-4f19-8011-938ec96eb139</t>
  </si>
  <si>
    <t>The layout of the client information added differs from the client's requirements.</t>
  </si>
  <si>
    <r>
      <rPr>
        <rFont val="Times New Roman"/>
        <sz val="12.0"/>
      </rPr>
      <t xml:space="preserve">1. Open </t>
    </r>
    <r>
      <rPr>
        <rFont val="Times New Roman"/>
        <color rgb="FF1155CC"/>
        <sz val="12.0"/>
        <u/>
      </rPr>
      <t xml:space="preserve">Noahzipp
</t>
    </r>
    <r>
      <rPr>
        <rFont val="Times New Roman"/>
        <sz val="12.0"/>
      </rPr>
      <t>2. Click on Management
3. Click on Add Subscribe</t>
    </r>
  </si>
  <si>
    <t>The layout for client information should match the client's requirements exactly.</t>
  </si>
  <si>
    <t>Various layout designs have been observed, which could result in client dissatisfaction.</t>
  </si>
  <si>
    <t>https://jam.dev/c/7f828303-904d-4ecb-b037-6a56c99d1393</t>
  </si>
  <si>
    <t>The subscriber add button stretches.</t>
  </si>
  <si>
    <r>
      <rPr>
        <rFont val="Times New Roman"/>
        <sz val="12.0"/>
      </rPr>
      <t xml:space="preserve">1. Open </t>
    </r>
    <r>
      <rPr>
        <rFont val="Times New Roman"/>
        <color rgb="FF1155CC"/>
        <sz val="12.0"/>
        <u/>
      </rPr>
      <t xml:space="preserve">Noahzipp
</t>
    </r>
    <r>
      <rPr>
        <rFont val="Times New Roman"/>
        <sz val="12.0"/>
      </rPr>
      <t>2. Click on Management
3. Click on Add Subscribe</t>
    </r>
  </si>
  <si>
    <t>The Add button should be positioned perfectly on the web page for better visibility and ease of access.</t>
  </si>
  <si>
    <t>A stretched add button is visible, which could result in client dissatisfaction.</t>
  </si>
  <si>
    <t>https://jam.dev/c/99d36a7c-8226-4971-bbaa-fcb77fb5005c</t>
  </si>
  <si>
    <t>Adding some color could be a nice touch.</t>
  </si>
  <si>
    <t>The upload photo feature in settings isn't working as expected.</t>
  </si>
  <si>
    <r>
      <rPr>
        <rFont val="Times New Roman"/>
        <sz val="12.0"/>
      </rPr>
      <t xml:space="preserve">1. Open </t>
    </r>
    <r>
      <rPr>
        <rFont val="Times New Roman"/>
        <color rgb="FF1155CC"/>
        <sz val="12.0"/>
        <u/>
      </rPr>
      <t>Noahzipp</t>
    </r>
  </si>
  <si>
    <t>Users should have the ability to upload their logo through the upload logo feature.</t>
  </si>
  <si>
    <t>Cannot update the logo; the functionality seems broken.</t>
  </si>
  <si>
    <t>https://jam.dev/c/1267e354-634b-438f-abf0-0fb36b465f71</t>
  </si>
  <si>
    <t>Test Case Count</t>
  </si>
  <si>
    <t>Bug Count</t>
  </si>
  <si>
    <t>Bug Rate %</t>
  </si>
  <si>
    <t>Bug Severity</t>
  </si>
  <si>
    <t xml:space="preserve">
</t>
  </si>
  <si>
    <t>Total Bug :</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</si>
</sst>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color theme="1"/>
      <name val="Arial"/>
    </font>
    <font>
      <b/>
      <sz val="12.0"/>
      <color theme="1"/>
      <name val="Calibri"/>
    </font>
    <font>
      <sz val="11.0"/>
      <color theme="1"/>
      <name val="Calibri"/>
    </font>
    <font>
      <b/>
      <sz val="15.0"/>
      <color theme="1"/>
      <name val="Arial"/>
    </font>
    <font>
      <b/>
      <color rgb="FF000000"/>
      <name val="Arial"/>
      <scheme val="minor"/>
    </font>
    <font>
      <u/>
      <color rgb="FF0000FF"/>
      <name val="Arial"/>
    </font>
    <font>
      <u/>
      <color rgb="FF1155CC"/>
      <name val="Arial"/>
    </font>
    <font>
      <color rgb="FF1E2624"/>
      <name val="Inter"/>
    </font>
    <font>
      <b/>
      <sz val="11.0"/>
      <color theme="1"/>
      <name val="Calibri"/>
    </font>
    <font>
      <b/>
      <color theme="1"/>
      <name val="Arial"/>
    </font>
    <font>
      <b/>
      <sz val="15.0"/>
      <color theme="1"/>
      <name val="Calibri"/>
    </font>
    <font>
      <sz val="15.0"/>
      <color theme="1"/>
      <name val="Arial"/>
      <scheme val="minor"/>
    </font>
    <font>
      <color theme="1"/>
      <name val="Arial"/>
      <scheme val="minor"/>
    </font>
    <font>
      <u/>
      <color rgb="FF0000FF"/>
    </font>
    <font>
      <u/>
      <color rgb="FF0000FF"/>
    </font>
    <font>
      <u/>
      <color rgb="FF0000FF"/>
    </font>
    <font>
      <b/>
      <sz val="12.0"/>
      <color theme="1"/>
      <name val="Arial"/>
    </font>
    <font>
      <u/>
      <color rgb="FF1155CC"/>
      <name val="Arial"/>
    </font>
    <font>
      <b/>
      <sz val="16.0"/>
      <color theme="1"/>
      <name val="Calibri"/>
    </font>
    <font>
      <sz val="12.0"/>
      <color theme="1"/>
      <name val="Calibri"/>
    </font>
    <font>
      <u/>
      <sz val="12.0"/>
      <color rgb="FF0000FF"/>
      <name val="Calibri"/>
    </font>
    <font>
      <u/>
      <sz val="12.0"/>
      <color rgb="FF0000FF"/>
      <name val="Calibri"/>
    </font>
    <font>
      <color rgb="FF1E2624"/>
      <name val="Arial"/>
    </font>
    <font>
      <b/>
      <sz val="13.0"/>
      <color theme="1"/>
      <name val="Times New Roman"/>
    </font>
    <font>
      <sz val="13.0"/>
      <color theme="1"/>
      <name val="Arial"/>
      <scheme val="minor"/>
    </font>
    <font>
      <sz val="12.0"/>
      <color theme="1"/>
      <name val="Times New Roman"/>
    </font>
    <font>
      <u/>
      <sz val="12.0"/>
      <color rgb="FF0000FF"/>
      <name val="Times New Roman"/>
    </font>
    <font>
      <u/>
      <sz val="12.0"/>
      <color rgb="FF1155CC"/>
      <name val="Times New Roman"/>
    </font>
    <font>
      <u/>
      <sz val="12.0"/>
      <color rgb="FF0000FF"/>
      <name val="Times New Roman"/>
    </font>
    <font>
      <u/>
      <sz val="12.0"/>
      <color rgb="FF1155CC"/>
      <name val="Times New Roman"/>
    </font>
    <font>
      <u/>
      <color rgb="FF0000FF"/>
    </font>
    <font>
      <u/>
      <color rgb="FF0000FF"/>
    </font>
    <font>
      <sz val="12.0"/>
      <color rgb="FF0000FF"/>
      <name val="Times New Roman"/>
    </font>
    <font>
      <u/>
      <sz val="12.0"/>
      <color rgb="FF1155CC"/>
      <name val="Times New Roman"/>
    </font>
    <font>
      <b/>
      <color theme="1"/>
      <name val="Arial"/>
      <scheme val="minor"/>
    </font>
    <font>
      <b/>
      <sz val="12.0"/>
      <color theme="1"/>
      <name val="Arial"/>
      <scheme val="minor"/>
    </font>
    <font/>
  </fonts>
  <fills count="5">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s>
  <borders count="11">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rder>
    <border>
      <left style="thick">
        <color rgb="FF000000"/>
      </left>
      <right style="thick">
        <color rgb="FF000000"/>
      </right>
      <top style="thick">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right" shrinkToFit="0" vertical="center" wrapText="1"/>
    </xf>
    <xf borderId="1" fillId="0" fontId="3" numFmtId="0" xfId="0" applyAlignment="1" applyBorder="1" applyFont="1">
      <alignment horizontal="center" shrinkToFit="0" wrapText="1"/>
    </xf>
    <xf borderId="2" fillId="0" fontId="4" numFmtId="0" xfId="0" applyAlignment="1" applyBorder="1" applyFont="1">
      <alignment horizontal="center" shrinkToFit="0" wrapText="1"/>
    </xf>
    <xf borderId="0" fillId="0" fontId="5" numFmtId="0" xfId="0" applyAlignment="1" applyFont="1">
      <alignment horizontal="center" readingOrder="0" shrinkToFit="0" vertical="center" wrapText="1"/>
    </xf>
    <xf borderId="1" fillId="0" fontId="6" numFmtId="0" xfId="0" applyAlignment="1" applyBorder="1" applyFont="1">
      <alignment horizontal="center" readingOrder="0"/>
    </xf>
    <xf borderId="3" fillId="0" fontId="1" numFmtId="0" xfId="0" applyAlignment="1" applyBorder="1" applyFont="1">
      <alignment horizontal="center" shrinkToFit="0" wrapText="1"/>
    </xf>
    <xf borderId="1" fillId="0" fontId="7" numFmtId="0" xfId="0" applyAlignment="1" applyBorder="1" applyFont="1">
      <alignment horizontal="center" shrinkToFit="0" wrapText="1"/>
    </xf>
    <xf borderId="1" fillId="0" fontId="1" numFmtId="0" xfId="0" applyAlignment="1" applyBorder="1" applyFont="1">
      <alignment horizontal="center" shrinkToFit="0" wrapText="1"/>
    </xf>
    <xf borderId="1" fillId="0" fontId="1" numFmtId="0" xfId="0" applyBorder="1" applyFont="1"/>
    <xf borderId="1" fillId="2" fontId="8" numFmtId="0" xfId="0" applyAlignment="1" applyBorder="1" applyFill="1" applyFont="1">
      <alignment horizontal="center" vertical="bottom"/>
    </xf>
    <xf borderId="1" fillId="0" fontId="9" numFmtId="0" xfId="0" applyAlignment="1" applyBorder="1" applyFont="1">
      <alignment horizontal="center" shrinkToFit="0" wrapText="1"/>
    </xf>
    <xf borderId="1" fillId="0" fontId="10" numFmtId="0" xfId="0" applyAlignment="1" applyBorder="1" applyFont="1">
      <alignment horizontal="center" shrinkToFit="0" wrapText="1"/>
    </xf>
    <xf borderId="2" fillId="3" fontId="11" numFmtId="0" xfId="0" applyAlignment="1" applyBorder="1" applyFill="1" applyFont="1">
      <alignment horizontal="center" readingOrder="0" shrinkToFit="0" vertical="center" wrapText="1"/>
    </xf>
    <xf borderId="2" fillId="3" fontId="11" numFmtId="0" xfId="0" applyAlignment="1" applyBorder="1" applyFont="1">
      <alignment horizontal="center" shrinkToFit="0" vertical="center" wrapText="1"/>
    </xf>
    <xf borderId="0" fillId="0" fontId="12" numFmtId="0" xfId="0" applyAlignment="1" applyFont="1">
      <alignment horizontal="center" shrinkToFit="0" vertical="center" wrapText="1"/>
    </xf>
    <xf borderId="3" fillId="0" fontId="13" numFmtId="0" xfId="0" applyAlignment="1" applyBorder="1" applyFont="1">
      <alignment horizontal="center" readingOrder="0" shrinkToFit="0" vertical="center" wrapText="1"/>
    </xf>
    <xf borderId="3" fillId="0" fontId="13" numFmtId="0" xfId="0" applyAlignment="1" applyBorder="1" applyFont="1">
      <alignment horizontal="center" shrinkToFit="0" vertical="center" wrapText="1"/>
    </xf>
    <xf borderId="3" fillId="0" fontId="14" numFmtId="0" xfId="0" applyAlignment="1" applyBorder="1" applyFont="1">
      <alignment horizontal="center" shrinkToFit="0" vertical="center" wrapText="1"/>
    </xf>
    <xf borderId="0" fillId="0" fontId="13" numFmtId="0" xfId="0" applyAlignment="1" applyFont="1">
      <alignment horizontal="center" shrinkToFit="0" vertical="center" wrapText="1"/>
    </xf>
    <xf borderId="1" fillId="0" fontId="13"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4" fillId="0" fontId="13" numFmtId="0" xfId="0" applyAlignment="1" applyBorder="1" applyFont="1">
      <alignment horizontal="center" readingOrder="0" shrinkToFit="0" vertical="center" wrapText="1"/>
    </xf>
    <xf borderId="4" fillId="0" fontId="13" numFmtId="0" xfId="0" applyAlignment="1" applyBorder="1" applyFont="1">
      <alignment horizontal="center" shrinkToFit="0" vertical="center" wrapText="1"/>
    </xf>
    <xf borderId="4" fillId="0" fontId="16" numFmtId="0" xfId="0" applyAlignment="1" applyBorder="1" applyFont="1">
      <alignment horizontal="center" shrinkToFit="0" vertical="center" wrapText="1"/>
    </xf>
    <xf borderId="5" fillId="0" fontId="13"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Font="1"/>
    <xf borderId="0" fillId="0" fontId="1" numFmtId="0" xfId="0" applyAlignment="1" applyFont="1">
      <alignment vertical="bottom"/>
    </xf>
    <xf borderId="1" fillId="0" fontId="2" numFmtId="0" xfId="0" applyAlignment="1" applyBorder="1" applyFont="1">
      <alignment horizontal="right" shrinkToFit="0" vertical="bottom" wrapText="1"/>
    </xf>
    <xf borderId="1" fillId="0" fontId="11" numFmtId="0" xfId="0" applyAlignment="1" applyBorder="1" applyFont="1">
      <alignment horizontal="center" vertical="bottom"/>
    </xf>
    <xf borderId="1" fillId="0" fontId="17" numFmtId="0" xfId="0" applyAlignment="1" applyBorder="1" applyFont="1">
      <alignment horizontal="center" shrinkToFit="0" wrapText="1"/>
    </xf>
    <xf borderId="1" fillId="0" fontId="1" numFmtId="0" xfId="0" applyAlignment="1" applyBorder="1" applyFont="1">
      <alignment horizontal="center" readingOrder="0" vertical="bottom"/>
    </xf>
    <xf borderId="1" fillId="0" fontId="1" numFmtId="0" xfId="0" applyAlignment="1" applyBorder="1" applyFont="1">
      <alignment horizontal="center"/>
    </xf>
    <xf borderId="1" fillId="0" fontId="18" numFmtId="0" xfId="0" applyAlignment="1" applyBorder="1" applyFont="1">
      <alignment horizontal="center" readingOrder="0" shrinkToFit="0" vertical="bottom" wrapText="1"/>
    </xf>
    <xf borderId="1" fillId="0" fontId="1" numFmtId="0" xfId="0" applyAlignment="1" applyBorder="1" applyFont="1">
      <alignment vertical="bottom"/>
    </xf>
    <xf borderId="1" fillId="0" fontId="2" numFmtId="0" xfId="0" applyAlignment="1" applyBorder="1" applyFont="1">
      <alignment horizontal="right" vertical="bottom"/>
    </xf>
    <xf borderId="1" fillId="0" fontId="9" numFmtId="0" xfId="0" applyAlignment="1" applyBorder="1" applyFont="1">
      <alignment horizontal="right" vertical="bottom"/>
    </xf>
    <xf borderId="1" fillId="0" fontId="1" numFmtId="0" xfId="0" applyAlignment="1" applyBorder="1" applyFont="1">
      <alignment horizontal="center" vertical="bottom"/>
    </xf>
    <xf borderId="1" fillId="3" fontId="19" numFmtId="0" xfId="0" applyAlignment="1" applyBorder="1" applyFont="1">
      <alignment horizontal="center" shrinkToFit="0" vertical="center" wrapText="1"/>
    </xf>
    <xf borderId="1" fillId="0" fontId="20"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0" fontId="20" numFmtId="0" xfId="0" applyAlignment="1" applyBorder="1" applyFont="1">
      <alignment shrinkToFit="0" vertical="center" wrapText="1"/>
    </xf>
    <xf borderId="1" fillId="0" fontId="22" numFmtId="0" xfId="0" applyAlignment="1" applyBorder="1" applyFont="1">
      <alignment readingOrder="0" shrinkToFit="0" vertical="center" wrapText="1"/>
    </xf>
    <xf borderId="1" fillId="0" fontId="2" numFmtId="0" xfId="0" applyAlignment="1" applyBorder="1" applyFont="1">
      <alignment horizontal="right" shrinkToFit="0" wrapText="1"/>
    </xf>
    <xf borderId="1" fillId="0" fontId="20" numFmtId="0" xfId="0" applyAlignment="1" applyBorder="1" applyFont="1">
      <alignment horizontal="center"/>
    </xf>
    <xf borderId="1" fillId="0" fontId="2" numFmtId="0" xfId="0" applyAlignment="1" applyBorder="1" applyFont="1">
      <alignment horizontal="right"/>
    </xf>
    <xf borderId="1" fillId="2" fontId="23" numFmtId="0" xfId="0" applyAlignment="1" applyBorder="1" applyFont="1">
      <alignment horizontal="center" vertical="bottom"/>
    </xf>
    <xf borderId="2" fillId="4" fontId="24" numFmtId="0" xfId="0" applyAlignment="1" applyBorder="1" applyFill="1" applyFont="1">
      <alignment horizontal="center" shrinkToFit="0" vertical="center" wrapText="1"/>
    </xf>
    <xf borderId="0" fillId="0" fontId="25" numFmtId="0" xfId="0" applyAlignment="1" applyFont="1">
      <alignment vertical="center"/>
    </xf>
    <xf borderId="3" fillId="0" fontId="26" numFmtId="0" xfId="0" applyAlignment="1" applyBorder="1" applyFont="1">
      <alignment horizontal="center" readingOrder="0" shrinkToFit="0" vertical="center" wrapText="1"/>
    </xf>
    <xf borderId="1" fillId="0" fontId="26" numFmtId="0" xfId="0" applyAlignment="1" applyBorder="1" applyFont="1">
      <alignment horizontal="center" readingOrder="0" shrinkToFit="0" vertical="center" wrapText="1"/>
    </xf>
    <xf borderId="3" fillId="0" fontId="27" numFmtId="0" xfId="0" applyAlignment="1" applyBorder="1" applyFont="1">
      <alignment horizontal="left" readingOrder="0" shrinkToFit="0" vertical="center" wrapText="1"/>
    </xf>
    <xf borderId="3" fillId="0" fontId="1" numFmtId="0" xfId="0" applyAlignment="1" applyBorder="1" applyFont="1">
      <alignment horizontal="center" readingOrder="0" shrinkToFit="0" vertical="center" wrapText="1"/>
    </xf>
    <xf borderId="3" fillId="0" fontId="28" numFmtId="0" xfId="0" applyAlignment="1" applyBorder="1" applyFont="1">
      <alignment horizontal="center" readingOrder="0" shrinkToFit="0" vertical="center" wrapText="1"/>
    </xf>
    <xf borderId="0" fillId="0" fontId="13" numFmtId="0" xfId="0" applyAlignment="1" applyFont="1">
      <alignment horizontal="left" shrinkToFit="0" vertical="center" wrapText="1"/>
    </xf>
    <xf borderId="1" fillId="0" fontId="29"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30" numFmtId="0" xfId="0" applyAlignment="1" applyBorder="1" applyFont="1">
      <alignment horizontal="center" readingOrder="0" shrinkToFit="0" vertical="center" wrapText="1"/>
    </xf>
    <xf borderId="1" fillId="0" fontId="3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32" numFmtId="0" xfId="0" applyAlignment="1" applyBorder="1" applyFont="1">
      <alignment horizontal="center" readingOrder="0" shrinkToFit="0" vertical="center" wrapText="1"/>
    </xf>
    <xf borderId="1" fillId="0" fontId="33" numFmtId="0" xfId="0" applyAlignment="1" applyBorder="1" applyFont="1">
      <alignment horizontal="left" readingOrder="0" shrinkToFit="0" vertical="center" wrapText="1"/>
    </xf>
    <xf borderId="1" fillId="0" fontId="26" numFmtId="0" xfId="0" applyAlignment="1" applyBorder="1" applyFont="1">
      <alignment horizontal="center" shrinkToFit="0" vertical="center" wrapText="1"/>
    </xf>
    <xf borderId="1" fillId="0" fontId="26" numFmtId="0" xfId="0" applyAlignment="1" applyBorder="1" applyFont="1">
      <alignment horizontal="left" shrinkToFit="0" vertical="center" wrapText="1"/>
    </xf>
    <xf borderId="1" fillId="0" fontId="34" numFmtId="0" xfId="0" applyAlignment="1" applyBorder="1" applyFont="1">
      <alignment horizontal="center" shrinkToFit="0" vertical="center" wrapText="1"/>
    </xf>
    <xf borderId="6" fillId="3" fontId="24" numFmtId="0" xfId="0" applyAlignment="1" applyBorder="1" applyFont="1">
      <alignment horizontal="center" readingOrder="0" shrinkToFit="0" vertical="center" wrapText="1"/>
    </xf>
    <xf borderId="7" fillId="0" fontId="35"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8" fillId="0" fontId="35" numFmtId="0" xfId="0" applyAlignment="1" applyBorder="1" applyFont="1">
      <alignment horizontal="center" shrinkToFit="0" vertical="center" wrapText="1"/>
    </xf>
    <xf borderId="8" fillId="0" fontId="13" numFmtId="0" xfId="0" applyAlignment="1" applyBorder="1" applyFont="1">
      <alignment horizontal="center" shrinkToFit="0" vertical="center" wrapText="1"/>
    </xf>
    <xf borderId="9" fillId="0" fontId="36" numFmtId="0" xfId="0" applyAlignment="1" applyBorder="1" applyFont="1">
      <alignment horizontal="right" readingOrder="0" shrinkToFit="0" vertical="center" wrapText="1"/>
    </xf>
    <xf borderId="10" fillId="0" fontId="37" numFmtId="0" xfId="0" applyBorder="1" applyFont="1"/>
    <xf borderId="2" fillId="0" fontId="13"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doughnutChart>
        <c:varyColors val="1"/>
        <c:ser>
          <c:idx val="0"/>
          <c:order val="0"/>
          <c:dPt>
            <c:idx val="0"/>
            <c:spPr>
              <a:solidFill>
                <a:srgbClr val="FF0000"/>
              </a:solidFill>
            </c:spPr>
          </c:dPt>
          <c:dPt>
            <c:idx val="1"/>
            <c:spPr>
              <a:solidFill>
                <a:srgbClr val="FFFF00"/>
              </a:solidFill>
            </c:spPr>
          </c:dPt>
          <c:dPt>
            <c:idx val="2"/>
            <c:spPr>
              <a:solidFill>
                <a:srgbClr val="6AA84F"/>
              </a:solidFill>
            </c:spPr>
          </c:dPt>
          <c:dLbls>
            <c:showLegendKey val="0"/>
            <c:showVal val="1"/>
            <c:showCatName val="0"/>
            <c:showSerName val="0"/>
            <c:showPercent val="0"/>
            <c:showBubbleSize val="0"/>
            <c:showLeaderLines val="1"/>
          </c:dLbls>
          <c:cat>
            <c:strRef>
              <c:f>'Main Report'!$D$3:$D$5</c:f>
            </c:strRef>
          </c:cat>
          <c:val>
            <c:numRef>
              <c:f>'Main Report'!$E$3:$E$5</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1295400</xdr:colOff>
      <xdr:row>0</xdr:row>
      <xdr:rowOff>0</xdr:rowOff>
    </xdr:from>
    <xdr:ext cx="3438525" cy="2105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am.dev/c/d07a2fc5-359d-40fe-b1df-67fad8aa8a2e" TargetMode="External"/><Relationship Id="rId22" Type="http://schemas.openxmlformats.org/officeDocument/2006/relationships/hyperlink" Target="https://jam.dev/c/f335d761-c763-4b3d-83d2-783d7b65f079" TargetMode="External"/><Relationship Id="rId21" Type="http://schemas.openxmlformats.org/officeDocument/2006/relationships/hyperlink" Target="https://jam.dev/c/06addd92-4fbc-447c-9c99-76bb3fc32f1a" TargetMode="External"/><Relationship Id="rId24" Type="http://schemas.openxmlformats.org/officeDocument/2006/relationships/hyperlink" Target="https://jam.dev/c/7ad59346-3a1b-43db-aef4-f833ff6a4693" TargetMode="External"/><Relationship Id="rId23" Type="http://schemas.openxmlformats.org/officeDocument/2006/relationships/hyperlink" Target="https://jam.dev/c/d3a3d664-b5a5-454c-8acc-2ba975b06106" TargetMode="External"/><Relationship Id="rId1" Type="http://schemas.openxmlformats.org/officeDocument/2006/relationships/hyperlink" Target="https://lucky-rolypoly-4b3d22.netlify.app/" TargetMode="External"/><Relationship Id="rId2" Type="http://schemas.openxmlformats.org/officeDocument/2006/relationships/hyperlink" Target="https://jam.dev/c/2a55585e-2537-47ad-8f42-3a2311fcda56" TargetMode="External"/><Relationship Id="rId3" Type="http://schemas.openxmlformats.org/officeDocument/2006/relationships/hyperlink" Target="https://jam.dev/c/3e244ad9-b8a0-4507-81d5-942dc1613993" TargetMode="External"/><Relationship Id="rId4" Type="http://schemas.openxmlformats.org/officeDocument/2006/relationships/hyperlink" Target="https://jam.dev/c/c2e76772-bc19-4c74-87c5-d6f004e98f6b" TargetMode="External"/><Relationship Id="rId9" Type="http://schemas.openxmlformats.org/officeDocument/2006/relationships/hyperlink" Target="https://jam.dev/c/e28672e5-306f-48a8-b64f-8f07a5c03f6c" TargetMode="External"/><Relationship Id="rId26" Type="http://schemas.openxmlformats.org/officeDocument/2006/relationships/hyperlink" Target="https://jam.dev/c/7f828303-904d-4ecb-b037-6a56c99d1393" TargetMode="External"/><Relationship Id="rId25" Type="http://schemas.openxmlformats.org/officeDocument/2006/relationships/hyperlink" Target="https://jam.dev/c/77d70f8d-288b-4f19-8011-938ec96eb139" TargetMode="External"/><Relationship Id="rId28" Type="http://schemas.openxmlformats.org/officeDocument/2006/relationships/hyperlink" Target="https://jam.dev/c/1267e354-634b-438f-abf0-0fb36b465f71" TargetMode="External"/><Relationship Id="rId27" Type="http://schemas.openxmlformats.org/officeDocument/2006/relationships/hyperlink" Target="https://jam.dev/c/99d36a7c-8226-4971-bbaa-fcb77fb5005c" TargetMode="External"/><Relationship Id="rId5" Type="http://schemas.openxmlformats.org/officeDocument/2006/relationships/hyperlink" Target="https://jam.dev/c/436724c4-2fb7-497d-b0f9-6e037917ff7a" TargetMode="External"/><Relationship Id="rId6" Type="http://schemas.openxmlformats.org/officeDocument/2006/relationships/hyperlink" Target="https://jam.dev/c/6defb5f1-4d06-48b2-8e97-6e6defcc5b4d" TargetMode="External"/><Relationship Id="rId29" Type="http://schemas.openxmlformats.org/officeDocument/2006/relationships/hyperlink" Target="https://jam.dev/c/32f419b0-fb76-4d40-9ee3-059984b105cf" TargetMode="External"/><Relationship Id="rId7" Type="http://schemas.openxmlformats.org/officeDocument/2006/relationships/hyperlink" Target="https://jam.dev/c/a6223bef-5dea-4331-863d-e15d04af8b63" TargetMode="External"/><Relationship Id="rId8" Type="http://schemas.openxmlformats.org/officeDocument/2006/relationships/hyperlink" Target="https://jam.dev/c/e40a99df-5707-4a83-b66e-16fa0e384ee6" TargetMode="External"/><Relationship Id="rId31" Type="http://schemas.openxmlformats.org/officeDocument/2006/relationships/hyperlink" Target="https://jam.dev/c/306b41b5-598a-4e6c-be25-88cca70d57e2" TargetMode="External"/><Relationship Id="rId30" Type="http://schemas.openxmlformats.org/officeDocument/2006/relationships/hyperlink" Target="https://jam.dev/c/22df44e5-c088-4f67-bda6-b6ec46d68844" TargetMode="External"/><Relationship Id="rId11" Type="http://schemas.openxmlformats.org/officeDocument/2006/relationships/hyperlink" Target="https://jam.dev/c/afec5bd3-8768-4333-bb11-3193b9eb77a3" TargetMode="External"/><Relationship Id="rId33" Type="http://schemas.openxmlformats.org/officeDocument/2006/relationships/hyperlink" Target="https://jam.dev/c/c9d16dc4-9de1-488c-bd3b-c4632d8df6fb" TargetMode="External"/><Relationship Id="rId10" Type="http://schemas.openxmlformats.org/officeDocument/2006/relationships/hyperlink" Target="https://jam.dev/c/89eddb34-3929-4c78-9ab2-13330b340d7c" TargetMode="External"/><Relationship Id="rId32" Type="http://schemas.openxmlformats.org/officeDocument/2006/relationships/hyperlink" Target="https://jam.dev/c/43bb3bc6-e7fc-485b-9226-2272a186189b" TargetMode="External"/><Relationship Id="rId13" Type="http://schemas.openxmlformats.org/officeDocument/2006/relationships/hyperlink" Target="https://jam.dev/c/397c9fcb-8c37-44b7-b0c6-0b35ec064a79" TargetMode="External"/><Relationship Id="rId35" Type="http://schemas.openxmlformats.org/officeDocument/2006/relationships/hyperlink" Target="https://jam.dev/c/a3e2dab2-59bc-4121-8511-3da202701a67" TargetMode="External"/><Relationship Id="rId12" Type="http://schemas.openxmlformats.org/officeDocument/2006/relationships/hyperlink" Target="https://www.lifewire.com/strong-password-examples-2483118" TargetMode="External"/><Relationship Id="rId34" Type="http://schemas.openxmlformats.org/officeDocument/2006/relationships/hyperlink" Target="https://jam.dev/c/c5867c32-34c3-4c9d-bea2-9b8e15a6f709" TargetMode="External"/><Relationship Id="rId15" Type="http://schemas.openxmlformats.org/officeDocument/2006/relationships/hyperlink" Target="https://jam.dev/c/9c3b7e94-8649-4511-9224-4310e0338d0e" TargetMode="External"/><Relationship Id="rId37" Type="http://schemas.openxmlformats.org/officeDocument/2006/relationships/hyperlink" Target="https://jam.dev/c/a4a61d01-53b3-4c2c-8e29-c1a02b29d276" TargetMode="External"/><Relationship Id="rId14" Type="http://schemas.openxmlformats.org/officeDocument/2006/relationships/hyperlink" Target="https://jam.dev/c/1eb96914-bad0-4f46-befa-0be67c4f57ef" TargetMode="External"/><Relationship Id="rId36" Type="http://schemas.openxmlformats.org/officeDocument/2006/relationships/hyperlink" Target="https://jam.dev/c/b341b569-39b9-48a5-8178-078918cf9e0b" TargetMode="External"/><Relationship Id="rId17" Type="http://schemas.openxmlformats.org/officeDocument/2006/relationships/hyperlink" Target="https://jam.dev/c/0dac3e29-da27-4a42-8c66-1fa257d5040f" TargetMode="External"/><Relationship Id="rId39" Type="http://schemas.openxmlformats.org/officeDocument/2006/relationships/drawing" Target="../drawings/drawing1.xml"/><Relationship Id="rId16" Type="http://schemas.openxmlformats.org/officeDocument/2006/relationships/hyperlink" Target="https://jam.dev/c/445a626c-3d7e-4590-b837-ee7f0c6bb306" TargetMode="External"/><Relationship Id="rId38" Type="http://schemas.openxmlformats.org/officeDocument/2006/relationships/hyperlink" Target="https://jam.dev/c/a588c16f-6ac6-42d9-859d-34ffb4d171cb" TargetMode="External"/><Relationship Id="rId19" Type="http://schemas.openxmlformats.org/officeDocument/2006/relationships/hyperlink" Target="https://jam.dev/c/79596992-21f0-4303-8e3e-9a8b2c98dfe0" TargetMode="External"/><Relationship Id="rId18" Type="http://schemas.openxmlformats.org/officeDocument/2006/relationships/hyperlink" Target="https://jam.dev/c/371ce91c-f1da-44e8-89bc-a32b9cf16f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ucky-rolypoly-4b3d22.netlify.app/" TargetMode="External"/><Relationship Id="rId2" Type="http://schemas.openxmlformats.org/officeDocument/2006/relationships/hyperlink" Target="https://jam.dev/c/c2e76772-bc19-4c74-87c5-d6f004e98f6b" TargetMode="External"/><Relationship Id="rId3" Type="http://schemas.openxmlformats.org/officeDocument/2006/relationships/hyperlink" Target="https://jam.dev/c/436724c4-2fb7-497d-b0f9-6e037917ff7a" TargetMode="External"/><Relationship Id="rId4" Type="http://schemas.openxmlformats.org/officeDocument/2006/relationships/hyperlink" Target="https://jam.dev/c/6defb5f1-4d06-48b2-8e97-6e6defcc5b4d" TargetMode="External"/><Relationship Id="rId9" Type="http://schemas.openxmlformats.org/officeDocument/2006/relationships/hyperlink" Target="https://jam.dev/c/c5867c32-34c3-4c9d-bea2-9b8e15a6f709" TargetMode="External"/><Relationship Id="rId5" Type="http://schemas.openxmlformats.org/officeDocument/2006/relationships/hyperlink" Target="https://jam.dev/c/a6223bef-5dea-4331-863d-e15d04af8b63" TargetMode="External"/><Relationship Id="rId6" Type="http://schemas.openxmlformats.org/officeDocument/2006/relationships/hyperlink" Target="https://jam.dev/c/306b41b5-598a-4e6c-be25-88cca70d57e2" TargetMode="External"/><Relationship Id="rId7" Type="http://schemas.openxmlformats.org/officeDocument/2006/relationships/hyperlink" Target="https://jam.dev/c/43bb3bc6-e7fc-485b-9226-2272a186189b" TargetMode="External"/><Relationship Id="rId8" Type="http://schemas.openxmlformats.org/officeDocument/2006/relationships/hyperlink" Target="https://jam.dev/c/c9d16dc4-9de1-488c-bd3b-c4632d8df6fb" TargetMode="External"/><Relationship Id="rId11" Type="http://schemas.openxmlformats.org/officeDocument/2006/relationships/hyperlink" Target="https://jam.dev/c/b341b569-39b9-48a5-8178-078918cf9e0b" TargetMode="External"/><Relationship Id="rId10" Type="http://schemas.openxmlformats.org/officeDocument/2006/relationships/hyperlink" Target="https://jam.dev/c/a3e2dab2-59bc-4121-8511-3da202701a67" TargetMode="External"/><Relationship Id="rId13" Type="http://schemas.openxmlformats.org/officeDocument/2006/relationships/hyperlink" Target="https://jam.dev/c/a588c16f-6ac6-42d9-859d-34ffb4d171cb" TargetMode="External"/><Relationship Id="rId12" Type="http://schemas.openxmlformats.org/officeDocument/2006/relationships/hyperlink" Target="https://jam.dev/c/a4a61d01-53b3-4c2c-8e29-c1a02b29d276" TargetMode="External"/><Relationship Id="rId15" Type="http://schemas.openxmlformats.org/officeDocument/2006/relationships/hyperlink" Target="https://jam.dev/c/22df44e5-c088-4f67-bda6-b6ec46d68844" TargetMode="External"/><Relationship Id="rId14" Type="http://schemas.openxmlformats.org/officeDocument/2006/relationships/hyperlink" Target="https://jam.dev/c/32f419b0-fb76-4d40-9ee3-059984b105cf" TargetMode="External"/><Relationship Id="rId1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jam.dev/c/77d70f8d-288b-4f19-8011-938ec96eb139" TargetMode="External"/><Relationship Id="rId20" Type="http://schemas.openxmlformats.org/officeDocument/2006/relationships/hyperlink" Target="https://jam.dev/c/0dac3e29-da27-4a42-8c66-1fa257d5040f" TargetMode="External"/><Relationship Id="rId42" Type="http://schemas.openxmlformats.org/officeDocument/2006/relationships/hyperlink" Target="https://jam.dev/c/7f828303-904d-4ecb-b037-6a56c99d1393" TargetMode="External"/><Relationship Id="rId41" Type="http://schemas.openxmlformats.org/officeDocument/2006/relationships/hyperlink" Target="https://lucky-rolypoly-4b3d22.netlify.app/admin" TargetMode="External"/><Relationship Id="rId22" Type="http://schemas.openxmlformats.org/officeDocument/2006/relationships/hyperlink" Target="https://jam.dev/c/371ce91c-f1da-44e8-89bc-a32b9cf16f03" TargetMode="External"/><Relationship Id="rId44" Type="http://schemas.openxmlformats.org/officeDocument/2006/relationships/hyperlink" Target="https://jam.dev/c/99d36a7c-8226-4971-bbaa-fcb77fb5005c" TargetMode="External"/><Relationship Id="rId21" Type="http://schemas.openxmlformats.org/officeDocument/2006/relationships/hyperlink" Target="https://lucky-rolypoly-4b3d22.netlify.app/" TargetMode="External"/><Relationship Id="rId43" Type="http://schemas.openxmlformats.org/officeDocument/2006/relationships/hyperlink" Target="https://lucky-rolypoly-4b3d22.netlify.app/admin" TargetMode="External"/><Relationship Id="rId24" Type="http://schemas.openxmlformats.org/officeDocument/2006/relationships/hyperlink" Target="https://jam.dev/c/79596992-21f0-4303-8e3e-9a8b2c98dfe0" TargetMode="External"/><Relationship Id="rId46" Type="http://schemas.openxmlformats.org/officeDocument/2006/relationships/hyperlink" Target="https://jam.dev/c/1267e354-634b-438f-abf0-0fb36b465f71" TargetMode="External"/><Relationship Id="rId23" Type="http://schemas.openxmlformats.org/officeDocument/2006/relationships/hyperlink" Target="https://lucky-rolypoly-4b3d22.netlify.app/" TargetMode="External"/><Relationship Id="rId45" Type="http://schemas.openxmlformats.org/officeDocument/2006/relationships/hyperlink" Target="https://lucky-rolypoly-4b3d22.netlify.app/admin" TargetMode="External"/><Relationship Id="rId1" Type="http://schemas.openxmlformats.org/officeDocument/2006/relationships/hyperlink" Target="https://lucky-rolypoly-4b3d22.netlify.app/" TargetMode="External"/><Relationship Id="rId2" Type="http://schemas.openxmlformats.org/officeDocument/2006/relationships/hyperlink" Target="https://lucky-rolypoly-4b3d22.netlify.app/" TargetMode="External"/><Relationship Id="rId3" Type="http://schemas.openxmlformats.org/officeDocument/2006/relationships/hyperlink" Target="https://jam.dev/c/e40a99df-5707-4a83-b66e-16fa0e384ee6" TargetMode="External"/><Relationship Id="rId4" Type="http://schemas.openxmlformats.org/officeDocument/2006/relationships/hyperlink" Target="https://lucky-rolypoly-4b3d22.netlify.app/" TargetMode="External"/><Relationship Id="rId9" Type="http://schemas.openxmlformats.org/officeDocument/2006/relationships/hyperlink" Target="https://jam.dev/c/afec5bd3-8768-4333-bb11-3193b9eb77a3" TargetMode="External"/><Relationship Id="rId26" Type="http://schemas.openxmlformats.org/officeDocument/2006/relationships/hyperlink" Target="https://jam.dev/c/d07a2fc5-359d-40fe-b1df-67fad8aa8a2e" TargetMode="External"/><Relationship Id="rId25" Type="http://schemas.openxmlformats.org/officeDocument/2006/relationships/hyperlink" Target="https://lucky-rolypoly-4b3d22.netlify.app/" TargetMode="External"/><Relationship Id="rId47" Type="http://schemas.openxmlformats.org/officeDocument/2006/relationships/drawing" Target="../drawings/drawing3.xml"/><Relationship Id="rId28" Type="http://schemas.openxmlformats.org/officeDocument/2006/relationships/hyperlink" Target="https://jam.dev/c/2a55585e-2537-47ad-8f42-3a2311fcda56" TargetMode="External"/><Relationship Id="rId27" Type="http://schemas.openxmlformats.org/officeDocument/2006/relationships/hyperlink" Target="https://lucky-rolypoly-4b3d22.netlify.app/" TargetMode="External"/><Relationship Id="rId5" Type="http://schemas.openxmlformats.org/officeDocument/2006/relationships/hyperlink" Target="https://jam.dev/c/e28672e5-306f-48a8-b64f-8f07a5c03f6c" TargetMode="External"/><Relationship Id="rId6" Type="http://schemas.openxmlformats.org/officeDocument/2006/relationships/hyperlink" Target="https://lucky-rolypoly-4b3d22.netlify.app/" TargetMode="External"/><Relationship Id="rId29" Type="http://schemas.openxmlformats.org/officeDocument/2006/relationships/hyperlink" Target="https://lucky-rolypoly-4b3d22.netlify.app/" TargetMode="External"/><Relationship Id="rId7" Type="http://schemas.openxmlformats.org/officeDocument/2006/relationships/hyperlink" Target="https://jam.dev/c/89eddb34-3929-4c78-9ab2-13330b340d7c" TargetMode="External"/><Relationship Id="rId8" Type="http://schemas.openxmlformats.org/officeDocument/2006/relationships/hyperlink" Target="https://lucky-rolypoly-4b3d22.netlify.app/" TargetMode="External"/><Relationship Id="rId31" Type="http://schemas.openxmlformats.org/officeDocument/2006/relationships/hyperlink" Target="https://lucky-rolypoly-4b3d22.netlify.app/admin" TargetMode="External"/><Relationship Id="rId30" Type="http://schemas.openxmlformats.org/officeDocument/2006/relationships/hyperlink" Target="https://jam.dev/c/3e244ad9-b8a0-4507-81d5-942dc1613993" TargetMode="External"/><Relationship Id="rId11" Type="http://schemas.openxmlformats.org/officeDocument/2006/relationships/hyperlink" Target="https://lucky-rolypoly-4b3d22.netlify.app/" TargetMode="External"/><Relationship Id="rId33" Type="http://schemas.openxmlformats.org/officeDocument/2006/relationships/hyperlink" Target="https://lucky-rolypoly-4b3d22.netlify.app/admin" TargetMode="External"/><Relationship Id="rId10" Type="http://schemas.openxmlformats.org/officeDocument/2006/relationships/hyperlink" Target="https://www.lifewire.com/strong-password-examples-2483118" TargetMode="External"/><Relationship Id="rId32" Type="http://schemas.openxmlformats.org/officeDocument/2006/relationships/hyperlink" Target="https://jam.dev/c/06addd92-4fbc-447c-9c99-76bb3fc32f1a" TargetMode="External"/><Relationship Id="rId13" Type="http://schemas.openxmlformats.org/officeDocument/2006/relationships/hyperlink" Target="https://lucky-rolypoly-4b3d22.netlify.app/" TargetMode="External"/><Relationship Id="rId35" Type="http://schemas.openxmlformats.org/officeDocument/2006/relationships/hyperlink" Target="https://lucky-rolypoly-4b3d22.netlify.app/admin" TargetMode="External"/><Relationship Id="rId12" Type="http://schemas.openxmlformats.org/officeDocument/2006/relationships/hyperlink" Target="https://jam.dev/c/397c9fcb-8c37-44b7-b0c6-0b35ec064a79" TargetMode="External"/><Relationship Id="rId34" Type="http://schemas.openxmlformats.org/officeDocument/2006/relationships/hyperlink" Target="https://jam.dev/c/f335d761-c763-4b3d-83d2-783d7b65f079" TargetMode="External"/><Relationship Id="rId15" Type="http://schemas.openxmlformats.org/officeDocument/2006/relationships/hyperlink" Target="https://lucky-rolypoly-4b3d22.netlify.app/" TargetMode="External"/><Relationship Id="rId37" Type="http://schemas.openxmlformats.org/officeDocument/2006/relationships/hyperlink" Target="https://lucky-rolypoly-4b3d22.netlify.app/admin" TargetMode="External"/><Relationship Id="rId14" Type="http://schemas.openxmlformats.org/officeDocument/2006/relationships/hyperlink" Target="https://jam.dev/c/1eb96914-bad0-4f46-befa-0be67c4f57ef" TargetMode="External"/><Relationship Id="rId36" Type="http://schemas.openxmlformats.org/officeDocument/2006/relationships/hyperlink" Target="https://jam.dev/c/d3a3d664-b5a5-454c-8acc-2ba975b06106" TargetMode="External"/><Relationship Id="rId17" Type="http://schemas.openxmlformats.org/officeDocument/2006/relationships/hyperlink" Target="https://lucky-rolypoly-4b3d22.netlify.app/" TargetMode="External"/><Relationship Id="rId39" Type="http://schemas.openxmlformats.org/officeDocument/2006/relationships/hyperlink" Target="https://lucky-rolypoly-4b3d22.netlify.app/admin" TargetMode="External"/><Relationship Id="rId16" Type="http://schemas.openxmlformats.org/officeDocument/2006/relationships/hyperlink" Target="https://jam.dev/c/9c3b7e94-8649-4511-9224-4310e0338d0e" TargetMode="External"/><Relationship Id="rId38" Type="http://schemas.openxmlformats.org/officeDocument/2006/relationships/hyperlink" Target="https://jam.dev/c/7ad59346-3a1b-43db-aef4-f833ff6a4693" TargetMode="External"/><Relationship Id="rId19" Type="http://schemas.openxmlformats.org/officeDocument/2006/relationships/hyperlink" Target="https://lucky-rolypoly-4b3d22.netlify.app/" TargetMode="External"/><Relationship Id="rId18" Type="http://schemas.openxmlformats.org/officeDocument/2006/relationships/hyperlink" Target="https://jam.dev/c/445a626c-3d7e-4590-b837-ee7f0c6bb30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20.25"/>
    <col customWidth="1" min="3" max="3" width="14.38"/>
    <col customWidth="1" min="4" max="4" width="19.88"/>
    <col customWidth="1" min="5" max="5" width="17.13"/>
    <col customWidth="1" min="6" max="6" width="20.0"/>
    <col customWidth="1" min="8" max="8" width="19.88"/>
    <col customWidth="1" min="9" max="9" width="16.25"/>
    <col customWidth="1" min="10" max="10" width="14.13"/>
    <col customWidth="1" min="12" max="12" width="16.13"/>
    <col customWidth="1" min="13" max="13" width="18.75"/>
    <col customWidth="1" min="14" max="15" width="15.25"/>
  </cols>
  <sheetData>
    <row r="1">
      <c r="A1" s="1"/>
      <c r="B1" s="1"/>
      <c r="C1" s="1"/>
      <c r="D1" s="1"/>
      <c r="E1" s="1"/>
      <c r="F1" s="1"/>
      <c r="G1" s="1"/>
      <c r="H1" s="1"/>
      <c r="I1" s="1"/>
      <c r="J1" s="1"/>
      <c r="K1" s="1"/>
      <c r="L1" s="1"/>
      <c r="M1" s="1"/>
      <c r="N1" s="1"/>
      <c r="O1" s="1"/>
    </row>
    <row r="2">
      <c r="A2" s="2" t="s">
        <v>0</v>
      </c>
      <c r="B2" s="3" t="s">
        <v>1</v>
      </c>
      <c r="C2" s="1"/>
      <c r="D2" s="4" t="s">
        <v>2</v>
      </c>
      <c r="E2" s="4" t="s">
        <v>3</v>
      </c>
      <c r="F2" s="1"/>
      <c r="G2" s="1"/>
      <c r="H2" s="5"/>
      <c r="I2" s="5"/>
      <c r="J2" s="5"/>
      <c r="K2" s="5"/>
      <c r="L2" s="5"/>
      <c r="M2" s="5"/>
      <c r="N2" s="1"/>
      <c r="O2" s="1"/>
    </row>
    <row r="3">
      <c r="A3" s="2" t="s">
        <v>4</v>
      </c>
      <c r="B3" s="6" t="s">
        <v>5</v>
      </c>
      <c r="C3" s="1"/>
      <c r="D3" s="7" t="s">
        <v>6</v>
      </c>
      <c r="E3" s="7">
        <f>COUNTIF(Tahsin!K14:K1005, "High") + COUNTIF(Fahad!K8:K1006, "High")</f>
        <v>11</v>
      </c>
      <c r="F3" s="1"/>
      <c r="G3" s="1"/>
      <c r="H3" s="1"/>
      <c r="I3" s="5"/>
      <c r="J3" s="5"/>
      <c r="K3" s="5"/>
      <c r="L3" s="5"/>
      <c r="M3" s="1"/>
      <c r="N3" s="1"/>
      <c r="O3" s="1"/>
    </row>
    <row r="4">
      <c r="A4" s="2" t="s">
        <v>7</v>
      </c>
      <c r="B4" s="8"/>
      <c r="C4" s="1"/>
      <c r="D4" s="9" t="s">
        <v>8</v>
      </c>
      <c r="E4" s="9">
        <f>COUNTIF(Tahsin!K14:K1006, "Medium") + COUNTIF(Fahad!K8:K1007, "Medium")</f>
        <v>12</v>
      </c>
      <c r="F4" s="1"/>
      <c r="G4" s="1"/>
      <c r="H4" s="1"/>
      <c r="I4" s="5"/>
      <c r="J4" s="5"/>
      <c r="K4" s="5"/>
      <c r="L4" s="5"/>
      <c r="M4" s="1"/>
      <c r="N4" s="1"/>
      <c r="O4" s="1"/>
    </row>
    <row r="5">
      <c r="A5" s="2" t="s">
        <v>9</v>
      </c>
      <c r="B5" s="10"/>
      <c r="C5" s="1"/>
      <c r="D5" s="9" t="s">
        <v>10</v>
      </c>
      <c r="E5" s="9">
        <f>COUNTIF(Fahad!K8:K1008, "Low") + COUNTIF(Tahsin!K14:K1009, "Low")</f>
        <v>15</v>
      </c>
      <c r="F5" s="1"/>
      <c r="G5" s="1"/>
      <c r="H5" s="1"/>
      <c r="I5" s="5"/>
      <c r="J5" s="5"/>
      <c r="K5" s="5"/>
      <c r="L5" s="5"/>
      <c r="M5" s="1"/>
      <c r="N5" s="1"/>
      <c r="O5" s="1"/>
    </row>
    <row r="6">
      <c r="A6" s="2" t="s">
        <v>11</v>
      </c>
      <c r="B6" s="11" t="s">
        <v>12</v>
      </c>
      <c r="C6" s="1"/>
      <c r="D6" s="1"/>
      <c r="E6" s="1"/>
      <c r="F6" s="1"/>
      <c r="G6" s="1"/>
      <c r="H6" s="1"/>
      <c r="I6" s="5"/>
      <c r="J6" s="5"/>
      <c r="K6" s="5"/>
      <c r="L6" s="5"/>
      <c r="M6" s="1"/>
      <c r="N6" s="1"/>
      <c r="O6" s="1"/>
    </row>
    <row r="7">
      <c r="A7" s="2" t="s">
        <v>13</v>
      </c>
      <c r="B7" s="10"/>
      <c r="C7" s="1"/>
      <c r="D7" s="12" t="s">
        <v>14</v>
      </c>
      <c r="E7" s="13">
        <f>SUM(E3:E5)</f>
        <v>38</v>
      </c>
      <c r="F7" s="1"/>
      <c r="G7" s="1"/>
      <c r="H7" s="1"/>
      <c r="I7" s="5"/>
      <c r="J7" s="5"/>
      <c r="K7" s="5"/>
      <c r="L7" s="5"/>
      <c r="M7" s="1"/>
      <c r="N7" s="1"/>
      <c r="O7" s="1"/>
    </row>
    <row r="8">
      <c r="A8" s="1"/>
      <c r="B8" s="1"/>
      <c r="C8" s="1"/>
      <c r="D8" s="12" t="s">
        <v>15</v>
      </c>
      <c r="E8" s="13">
        <f>COUNTIF(N11:N1003, "Solved")</f>
        <v>0</v>
      </c>
      <c r="F8" s="1"/>
      <c r="G8" s="1"/>
      <c r="H8" s="1"/>
      <c r="I8" s="5"/>
      <c r="J8" s="5"/>
      <c r="K8" s="5"/>
      <c r="L8" s="5"/>
      <c r="M8" s="1"/>
      <c r="N8" s="1"/>
      <c r="O8" s="1"/>
    </row>
    <row r="9">
      <c r="A9" s="1"/>
      <c r="B9" s="1"/>
      <c r="C9" s="1"/>
      <c r="D9" s="1"/>
      <c r="E9" s="1"/>
      <c r="F9" s="1"/>
      <c r="G9" s="1"/>
      <c r="H9" s="1"/>
      <c r="I9" s="1"/>
      <c r="J9" s="1"/>
      <c r="K9" s="1"/>
      <c r="L9" s="1"/>
      <c r="M9" s="1"/>
      <c r="N9" s="1"/>
      <c r="O9" s="1"/>
    </row>
    <row r="10">
      <c r="A10" s="14" t="s">
        <v>16</v>
      </c>
      <c r="B10" s="15" t="s">
        <v>17</v>
      </c>
      <c r="C10" s="15" t="s">
        <v>18</v>
      </c>
      <c r="D10" s="15" t="s">
        <v>19</v>
      </c>
      <c r="E10" s="15" t="s">
        <v>20</v>
      </c>
      <c r="F10" s="15" t="s">
        <v>21</v>
      </c>
      <c r="G10" s="15" t="s">
        <v>22</v>
      </c>
      <c r="H10" s="15" t="s">
        <v>23</v>
      </c>
      <c r="I10" s="15" t="s">
        <v>24</v>
      </c>
      <c r="J10" s="15" t="s">
        <v>25</v>
      </c>
      <c r="K10" s="15" t="s">
        <v>2</v>
      </c>
      <c r="L10" s="15" t="s">
        <v>26</v>
      </c>
      <c r="M10" s="15" t="s">
        <v>27</v>
      </c>
      <c r="N10" s="14" t="s">
        <v>28</v>
      </c>
      <c r="O10" s="14" t="s">
        <v>29</v>
      </c>
      <c r="P10" s="16"/>
      <c r="Q10" s="16"/>
      <c r="R10" s="16"/>
      <c r="S10" s="16"/>
      <c r="T10" s="16"/>
      <c r="U10" s="16"/>
      <c r="V10" s="16"/>
      <c r="W10" s="16"/>
      <c r="X10" s="16"/>
      <c r="Y10" s="16"/>
      <c r="Z10" s="16"/>
      <c r="AA10" s="16"/>
    </row>
    <row r="11">
      <c r="A11" s="17" t="s">
        <v>30</v>
      </c>
      <c r="B11" s="18" t="str">
        <f>IFERROR(__xludf.DUMMYFUNCTION("QUERY(
  {
    ARRAYFORMULA({TRIM(Fahad!B8:B999), Fahad!C8:M999, IF(LEN(Fahad!B8:B999), ""Fahad"", """")});
    ARRAYFORMULA({TRIM(Tahsin!B15:B999), Tahsin!C15:M999, IF(LEN(Tahsin!B15:B999), ""Tahsin"", """")})
  },
  ""SELECT * WHERE Col1 IS NOT NULL ORD"&amp;"ER BY Col1 ASC"",
  0
)
"),"Landing Page")</f>
        <v>Landing Page</v>
      </c>
      <c r="C11" s="18" t="str">
        <f>IFERROR(__xludf.DUMMYFUNCTION("""COMPUTED_VALUE"""),"Landing Page")</f>
        <v>Landing Page</v>
      </c>
      <c r="D11" s="18" t="str">
        <f>IFERROR(__xludf.DUMMYFUNCTION("""COMPUTED_VALUE"""),"Design jumps when it becomes transactional and when it scroll down")</f>
        <v>Design jumps when it becomes transactional and when it scroll down</v>
      </c>
      <c r="E11" s="18" t="str">
        <f>IFERROR(__xludf.DUMMYFUNCTION("""COMPUTED_VALUE"""),"User must be in web browser")</f>
        <v>User must be in web browser</v>
      </c>
      <c r="F11" s="18" t="str">
        <f>IFERROR(__xludf.DUMMYFUNCTION("""COMPUTED_VALUE"""),"1. Open Noahzipp
2. Click on Login
3. Select login or register")</f>
        <v>1. Open Noahzipp
2. Click on Login
3. Select login or register</v>
      </c>
      <c r="G11" s="18" t="str">
        <f>IFERROR(__xludf.DUMMYFUNCTION("""COMPUTED_VALUE"""),"Email : zsdrrmntpojuyajfld@fxavaj.com
Pass : 123456")</f>
        <v>Email : zsdrrmntpojuyajfld@fxavaj.com
Pass : 123456</v>
      </c>
      <c r="H11" s="18" t="str">
        <f>IFERROR(__xludf.DUMMYFUNCTION("""COMPUTED_VALUE"""),"Design should be stable and not erratic.")</f>
        <v>Design should be stable and not erratic.</v>
      </c>
      <c r="I11" s="18" t="str">
        <f>IFERROR(__xludf.DUMMYFUNCTION("""COMPUTED_VALUE"""),"A jumping design was noticed while scrolling down.")</f>
        <v>A jumping design was noticed while scrolling down.</v>
      </c>
      <c r="J11" s="18" t="str">
        <f>IFERROR(__xludf.DUMMYFUNCTION("""COMPUTED_VALUE"""),"Fail")</f>
        <v>Fail</v>
      </c>
      <c r="K11" s="18" t="str">
        <f>IFERROR(__xludf.DUMMYFUNCTION("""COMPUTED_VALUE"""),"Medium")</f>
        <v>Medium</v>
      </c>
      <c r="L11" s="19" t="str">
        <f>IFERROR(__xludf.DUMMYFUNCTION("""COMPUTED_VALUE"""),"https://jam.dev/c/2a55585e-2537-47ad-8f42-3a2311fcda56")</f>
        <v>https://jam.dev/c/2a55585e-2537-47ad-8f42-3a2311fcda56</v>
      </c>
      <c r="M11" s="18"/>
      <c r="N11" s="17" t="str">
        <f>IFERROR(__xludf.DUMMYFUNCTION("""COMPUTED_VALUE"""),"Fahad")</f>
        <v>Fahad</v>
      </c>
      <c r="O11" s="17"/>
      <c r="P11" s="20"/>
      <c r="Q11" s="20"/>
      <c r="R11" s="20"/>
      <c r="S11" s="20"/>
      <c r="T11" s="20"/>
      <c r="U11" s="20"/>
      <c r="V11" s="20"/>
      <c r="W11" s="20"/>
      <c r="X11" s="20"/>
      <c r="Y11" s="20"/>
      <c r="Z11" s="20"/>
      <c r="AA11" s="20"/>
    </row>
    <row r="12">
      <c r="A12" s="21" t="s">
        <v>31</v>
      </c>
      <c r="B12" s="22" t="str">
        <f>IFERROR(__xludf.DUMMYFUNCTION("""COMPUTED_VALUE"""),"Landing Page")</f>
        <v>Landing Page</v>
      </c>
      <c r="C12" s="22" t="str">
        <f>IFERROR(__xludf.DUMMYFUNCTION("""COMPUTED_VALUE"""),"Contact us")</f>
        <v>Contact us</v>
      </c>
      <c r="D12" s="22" t="str">
        <f>IFERROR(__xludf.DUMMYFUNCTION("""COMPUTED_VALUE"""),"The contact us flow is not functioning properly on mobile devices.")</f>
        <v>The contact us flow is not functioning properly on mobile devices.</v>
      </c>
      <c r="E12" s="22" t="str">
        <f>IFERROR(__xludf.DUMMYFUNCTION("""COMPUTED_VALUE"""),"User must be in mobile browser")</f>
        <v>User must be in mobile browser</v>
      </c>
      <c r="F12" s="22" t="str">
        <f>IFERROR(__xludf.DUMMYFUNCTION("""COMPUTED_VALUE"""),"1. Open link Noahzipp")</f>
        <v>1. Open link Noahzipp</v>
      </c>
      <c r="G12" s="22" t="str">
        <f>IFERROR(__xludf.DUMMYFUNCTION("""COMPUTED_VALUE"""),"N/A")</f>
        <v>N/A</v>
      </c>
      <c r="H12" s="22" t="str">
        <f>IFERROR(__xludf.DUMMYFUNCTION("""COMPUTED_VALUE"""),"Flow should be maintained across different platforms or for devices")</f>
        <v>Flow should be maintained across different platforms or for devices</v>
      </c>
      <c r="I12" s="22" t="str">
        <f>IFERROR(__xludf.DUMMYFUNCTION("""COMPUTED_VALUE"""),"A missing flow has been noticed on mobile devices when the device is in horizontal view, but in vertical view, it remains consistent with the design.")</f>
        <v>A missing flow has been noticed on mobile devices when the device is in horizontal view, but in vertical view, it remains consistent with the design.</v>
      </c>
      <c r="J12" s="22" t="str">
        <f>IFERROR(__xludf.DUMMYFUNCTION("""COMPUTED_VALUE"""),"Fail")</f>
        <v>Fail</v>
      </c>
      <c r="K12" s="22" t="str">
        <f>IFERROR(__xludf.DUMMYFUNCTION("""COMPUTED_VALUE"""),"High")</f>
        <v>High</v>
      </c>
      <c r="L12" s="23" t="str">
        <f>IFERROR(__xludf.DUMMYFUNCTION("""COMPUTED_VALUE"""),"https://jam.dev/c/3e244ad9-b8a0-4507-81d5-942dc1613993")</f>
        <v>https://jam.dev/c/3e244ad9-b8a0-4507-81d5-942dc1613993</v>
      </c>
      <c r="M12" s="22"/>
      <c r="N12" s="22" t="str">
        <f>IFERROR(__xludf.DUMMYFUNCTION("""COMPUTED_VALUE"""),"Fahad")</f>
        <v>Fahad</v>
      </c>
      <c r="O12" s="21"/>
      <c r="P12" s="20"/>
      <c r="Q12" s="20"/>
      <c r="R12" s="20"/>
      <c r="S12" s="20"/>
      <c r="T12" s="20"/>
      <c r="U12" s="20"/>
      <c r="V12" s="20"/>
      <c r="W12" s="20"/>
      <c r="X12" s="20"/>
      <c r="Y12" s="20"/>
      <c r="Z12" s="20"/>
      <c r="AA12" s="20"/>
    </row>
    <row r="13">
      <c r="A13" s="21" t="s">
        <v>32</v>
      </c>
      <c r="B13" s="22" t="str">
        <f>IFERROR(__xludf.DUMMYFUNCTION("""COMPUTED_VALUE"""),"Landing Page")</f>
        <v>Landing Page</v>
      </c>
      <c r="C13" s="22" t="str">
        <f>IFERROR(__xludf.DUMMYFUNCTION("""COMPUTED_VALUE"""),"Header and logo")</f>
        <v>Header and logo</v>
      </c>
      <c r="D13" s="22" t="str">
        <f>IFERROR(__xludf.DUMMYFUNCTION("""COMPUTED_VALUE"""),"Header and logo size issue in landing page")</f>
        <v>Header and logo size issue in landing page</v>
      </c>
      <c r="E13" s="22" t="str">
        <f>IFERROR(__xludf.DUMMYFUNCTION("""COMPUTED_VALUE"""),"User opens landing page")</f>
        <v>User opens landing page</v>
      </c>
      <c r="F13" s="22" t="str">
        <f>IFERROR(__xludf.DUMMYFUNCTION("""COMPUTED_VALUE"""),"Navigate to landing page and observe header and logo size")</f>
        <v>Navigate to landing page and observe header and logo size</v>
      </c>
      <c r="G13" s="22" t="str">
        <f>IFERROR(__xludf.DUMMYFUNCTION("""COMPUTED_VALUE"""),"-")</f>
        <v>-</v>
      </c>
      <c r="H13" s="22" t="str">
        <f>IFERROR(__xludf.DUMMYFUNCTION("""COMPUTED_VALUE"""),"Header size should match the requirement and logo should be properly visible and proportionate")</f>
        <v>Header size should match the requirement and logo should be properly visible and proportionate</v>
      </c>
      <c r="I13" s="22" t="str">
        <f>IFERROR(__xludf.DUMMYFUNCTION("""COMPUTED_VALUE"""),"Header appears too narrow and logo is too small to read clearly")</f>
        <v>Header appears too narrow and logo is too small to read clearly</v>
      </c>
      <c r="J13" s="22" t="str">
        <f>IFERROR(__xludf.DUMMYFUNCTION("""COMPUTED_VALUE"""),"Fail")</f>
        <v>Fail</v>
      </c>
      <c r="K13" s="22" t="str">
        <f>IFERROR(__xludf.DUMMYFUNCTION("""COMPUTED_VALUE"""),"Low")</f>
        <v>Low</v>
      </c>
      <c r="L13" s="23" t="str">
        <f>IFERROR(__xludf.DUMMYFUNCTION("""COMPUTED_VALUE"""),"https://jam.dev/c/c2e76772-bc19-4c74-87c5-d6f004e98f6b")</f>
        <v>https://jam.dev/c/c2e76772-bc19-4c74-87c5-d6f004e98f6b</v>
      </c>
      <c r="M13" s="22" t="str">
        <f>IFERROR(__xludf.DUMMYFUNCTION("""COMPUTED_VALUE"""),"Increase header height and enlarge logo for better visibility and readability")</f>
        <v>Increase header height and enlarge logo for better visibility and readability</v>
      </c>
      <c r="N13" s="22" t="str">
        <f>IFERROR(__xludf.DUMMYFUNCTION("""COMPUTED_VALUE"""),"Tahsin")</f>
        <v>Tahsin</v>
      </c>
      <c r="O13" s="22"/>
      <c r="P13" s="20"/>
      <c r="Q13" s="20"/>
      <c r="R13" s="20"/>
      <c r="S13" s="20"/>
      <c r="T13" s="20"/>
      <c r="U13" s="20"/>
      <c r="V13" s="20"/>
      <c r="W13" s="20"/>
      <c r="X13" s="20"/>
      <c r="Y13" s="20"/>
      <c r="Z13" s="20"/>
      <c r="AA13" s="20"/>
    </row>
    <row r="14">
      <c r="A14" s="21" t="s">
        <v>33</v>
      </c>
      <c r="B14" s="22" t="str">
        <f>IFERROR(__xludf.DUMMYFUNCTION("""COMPUTED_VALUE"""),"Landing Page")</f>
        <v>Landing Page</v>
      </c>
      <c r="C14" s="22" t="str">
        <f>IFERROR(__xludf.DUMMYFUNCTION("""COMPUTED_VALUE"""),"Home")</f>
        <v>Home</v>
      </c>
      <c r="D14" s="22" t="str">
        <f>IFERROR(__xludf.DUMMYFUNCTION("""COMPUTED_VALUE"""),"Intro section with text and button is smaller than required")</f>
        <v>Intro section with text and button is smaller than required</v>
      </c>
      <c r="E14" s="22" t="str">
        <f>IFERROR(__xludf.DUMMYFUNCTION("""COMPUTED_VALUE"""),"User opens home page")</f>
        <v>User opens home page</v>
      </c>
      <c r="F14" s="22" t="str">
        <f>IFERROR(__xludf.DUMMYFUNCTION("""COMPUTED_VALUE"""),"Scroll to the section with ""Let AI Handle Your Schedule"" text and observe size")</f>
        <v>Scroll to the section with "Let AI Handle Your Schedule" text and observe size</v>
      </c>
      <c r="G14" s="22" t="str">
        <f>IFERROR(__xludf.DUMMYFUNCTION("""COMPUTED_VALUE"""),"-")</f>
        <v>-</v>
      </c>
      <c r="H14" s="22" t="str">
        <f>IFERROR(__xludf.DUMMYFUNCTION("""COMPUTED_VALUE"""),"Section should follow client-specified height and spacing standards")</f>
        <v>Section should follow client-specified height and spacing standards</v>
      </c>
      <c r="I14" s="22" t="str">
        <f>IFERROR(__xludf.DUMMYFUNCTION("""COMPUTED_VALUE"""),"Section is smaller than the required size")</f>
        <v>Section is smaller than the required size</v>
      </c>
      <c r="J14" s="22" t="str">
        <f>IFERROR(__xludf.DUMMYFUNCTION("""COMPUTED_VALUE"""),"Fail")</f>
        <v>Fail</v>
      </c>
      <c r="K14" s="22" t="str">
        <f>IFERROR(__xludf.DUMMYFUNCTION("""COMPUTED_VALUE"""),"Low")</f>
        <v>Low</v>
      </c>
      <c r="L14" s="23" t="str">
        <f>IFERROR(__xludf.DUMMYFUNCTION("""COMPUTED_VALUE"""),"https://jam.dev/c/436724c4-2fb7-497d-b0f9-6e037917ff7a")</f>
        <v>https://jam.dev/c/436724c4-2fb7-497d-b0f9-6e037917ff7a</v>
      </c>
      <c r="M14" s="22" t="str">
        <f>IFERROR(__xludf.DUMMYFUNCTION("""COMPUTED_VALUE"""),"Increase height and padding of the section as per client requirement")</f>
        <v>Increase height and padding of the section as per client requirement</v>
      </c>
      <c r="N14" s="22" t="str">
        <f>IFERROR(__xludf.DUMMYFUNCTION("""COMPUTED_VALUE"""),"Tahsin")</f>
        <v>Tahsin</v>
      </c>
      <c r="O14" s="22"/>
      <c r="P14" s="20"/>
      <c r="Q14" s="20"/>
      <c r="R14" s="20"/>
      <c r="S14" s="20"/>
      <c r="T14" s="20"/>
      <c r="U14" s="20"/>
      <c r="V14" s="20"/>
      <c r="W14" s="20"/>
      <c r="X14" s="20"/>
      <c r="Y14" s="20"/>
      <c r="Z14" s="20"/>
      <c r="AA14" s="20"/>
    </row>
    <row r="15">
      <c r="A15" s="21" t="s">
        <v>34</v>
      </c>
      <c r="B15" s="22" t="str">
        <f>IFERROR(__xludf.DUMMYFUNCTION("""COMPUTED_VALUE"""),"Landing Page")</f>
        <v>Landing Page</v>
      </c>
      <c r="C15" s="22" t="str">
        <f>IFERROR(__xludf.DUMMYFUNCTION("""COMPUTED_VALUE"""),"Process")</f>
        <v>Process</v>
      </c>
      <c r="D15" s="22" t="str">
        <f>IFERROR(__xludf.DUMMYFUNCTION("""COMPUTED_VALUE"""),"Excessive left and right margin in process page")</f>
        <v>Excessive left and right margin in process page</v>
      </c>
      <c r="E15" s="22" t="str">
        <f>IFERROR(__xludf.DUMMYFUNCTION("""COMPUTED_VALUE"""),"User opens process page")</f>
        <v>User opens process page</v>
      </c>
      <c r="F15" s="22" t="str">
        <f>IFERROR(__xludf.DUMMYFUNCTION("""COMPUTED_VALUE"""),"Navigate to process page and observe left and right spacing")</f>
        <v>Navigate to process page and observe left and right spacing</v>
      </c>
      <c r="G15" s="22" t="str">
        <f>IFERROR(__xludf.DUMMYFUNCTION("""COMPUTED_VALUE"""),"-")</f>
        <v>-</v>
      </c>
      <c r="H15" s="22" t="str">
        <f>IFERROR(__xludf.DUMMYFUNCTION("""COMPUTED_VALUE"""),"Page content should have balanced and reasonable horizontal margins")</f>
        <v>Page content should have balanced and reasonable horizontal margins</v>
      </c>
      <c r="I15" s="22" t="str">
        <f>IFERROR(__xludf.DUMMYFUNCTION("""COMPUTED_VALUE"""),"Content has too much margin on both left and right sides, making it look squeezed")</f>
        <v>Content has too much margin on both left and right sides, making it look squeezed</v>
      </c>
      <c r="J15" s="22" t="str">
        <f>IFERROR(__xludf.DUMMYFUNCTION("""COMPUTED_VALUE"""),"Fail")</f>
        <v>Fail</v>
      </c>
      <c r="K15" s="22" t="str">
        <f>IFERROR(__xludf.DUMMYFUNCTION("""COMPUTED_VALUE"""),"Low")</f>
        <v>Low</v>
      </c>
      <c r="L15" s="23" t="str">
        <f>IFERROR(__xludf.DUMMYFUNCTION("""COMPUTED_VALUE"""),"https://jam.dev/c/6defb5f1-4d06-48b2-8e97-6e6defcc5b4d")</f>
        <v>https://jam.dev/c/6defb5f1-4d06-48b2-8e97-6e6defcc5b4d</v>
      </c>
      <c r="M15" s="22" t="str">
        <f>IFERROR(__xludf.DUMMYFUNCTION("""COMPUTED_VALUE"""),"Reduce horizontal margins to better utilize space and improve layout balance")</f>
        <v>Reduce horizontal margins to better utilize space and improve layout balance</v>
      </c>
      <c r="N15" s="22" t="str">
        <f>IFERROR(__xludf.DUMMYFUNCTION("""COMPUTED_VALUE"""),"Tahsin")</f>
        <v>Tahsin</v>
      </c>
      <c r="O15" s="22"/>
      <c r="P15" s="20"/>
      <c r="Q15" s="20"/>
      <c r="R15" s="20"/>
      <c r="S15" s="20"/>
      <c r="T15" s="20"/>
      <c r="U15" s="20"/>
      <c r="V15" s="20"/>
      <c r="W15" s="20"/>
      <c r="X15" s="20"/>
      <c r="Y15" s="20"/>
      <c r="Z15" s="20"/>
      <c r="AA15" s="20"/>
    </row>
    <row r="16">
      <c r="A16" s="21" t="s">
        <v>35</v>
      </c>
      <c r="B16" s="22" t="str">
        <f>IFERROR(__xludf.DUMMYFUNCTION("""COMPUTED_VALUE"""),"Landing Page")</f>
        <v>Landing Page</v>
      </c>
      <c r="C16" s="22" t="str">
        <f>IFERROR(__xludf.DUMMYFUNCTION("""COMPUTED_VALUE"""),"Pricing plans")</f>
        <v>Pricing plans</v>
      </c>
      <c r="D16" s="22" t="str">
        <f>IFERROR(__xludf.DUMMYFUNCTION("""COMPUTED_VALUE"""),"Excessive left and right margin in Pricing plans page")</f>
        <v>Excessive left and right margin in Pricing plans page</v>
      </c>
      <c r="E16" s="22" t="str">
        <f>IFERROR(__xludf.DUMMYFUNCTION("""COMPUTED_VALUE"""),"User opens Pricing planspage")</f>
        <v>User opens Pricing planspage</v>
      </c>
      <c r="F16" s="22" t="str">
        <f>IFERROR(__xludf.DUMMYFUNCTION("""COMPUTED_VALUE"""),"Navigate to Pricing plans page and observe left and right spacing")</f>
        <v>Navigate to Pricing plans page and observe left and right spacing</v>
      </c>
      <c r="G16" s="22" t="str">
        <f>IFERROR(__xludf.DUMMYFUNCTION("""COMPUTED_VALUE"""),"-")</f>
        <v>-</v>
      </c>
      <c r="H16" s="22" t="str">
        <f>IFERROR(__xludf.DUMMYFUNCTION("""COMPUTED_VALUE"""),"Page content should have balanced and reasonable horizontal margins")</f>
        <v>Page content should have balanced and reasonable horizontal margins</v>
      </c>
      <c r="I16" s="22" t="str">
        <f>IFERROR(__xludf.DUMMYFUNCTION("""COMPUTED_VALUE"""),"Content has too much margin on both left and right sides, making it look squeezed")</f>
        <v>Content has too much margin on both left and right sides, making it look squeezed</v>
      </c>
      <c r="J16" s="22" t="str">
        <f>IFERROR(__xludf.DUMMYFUNCTION("""COMPUTED_VALUE"""),"Fail")</f>
        <v>Fail</v>
      </c>
      <c r="K16" s="22" t="str">
        <f>IFERROR(__xludf.DUMMYFUNCTION("""COMPUTED_VALUE"""),"Low")</f>
        <v>Low</v>
      </c>
      <c r="L16" s="23" t="str">
        <f>IFERROR(__xludf.DUMMYFUNCTION("""COMPUTED_VALUE"""),"https://jam.dev/c/a6223bef-5dea-4331-863d-e15d04af8b63")</f>
        <v>https://jam.dev/c/a6223bef-5dea-4331-863d-e15d04af8b63</v>
      </c>
      <c r="M16" s="22" t="str">
        <f>IFERROR(__xludf.DUMMYFUNCTION("""COMPUTED_VALUE"""),"Reduce horizontal margins to better utilize space and improve layout balance")</f>
        <v>Reduce horizontal margins to better utilize space and improve layout balance</v>
      </c>
      <c r="N16" s="22" t="str">
        <f>IFERROR(__xludf.DUMMYFUNCTION("""COMPUTED_VALUE"""),"Tahsin")</f>
        <v>Tahsin</v>
      </c>
      <c r="O16" s="22"/>
      <c r="P16" s="20"/>
      <c r="Q16" s="20"/>
      <c r="R16" s="20"/>
      <c r="S16" s="20"/>
      <c r="T16" s="20"/>
      <c r="U16" s="20"/>
      <c r="V16" s="20"/>
      <c r="W16" s="20"/>
      <c r="X16" s="20"/>
      <c r="Y16" s="20"/>
      <c r="Z16" s="20"/>
      <c r="AA16" s="20"/>
    </row>
    <row r="17">
      <c r="A17" s="21" t="s">
        <v>36</v>
      </c>
      <c r="B17" s="22" t="str">
        <f>IFERROR(__xludf.DUMMYFUNCTION("""COMPUTED_VALUE"""),"Landing Page")</f>
        <v>Landing Page</v>
      </c>
      <c r="C17" s="22" t="str">
        <f>IFERROR(__xludf.DUMMYFUNCTION("""COMPUTED_VALUE"""),"Home")</f>
        <v>Home</v>
      </c>
      <c r="D17" s="22" t="str">
        <f>IFERROR(__xludf.DUMMYFUNCTION("""COMPUTED_VALUE"""),"1. when I go to the user review page, the pricing table shifting its position (keeps moving), which is visually distracted
2. same for contact us, when I go to contact us section, reviews moving")</f>
        <v>1. when I go to the user review page, the pricing table shifting its position (keeps moving), which is visually distracted
2. same for contact us, when I go to contact us section, reviews moving</v>
      </c>
      <c r="E17" s="22" t="str">
        <f>IFERROR(__xludf.DUMMYFUNCTION("""COMPUTED_VALUE"""),"User navigates to user review page")</f>
        <v>User navigates to user review page</v>
      </c>
      <c r="F17" s="22" t="str">
        <f>IFERROR(__xludf.DUMMYFUNCTION("""COMPUTED_VALUE"""),"Go to user review page and observe pricing table behavior")</f>
        <v>Go to user review page and observe pricing table behavior</v>
      </c>
      <c r="G17" s="22" t="str">
        <f>IFERROR(__xludf.DUMMYFUNCTION("""COMPUTED_VALUE"""),"-")</f>
        <v>-</v>
      </c>
      <c r="H17" s="22" t="str">
        <f>IFERROR(__xludf.DUMMYFUNCTION("""COMPUTED_VALUE"""),"Pricing table should stay fixed in position without movement")</f>
        <v>Pricing table should stay fixed in position without movement</v>
      </c>
      <c r="I17" s="22" t="str">
        <f>IFERROR(__xludf.DUMMYFUNCTION("""COMPUTED_VALUE"""),"Pricing table keeps shifting its position, causing visual distraction")</f>
        <v>Pricing table keeps shifting its position, causing visual distraction</v>
      </c>
      <c r="J17" s="22" t="str">
        <f>IFERROR(__xludf.DUMMYFUNCTION("""COMPUTED_VALUE"""),"Fail")</f>
        <v>Fail</v>
      </c>
      <c r="K17" s="22" t="str">
        <f>IFERROR(__xludf.DUMMYFUNCTION("""COMPUTED_VALUE"""),"Medium")</f>
        <v>Medium</v>
      </c>
      <c r="L17" s="22"/>
      <c r="M17" s="22" t="str">
        <f>IFERROR(__xludf.DUMMYFUNCTION("""COMPUTED_VALUE"""),"Fix layout stability to ensure pricing table remains in a fixed position")</f>
        <v>Fix layout stability to ensure pricing table remains in a fixed position</v>
      </c>
      <c r="N17" s="22" t="str">
        <f>IFERROR(__xludf.DUMMYFUNCTION("""COMPUTED_VALUE"""),"Tahsin")</f>
        <v>Tahsin</v>
      </c>
      <c r="O17" s="22"/>
      <c r="P17" s="20"/>
      <c r="Q17" s="20"/>
      <c r="R17" s="20"/>
      <c r="S17" s="20"/>
      <c r="T17" s="20"/>
      <c r="U17" s="20"/>
      <c r="V17" s="20"/>
      <c r="W17" s="20"/>
      <c r="X17" s="20"/>
      <c r="Y17" s="20"/>
      <c r="Z17" s="20"/>
      <c r="AA17" s="20"/>
    </row>
    <row r="18">
      <c r="A18" s="21" t="s">
        <v>37</v>
      </c>
      <c r="B18" s="22" t="str">
        <f>IFERROR(__xludf.DUMMYFUNCTION("""COMPUTED_VALUE"""),"Landing Page")</f>
        <v>Landing Page</v>
      </c>
      <c r="C18" s="22" t="str">
        <f>IFERROR(__xludf.DUMMYFUNCTION("""COMPUTED_VALUE"""),"Landing Page")</f>
        <v>Landing Page</v>
      </c>
      <c r="D18" s="22" t="str">
        <f>IFERROR(__xludf.DUMMYFUNCTION("""COMPUTED_VALUE"""),"Excessive left and right margin on landing page (excluding home)")</f>
        <v>Excessive left and right margin on landing page (excluding home)</v>
      </c>
      <c r="E18" s="22" t="str">
        <f>IFERROR(__xludf.DUMMYFUNCTION("""COMPUTED_VALUE"""),"User opens landing page and scrolls below home section")</f>
        <v>User opens landing page and scrolls below home section</v>
      </c>
      <c r="F18" s="22" t="str">
        <f>IFERROR(__xludf.DUMMYFUNCTION("""COMPUTED_VALUE"""),"Observe margin on all sections except the home section")</f>
        <v>Observe margin on all sections except the home section</v>
      </c>
      <c r="G18" s="22" t="str">
        <f>IFERROR(__xludf.DUMMYFUNCTION("""COMPUTED_VALUE"""),"-")</f>
        <v>-</v>
      </c>
      <c r="H18" s="22" t="str">
        <f>IFERROR(__xludf.DUMMYFUNCTION("""COMPUTED_VALUE"""),"Page sections should have balanced left and right spacing")</f>
        <v>Page sections should have balanced left and right spacing</v>
      </c>
      <c r="I18" s="22" t="str">
        <f>IFERROR(__xludf.DUMMYFUNCTION("""COMPUTED_VALUE"""),"Margins on left and right are too wide, wasting space and compressing content")</f>
        <v>Margins on left and right are too wide, wasting space and compressing content</v>
      </c>
      <c r="J18" s="22" t="str">
        <f>IFERROR(__xludf.DUMMYFUNCTION("""COMPUTED_VALUE"""),"Fail")</f>
        <v>Fail</v>
      </c>
      <c r="K18" s="22" t="str">
        <f>IFERROR(__xludf.DUMMYFUNCTION("""COMPUTED_VALUE"""),"Low")</f>
        <v>Low</v>
      </c>
      <c r="L18" s="22"/>
      <c r="M18" s="22" t="str">
        <f>IFERROR(__xludf.DUMMYFUNCTION("""COMPUTED_VALUE"""),"Reduce horizontal margins on all sections of the landing page except the home section")</f>
        <v>Reduce horizontal margins on all sections of the landing page except the home section</v>
      </c>
      <c r="N18" s="22" t="str">
        <f>IFERROR(__xludf.DUMMYFUNCTION("""COMPUTED_VALUE"""),"Tahsin")</f>
        <v>Tahsin</v>
      </c>
      <c r="O18" s="22"/>
      <c r="P18" s="20"/>
      <c r="Q18" s="20"/>
      <c r="R18" s="20"/>
      <c r="S18" s="20"/>
      <c r="T18" s="20"/>
      <c r="U18" s="20"/>
      <c r="V18" s="20"/>
      <c r="W18" s="20"/>
      <c r="X18" s="20"/>
      <c r="Y18" s="20"/>
      <c r="Z18" s="20"/>
      <c r="AA18" s="20"/>
    </row>
    <row r="19">
      <c r="A19" s="21" t="s">
        <v>38</v>
      </c>
      <c r="B19" s="22" t="str">
        <f>IFERROR(__xludf.DUMMYFUNCTION("""COMPUTED_VALUE"""),"Sign Up")</f>
        <v>Sign Up</v>
      </c>
      <c r="C19" s="22" t="str">
        <f>IFERROR(__xludf.DUMMYFUNCTION("""COMPUTED_VALUE"""),"Sign up")</f>
        <v>Sign up</v>
      </c>
      <c r="D19" s="22" t="str">
        <f>IFERROR(__xludf.DUMMYFUNCTION("""COMPUTED_VALUE"""),"The signup page has a button in the top left corner that redirects to the home page when clicked.")</f>
        <v>The signup page has a button in the top left corner that redirects to the home page when clicked.</v>
      </c>
      <c r="E19" s="22" t="str">
        <f>IFERROR(__xludf.DUMMYFUNCTION("""COMPUTED_VALUE"""),"User must be in web browser")</f>
        <v>User must be in web browser</v>
      </c>
      <c r="F19" s="22" t="str">
        <f>IFERROR(__xludf.DUMMYFUNCTION("""COMPUTED_VALUE"""),"1. Open Noahzipp
2. Click on Login
3. Select login or register")</f>
        <v>1. Open Noahzipp
2. Click on Login
3. Select login or register</v>
      </c>
      <c r="G19" s="22" t="str">
        <f>IFERROR(__xludf.DUMMYFUNCTION("""COMPUTED_VALUE"""),"N/A")</f>
        <v>N/A</v>
      </c>
      <c r="H19" s="22" t="str">
        <f>IFERROR(__xludf.DUMMYFUNCTION("""COMPUTED_VALUE"""),"Based on the client's requirements, there should be no button in the top left corner.")</f>
        <v>Based on the client's requirements, there should be no button in the top left corner.</v>
      </c>
      <c r="I19" s="22" t="str">
        <f>IFERROR(__xludf.DUMMYFUNCTION("""COMPUTED_VALUE"""),"A button in the top left corner has been noticed, which redirects to the homepage when clicked.")</f>
        <v>A button in the top left corner has been noticed, which redirects to the homepage when clicked.</v>
      </c>
      <c r="J19" s="22" t="str">
        <f>IFERROR(__xludf.DUMMYFUNCTION("""COMPUTED_VALUE"""),"Fail")</f>
        <v>Fail</v>
      </c>
      <c r="K19" s="22" t="str">
        <f>IFERROR(__xludf.DUMMYFUNCTION("""COMPUTED_VALUE"""),"Low")</f>
        <v>Low</v>
      </c>
      <c r="L19" s="23" t="str">
        <f>IFERROR(__xludf.DUMMYFUNCTION("""COMPUTED_VALUE"""),"https://jam.dev/c/e40a99df-5707-4a83-b66e-16fa0e384ee6")</f>
        <v>https://jam.dev/c/e40a99df-5707-4a83-b66e-16fa0e384ee6</v>
      </c>
      <c r="M19" s="22"/>
      <c r="N19" s="22" t="str">
        <f>IFERROR(__xludf.DUMMYFUNCTION("""COMPUTED_VALUE"""),"Fahad")</f>
        <v>Fahad</v>
      </c>
      <c r="O19" s="22"/>
      <c r="P19" s="20"/>
      <c r="Q19" s="20"/>
      <c r="R19" s="20"/>
      <c r="S19" s="20"/>
      <c r="T19" s="20"/>
      <c r="U19" s="20"/>
      <c r="V19" s="20"/>
      <c r="W19" s="20"/>
      <c r="X19" s="20"/>
      <c r="Y19" s="20"/>
      <c r="Z19" s="20"/>
      <c r="AA19" s="20"/>
    </row>
    <row r="20">
      <c r="A20" s="21" t="s">
        <v>39</v>
      </c>
      <c r="B20" s="22" t="str">
        <f>IFERROR(__xludf.DUMMYFUNCTION("""COMPUTED_VALUE"""),"Sign Up")</f>
        <v>Sign Up</v>
      </c>
      <c r="C20" s="22" t="str">
        <f>IFERROR(__xludf.DUMMYFUNCTION("""COMPUTED_VALUE"""),"Sign up")</f>
        <v>Sign up</v>
      </c>
      <c r="D20" s="22" t="str">
        <f>IFERROR(__xludf.DUMMYFUNCTION("""COMPUTED_VALUE"""),"The password field displays a visible icon when no password is entered.")</f>
        <v>The password field displays a visible icon when no password is entered.</v>
      </c>
      <c r="E20" s="22" t="str">
        <f>IFERROR(__xludf.DUMMYFUNCTION("""COMPUTED_VALUE"""),"User must be in web browser")</f>
        <v>User must be in web browser</v>
      </c>
      <c r="F20" s="22" t="str">
        <f>IFERROR(__xludf.DUMMYFUNCTION("""COMPUTED_VALUE"""),"1. Open Noahzipp
2. Click on Login
3. Select login or register")</f>
        <v>1. Open Noahzipp
2. Click on Login
3. Select login or register</v>
      </c>
      <c r="G20" s="22" t="str">
        <f>IFERROR(__xludf.DUMMYFUNCTION("""COMPUTED_VALUE"""),"N/A")</f>
        <v>N/A</v>
      </c>
      <c r="H20" s="22" t="str">
        <f>IFERROR(__xludf.DUMMYFUNCTION("""COMPUTED_VALUE"""),"When a password is entered, a visible icon should appear, and when it is pressed, an invisible icon should replace it.")</f>
        <v>When a password is entered, a visible icon should appear, and when it is pressed, an invisible icon should replace it.</v>
      </c>
      <c r="I20" s="22" t="str">
        <f>IFERROR(__xludf.DUMMYFUNCTION("""COMPUTED_VALUE"""),"By default, a visible icon appears when the password has not been entered.")</f>
        <v>By default, a visible icon appears when the password has not been entered.</v>
      </c>
      <c r="J20" s="22" t="str">
        <f>IFERROR(__xludf.DUMMYFUNCTION("""COMPUTED_VALUE"""),"Fail")</f>
        <v>Fail</v>
      </c>
      <c r="K20" s="22" t="str">
        <f>IFERROR(__xludf.DUMMYFUNCTION("""COMPUTED_VALUE"""),"Low")</f>
        <v>Low</v>
      </c>
      <c r="L20" s="23" t="str">
        <f>IFERROR(__xludf.DUMMYFUNCTION("""COMPUTED_VALUE"""),"https://jam.dev/c/e28672e5-306f-48a8-b64f-8f07a5c03f6c")</f>
        <v>https://jam.dev/c/e28672e5-306f-48a8-b64f-8f07a5c03f6c</v>
      </c>
      <c r="M20" s="22" t="str">
        <f>IFERROR(__xludf.DUMMYFUNCTION("""COMPUTED_VALUE""")," For example: Facebook login page")</f>
        <v> For example: Facebook login page</v>
      </c>
      <c r="N20" s="22" t="str">
        <f>IFERROR(__xludf.DUMMYFUNCTION("""COMPUTED_VALUE"""),"Fahad")</f>
        <v>Fahad</v>
      </c>
      <c r="O20" s="22"/>
      <c r="P20" s="20"/>
      <c r="Q20" s="20"/>
      <c r="R20" s="20"/>
      <c r="S20" s="20"/>
      <c r="T20" s="20"/>
      <c r="U20" s="20"/>
      <c r="V20" s="20"/>
      <c r="W20" s="20"/>
      <c r="X20" s="20"/>
      <c r="Y20" s="20"/>
      <c r="Z20" s="20"/>
      <c r="AA20" s="20"/>
    </row>
    <row r="21">
      <c r="A21" s="21" t="s">
        <v>40</v>
      </c>
      <c r="B21" s="22" t="str">
        <f>IFERROR(__xludf.DUMMYFUNCTION("""COMPUTED_VALUE"""),"Sign Up")</f>
        <v>Sign Up</v>
      </c>
      <c r="C21" s="22" t="str">
        <f>IFERROR(__xludf.DUMMYFUNCTION("""COMPUTED_VALUE"""),"Sign up")</f>
        <v>Sign up</v>
      </c>
      <c r="D21" s="22" t="str">
        <f>IFERROR(__xludf.DUMMYFUNCTION("""COMPUTED_VALUE"""),"The password field displays two icons when a password is entered, and both are functioning correctly.")</f>
        <v>The password field displays two icons when a password is entered, and both are functioning correctly.</v>
      </c>
      <c r="E21" s="22" t="str">
        <f>IFERROR(__xludf.DUMMYFUNCTION("""COMPUTED_VALUE"""),"User must be in web browser")</f>
        <v>User must be in web browser</v>
      </c>
      <c r="F21" s="22" t="str">
        <f>IFERROR(__xludf.DUMMYFUNCTION("""COMPUTED_VALUE"""),"1. Open Noahzipp
2. Click on Login
3. Select login or register")</f>
        <v>1. Open Noahzipp
2. Click on Login
3. Select login or register</v>
      </c>
      <c r="G21" s="22" t="str">
        <f>IFERROR(__xludf.DUMMYFUNCTION("""COMPUTED_VALUE"""),"N/A")</f>
        <v>N/A</v>
      </c>
      <c r="H21" s="22" t="str">
        <f>IFERROR(__xludf.DUMMYFUNCTION("""COMPUTED_VALUE"""),"When the password is entered, the icon should appear, and there should only be one functional icon displayed.")</f>
        <v>When the password is entered, the icon should appear, and there should only be one functional icon displayed.</v>
      </c>
      <c r="I21" s="22" t="str">
        <f>IFERROR(__xludf.DUMMYFUNCTION("""COMPUTED_VALUE"""),"Multiple icons are visible, and both are functioning properly. When one is pressed, the other disappears.")</f>
        <v>Multiple icons are visible, and both are functioning properly. When one is pressed, the other disappears.</v>
      </c>
      <c r="J21" s="22" t="str">
        <f>IFERROR(__xludf.DUMMYFUNCTION("""COMPUTED_VALUE"""),"Fail")</f>
        <v>Fail</v>
      </c>
      <c r="K21" s="22" t="str">
        <f>IFERROR(__xludf.DUMMYFUNCTION("""COMPUTED_VALUE"""),"Low")</f>
        <v>Low</v>
      </c>
      <c r="L21" s="23" t="str">
        <f>IFERROR(__xludf.DUMMYFUNCTION("""COMPUTED_VALUE"""),"https://jam.dev/c/89eddb34-3929-4c78-9ab2-13330b340d7c")</f>
        <v>https://jam.dev/c/89eddb34-3929-4c78-9ab2-13330b340d7c</v>
      </c>
      <c r="M21" s="22"/>
      <c r="N21" s="22" t="str">
        <f>IFERROR(__xludf.DUMMYFUNCTION("""COMPUTED_VALUE"""),"Fahad")</f>
        <v>Fahad</v>
      </c>
      <c r="O21" s="22"/>
      <c r="P21" s="20"/>
      <c r="Q21" s="20"/>
      <c r="R21" s="20"/>
      <c r="S21" s="20"/>
      <c r="T21" s="20"/>
      <c r="U21" s="20"/>
      <c r="V21" s="20"/>
      <c r="W21" s="20"/>
      <c r="X21" s="20"/>
      <c r="Y21" s="20"/>
      <c r="Z21" s="20"/>
      <c r="AA21" s="20"/>
    </row>
    <row r="22">
      <c r="A22" s="21" t="s">
        <v>41</v>
      </c>
      <c r="B22" s="22" t="str">
        <f>IFERROR(__xludf.DUMMYFUNCTION("""COMPUTED_VALUE"""),"Sign Up")</f>
        <v>Sign Up</v>
      </c>
      <c r="C22" s="22" t="str">
        <f>IFERROR(__xludf.DUMMYFUNCTION("""COMPUTED_VALUE"""),"Sign up")</f>
        <v>Sign up</v>
      </c>
      <c r="D22" s="22" t="str">
        <f>IFERROR(__xludf.DUMMYFUNCTION("""COMPUTED_VALUE"""),"The password strength indicator and the strong password recommendation feature have not been implemented.")</f>
        <v>The password strength indicator and the strong password recommendation feature have not been implemented.</v>
      </c>
      <c r="E22" s="22" t="str">
        <f>IFERROR(__xludf.DUMMYFUNCTION("""COMPUTED_VALUE"""),"User must be in web browser")</f>
        <v>User must be in web browser</v>
      </c>
      <c r="F22" s="22" t="str">
        <f>IFERROR(__xludf.DUMMYFUNCTION("""COMPUTED_VALUE"""),"1. Open Noahzipp
2. Click on Login
3. Select login or register")</f>
        <v>1. Open Noahzipp
2. Click on Login
3. Select login or register</v>
      </c>
      <c r="G22" s="22" t="str">
        <f>IFERROR(__xludf.DUMMYFUNCTION("""COMPUTED_VALUE"""),"N/A")</f>
        <v>N/A</v>
      </c>
      <c r="H22" s="22" t="str">
        <f>IFERROR(__xludf.DUMMYFUNCTION("""COMPUTED_VALUE"""),"When users enter their desired password on a web sign-up page, the field should display the password's strength and provide recommendations on how to make it stronger.")</f>
        <v>When users enter their desired password on a web sign-up page, the field should display the password's strength and provide recommendations on how to make it stronger.</v>
      </c>
      <c r="I22" s="22" t="str">
        <f>IFERROR(__xludf.DUMMYFUNCTION("""COMPUTED_VALUE"""),"No password length has been specified, nor has the strength level of the password been addressed. Recommendations on how to create a strong password are also missing.")</f>
        <v>No password length has been specified, nor has the strength level of the password been addressed. Recommendations on how to create a strong password are also missing.</v>
      </c>
      <c r="J22" s="22" t="str">
        <f>IFERROR(__xludf.DUMMYFUNCTION("""COMPUTED_VALUE"""),"Fail")</f>
        <v>Fail</v>
      </c>
      <c r="K22" s="22" t="str">
        <f>IFERROR(__xludf.DUMMYFUNCTION("""COMPUTED_VALUE"""),"High")</f>
        <v>High</v>
      </c>
      <c r="L22" s="23" t="str">
        <f>IFERROR(__xludf.DUMMYFUNCTION("""COMPUTED_VALUE"""),"https://jam.dev/c/afec5bd3-8768-4333-bb11-3193b9eb77a3")</f>
        <v>https://jam.dev/c/afec5bd3-8768-4333-bb11-3193b9eb77a3</v>
      </c>
      <c r="M22" s="23" t="str">
        <f>IFERROR(__xludf.DUMMYFUNCTION("""COMPUTED_VALUE"""),"https://www.lifewire.com/strong-password-examples-2483118")</f>
        <v>https://www.lifewire.com/strong-password-examples-2483118</v>
      </c>
      <c r="N22" s="22" t="str">
        <f>IFERROR(__xludf.DUMMYFUNCTION("""COMPUTED_VALUE"""),"Fahad")</f>
        <v>Fahad</v>
      </c>
      <c r="O22" s="22"/>
      <c r="P22" s="20"/>
      <c r="Q22" s="20"/>
      <c r="R22" s="20"/>
      <c r="S22" s="20"/>
      <c r="T22" s="20"/>
      <c r="U22" s="20"/>
      <c r="V22" s="20"/>
      <c r="W22" s="20"/>
      <c r="X22" s="20"/>
      <c r="Y22" s="20"/>
      <c r="Z22" s="20"/>
      <c r="AA22" s="20"/>
    </row>
    <row r="23">
      <c r="A23" s="21" t="s">
        <v>42</v>
      </c>
      <c r="B23" s="22" t="str">
        <f>IFERROR(__xludf.DUMMYFUNCTION("""COMPUTED_VALUE"""),"Sign Up")</f>
        <v>Sign Up</v>
      </c>
      <c r="C23" s="22" t="str">
        <f>IFERROR(__xludf.DUMMYFUNCTION("""COMPUTED_VALUE"""),"Sign up")</f>
        <v>Sign up</v>
      </c>
      <c r="D23" s="22" t="str">
        <f>IFERROR(__xludf.DUMMYFUNCTION("""COMPUTED_VALUE"""),"The Google sign-up icon is not working.")</f>
        <v>The Google sign-up icon is not working.</v>
      </c>
      <c r="E23" s="22" t="str">
        <f>IFERROR(__xludf.DUMMYFUNCTION("""COMPUTED_VALUE"""),"User must be in web browser")</f>
        <v>User must be in web browser</v>
      </c>
      <c r="F23" s="22" t="str">
        <f>IFERROR(__xludf.DUMMYFUNCTION("""COMPUTED_VALUE"""),"1. Open Noahzipp
2. Click on Login
3. Select login or register")</f>
        <v>1. Open Noahzipp
2. Click on Login
3. Select login or register</v>
      </c>
      <c r="G23" s="22" t="str">
        <f>IFERROR(__xludf.DUMMYFUNCTION("""COMPUTED_VALUE"""),"N/A")</f>
        <v>N/A</v>
      </c>
      <c r="H23" s="22" t="str">
        <f>IFERROR(__xludf.DUMMYFUNCTION("""COMPUTED_VALUE"""),"The ""Sign Up with Google"" option should include a clear Google icon to help users easily identify the platform they are signing up or logging into.")</f>
        <v>The "Sign Up with Google" option should include a clear Google icon to help users easily identify the platform they are signing up or logging into.</v>
      </c>
      <c r="I23" s="22" t="str">
        <f>IFERROR(__xludf.DUMMYFUNCTION("""COMPUTED_VALUE"""),"The missing Google icon in the signup form could cause confusion for users.")</f>
        <v>The missing Google icon in the signup form could cause confusion for users.</v>
      </c>
      <c r="J23" s="22" t="str">
        <f>IFERROR(__xludf.DUMMYFUNCTION("""COMPUTED_VALUE"""),"Fail")</f>
        <v>Fail</v>
      </c>
      <c r="K23" s="22" t="str">
        <f>IFERROR(__xludf.DUMMYFUNCTION("""COMPUTED_VALUE"""),"Low")</f>
        <v>Low</v>
      </c>
      <c r="L23" s="23" t="str">
        <f>IFERROR(__xludf.DUMMYFUNCTION("""COMPUTED_VALUE"""),"https://jam.dev/c/397c9fcb-8c37-44b7-b0c6-0b35ec064a79")</f>
        <v>https://jam.dev/c/397c9fcb-8c37-44b7-b0c6-0b35ec064a79</v>
      </c>
      <c r="M23" s="22"/>
      <c r="N23" s="22" t="str">
        <f>IFERROR(__xludf.DUMMYFUNCTION("""COMPUTED_VALUE"""),"Fahad")</f>
        <v>Fahad</v>
      </c>
      <c r="O23" s="22"/>
      <c r="P23" s="20"/>
      <c r="Q23" s="20"/>
      <c r="R23" s="20"/>
      <c r="S23" s="20"/>
      <c r="T23" s="20"/>
      <c r="U23" s="20"/>
      <c r="V23" s="20"/>
      <c r="W23" s="20"/>
      <c r="X23" s="20"/>
      <c r="Y23" s="20"/>
      <c r="Z23" s="20"/>
      <c r="AA23" s="20"/>
    </row>
    <row r="24">
      <c r="A24" s="21" t="s">
        <v>43</v>
      </c>
      <c r="B24" s="22" t="str">
        <f>IFERROR(__xludf.DUMMYFUNCTION("""COMPUTED_VALUE"""),"Sign Up")</f>
        <v>Sign Up</v>
      </c>
      <c r="C24" s="22" t="str">
        <f>IFERROR(__xludf.DUMMYFUNCTION("""COMPUTED_VALUE"""),"OTP")</f>
        <v>OTP</v>
      </c>
      <c r="D24" s="22" t="str">
        <f>IFERROR(__xludf.DUMMYFUNCTION("""COMPUTED_VALUE"""),"Failed to receive OTP while trying to register.")</f>
        <v>Failed to receive OTP while trying to register.</v>
      </c>
      <c r="E24" s="22" t="str">
        <f>IFERROR(__xludf.DUMMYFUNCTION("""COMPUTED_VALUE"""),"User must be in web browser")</f>
        <v>User must be in web browser</v>
      </c>
      <c r="F24" s="22" t="str">
        <f>IFERROR(__xludf.DUMMYFUNCTION("""COMPUTED_VALUE"""),"1. Open Noahzipp
2. Click on Login
3. Select login or register")</f>
        <v>1. Open Noahzipp
2. Click on Login
3. Select login or register</v>
      </c>
      <c r="G24" s="22" t="str">
        <f>IFERROR(__xludf.DUMMYFUNCTION("""COMPUTED_VALUE"""),"Email : zsdrrmntpojuyajfld@fxavaj.com
Pass : 123456")</f>
        <v>Email : zsdrrmntpojuyajfld@fxavaj.com
Pass : 123456</v>
      </c>
      <c r="H24" s="22" t="str">
        <f>IFERROR(__xludf.DUMMYFUNCTION("""COMPUTED_VALUE"""),"After entering their email and password during registration, users should receive an OTP to enhance authentication.")</f>
        <v>After entering their email and password during registration, users should receive an OTP to enhance authentication.</v>
      </c>
      <c r="I24" s="22" t="str">
        <f>IFERROR(__xludf.DUMMYFUNCTION("""COMPUTED_VALUE"""),"Unable to receive the OTP in the registered email. Entering a random OTP and clicking then redirects to the login page.")</f>
        <v>Unable to receive the OTP in the registered email. Entering a random OTP and clicking then redirects to the login page.</v>
      </c>
      <c r="J24" s="22" t="str">
        <f>IFERROR(__xludf.DUMMYFUNCTION("""COMPUTED_VALUE"""),"Fail")</f>
        <v>Fail</v>
      </c>
      <c r="K24" s="22" t="str">
        <f>IFERROR(__xludf.DUMMYFUNCTION("""COMPUTED_VALUE"""),"High")</f>
        <v>High</v>
      </c>
      <c r="L24" s="23" t="str">
        <f>IFERROR(__xludf.DUMMYFUNCTION("""COMPUTED_VALUE"""),"https://jam.dev/c/1eb96914-bad0-4f46-befa-0be67c4f57ef")</f>
        <v>https://jam.dev/c/1eb96914-bad0-4f46-befa-0be67c4f57ef</v>
      </c>
      <c r="M24" s="22"/>
      <c r="N24" s="22" t="str">
        <f>IFERROR(__xludf.DUMMYFUNCTION("""COMPUTED_VALUE"""),"Fahad")</f>
        <v>Fahad</v>
      </c>
      <c r="O24" s="22"/>
      <c r="P24" s="20"/>
      <c r="Q24" s="20"/>
      <c r="R24" s="20"/>
      <c r="S24" s="20"/>
      <c r="T24" s="20"/>
      <c r="U24" s="20"/>
      <c r="V24" s="20"/>
      <c r="W24" s="20"/>
      <c r="X24" s="20"/>
      <c r="Y24" s="20"/>
      <c r="Z24" s="20"/>
      <c r="AA24" s="20"/>
    </row>
    <row r="25">
      <c r="A25" s="21" t="s">
        <v>44</v>
      </c>
      <c r="B25" s="22" t="str">
        <f>IFERROR(__xludf.DUMMYFUNCTION("""COMPUTED_VALUE"""),"Sign Up")</f>
        <v>Sign Up</v>
      </c>
      <c r="C25" s="22" t="str">
        <f>IFERROR(__xludf.DUMMYFUNCTION("""COMPUTED_VALUE"""),"OTP")</f>
        <v>OTP</v>
      </c>
      <c r="D25" s="22" t="str">
        <f>IFERROR(__xludf.DUMMYFUNCTION("""COMPUTED_VALUE"""),"The UI does not match the client's requirements.")</f>
        <v>The UI does not match the client's requirements.</v>
      </c>
      <c r="E25" s="22" t="str">
        <f>IFERROR(__xludf.DUMMYFUNCTION("""COMPUTED_VALUE"""),"User must be in web browser")</f>
        <v>User must be in web browser</v>
      </c>
      <c r="F25" s="22" t="str">
        <f>IFERROR(__xludf.DUMMYFUNCTION("""COMPUTED_VALUE"""),"1. Open Noahzipp
2. Click on Login
3. Select login or register")</f>
        <v>1. Open Noahzipp
2. Click on Login
3. Select login or register</v>
      </c>
      <c r="G25" s="22" t="str">
        <f>IFERROR(__xludf.DUMMYFUNCTION("""COMPUTED_VALUE"""),"Email : zsdrrmntpojuyajfld@fxavaj.com
Pass : 123456")</f>
        <v>Email : zsdrrmntpojuyajfld@fxavaj.com
Pass : 123456</v>
      </c>
      <c r="H25" s="22" t="str">
        <f>IFERROR(__xludf.DUMMYFUNCTION("""COMPUTED_VALUE"""),"UI design should align with client requirements to ensure their satisfaction.")</f>
        <v>UI design should align with client requirements to ensure their satisfaction.</v>
      </c>
      <c r="I25" s="22" t="str">
        <f>IFERROR(__xludf.DUMMYFUNCTION("""COMPUTED_VALUE"""),"A different UI from the client's requirements was noticed, which could result in client dissatisfaction.")</f>
        <v>A different UI from the client's requirements was noticed, which could result in client dissatisfaction.</v>
      </c>
      <c r="J25" s="22" t="str">
        <f>IFERROR(__xludf.DUMMYFUNCTION("""COMPUTED_VALUE"""),"Fail")</f>
        <v>Fail</v>
      </c>
      <c r="K25" s="22" t="str">
        <f>IFERROR(__xludf.DUMMYFUNCTION("""COMPUTED_VALUE"""),"Medium")</f>
        <v>Medium</v>
      </c>
      <c r="L25" s="23" t="str">
        <f>IFERROR(__xludf.DUMMYFUNCTION("""COMPUTED_VALUE"""),"https://jam.dev/c/9c3b7e94-8649-4511-9224-4310e0338d0e")</f>
        <v>https://jam.dev/c/9c3b7e94-8649-4511-9224-4310e0338d0e</v>
      </c>
      <c r="M25" s="22"/>
      <c r="N25" s="22" t="str">
        <f>IFERROR(__xludf.DUMMYFUNCTION("""COMPUTED_VALUE"""),"Fahad")</f>
        <v>Fahad</v>
      </c>
      <c r="O25" s="22"/>
      <c r="P25" s="20"/>
      <c r="Q25" s="20"/>
      <c r="R25" s="20"/>
      <c r="S25" s="20"/>
      <c r="T25" s="20"/>
      <c r="U25" s="20"/>
      <c r="V25" s="20"/>
      <c r="W25" s="20"/>
      <c r="X25" s="20"/>
      <c r="Y25" s="20"/>
      <c r="Z25" s="20"/>
      <c r="AA25" s="20"/>
    </row>
    <row r="26">
      <c r="A26" s="21" t="s">
        <v>45</v>
      </c>
      <c r="B26" s="22" t="str">
        <f>IFERROR(__xludf.DUMMYFUNCTION("""COMPUTED_VALUE"""),"Sign Up")</f>
        <v>Sign Up</v>
      </c>
      <c r="C26" s="22" t="str">
        <f>IFERROR(__xludf.DUMMYFUNCTION("""COMPUTED_VALUE"""),"OTP")</f>
        <v>OTP</v>
      </c>
      <c r="D26" s="22" t="str">
        <f>IFERROR(__xludf.DUMMYFUNCTION("""COMPUTED_VALUE"""),"Image in OTP page missing")</f>
        <v>Image in OTP page missing</v>
      </c>
      <c r="E26" s="22" t="str">
        <f>IFERROR(__xludf.DUMMYFUNCTION("""COMPUTED_VALUE"""),"User must be in web browser")</f>
        <v>User must be in web browser</v>
      </c>
      <c r="F26" s="22" t="str">
        <f>IFERROR(__xludf.DUMMYFUNCTION("""COMPUTED_VALUE"""),"1. Open Noahzipp
2. Click on Login
3. Select login or register")</f>
        <v>1. Open Noahzipp
2. Click on Login
3. Select login or register</v>
      </c>
      <c r="G26" s="22" t="str">
        <f>IFERROR(__xludf.DUMMYFUNCTION("""COMPUTED_VALUE"""),"Email : zsdrrmntpojuyajfld@fxavaj.com
Pass : 123456")</f>
        <v>Email : zsdrrmntpojuyajfld@fxavaj.com
Pass : 123456</v>
      </c>
      <c r="H26" s="22" t="str">
        <f>IFERROR(__xludf.DUMMYFUNCTION("""COMPUTED_VALUE"""),"The image used on the OTP page should be perfectly visible.")</f>
        <v>The image used on the OTP page should be perfectly visible.</v>
      </c>
      <c r="I26" s="22" t="str">
        <f>IFERROR(__xludf.DUMMYFUNCTION("""COMPUTED_VALUE"""),"A broken image on the OTP page has been noticed, which could result in client dissatisfaction.")</f>
        <v>A broken image on the OTP page has been noticed, which could result in client dissatisfaction.</v>
      </c>
      <c r="J26" s="22" t="str">
        <f>IFERROR(__xludf.DUMMYFUNCTION("""COMPUTED_VALUE"""),"Fail")</f>
        <v>Fail</v>
      </c>
      <c r="K26" s="22" t="str">
        <f>IFERROR(__xludf.DUMMYFUNCTION("""COMPUTED_VALUE"""),"Medium")</f>
        <v>Medium</v>
      </c>
      <c r="L26" s="23" t="str">
        <f>IFERROR(__xludf.DUMMYFUNCTION("""COMPUTED_VALUE"""),"https://jam.dev/c/445a626c-3d7e-4590-b837-ee7f0c6bb306")</f>
        <v>https://jam.dev/c/445a626c-3d7e-4590-b837-ee7f0c6bb306</v>
      </c>
      <c r="M26" s="22"/>
      <c r="N26" s="22" t="str">
        <f>IFERROR(__xludf.DUMMYFUNCTION("""COMPUTED_VALUE"""),"Fahad")</f>
        <v>Fahad</v>
      </c>
      <c r="O26" s="22"/>
      <c r="P26" s="20"/>
      <c r="Q26" s="20"/>
      <c r="R26" s="20"/>
      <c r="S26" s="20"/>
      <c r="T26" s="20"/>
      <c r="U26" s="20"/>
      <c r="V26" s="20"/>
      <c r="W26" s="20"/>
      <c r="X26" s="20"/>
      <c r="Y26" s="20"/>
      <c r="Z26" s="20"/>
      <c r="AA26" s="20"/>
    </row>
    <row r="27">
      <c r="A27" s="21" t="s">
        <v>46</v>
      </c>
      <c r="B27" s="22" t="str">
        <f>IFERROR(__xludf.DUMMYFUNCTION("""COMPUTED_VALUE"""),"Sign Up")</f>
        <v>Sign Up</v>
      </c>
      <c r="C27" s="22" t="str">
        <f>IFERROR(__xludf.DUMMYFUNCTION("""COMPUTED_VALUE"""),"OTP")</f>
        <v>OTP</v>
      </c>
      <c r="D27" s="22" t="str">
        <f>IFERROR(__xludf.DUMMYFUNCTION("""COMPUTED_VALUE"""),"Mail verified successfully page is missing.")</f>
        <v>Mail verified successfully page is missing.</v>
      </c>
      <c r="E27" s="22" t="str">
        <f>IFERROR(__xludf.DUMMYFUNCTION("""COMPUTED_VALUE"""),"User must be in web browser")</f>
        <v>User must be in web browser</v>
      </c>
      <c r="F27" s="22" t="str">
        <f>IFERROR(__xludf.DUMMYFUNCTION("""COMPUTED_VALUE"""),"1. Open Noahzipp
2. Click on Login
3. Select login or register")</f>
        <v>1. Open Noahzipp
2. Click on Login
3. Select login or register</v>
      </c>
      <c r="G27" s="22" t="str">
        <f>IFERROR(__xludf.DUMMYFUNCTION("""COMPUTED_VALUE"""),"Email : zsdrrmntpojuyajfld@fxavaj.com
Pass : 123456")</f>
        <v>Email : zsdrrmntpojuyajfld@fxavaj.com
Pass : 123456</v>
      </c>
      <c r="H27" s="22" t="str">
        <f>IFERROR(__xludf.DUMMYFUNCTION("""COMPUTED_VALUE"""),"After submitting a valid OTP, the user should be taken to the ""Mail Verified Successfully"" page, which will then redirect them to the login page.")</f>
        <v>After submitting a valid OTP, the user should be taken to the "Mail Verified Successfully" page, which will then redirect them to the login page.</v>
      </c>
      <c r="I27" s="22" t="str">
        <f>IFERROR(__xludf.DUMMYFUNCTION("""COMPUTED_VALUE"""),"The page flow is incomplete, and the OTP verified page is missing in the web app.")</f>
        <v>The page flow is incomplete, and the OTP verified page is missing in the web app.</v>
      </c>
      <c r="J27" s="22" t="str">
        <f>IFERROR(__xludf.DUMMYFUNCTION("""COMPUTED_VALUE"""),"Fail")</f>
        <v>Fail</v>
      </c>
      <c r="K27" s="22" t="str">
        <f>IFERROR(__xludf.DUMMYFUNCTION("""COMPUTED_VALUE"""),"High")</f>
        <v>High</v>
      </c>
      <c r="L27" s="23" t="str">
        <f>IFERROR(__xludf.DUMMYFUNCTION("""COMPUTED_VALUE"""),"https://jam.dev/c/0dac3e29-da27-4a42-8c66-1fa257d5040f")</f>
        <v>https://jam.dev/c/0dac3e29-da27-4a42-8c66-1fa257d5040f</v>
      </c>
      <c r="M27" s="22"/>
      <c r="N27" s="22" t="str">
        <f>IFERROR(__xludf.DUMMYFUNCTION("""COMPUTED_VALUE"""),"Fahad")</f>
        <v>Fahad</v>
      </c>
      <c r="O27" s="22"/>
      <c r="P27" s="20"/>
      <c r="Q27" s="20"/>
      <c r="R27" s="20"/>
      <c r="S27" s="20"/>
      <c r="T27" s="20"/>
      <c r="U27" s="20"/>
      <c r="V27" s="20"/>
      <c r="W27" s="20"/>
      <c r="X27" s="20"/>
      <c r="Y27" s="20"/>
      <c r="Z27" s="20"/>
      <c r="AA27" s="20"/>
    </row>
    <row r="28">
      <c r="A28" s="21" t="s">
        <v>47</v>
      </c>
      <c r="B28" s="22" t="str">
        <f>IFERROR(__xludf.DUMMYFUNCTION("""COMPUTED_VALUE"""),"Sign Up")</f>
        <v>Sign Up</v>
      </c>
      <c r="C28" s="22" t="str">
        <f>IFERROR(__xludf.DUMMYFUNCTION("""COMPUTED_VALUE"""),"Forget Passowrd")</f>
        <v>Forget Passowrd</v>
      </c>
      <c r="D28" s="22" t="str">
        <f>IFERROR(__xludf.DUMMYFUNCTION("""COMPUTED_VALUE"""),"Image in OTP page missing")</f>
        <v>Image in OTP page missing</v>
      </c>
      <c r="E28" s="22" t="str">
        <f>IFERROR(__xludf.DUMMYFUNCTION("""COMPUTED_VALUE"""),"User must be in web browser")</f>
        <v>User must be in web browser</v>
      </c>
      <c r="F28" s="22" t="str">
        <f>IFERROR(__xludf.DUMMYFUNCTION("""COMPUTED_VALUE"""),"1. Open Noahzipp
2. Click on Login
3. Select login or register")</f>
        <v>1. Open Noahzipp
2. Click on Login
3. Select login or register</v>
      </c>
      <c r="G28" s="22" t="str">
        <f>IFERROR(__xludf.DUMMYFUNCTION("""COMPUTED_VALUE"""),"Email : zsdrrmntpojuyajfld@fxavaj.com
Pass : 123456")</f>
        <v>Email : zsdrrmntpojuyajfld@fxavaj.com
Pass : 123456</v>
      </c>
      <c r="H28" s="22" t="str">
        <f>IFERROR(__xludf.DUMMYFUNCTION("""COMPUTED_VALUE"""),"The image used on the confirm email page should be perfectly visible.")</f>
        <v>The image used on the confirm email page should be perfectly visible.</v>
      </c>
      <c r="I28" s="22" t="str">
        <f>IFERROR(__xludf.DUMMYFUNCTION("""COMPUTED_VALUE"""),"A broken image on the confirm email page has been noticed, which could result in client dissatisfaction.")</f>
        <v>A broken image on the confirm email page has been noticed, which could result in client dissatisfaction.</v>
      </c>
      <c r="J28" s="22" t="str">
        <f>IFERROR(__xludf.DUMMYFUNCTION("""COMPUTED_VALUE"""),"Fail")</f>
        <v>Fail</v>
      </c>
      <c r="K28" s="22" t="str">
        <f>IFERROR(__xludf.DUMMYFUNCTION("""COMPUTED_VALUE"""),"Medium")</f>
        <v>Medium</v>
      </c>
      <c r="L28" s="23" t="str">
        <f>IFERROR(__xludf.DUMMYFUNCTION("""COMPUTED_VALUE"""),"https://jam.dev/c/371ce91c-f1da-44e8-89bc-a32b9cf16f03")</f>
        <v>https://jam.dev/c/371ce91c-f1da-44e8-89bc-a32b9cf16f03</v>
      </c>
      <c r="M28" s="22"/>
      <c r="N28" s="22" t="str">
        <f>IFERROR(__xludf.DUMMYFUNCTION("""COMPUTED_VALUE"""),"Fahad")</f>
        <v>Fahad</v>
      </c>
      <c r="O28" s="22"/>
      <c r="P28" s="20"/>
      <c r="Q28" s="20"/>
      <c r="R28" s="20"/>
      <c r="S28" s="20"/>
      <c r="T28" s="20"/>
      <c r="U28" s="20"/>
      <c r="V28" s="20"/>
      <c r="W28" s="20"/>
      <c r="X28" s="20"/>
      <c r="Y28" s="20"/>
      <c r="Z28" s="20"/>
      <c r="AA28" s="20"/>
    </row>
    <row r="29">
      <c r="A29" s="21" t="s">
        <v>48</v>
      </c>
      <c r="B29" s="22" t="str">
        <f>IFERROR(__xludf.DUMMYFUNCTION("""COMPUTED_VALUE"""),"Sign Up")</f>
        <v>Sign Up</v>
      </c>
      <c r="C29" s="22" t="str">
        <f>IFERROR(__xludf.DUMMYFUNCTION("""COMPUTED_VALUE"""),"Forget Passowrd")</f>
        <v>Forget Passowrd</v>
      </c>
      <c r="D29" s="22" t="str">
        <f>IFERROR(__xludf.DUMMYFUNCTION("""COMPUTED_VALUE"""),"Alignment issue")</f>
        <v>Alignment issue</v>
      </c>
      <c r="E29" s="22" t="str">
        <f>IFERROR(__xludf.DUMMYFUNCTION("""COMPUTED_VALUE"""),"User must be in web browser")</f>
        <v>User must be in web browser</v>
      </c>
      <c r="F29" s="22" t="str">
        <f>IFERROR(__xludf.DUMMYFUNCTION("""COMPUTED_VALUE"""),"1. Open Noahzipp
2. Click on Login
3. Select login or register")</f>
        <v>1. Open Noahzipp
2. Click on Login
3. Select login or register</v>
      </c>
      <c r="G29" s="22" t="str">
        <f>IFERROR(__xludf.DUMMYFUNCTION("""COMPUTED_VALUE"""),"Email : zsdrrmntpojuyajfld@fxavaj.com
Pass : 123456")</f>
        <v>Email : zsdrrmntpojuyajfld@fxavaj.com
Pass : 123456</v>
      </c>
      <c r="H29" s="22" t="str">
        <f>IFERROR(__xludf.DUMMYFUNCTION("""COMPUTED_VALUE"""),"Forget password option should be on right side below password field")</f>
        <v>Forget password option should be on right side below password field</v>
      </c>
      <c r="I29" s="22" t="str">
        <f>IFERROR(__xludf.DUMMYFUNCTION("""COMPUTED_VALUE"""),"Align on the left side, which is not accurate.")</f>
        <v>Align on the left side, which is not accurate.</v>
      </c>
      <c r="J29" s="22" t="str">
        <f>IFERROR(__xludf.DUMMYFUNCTION("""COMPUTED_VALUE"""),"Fail")</f>
        <v>Fail</v>
      </c>
      <c r="K29" s="22" t="str">
        <f>IFERROR(__xludf.DUMMYFUNCTION("""COMPUTED_VALUE"""),"Low")</f>
        <v>Low</v>
      </c>
      <c r="L29" s="23" t="str">
        <f>IFERROR(__xludf.DUMMYFUNCTION("""COMPUTED_VALUE"""),"https://jam.dev/c/79596992-21f0-4303-8e3e-9a8b2c98dfe0")</f>
        <v>https://jam.dev/c/79596992-21f0-4303-8e3e-9a8b2c98dfe0</v>
      </c>
      <c r="M29" s="22"/>
      <c r="N29" s="22" t="str">
        <f>IFERROR(__xludf.DUMMYFUNCTION("""COMPUTED_VALUE"""),"Fahad")</f>
        <v>Fahad</v>
      </c>
      <c r="O29" s="22"/>
      <c r="P29" s="20"/>
      <c r="Q29" s="20"/>
      <c r="R29" s="20"/>
      <c r="S29" s="20"/>
      <c r="T29" s="20"/>
      <c r="U29" s="20"/>
      <c r="V29" s="20"/>
      <c r="W29" s="20"/>
      <c r="X29" s="20"/>
      <c r="Y29" s="20"/>
      <c r="Z29" s="20"/>
      <c r="AA29" s="20"/>
    </row>
    <row r="30">
      <c r="A30" s="21" t="s">
        <v>49</v>
      </c>
      <c r="B30" s="22" t="str">
        <f>IFERROR(__xludf.DUMMYFUNCTION("""COMPUTED_VALUE"""),"Sign Up")</f>
        <v>Sign Up</v>
      </c>
      <c r="C30" s="22" t="str">
        <f>IFERROR(__xludf.DUMMYFUNCTION("""COMPUTED_VALUE"""),"AI Chat Bot")</f>
        <v>AI Chat Bot</v>
      </c>
      <c r="D30" s="22" t="str">
        <f>IFERROR(__xludf.DUMMYFUNCTION("""COMPUTED_VALUE"""),"Users can access the chatbot even without logging in.")</f>
        <v>Users can access the chatbot even without logging in.</v>
      </c>
      <c r="E30" s="22" t="str">
        <f>IFERROR(__xludf.DUMMYFUNCTION("""COMPUTED_VALUE"""),"User must be in web browser")</f>
        <v>User must be in web browser</v>
      </c>
      <c r="F30" s="22" t="str">
        <f>IFERROR(__xludf.DUMMYFUNCTION("""COMPUTED_VALUE"""),"1. Open Noahzipp
2. Click on Login
3. Select login or register")</f>
        <v>1. Open Noahzipp
2. Click on Login
3. Select login or register</v>
      </c>
      <c r="G30" s="22" t="str">
        <f>IFERROR(__xludf.DUMMYFUNCTION("""COMPUTED_VALUE"""),"Email : zsdrrmntpojuyajfld@fxavaj.com
Pass : 123456")</f>
        <v>Email : zsdrrmntpojuyajfld@fxavaj.com
Pass : 123456</v>
      </c>
      <c r="H30" s="22" t="str">
        <f>IFERROR(__xludf.DUMMYFUNCTION("""COMPUTED_VALUE"""),"Users can access the chatbot after successfully logging into the web app.")</f>
        <v>Users can access the chatbot after successfully logging into the web app.</v>
      </c>
      <c r="I30" s="22" t="str">
        <f>IFERROR(__xludf.DUMMYFUNCTION("""COMPUTED_VALUE"""),"When users are not logged into the app, they can still access the chatbot.")</f>
        <v>When users are not logged into the app, they can still access the chatbot.</v>
      </c>
      <c r="J30" s="22" t="str">
        <f>IFERROR(__xludf.DUMMYFUNCTION("""COMPUTED_VALUE"""),"Fail")</f>
        <v>Fail</v>
      </c>
      <c r="K30" s="22" t="str">
        <f>IFERROR(__xludf.DUMMYFUNCTION("""COMPUTED_VALUE"""),"Low")</f>
        <v>Low</v>
      </c>
      <c r="L30" s="23" t="str">
        <f>IFERROR(__xludf.DUMMYFUNCTION("""COMPUTED_VALUE"""),"https://jam.dev/c/d07a2fc5-359d-40fe-b1df-67fad8aa8a2e")</f>
        <v>https://jam.dev/c/d07a2fc5-359d-40fe-b1df-67fad8aa8a2e</v>
      </c>
      <c r="M30" s="22"/>
      <c r="N30" s="22" t="str">
        <f>IFERROR(__xludf.DUMMYFUNCTION("""COMPUTED_VALUE"""),"Fahad")</f>
        <v>Fahad</v>
      </c>
      <c r="O30" s="22"/>
      <c r="P30" s="20"/>
      <c r="Q30" s="20"/>
      <c r="R30" s="20"/>
      <c r="S30" s="20"/>
      <c r="T30" s="20"/>
      <c r="U30" s="20"/>
      <c r="V30" s="20"/>
      <c r="W30" s="20"/>
      <c r="X30" s="20"/>
      <c r="Y30" s="20"/>
      <c r="Z30" s="20"/>
      <c r="AA30" s="20"/>
    </row>
    <row r="31">
      <c r="A31" s="21" t="s">
        <v>50</v>
      </c>
      <c r="B31" s="22" t="str">
        <f>IFERROR(__xludf.DUMMYFUNCTION("""COMPUTED_VALUE"""),"Super Admin Dashboard")</f>
        <v>Super Admin Dashboard</v>
      </c>
      <c r="C31" s="22" t="str">
        <f>IFERROR(__xludf.DUMMYFUNCTION("""COMPUTED_VALUE"""),"Management")</f>
        <v>Management</v>
      </c>
      <c r="D31" s="22" t="str">
        <f>IFERROR(__xludf.DUMMYFUNCTION("""COMPUTED_VALUE"""),"Country code on the phone number is not included.")</f>
        <v>Country code on the phone number is not included.</v>
      </c>
      <c r="E31" s="22" t="str">
        <f>IFERROR(__xludf.DUMMYFUNCTION("""COMPUTED_VALUE"""),"User must be in web browser")</f>
        <v>User must be in web browser</v>
      </c>
      <c r="F31" s="22" t="str">
        <f>IFERROR(__xludf.DUMMYFUNCTION("""COMPUTED_VALUE"""),"1. Open Noahzipp
2. Click on Management
3. Click on Add Subscribe")</f>
        <v>1. Open Noahzipp
2. Click on Management
3. Click on Add Subscribe</v>
      </c>
      <c r="G31" s="22" t="str">
        <f>IFERROR(__xludf.DUMMYFUNCTION("""COMPUTED_VALUE"""),"N/A")</f>
        <v>N/A</v>
      </c>
      <c r="H31" s="22" t="str">
        <f>IFERROR(__xludf.DUMMYFUNCTION("""COMPUTED_VALUE"""),"Country codes on phone numbers are used to verify which country the number belongs to.")</f>
        <v>Country codes on phone numbers are used to verify which country the number belongs to.</v>
      </c>
      <c r="I31" s="22" t="str">
        <f>IFERROR(__xludf.DUMMYFUNCTION("""COMPUTED_VALUE"""),"Missing country code on a phone number can sometimes cause issues when receiving OTPs.")</f>
        <v>Missing country code on a phone number can sometimes cause issues when receiving OTPs.</v>
      </c>
      <c r="J31" s="22" t="str">
        <f>IFERROR(__xludf.DUMMYFUNCTION("""COMPUTED_VALUE"""),"Fail")</f>
        <v>Fail</v>
      </c>
      <c r="K31" s="22" t="str">
        <f>IFERROR(__xludf.DUMMYFUNCTION("""COMPUTED_VALUE"""),"High")</f>
        <v>High</v>
      </c>
      <c r="L31" s="23" t="str">
        <f>IFERROR(__xludf.DUMMYFUNCTION("""COMPUTED_VALUE"""),"https://jam.dev/c/06addd92-4fbc-447c-9c99-76bb3fc32f1a")</f>
        <v>https://jam.dev/c/06addd92-4fbc-447c-9c99-76bb3fc32f1a</v>
      </c>
      <c r="M31" s="22"/>
      <c r="N31" s="22" t="str">
        <f>IFERROR(__xludf.DUMMYFUNCTION("""COMPUTED_VALUE"""),"Fahad")</f>
        <v>Fahad</v>
      </c>
      <c r="O31" s="22"/>
      <c r="P31" s="20"/>
      <c r="Q31" s="20"/>
      <c r="R31" s="20"/>
      <c r="S31" s="20"/>
      <c r="T31" s="20"/>
      <c r="U31" s="20"/>
      <c r="V31" s="20"/>
      <c r="W31" s="20"/>
      <c r="X31" s="20"/>
      <c r="Y31" s="20"/>
      <c r="Z31" s="20"/>
      <c r="AA31" s="20"/>
    </row>
    <row r="32">
      <c r="A32" s="21" t="s">
        <v>51</v>
      </c>
      <c r="B32" s="22" t="str">
        <f>IFERROR(__xludf.DUMMYFUNCTION("""COMPUTED_VALUE"""),"Super Admin Dashboard")</f>
        <v>Super Admin Dashboard</v>
      </c>
      <c r="C32" s="22" t="str">
        <f>IFERROR(__xludf.DUMMYFUNCTION("""COMPUTED_VALUE"""),"Management")</f>
        <v>Management</v>
      </c>
      <c r="D32" s="22" t="str">
        <f>IFERROR(__xludf.DUMMYFUNCTION("""COMPUTED_VALUE"""),"Phone number length is not fixed.")</f>
        <v>Phone number length is not fixed.</v>
      </c>
      <c r="E32" s="22" t="str">
        <f>IFERROR(__xludf.DUMMYFUNCTION("""COMPUTED_VALUE"""),"User must be in web browser")</f>
        <v>User must be in web browser</v>
      </c>
      <c r="F32" s="22" t="str">
        <f>IFERROR(__xludf.DUMMYFUNCTION("""COMPUTED_VALUE"""),"1. Open Noahzipp
2. Click on Management
3. Click on Add Subscribe")</f>
        <v>1. Open Noahzipp
2. Click on Management
3. Click on Add Subscribe</v>
      </c>
      <c r="G32" s="22" t="str">
        <f>IFERROR(__xludf.DUMMYFUNCTION("""COMPUTED_VALUE"""),"N/A")</f>
        <v>N/A</v>
      </c>
      <c r="H32" s="22" t="str">
        <f>IFERROR(__xludf.DUMMYFUNCTION("""COMPUTED_VALUE"""),"Phone number length should be determined by the country code.")</f>
        <v>Phone number length should be determined by the country code.</v>
      </c>
      <c r="I32" s="22" t="str">
        <f>IFERROR(__xludf.DUMMYFUNCTION("""COMPUTED_VALUE"""),"Missing phone number length can sometimes result in the entry of fake numbers.")</f>
        <v>Missing phone number length can sometimes result in the entry of fake numbers.</v>
      </c>
      <c r="J32" s="22" t="str">
        <f>IFERROR(__xludf.DUMMYFUNCTION("""COMPUTED_VALUE"""),"Fail")</f>
        <v>Fail</v>
      </c>
      <c r="K32" s="22" t="str">
        <f>IFERROR(__xludf.DUMMYFUNCTION("""COMPUTED_VALUE"""),"High")</f>
        <v>High</v>
      </c>
      <c r="L32" s="23" t="str">
        <f>IFERROR(__xludf.DUMMYFUNCTION("""COMPUTED_VALUE"""),"https://jam.dev/c/f335d761-c763-4b3d-83d2-783d7b65f079")</f>
        <v>https://jam.dev/c/f335d761-c763-4b3d-83d2-783d7b65f079</v>
      </c>
      <c r="M32" s="22"/>
      <c r="N32" s="22" t="str">
        <f>IFERROR(__xludf.DUMMYFUNCTION("""COMPUTED_VALUE"""),"Fahad")</f>
        <v>Fahad</v>
      </c>
      <c r="O32" s="22"/>
      <c r="P32" s="20"/>
      <c r="Q32" s="20"/>
      <c r="R32" s="20"/>
      <c r="S32" s="20"/>
      <c r="T32" s="20"/>
      <c r="U32" s="20"/>
      <c r="V32" s="20"/>
      <c r="W32" s="20"/>
      <c r="X32" s="20"/>
      <c r="Y32" s="20"/>
      <c r="Z32" s="20"/>
      <c r="AA32" s="20"/>
    </row>
    <row r="33">
      <c r="A33" s="21" t="s">
        <v>52</v>
      </c>
      <c r="B33" s="22" t="str">
        <f>IFERROR(__xludf.DUMMYFUNCTION("""COMPUTED_VALUE"""),"Super Admin Dashboard")</f>
        <v>Super Admin Dashboard</v>
      </c>
      <c r="C33" s="22" t="str">
        <f>IFERROR(__xludf.DUMMYFUNCTION("""COMPUTED_VALUE"""),"Management")</f>
        <v>Management</v>
      </c>
      <c r="D33" s="22" t="str">
        <f>IFERROR(__xludf.DUMMYFUNCTION("""COMPUTED_VALUE"""),"The user's name and contact number are not displaying correctly on the dashboard.")</f>
        <v>The user's name and contact number are not displaying correctly on the dashboard.</v>
      </c>
      <c r="E33" s="22" t="str">
        <f>IFERROR(__xludf.DUMMYFUNCTION("""COMPUTED_VALUE"""),"User must be in web browser")</f>
        <v>User must be in web browser</v>
      </c>
      <c r="F33" s="22" t="str">
        <f>IFERROR(__xludf.DUMMYFUNCTION("""COMPUTED_VALUE"""),"1. Open Noahzipp
2. Click on Management
3. Click on Add Subscribe")</f>
        <v>1. Open Noahzipp
2. Click on Management
3. Click on Add Subscribe</v>
      </c>
      <c r="G33" s="22" t="str">
        <f>IFERROR(__xludf.DUMMYFUNCTION("""COMPUTED_VALUE"""),"N/A")</f>
        <v>N/A</v>
      </c>
      <c r="H33" s="22" t="str">
        <f>IFERROR(__xludf.DUMMYFUNCTION("""COMPUTED_VALUE"""),"The user information provided should be displayed correctly in the dashboard section.")</f>
        <v>The user information provided should be displayed correctly in the dashboard section.</v>
      </c>
      <c r="I33" s="22" t="str">
        <f>IFERROR(__xludf.DUMMYFUNCTION("""COMPUTED_VALUE"""),"The user name and contact information are not displayed correctly in the dashboard section, which could cause problems with user management.")</f>
        <v>The user name and contact information are not displayed correctly in the dashboard section, which could cause problems with user management.</v>
      </c>
      <c r="J33" s="22" t="str">
        <f>IFERROR(__xludf.DUMMYFUNCTION("""COMPUTED_VALUE"""),"Fail")</f>
        <v>Fail</v>
      </c>
      <c r="K33" s="22" t="str">
        <f>IFERROR(__xludf.DUMMYFUNCTION("""COMPUTED_VALUE"""),"High")</f>
        <v>High</v>
      </c>
      <c r="L33" s="23" t="str">
        <f>IFERROR(__xludf.DUMMYFUNCTION("""COMPUTED_VALUE"""),"https://jam.dev/c/d3a3d664-b5a5-454c-8acc-2ba975b06106")</f>
        <v>https://jam.dev/c/d3a3d664-b5a5-454c-8acc-2ba975b06106</v>
      </c>
      <c r="M33" s="22"/>
      <c r="N33" s="22" t="str">
        <f>IFERROR(__xludf.DUMMYFUNCTION("""COMPUTED_VALUE"""),"Fahad")</f>
        <v>Fahad</v>
      </c>
      <c r="O33" s="22"/>
      <c r="P33" s="20"/>
      <c r="Q33" s="20"/>
      <c r="R33" s="20"/>
      <c r="S33" s="20"/>
      <c r="T33" s="20"/>
      <c r="U33" s="20"/>
      <c r="V33" s="20"/>
      <c r="W33" s="20"/>
      <c r="X33" s="20"/>
      <c r="Y33" s="20"/>
      <c r="Z33" s="20"/>
      <c r="AA33" s="20"/>
    </row>
    <row r="34">
      <c r="A34" s="21" t="s">
        <v>53</v>
      </c>
      <c r="B34" s="22" t="str">
        <f>IFERROR(__xludf.DUMMYFUNCTION("""COMPUTED_VALUE"""),"Super Admin Dashboard")</f>
        <v>Super Admin Dashboard</v>
      </c>
      <c r="C34" s="22" t="str">
        <f>IFERROR(__xludf.DUMMYFUNCTION("""COMPUTED_VALUE"""),"Management")</f>
        <v>Management</v>
      </c>
      <c r="D34" s="22" t="str">
        <f>IFERROR(__xludf.DUMMYFUNCTION("""COMPUTED_VALUE"""),"Alignment and text style issues identified.")</f>
        <v>Alignment and text style issues identified.</v>
      </c>
      <c r="E34" s="22" t="str">
        <f>IFERROR(__xludf.DUMMYFUNCTION("""COMPUTED_VALUE"""),"User must be in web browser")</f>
        <v>User must be in web browser</v>
      </c>
      <c r="F34" s="22" t="str">
        <f>IFERROR(__xludf.DUMMYFUNCTION("""COMPUTED_VALUE"""),"1. Open Noahzipp
2. Click on Management")</f>
        <v>1. Open Noahzipp
2. Click on Management</v>
      </c>
      <c r="G34" s="22" t="str">
        <f>IFERROR(__xludf.DUMMYFUNCTION("""COMPUTED_VALUE"""),"N/A")</f>
        <v>N/A</v>
      </c>
      <c r="H34" s="22" t="str">
        <f>IFERROR(__xludf.DUMMYFUNCTION("""COMPUTED_VALUE"""),"Alignment should be based on the client's requirements and also for the text header.")</f>
        <v>Alignment should be based on the client's requirements and also for the text header.</v>
      </c>
      <c r="I34" s="22" t="str">
        <f>IFERROR(__xludf.DUMMYFUNCTION("""COMPUTED_VALUE"""),"Various alignment issues have been observed, along with a missing header and inconsistent header styles.")</f>
        <v>Various alignment issues have been observed, along with a missing header and inconsistent header styles.</v>
      </c>
      <c r="J34" s="22" t="str">
        <f>IFERROR(__xludf.DUMMYFUNCTION("""COMPUTED_VALUE"""),"Fail")</f>
        <v>Fail</v>
      </c>
      <c r="K34" s="22" t="str">
        <f>IFERROR(__xludf.DUMMYFUNCTION("""COMPUTED_VALUE"""),"Medium")</f>
        <v>Medium</v>
      </c>
      <c r="L34" s="23" t="str">
        <f>IFERROR(__xludf.DUMMYFUNCTION("""COMPUTED_VALUE"""),"https://jam.dev/c/7ad59346-3a1b-43db-aef4-f833ff6a4693")</f>
        <v>https://jam.dev/c/7ad59346-3a1b-43db-aef4-f833ff6a4693</v>
      </c>
      <c r="M34" s="22"/>
      <c r="N34" s="22" t="str">
        <f>IFERROR(__xludf.DUMMYFUNCTION("""COMPUTED_VALUE"""),"Fahad")</f>
        <v>Fahad</v>
      </c>
      <c r="O34" s="22"/>
      <c r="P34" s="20"/>
      <c r="Q34" s="20"/>
      <c r="R34" s="20"/>
      <c r="S34" s="20"/>
      <c r="T34" s="20"/>
      <c r="U34" s="20"/>
      <c r="V34" s="20"/>
      <c r="W34" s="20"/>
      <c r="X34" s="20"/>
      <c r="Y34" s="20"/>
      <c r="Z34" s="20"/>
      <c r="AA34" s="20"/>
    </row>
    <row r="35">
      <c r="A35" s="21" t="s">
        <v>54</v>
      </c>
      <c r="B35" s="22" t="str">
        <f>IFERROR(__xludf.DUMMYFUNCTION("""COMPUTED_VALUE"""),"Super Admin Dashboard")</f>
        <v>Super Admin Dashboard</v>
      </c>
      <c r="C35" s="22" t="str">
        <f>IFERROR(__xludf.DUMMYFUNCTION("""COMPUTED_VALUE"""),"Management")</f>
        <v>Management</v>
      </c>
      <c r="D35" s="22" t="str">
        <f>IFERROR(__xludf.DUMMYFUNCTION("""COMPUTED_VALUE"""),"The click button on the dashboard isn't working properly.")</f>
        <v>The click button on the dashboard isn't working properly.</v>
      </c>
      <c r="E35" s="22" t="str">
        <f>IFERROR(__xludf.DUMMYFUNCTION("""COMPUTED_VALUE"""),"User must be in web browser")</f>
        <v>User must be in web browser</v>
      </c>
      <c r="F35" s="22" t="str">
        <f>IFERROR(__xludf.DUMMYFUNCTION("""COMPUTED_VALUE"""),"1. Open Noahzipp
2. Click on Management")</f>
        <v>1. Open Noahzipp
2. Click on Management</v>
      </c>
      <c r="G35" s="22" t="str">
        <f>IFERROR(__xludf.DUMMYFUNCTION("""COMPUTED_VALUE"""),"N/A")</f>
        <v>N/A</v>
      </c>
      <c r="H35" s="22" t="str">
        <f>IFERROR(__xludf.DUMMYFUNCTION("""COMPUTED_VALUE"""),"Clicking the button on the dashboard should display client information in a popup within the web app.")</f>
        <v>Clicking the button on the dashboard should display client information in a popup within the web app.</v>
      </c>
      <c r="I35" s="22" t="str">
        <f>IFERROR(__xludf.DUMMYFUNCTION("""COMPUTED_VALUE"""),"Unable to display client information from the dashboard when the client info button is clicked.")</f>
        <v>Unable to display client information from the dashboard when the client info button is clicked.</v>
      </c>
      <c r="J35" s="22" t="str">
        <f>IFERROR(__xludf.DUMMYFUNCTION("""COMPUTED_VALUE"""),"Fail")</f>
        <v>Fail</v>
      </c>
      <c r="K35" s="22" t="str">
        <f>IFERROR(__xludf.DUMMYFUNCTION("""COMPUTED_VALUE"""),"High")</f>
        <v>High</v>
      </c>
      <c r="L35" s="23" t="str">
        <f>IFERROR(__xludf.DUMMYFUNCTION("""COMPUTED_VALUE"""),"https://jam.dev/c/77d70f8d-288b-4f19-8011-938ec96eb139")</f>
        <v>https://jam.dev/c/77d70f8d-288b-4f19-8011-938ec96eb139</v>
      </c>
      <c r="M35" s="22"/>
      <c r="N35" s="22" t="str">
        <f>IFERROR(__xludf.DUMMYFUNCTION("""COMPUTED_VALUE"""),"Fahad")</f>
        <v>Fahad</v>
      </c>
      <c r="O35" s="22"/>
      <c r="P35" s="20"/>
      <c r="Q35" s="20"/>
      <c r="R35" s="20"/>
      <c r="S35" s="20"/>
      <c r="T35" s="20"/>
      <c r="U35" s="20"/>
      <c r="V35" s="20"/>
      <c r="W35" s="20"/>
      <c r="X35" s="20"/>
      <c r="Y35" s="20"/>
      <c r="Z35" s="20"/>
      <c r="AA35" s="20"/>
    </row>
    <row r="36">
      <c r="A36" s="21" t="s">
        <v>55</v>
      </c>
      <c r="B36" s="22" t="str">
        <f>IFERROR(__xludf.DUMMYFUNCTION("""COMPUTED_VALUE"""),"Super Admin Dashboard")</f>
        <v>Super Admin Dashboard</v>
      </c>
      <c r="C36" s="22" t="str">
        <f>IFERROR(__xludf.DUMMYFUNCTION("""COMPUTED_VALUE"""),"Management")</f>
        <v>Management</v>
      </c>
      <c r="D36" s="22" t="str">
        <f>IFERROR(__xludf.DUMMYFUNCTION("""COMPUTED_VALUE"""),"The layout of the client information added differs from the client's requirements.")</f>
        <v>The layout of the client information added differs from the client's requirements.</v>
      </c>
      <c r="E36" s="22" t="str">
        <f>IFERROR(__xludf.DUMMYFUNCTION("""COMPUTED_VALUE"""),"User must be in web browser")</f>
        <v>User must be in web browser</v>
      </c>
      <c r="F36" s="22" t="str">
        <f>IFERROR(__xludf.DUMMYFUNCTION("""COMPUTED_VALUE"""),"1. Open Noahzipp
2. Click on Management
3. Click on Add Subscribe")</f>
        <v>1. Open Noahzipp
2. Click on Management
3. Click on Add Subscribe</v>
      </c>
      <c r="G36" s="22" t="str">
        <f>IFERROR(__xludf.DUMMYFUNCTION("""COMPUTED_VALUE"""),"N/A")</f>
        <v>N/A</v>
      </c>
      <c r="H36" s="22" t="str">
        <f>IFERROR(__xludf.DUMMYFUNCTION("""COMPUTED_VALUE"""),"The layout for client information should match the client's requirements exactly.")</f>
        <v>The layout for client information should match the client's requirements exactly.</v>
      </c>
      <c r="I36" s="22" t="str">
        <f>IFERROR(__xludf.DUMMYFUNCTION("""COMPUTED_VALUE"""),"Various layout designs have been observed, which could result in client dissatisfaction.")</f>
        <v>Various layout designs have been observed, which could result in client dissatisfaction.</v>
      </c>
      <c r="J36" s="22" t="str">
        <f>IFERROR(__xludf.DUMMYFUNCTION("""COMPUTED_VALUE"""),"Fail")</f>
        <v>Fail</v>
      </c>
      <c r="K36" s="22" t="str">
        <f>IFERROR(__xludf.DUMMYFUNCTION("""COMPUTED_VALUE"""),"Medium")</f>
        <v>Medium</v>
      </c>
      <c r="L36" s="23" t="str">
        <f>IFERROR(__xludf.DUMMYFUNCTION("""COMPUTED_VALUE"""),"https://jam.dev/c/7f828303-904d-4ecb-b037-6a56c99d1393")</f>
        <v>https://jam.dev/c/7f828303-904d-4ecb-b037-6a56c99d1393</v>
      </c>
      <c r="M36" s="22"/>
      <c r="N36" s="22" t="str">
        <f>IFERROR(__xludf.DUMMYFUNCTION("""COMPUTED_VALUE"""),"Fahad")</f>
        <v>Fahad</v>
      </c>
      <c r="O36" s="22"/>
      <c r="P36" s="20"/>
      <c r="Q36" s="20"/>
      <c r="R36" s="20"/>
      <c r="S36" s="20"/>
      <c r="T36" s="20"/>
      <c r="U36" s="20"/>
      <c r="V36" s="20"/>
      <c r="W36" s="20"/>
      <c r="X36" s="20"/>
      <c r="Y36" s="20"/>
      <c r="Z36" s="20"/>
      <c r="AA36" s="20"/>
    </row>
    <row r="37">
      <c r="A37" s="21" t="s">
        <v>56</v>
      </c>
      <c r="B37" s="22" t="str">
        <f>IFERROR(__xludf.DUMMYFUNCTION("""COMPUTED_VALUE"""),"Super Admin Dashboard")</f>
        <v>Super Admin Dashboard</v>
      </c>
      <c r="C37" s="22" t="str">
        <f>IFERROR(__xludf.DUMMYFUNCTION("""COMPUTED_VALUE"""),"Management")</f>
        <v>Management</v>
      </c>
      <c r="D37" s="22" t="str">
        <f>IFERROR(__xludf.DUMMYFUNCTION("""COMPUTED_VALUE"""),"The subscriber add button stretches.")</f>
        <v>The subscriber add button stretches.</v>
      </c>
      <c r="E37" s="22" t="str">
        <f>IFERROR(__xludf.DUMMYFUNCTION("""COMPUTED_VALUE"""),"User must be in web browser")</f>
        <v>User must be in web browser</v>
      </c>
      <c r="F37" s="22" t="str">
        <f>IFERROR(__xludf.DUMMYFUNCTION("""COMPUTED_VALUE"""),"1. Open Noahzipp
2. Click on Management
3. Click on Add Subscribe")</f>
        <v>1. Open Noahzipp
2. Click on Management
3. Click on Add Subscribe</v>
      </c>
      <c r="G37" s="22" t="str">
        <f>IFERROR(__xludf.DUMMYFUNCTION("""COMPUTED_VALUE"""),"N/A")</f>
        <v>N/A</v>
      </c>
      <c r="H37" s="22" t="str">
        <f>IFERROR(__xludf.DUMMYFUNCTION("""COMPUTED_VALUE"""),"The Add button should be positioned perfectly on the web page for better visibility and ease of access.")</f>
        <v>The Add button should be positioned perfectly on the web page for better visibility and ease of access.</v>
      </c>
      <c r="I37" s="22" t="str">
        <f>IFERROR(__xludf.DUMMYFUNCTION("""COMPUTED_VALUE"""),"A stretched add button is visible, which could result in client dissatisfaction.")</f>
        <v>A stretched add button is visible, which could result in client dissatisfaction.</v>
      </c>
      <c r="J37" s="22" t="str">
        <f>IFERROR(__xludf.DUMMYFUNCTION("""COMPUTED_VALUE"""),"Fail")</f>
        <v>Fail</v>
      </c>
      <c r="K37" s="22" t="str">
        <f>IFERROR(__xludf.DUMMYFUNCTION("""COMPUTED_VALUE"""),"Low")</f>
        <v>Low</v>
      </c>
      <c r="L37" s="23" t="str">
        <f>IFERROR(__xludf.DUMMYFUNCTION("""COMPUTED_VALUE"""),"https://jam.dev/c/99d36a7c-8226-4971-bbaa-fcb77fb5005c")</f>
        <v>https://jam.dev/c/99d36a7c-8226-4971-bbaa-fcb77fb5005c</v>
      </c>
      <c r="M37" s="22" t="str">
        <f>IFERROR(__xludf.DUMMYFUNCTION("""COMPUTED_VALUE"""),"Adding some color could be a nice touch.")</f>
        <v>Adding some color could be a nice touch.</v>
      </c>
      <c r="N37" s="22" t="str">
        <f>IFERROR(__xludf.DUMMYFUNCTION("""COMPUTED_VALUE"""),"Fahad")</f>
        <v>Fahad</v>
      </c>
      <c r="O37" s="22"/>
      <c r="P37" s="20"/>
      <c r="Q37" s="20"/>
      <c r="R37" s="20"/>
      <c r="S37" s="20"/>
      <c r="T37" s="20"/>
      <c r="U37" s="20"/>
      <c r="V37" s="20"/>
      <c r="W37" s="20"/>
      <c r="X37" s="20"/>
      <c r="Y37" s="20"/>
      <c r="Z37" s="20"/>
      <c r="AA37" s="20"/>
    </row>
    <row r="38">
      <c r="A38" s="21" t="s">
        <v>57</v>
      </c>
      <c r="B38" s="22" t="str">
        <f>IFERROR(__xludf.DUMMYFUNCTION("""COMPUTED_VALUE"""),"Super Admin Dashboard")</f>
        <v>Super Admin Dashboard</v>
      </c>
      <c r="C38" s="22" t="str">
        <f>IFERROR(__xludf.DUMMYFUNCTION("""COMPUTED_VALUE"""),"Management")</f>
        <v>Management</v>
      </c>
      <c r="D38" s="22" t="str">
        <f>IFERROR(__xludf.DUMMYFUNCTION("""COMPUTED_VALUE"""),"The upload photo feature in settings isn't working as expected.")</f>
        <v>The upload photo feature in settings isn't working as expected.</v>
      </c>
      <c r="E38" s="22" t="str">
        <f>IFERROR(__xludf.DUMMYFUNCTION("""COMPUTED_VALUE"""),"User must be in web browser")</f>
        <v>User must be in web browser</v>
      </c>
      <c r="F38" s="22" t="str">
        <f>IFERROR(__xludf.DUMMYFUNCTION("""COMPUTED_VALUE"""),"1. Open Noahzipp")</f>
        <v>1. Open Noahzipp</v>
      </c>
      <c r="G38" s="22" t="str">
        <f>IFERROR(__xludf.DUMMYFUNCTION("""COMPUTED_VALUE"""),"N/A")</f>
        <v>N/A</v>
      </c>
      <c r="H38" s="22" t="str">
        <f>IFERROR(__xludf.DUMMYFUNCTION("""COMPUTED_VALUE"""),"Users should have the ability to upload their logo through the upload logo feature.")</f>
        <v>Users should have the ability to upload their logo through the upload logo feature.</v>
      </c>
      <c r="I38" s="22" t="str">
        <f>IFERROR(__xludf.DUMMYFUNCTION("""COMPUTED_VALUE"""),"Cannot update the logo; the functionality seems broken.")</f>
        <v>Cannot update the logo; the functionality seems broken.</v>
      </c>
      <c r="J38" s="22" t="str">
        <f>IFERROR(__xludf.DUMMYFUNCTION("""COMPUTED_VALUE"""),"Fail")</f>
        <v>Fail</v>
      </c>
      <c r="K38" s="22" t="str">
        <f>IFERROR(__xludf.DUMMYFUNCTION("""COMPUTED_VALUE"""),"High")</f>
        <v>High</v>
      </c>
      <c r="L38" s="23" t="str">
        <f>IFERROR(__xludf.DUMMYFUNCTION("""COMPUTED_VALUE"""),"https://jam.dev/c/1267e354-634b-438f-abf0-0fb36b465f71")</f>
        <v>https://jam.dev/c/1267e354-634b-438f-abf0-0fb36b465f71</v>
      </c>
      <c r="M38" s="22"/>
      <c r="N38" s="22" t="str">
        <f>IFERROR(__xludf.DUMMYFUNCTION("""COMPUTED_VALUE"""),"Fahad")</f>
        <v>Fahad</v>
      </c>
      <c r="O38" s="22"/>
      <c r="P38" s="20"/>
      <c r="Q38" s="20"/>
      <c r="R38" s="20"/>
      <c r="S38" s="20"/>
      <c r="T38" s="20"/>
      <c r="U38" s="20"/>
      <c r="V38" s="20"/>
      <c r="W38" s="20"/>
      <c r="X38" s="20"/>
      <c r="Y38" s="20"/>
      <c r="Z38" s="20"/>
      <c r="AA38" s="20"/>
    </row>
    <row r="39">
      <c r="A39" s="21" t="s">
        <v>58</v>
      </c>
      <c r="B39" s="22" t="str">
        <f>IFERROR(__xludf.DUMMYFUNCTION("""COMPUTED_VALUE"""),"Super Admin Dashboard")</f>
        <v>Super Admin Dashboard</v>
      </c>
      <c r="C39" s="22" t="str">
        <f>IFERROR(__xludf.DUMMYFUNCTION("""COMPUTED_VALUE"""),"Dashboard")</f>
        <v>Dashboard</v>
      </c>
      <c r="D39" s="22" t="str">
        <f>IFERROR(__xludf.DUMMYFUNCTION("""COMPUTED_VALUE"""),"Super Admin dashboard UI is same as User dashboard")</f>
        <v>Super Admin dashboard UI is same as User dashboard</v>
      </c>
      <c r="E39" s="22" t="str">
        <f>IFERROR(__xludf.DUMMYFUNCTION("""COMPUTED_VALUE"""),"User logs in as Super Admin and opens dashboard")</f>
        <v>User logs in as Super Admin and opens dashboard</v>
      </c>
      <c r="F39" s="22" t="str">
        <f>IFERROR(__xludf.DUMMYFUNCTION("""COMPUTED_VALUE"""),"Navigate to dashboard and compare layout with client requirement")</f>
        <v>Navigate to dashboard and compare layout with client requirement</v>
      </c>
      <c r="G39" s="22" t="str">
        <f>IFERROR(__xludf.DUMMYFUNCTION("""COMPUTED_VALUE"""),"-")</f>
        <v>-</v>
      </c>
      <c r="H39" s="22" t="str">
        <f>IFERROR(__xludf.DUMMYFUNCTION("""COMPUTED_VALUE"""),"Super Admin dashboard should have a distinct UI as per requirement")</f>
        <v>Super Admin dashboard should have a distinct UI as per requirement</v>
      </c>
      <c r="I39" s="22" t="str">
        <f>IFERROR(__xludf.DUMMYFUNCTION("""COMPUTED_VALUE"""),"The dashboard UI appears identical to the user dashboard, not meeting design expectations")</f>
        <v>The dashboard UI appears identical to the user dashboard, not meeting design expectations</v>
      </c>
      <c r="J39" s="22" t="str">
        <f>IFERROR(__xludf.DUMMYFUNCTION("""COMPUTED_VALUE"""),"Fail")</f>
        <v>Fail</v>
      </c>
      <c r="K39" s="22" t="str">
        <f>IFERROR(__xludf.DUMMYFUNCTION("""COMPUTED_VALUE"""),"Medium")</f>
        <v>Medium</v>
      </c>
      <c r="L39" s="23" t="str">
        <f>IFERROR(__xludf.DUMMYFUNCTION("""COMPUTED_VALUE"""),"https://jam.dev/c/32f419b0-fb76-4d40-9ee3-059984b105cf")</f>
        <v>https://jam.dev/c/32f419b0-fb76-4d40-9ee3-059984b105cf</v>
      </c>
      <c r="M39" s="22" t="str">
        <f>IFERROR(__xludf.DUMMYFUNCTION("""COMPUTED_VALUE"""),"Update the Super Admin dashboard layout to match the approved design (see screenshot for reference)")</f>
        <v>Update the Super Admin dashboard layout to match the approved design (see screenshot for reference)</v>
      </c>
      <c r="N39" s="22" t="str">
        <f>IFERROR(__xludf.DUMMYFUNCTION("""COMPUTED_VALUE"""),"Tahsin")</f>
        <v>Tahsin</v>
      </c>
      <c r="O39" s="22"/>
      <c r="P39" s="20"/>
      <c r="Q39" s="20"/>
      <c r="R39" s="20"/>
      <c r="S39" s="20"/>
      <c r="T39" s="20"/>
      <c r="U39" s="20"/>
      <c r="V39" s="20"/>
      <c r="W39" s="20"/>
      <c r="X39" s="20"/>
      <c r="Y39" s="20"/>
      <c r="Z39" s="20"/>
      <c r="AA39" s="20"/>
    </row>
    <row r="40">
      <c r="A40" s="21" t="s">
        <v>59</v>
      </c>
      <c r="B40" s="22" t="str">
        <f>IFERROR(__xludf.DUMMYFUNCTION("""COMPUTED_VALUE"""),"Super Admin Dashboard")</f>
        <v>Super Admin Dashboard</v>
      </c>
      <c r="C40" s="22" t="str">
        <f>IFERROR(__xludf.DUMMYFUNCTION("""COMPUTED_VALUE"""),"Change Password and Email")</f>
        <v>Change Password and Email</v>
      </c>
      <c r="D40" s="22" t="str">
        <f>IFERROR(__xludf.DUMMYFUNCTION("""COMPUTED_VALUE"""),"UI issue in Change Password and Email form")</f>
        <v>UI issue in Change Password and Email form</v>
      </c>
      <c r="E40" s="22" t="str">
        <f>IFERROR(__xludf.DUMMYFUNCTION("""COMPUTED_VALUE"""),"User opens Super Admin dashboard and navigates to Change Password form")</f>
        <v>User opens Super Admin dashboard and navigates to Change Password form</v>
      </c>
      <c r="F40" s="22" t="str">
        <f>IFERROR(__xludf.DUMMYFUNCTION("""COMPUTED_VALUE"""),"Observe the layout, spacing, and alignment of input fields and buttons")</f>
        <v>Observe the layout, spacing, and alignment of input fields and buttons</v>
      </c>
      <c r="G40" s="22" t="str">
        <f>IFERROR(__xludf.DUMMYFUNCTION("""COMPUTED_VALUE"""),"-")</f>
        <v>-</v>
      </c>
      <c r="H40" s="22" t="str">
        <f>IFERROR(__xludf.DUMMYFUNCTION("""COMPUTED_VALUE"""),"The buuton ""Back"" should be in the top left corner, and the text ""Change Password"" &amp; """"Change Email"" allignment should be in center")</f>
        <v>The buuton "Back" should be in the top left corner, and the text "Change Password" &amp; ""Change Email" allignment should be in center</v>
      </c>
      <c r="I40" s="22" t="str">
        <f>IFERROR(__xludf.DUMMYFUNCTION("""COMPUTED_VALUE"""),"Change Password and mail form has UI isues, chech screen shot")</f>
        <v>Change Password and mail form has UI isues, chech screen shot</v>
      </c>
      <c r="J40" s="22" t="str">
        <f>IFERROR(__xludf.DUMMYFUNCTION("""COMPUTED_VALUE"""),"Fail")</f>
        <v>Fail</v>
      </c>
      <c r="K40" s="22" t="str">
        <f>IFERROR(__xludf.DUMMYFUNCTION("""COMPUTED_VALUE"""),"Low")</f>
        <v>Low</v>
      </c>
      <c r="L40" s="23" t="str">
        <f>IFERROR(__xludf.DUMMYFUNCTION("""COMPUTED_VALUE"""),"https://jam.dev/c/22df44e5-c088-4f67-bda6-b6ec46d68844")</f>
        <v>https://jam.dev/c/22df44e5-c088-4f67-bda6-b6ec46d68844</v>
      </c>
      <c r="M40" s="22" t="str">
        <f>IFERROR(__xludf.DUMMYFUNCTION("""COMPUTED_VALUE"""),"Fix layout and alignment issues in Change Password form to ensure clean and consistent UI")</f>
        <v>Fix layout and alignment issues in Change Password form to ensure clean and consistent UI</v>
      </c>
      <c r="N40" s="22" t="str">
        <f>IFERROR(__xludf.DUMMYFUNCTION("""COMPUTED_VALUE"""),"Tahsin")</f>
        <v>Tahsin</v>
      </c>
      <c r="O40" s="22"/>
      <c r="P40" s="20"/>
      <c r="Q40" s="20"/>
      <c r="R40" s="20"/>
      <c r="S40" s="20"/>
      <c r="T40" s="20"/>
      <c r="U40" s="20"/>
      <c r="V40" s="20"/>
      <c r="W40" s="20"/>
      <c r="X40" s="20"/>
      <c r="Y40" s="20"/>
      <c r="Z40" s="20"/>
      <c r="AA40" s="20"/>
    </row>
    <row r="41">
      <c r="A41" s="21" t="s">
        <v>60</v>
      </c>
      <c r="B41" s="22" t="str">
        <f>IFERROR(__xludf.DUMMYFUNCTION("""COMPUTED_VALUE"""),"User Dashboard")</f>
        <v>User Dashboard</v>
      </c>
      <c r="C41" s="22" t="str">
        <f>IFERROR(__xludf.DUMMYFUNCTION("""COMPUTED_VALUE"""),"Dashboard")</f>
        <v>Dashboard</v>
      </c>
      <c r="D41" s="22" t="str">
        <f>IFERROR(__xludf.DUMMYFUNCTION("""COMPUTED_VALUE"""),"Incorrect column names in user dashboard")</f>
        <v>Incorrect column names in user dashboard</v>
      </c>
      <c r="E41" s="22" t="str">
        <f>IFERROR(__xludf.DUMMYFUNCTION("""COMPUTED_VALUE"""),"User logs into dashboard and views user table")</f>
        <v>User logs into dashboard and views user table</v>
      </c>
      <c r="F41" s="22" t="str">
        <f>IFERROR(__xludf.DUMMYFUNCTION("""COMPUTED_VALUE"""),"Navigate to user dashboard and check table headers")</f>
        <v>Navigate to user dashboard and check table headers</v>
      </c>
      <c r="G41" s="22" t="str">
        <f>IFERROR(__xludf.DUMMYFUNCTION("""COMPUTED_VALUE"""),"-")</f>
        <v>-</v>
      </c>
      <c r="H41" s="22" t="str">
        <f>IFERROR(__xludf.DUMMYFUNCTION("""COMPUTED_VALUE"""),"Column names should be: Recent Appointment, Customer Name, Contact Number")</f>
        <v>Column names should be: Recent Appointment, Customer Name, Contact Number</v>
      </c>
      <c r="I41" s="22" t="str">
        <f>IFERROR(__xludf.DUMMYFUNCTION("""COMPUTED_VALUE"""),"The columns are labeled ""ID"", ""Customer"", and ""Contact"", which do not match the required names")</f>
        <v>The columns are labeled "ID", "Customer", and "Contact", which do not match the required names</v>
      </c>
      <c r="J41" s="22" t="str">
        <f>IFERROR(__xludf.DUMMYFUNCTION("""COMPUTED_VALUE"""),"Fail")</f>
        <v>Fail</v>
      </c>
      <c r="K41" s="22" t="str">
        <f>IFERROR(__xludf.DUMMYFUNCTION("""COMPUTED_VALUE"""),"Medium")</f>
        <v>Medium</v>
      </c>
      <c r="L41" s="23" t="str">
        <f>IFERROR(__xludf.DUMMYFUNCTION("""COMPUTED_VALUE"""),"https://jam.dev/c/306b41b5-598a-4e6c-be25-88cca70d57e2")</f>
        <v>https://jam.dev/c/306b41b5-598a-4e6c-be25-88cca70d57e2</v>
      </c>
      <c r="M41" s="22" t="str">
        <f>IFERROR(__xludf.DUMMYFUNCTION("""COMPUTED_VALUE"""),"Update column headers to: Recent Appointment, Customer Name, Contact Number")</f>
        <v>Update column headers to: Recent Appointment, Customer Name, Contact Number</v>
      </c>
      <c r="N41" s="22" t="str">
        <f>IFERROR(__xludf.DUMMYFUNCTION("""COMPUTED_VALUE"""),"Tahsin")</f>
        <v>Tahsin</v>
      </c>
      <c r="O41" s="22"/>
      <c r="P41" s="20"/>
      <c r="Q41" s="20"/>
      <c r="R41" s="20"/>
      <c r="S41" s="20"/>
      <c r="T41" s="20"/>
      <c r="U41" s="20"/>
      <c r="V41" s="20"/>
      <c r="W41" s="20"/>
      <c r="X41" s="20"/>
      <c r="Y41" s="20"/>
      <c r="Z41" s="20"/>
      <c r="AA41" s="20"/>
    </row>
    <row r="42">
      <c r="A42" s="21" t="s">
        <v>61</v>
      </c>
      <c r="B42" s="22" t="str">
        <f>IFERROR(__xludf.DUMMYFUNCTION("""COMPUTED_VALUE"""),"User Dashboard")</f>
        <v>User Dashboard</v>
      </c>
      <c r="C42" s="22" t="str">
        <f>IFERROR(__xludf.DUMMYFUNCTION("""COMPUTED_VALUE"""),"Appointments")</f>
        <v>Appointments</v>
      </c>
      <c r="D42" s="22" t="str">
        <f>IFERROR(__xludf.DUMMYFUNCTION("""COMPUTED_VALUE"""),"Missing ""Appointments"" label")</f>
        <v>Missing "Appointments" label</v>
      </c>
      <c r="E42" s="22" t="str">
        <f>IFERROR(__xludf.DUMMYFUNCTION("""COMPUTED_VALUE"""),"User accesses the appointment section")</f>
        <v>User accesses the appointment section</v>
      </c>
      <c r="F42" s="22" t="str">
        <f>IFERROR(__xludf.DUMMYFUNCTION("""COMPUTED_VALUE"""),"Navigate to the section and review proper labeling")</f>
        <v>Navigate to the section and review proper labeling</v>
      </c>
      <c r="G42" s="22" t="str">
        <f>IFERROR(__xludf.DUMMYFUNCTION("""COMPUTED_VALUE"""),"-")</f>
        <v>-</v>
      </c>
      <c r="H42" s="22" t="str">
        <f>IFERROR(__xludf.DUMMYFUNCTION("""COMPUTED_VALUE""")," should contain the text ""Appointments"" as per design requirement")</f>
        <v> should contain the text "Appointments" as per design requirement</v>
      </c>
      <c r="I42" s="22" t="str">
        <f>IFERROR(__xludf.DUMMYFUNCTION("""COMPUTED_VALUE"""),"No text ""Appointments"" where it is expected")</f>
        <v>No text "Appointments" where it is expected</v>
      </c>
      <c r="J42" s="22" t="str">
        <f>IFERROR(__xludf.DUMMYFUNCTION("""COMPUTED_VALUE"""),"Fail")</f>
        <v>Fail</v>
      </c>
      <c r="K42" s="22" t="str">
        <f>IFERROR(__xludf.DUMMYFUNCTION("""COMPUTED_VALUE"""),"Low")</f>
        <v>Low</v>
      </c>
      <c r="L42" s="23" t="str">
        <f>IFERROR(__xludf.DUMMYFUNCTION("""COMPUTED_VALUE"""),"https://jam.dev/c/43bb3bc6-e7fc-485b-9226-2272a186189b")</f>
        <v>https://jam.dev/c/43bb3bc6-e7fc-485b-9226-2272a186189b</v>
      </c>
      <c r="M42" s="22" t="str">
        <f>IFERROR(__xludf.DUMMYFUNCTION("""COMPUTED_VALUE"""),"Add the text ""Appointments"" to the appropriate table row as per design requirement")</f>
        <v>Add the text "Appointments" to the appropriate table row as per design requirement</v>
      </c>
      <c r="N42" s="22" t="str">
        <f>IFERROR(__xludf.DUMMYFUNCTION("""COMPUTED_VALUE"""),"Tahsin")</f>
        <v>Tahsin</v>
      </c>
      <c r="O42" s="22"/>
      <c r="P42" s="20"/>
      <c r="Q42" s="20"/>
      <c r="R42" s="20"/>
      <c r="S42" s="20"/>
      <c r="T42" s="20"/>
      <c r="U42" s="20"/>
      <c r="V42" s="20"/>
      <c r="W42" s="20"/>
      <c r="X42" s="20"/>
      <c r="Y42" s="20"/>
      <c r="Z42" s="20"/>
      <c r="AA42" s="20"/>
    </row>
    <row r="43">
      <c r="A43" s="21" t="s">
        <v>62</v>
      </c>
      <c r="B43" s="22" t="str">
        <f>IFERROR(__xludf.DUMMYFUNCTION("""COMPUTED_VALUE"""),"User Dashboard")</f>
        <v>User Dashboard</v>
      </c>
      <c r="C43" s="22" t="str">
        <f>IFERROR(__xludf.DUMMYFUNCTION("""COMPUTED_VALUE"""),"Appointments")</f>
        <v>Appointments</v>
      </c>
      <c r="D43" s="22" t="str">
        <f>IFERROR(__xludf.DUMMYFUNCTION("""COMPUTED_VALUE"""),"Incorrect button label and missing cancel page")</f>
        <v>Incorrect button label and missing cancel page</v>
      </c>
      <c r="E43" s="22" t="str">
        <f>IFERROR(__xludf.DUMMYFUNCTION("""COMPUTED_VALUE"""),"User accesses the appointment section")</f>
        <v>User accesses the appointment section</v>
      </c>
      <c r="F43" s="22" t="str">
        <f>IFERROR(__xludf.DUMMYFUNCTION("""COMPUTED_VALUE"""),"Click the 3dots icon in action column")</f>
        <v>Click the 3dots icon in action column</v>
      </c>
      <c r="G43" s="22" t="str">
        <f>IFERROR(__xludf.DUMMYFUNCTION("""COMPUTED_VALUE"""),"-")</f>
        <v>-</v>
      </c>
      <c r="H43" s="22" t="str">
        <f>IFERROR(__xludf.DUMMYFUNCTION("""COMPUTED_VALUE"""),"A button should be labeled ""Cancel"" instead of ""Edit"" and navigate to the cancel page as per requirement")</f>
        <v>A button should be labeled "Cancel" instead of "Edit" and navigate to the cancel page as per requirement</v>
      </c>
      <c r="I43" s="22" t="str">
        <f>IFERROR(__xludf.DUMMYFUNCTION("""COMPUTED_VALUE"""),"Button is incorrectly labeled ""Edit"" and no cancel page exists")</f>
        <v>Button is incorrectly labeled "Edit" and no cancel page exists</v>
      </c>
      <c r="J43" s="22" t="str">
        <f>IFERROR(__xludf.DUMMYFUNCTION("""COMPUTED_VALUE"""),"Fail")</f>
        <v>Fail</v>
      </c>
      <c r="K43" s="22" t="str">
        <f>IFERROR(__xludf.DUMMYFUNCTION("""COMPUTED_VALUE"""),"Medium")</f>
        <v>Medium</v>
      </c>
      <c r="L43" s="23" t="str">
        <f>IFERROR(__xludf.DUMMYFUNCTION("""COMPUTED_VALUE"""),"https://jam.dev/c/c9d16dc4-9de1-488c-bd3b-c4632d8df6fb")</f>
        <v>https://jam.dev/c/c9d16dc4-9de1-488c-bd3b-c4632d8df6fb</v>
      </c>
      <c r="M43" s="22" t="str">
        <f>IFERROR(__xludf.DUMMYFUNCTION("""COMPUTED_VALUE"""),"Rename the button to ""Cancel"" and add the required cancel page functionality")</f>
        <v>Rename the button to "Cancel" and add the required cancel page functionality</v>
      </c>
      <c r="N43" s="22" t="str">
        <f>IFERROR(__xludf.DUMMYFUNCTION("""COMPUTED_VALUE"""),"Tahsin")</f>
        <v>Tahsin</v>
      </c>
      <c r="O43" s="22"/>
      <c r="P43" s="20"/>
      <c r="Q43" s="20"/>
      <c r="R43" s="20"/>
      <c r="S43" s="20"/>
      <c r="T43" s="20"/>
      <c r="U43" s="20"/>
      <c r="V43" s="20"/>
      <c r="W43" s="20"/>
      <c r="X43" s="20"/>
      <c r="Y43" s="20"/>
      <c r="Z43" s="20"/>
      <c r="AA43" s="20"/>
    </row>
    <row r="44">
      <c r="A44" s="21" t="s">
        <v>63</v>
      </c>
      <c r="B44" s="22" t="str">
        <f>IFERROR(__xludf.DUMMYFUNCTION("""COMPUTED_VALUE"""),"User Dashboard")</f>
        <v>User Dashboard</v>
      </c>
      <c r="C44" s="22" t="str">
        <f>IFERROR(__xludf.DUMMYFUNCTION("""COMPUTED_VALUE"""),"Service List(Discount offers)")</f>
        <v>Service List(Discount offers)</v>
      </c>
      <c r="D44" s="22" t="str">
        <f>IFERROR(__xludf.DUMMYFUNCTION("""COMPUTED_VALUE"""),"Incorrect button label in discount offer section of service list")</f>
        <v>Incorrect button label in discount offer section of service list</v>
      </c>
      <c r="E44" s="22" t="str">
        <f>IFERROR(__xludf.DUMMYFUNCTION("""COMPUTED_VALUE"""),"User navigates to service list and selects discount offer section")</f>
        <v>User navigates to service list and selects discount offer section</v>
      </c>
      <c r="F44" s="22" t="str">
        <f>IFERROR(__xludf.DUMMYFUNCTION("""COMPUTED_VALUE"""),"Observe the button label in the discount offer section")</f>
        <v>Observe the button label in the discount offer section</v>
      </c>
      <c r="G44" s="22" t="str">
        <f>IFERROR(__xludf.DUMMYFUNCTION("""COMPUTED_VALUE"""),"-")</f>
        <v>-</v>
      </c>
      <c r="H44" s="22" t="str">
        <f>IFERROR(__xludf.DUMMYFUNCTION("""COMPUTED_VALUE"""),"Button should be labeled ""Add Discount"" as per requirement")</f>
        <v>Button should be labeled "Add Discount" as per requirement</v>
      </c>
      <c r="I44" s="22" t="str">
        <f>IFERROR(__xludf.DUMMYFUNCTION("""COMPUTED_VALUE"""),"Button is incorrectly labeled ""Add Service""")</f>
        <v>Button is incorrectly labeled "Add Service"</v>
      </c>
      <c r="J44" s="22" t="str">
        <f>IFERROR(__xludf.DUMMYFUNCTION("""COMPUTED_VALUE"""),"Fail")</f>
        <v>Fail</v>
      </c>
      <c r="K44" s="22" t="str">
        <f>IFERROR(__xludf.DUMMYFUNCTION("""COMPUTED_VALUE"""),"High")</f>
        <v>High</v>
      </c>
      <c r="L44" s="23" t="str">
        <f>IFERROR(__xludf.DUMMYFUNCTION("""COMPUTED_VALUE"""),"https://jam.dev/c/c5867c32-34c3-4c9d-bea2-9b8e15a6f709")</f>
        <v>https://jam.dev/c/c5867c32-34c3-4c9d-bea2-9b8e15a6f709</v>
      </c>
      <c r="M44" s="22" t="str">
        <f>IFERROR(__xludf.DUMMYFUNCTION("""COMPUTED_VALUE"""),"Update button label to ""Add Discount"" to match the functionality and requirement")</f>
        <v>Update button label to "Add Discount" to match the functionality and requirement</v>
      </c>
      <c r="N44" s="22" t="str">
        <f>IFERROR(__xludf.DUMMYFUNCTION("""COMPUTED_VALUE"""),"Tahsin")</f>
        <v>Tahsin</v>
      </c>
      <c r="O44" s="22"/>
      <c r="P44" s="20"/>
      <c r="Q44" s="20"/>
      <c r="R44" s="20"/>
      <c r="S44" s="20"/>
      <c r="T44" s="20"/>
      <c r="U44" s="20"/>
      <c r="V44" s="20"/>
      <c r="W44" s="20"/>
      <c r="X44" s="20"/>
      <c r="Y44" s="20"/>
      <c r="Z44" s="20"/>
      <c r="AA44" s="20"/>
    </row>
    <row r="45">
      <c r="A45" s="21" t="s">
        <v>64</v>
      </c>
      <c r="B45" s="22" t="str">
        <f>IFERROR(__xludf.DUMMYFUNCTION("""COMPUTED_VALUE"""),"User Dashboard")</f>
        <v>User Dashboard</v>
      </c>
      <c r="C45" s="22" t="str">
        <f>IFERROR(__xludf.DUMMYFUNCTION("""COMPUTED_VALUE"""),"Service List(Discount offers)")</f>
        <v>Service List(Discount offers)</v>
      </c>
      <c r="D45" s="22" t="str">
        <f>IFERROR(__xludf.DUMMYFUNCTION("""COMPUTED_VALUE"""),"Incorrect button functionality in discount offer section")</f>
        <v>Incorrect button functionality in discount offer section</v>
      </c>
      <c r="E45" s="22" t="str">
        <f>IFERROR(__xludf.DUMMYFUNCTION("""COMPUTED_VALUE"""),"User navigates to service list and selects discount offer section")</f>
        <v>User navigates to service list and selects discount offer section</v>
      </c>
      <c r="F45" s="22" t="str">
        <f>IFERROR(__xludf.DUMMYFUNCTION("""COMPUTED_VALUE"""),"Click the ""Add Discount"" (currently labeled ""Add Service"") button and observe behavior")</f>
        <v>Click the "Add Discount" (currently labeled "Add Service") button and observe behavior</v>
      </c>
      <c r="G45" s="22" t="str">
        <f>IFERROR(__xludf.DUMMYFUNCTION("""COMPUTED_VALUE"""),"-")</f>
        <v>-</v>
      </c>
      <c r="H45" s="22" t="str">
        <f>IFERROR(__xludf.DUMMYFUNCTION("""COMPUTED_VALUE"""),"Button should trigger discount-related functionality, not service addition")</f>
        <v>Button should trigger discount-related functionality, not service addition</v>
      </c>
      <c r="I45" s="22" t="str">
        <f>IFERROR(__xludf.DUMMYFUNCTION("""COMPUTED_VALUE"""),"Clicking the button triggers service addition functionality instead of discount-specific action")</f>
        <v>Clicking the button triggers service addition functionality instead of discount-specific action</v>
      </c>
      <c r="J45" s="22" t="str">
        <f>IFERROR(__xludf.DUMMYFUNCTION("""COMPUTED_VALUE"""),"Fail")</f>
        <v>Fail</v>
      </c>
      <c r="K45" s="22" t="str">
        <f>IFERROR(__xludf.DUMMYFUNCTION("""COMPUTED_VALUE"""),"High")</f>
        <v>High</v>
      </c>
      <c r="L45" s="23" t="str">
        <f>IFERROR(__xludf.DUMMYFUNCTION("""COMPUTED_VALUE"""),"https://jam.dev/c/a3e2dab2-59bc-4121-8511-3da202701a67")</f>
        <v>https://jam.dev/c/a3e2dab2-59bc-4121-8511-3da202701a67</v>
      </c>
      <c r="M45" s="22" t="str">
        <f>IFERROR(__xludf.DUMMYFUNCTION("""COMPUTED_VALUE"""),"Update the button functionality to handle discount offers separately from regular service addition")</f>
        <v>Update the button functionality to handle discount offers separately from regular service addition</v>
      </c>
      <c r="N45" s="22" t="str">
        <f>IFERROR(__xludf.DUMMYFUNCTION("""COMPUTED_VALUE"""),"Tahsin")</f>
        <v>Tahsin</v>
      </c>
      <c r="O45" s="22"/>
      <c r="P45" s="20"/>
      <c r="Q45" s="20"/>
      <c r="R45" s="20"/>
      <c r="S45" s="20"/>
      <c r="T45" s="20"/>
      <c r="U45" s="20"/>
      <c r="V45" s="20"/>
      <c r="W45" s="20"/>
      <c r="X45" s="20"/>
      <c r="Y45" s="20"/>
      <c r="Z45" s="20"/>
      <c r="AA45" s="20"/>
    </row>
    <row r="46">
      <c r="A46" s="21" t="s">
        <v>65</v>
      </c>
      <c r="B46" s="22" t="str">
        <f>IFERROR(__xludf.DUMMYFUNCTION("""COMPUTED_VALUE"""),"User Dashboard")</f>
        <v>User Dashboard</v>
      </c>
      <c r="C46" s="22" t="str">
        <f>IFERROR(__xludf.DUMMYFUNCTION("""COMPUTED_VALUE"""),"Chatbot")</f>
        <v>Chatbot</v>
      </c>
      <c r="D46" s="22" t="str">
        <f>IFERROR(__xludf.DUMMYFUNCTION("""COMPUTED_VALUE"""),"User messages appear on left side in chatbot")</f>
        <v>User messages appear on left side in chatbot</v>
      </c>
      <c r="E46" s="22" t="str">
        <f>IFERROR(__xludf.DUMMYFUNCTION("""COMPUTED_VALUE"""),"User opens chatbot and sends a message")</f>
        <v>User opens chatbot and sends a message</v>
      </c>
      <c r="F46" s="22" t="str">
        <f>IFERROR(__xludf.DUMMYFUNCTION("""COMPUTED_VALUE"""),"Send any message in chatbot and observe the alignment")</f>
        <v>Send any message in chatbot and observe the alignment</v>
      </c>
      <c r="G46" s="22" t="str">
        <f>IFERROR(__xludf.DUMMYFUNCTION("""COMPUTED_VALUE"""),"Any sample message")</f>
        <v>Any sample message</v>
      </c>
      <c r="H46" s="22" t="str">
        <f>IFERROR(__xludf.DUMMYFUNCTION("""COMPUTED_VALUE"""),"User messages should appear on the right side (standard convention)")</f>
        <v>User messages should appear on the right side (standard convention)</v>
      </c>
      <c r="I46" s="22" t="str">
        <f>IFERROR(__xludf.DUMMYFUNCTION("""COMPUTED_VALUE"""),"User messages are incorrectly shown on the left side")</f>
        <v>User messages are incorrectly shown on the left side</v>
      </c>
      <c r="J46" s="22" t="str">
        <f>IFERROR(__xludf.DUMMYFUNCTION("""COMPUTED_VALUE"""),"Fail")</f>
        <v>Fail</v>
      </c>
      <c r="K46" s="22" t="str">
        <f>IFERROR(__xludf.DUMMYFUNCTION("""COMPUTED_VALUE"""),"Medium")</f>
        <v>Medium</v>
      </c>
      <c r="L46" s="23" t="str">
        <f>IFERROR(__xludf.DUMMYFUNCTION("""COMPUTED_VALUE"""),"https://jam.dev/c/b341b569-39b9-48a5-8178-078918cf9e0b")</f>
        <v>https://jam.dev/c/b341b569-39b9-48a5-8178-078918cf9e0b</v>
      </c>
      <c r="M46" s="22" t="str">
        <f>IFERROR(__xludf.DUMMYFUNCTION("""COMPUTED_VALUE"""),"Align user messages to the right side to follow standard chat UI conventions")</f>
        <v>Align user messages to the right side to follow standard chat UI conventions</v>
      </c>
      <c r="N46" s="22" t="str">
        <f>IFERROR(__xludf.DUMMYFUNCTION("""COMPUTED_VALUE"""),"Tahsin")</f>
        <v>Tahsin</v>
      </c>
      <c r="O46" s="22"/>
      <c r="P46" s="20"/>
      <c r="Q46" s="20"/>
      <c r="R46" s="20"/>
      <c r="S46" s="20"/>
      <c r="T46" s="20"/>
      <c r="U46" s="20"/>
      <c r="V46" s="20"/>
      <c r="W46" s="20"/>
      <c r="X46" s="20"/>
      <c r="Y46" s="20"/>
      <c r="Z46" s="20"/>
      <c r="AA46" s="20"/>
    </row>
    <row r="47">
      <c r="A47" s="21" t="s">
        <v>66</v>
      </c>
      <c r="B47" s="22" t="str">
        <f>IFERROR(__xludf.DUMMYFUNCTION("""COMPUTED_VALUE"""),"User Dashboard")</f>
        <v>User Dashboard</v>
      </c>
      <c r="C47" s="22" t="str">
        <f>IFERROR(__xludf.DUMMYFUNCTION("""COMPUTED_VALUE"""),"Profile")</f>
        <v>Profile</v>
      </c>
      <c r="D47" s="22" t="str">
        <f>IFERROR(__xludf.DUMMYFUNCTION("""COMPUTED_VALUE"""),"UI issues in Edit Profile form and upload fields")</f>
        <v>UI issues in Edit Profile form and upload fields</v>
      </c>
      <c r="E47" s="22" t="str">
        <f>IFERROR(__xludf.DUMMYFUNCTION("""COMPUTED_VALUE"""),"User navigates to Edit Profile section")</f>
        <v>User navigates to Edit Profile section</v>
      </c>
      <c r="F47" s="22" t="str">
        <f>IFERROR(__xludf.DUMMYFUNCTION("""COMPUTED_VALUE"""),"Open Edit Profile form and review field alignment and upload areas")</f>
        <v>Open Edit Profile form and review field alignment and upload areas</v>
      </c>
      <c r="G47" s="22" t="str">
        <f>IFERROR(__xludf.DUMMYFUNCTION("""COMPUTED_VALUE"""),"-")</f>
        <v>-</v>
      </c>
      <c r="H47" s="22" t="str">
        <f>IFERROR(__xludf.DUMMYFUNCTION("""COMPUTED_VALUE"""),"Form fields should be aligned, and upload fields should have visible boxes")</f>
        <v>Form fields should be aligned, and upload fields should have visible boxes</v>
      </c>
      <c r="I47" s="22" t="str">
        <f>IFERROR(__xludf.DUMMYFUNCTION("""COMPUTED_VALUE"""),"Form fields are misaligned, and Upload Profile Picture &amp; Upload Logo fields only show plain text without any visible upload box")</f>
        <v>Form fields are misaligned, and Upload Profile Picture &amp; Upload Logo fields only show plain text without any visible upload box</v>
      </c>
      <c r="J47" s="22" t="str">
        <f>IFERROR(__xludf.DUMMYFUNCTION("""COMPUTED_VALUE"""),"Fail")</f>
        <v>Fail</v>
      </c>
      <c r="K47" s="22" t="str">
        <f>IFERROR(__xludf.DUMMYFUNCTION("""COMPUTED_VALUE"""),"Low")</f>
        <v>Low</v>
      </c>
      <c r="L47" s="23" t="str">
        <f>IFERROR(__xludf.DUMMYFUNCTION("""COMPUTED_VALUE"""),"https://jam.dev/c/a4a61d01-53b3-4c2c-8e29-c1a02b29d276")</f>
        <v>https://jam.dev/c/a4a61d01-53b3-4c2c-8e29-c1a02b29d276</v>
      </c>
      <c r="M47" s="22" t="str">
        <f>IFERROR(__xludf.DUMMYFUNCTION("""COMPUTED_VALUE"""),"Fix form alignment and add visible upload boxes for profile picture and logo upload fields")</f>
        <v>Fix form alignment and add visible upload boxes for profile picture and logo upload fields</v>
      </c>
      <c r="N47" s="22" t="str">
        <f>IFERROR(__xludf.DUMMYFUNCTION("""COMPUTED_VALUE"""),"Tahsin")</f>
        <v>Tahsin</v>
      </c>
      <c r="O47" s="22"/>
      <c r="P47" s="20"/>
      <c r="Q47" s="20"/>
      <c r="R47" s="20"/>
      <c r="S47" s="20"/>
      <c r="T47" s="20"/>
      <c r="U47" s="20"/>
      <c r="V47" s="20"/>
      <c r="W47" s="20"/>
      <c r="X47" s="20"/>
      <c r="Y47" s="20"/>
      <c r="Z47" s="20"/>
      <c r="AA47" s="20"/>
    </row>
    <row r="48">
      <c r="A48" s="24" t="s">
        <v>67</v>
      </c>
      <c r="B48" s="25" t="str">
        <f>IFERROR(__xludf.DUMMYFUNCTION("""COMPUTED_VALUE"""),"User Dashboard")</f>
        <v>User Dashboard</v>
      </c>
      <c r="C48" s="25" t="str">
        <f>IFERROR(__xludf.DUMMYFUNCTION("""COMPUTED_VALUE"""),"Profile")</f>
        <v>Profile</v>
      </c>
      <c r="D48" s="25" t="str">
        <f>IFERROR(__xludf.DUMMYFUNCTION("""COMPUTED_VALUE"""),"Incorrect label ""Availability"" in profile section")</f>
        <v>Incorrect label "Availability" in profile section</v>
      </c>
      <c r="E48" s="25" t="str">
        <f>IFERROR(__xludf.DUMMYFUNCTION("""COMPUTED_VALUE"""),"User navigates to profile section")</f>
        <v>User navigates to profile section</v>
      </c>
      <c r="F48" s="25" t="str">
        <f>IFERROR(__xludf.DUMMYFUNCTION("""COMPUTED_VALUE"""),"Open profile and observe the label related to availability status")</f>
        <v>Open profile and observe the label related to availability status</v>
      </c>
      <c r="G48" s="25" t="str">
        <f>IFERROR(__xludf.DUMMYFUNCTION("""COMPUTED_VALUE"""),"-")</f>
        <v>-</v>
      </c>
      <c r="H48" s="25" t="str">
        <f>IFERROR(__xludf.DUMMYFUNCTION("""COMPUTED_VALUE"""),"Label should be ""Unavailability"" as per requirement")</f>
        <v>Label should be "Unavailability" as per requirement</v>
      </c>
      <c r="I48" s="25" t="str">
        <f>IFERROR(__xludf.DUMMYFUNCTION("""COMPUTED_VALUE"""),"Label is incorrectly shown as ""Availability""")</f>
        <v>Label is incorrectly shown as "Availability"</v>
      </c>
      <c r="J48" s="25" t="str">
        <f>IFERROR(__xludf.DUMMYFUNCTION("""COMPUTED_VALUE"""),"Fail")</f>
        <v>Fail</v>
      </c>
      <c r="K48" s="25" t="str">
        <f>IFERROR(__xludf.DUMMYFUNCTION("""COMPUTED_VALUE"""),"Medium")</f>
        <v>Medium</v>
      </c>
      <c r="L48" s="26" t="str">
        <f>IFERROR(__xludf.DUMMYFUNCTION("""COMPUTED_VALUE"""),"https://jam.dev/c/a588c16f-6ac6-42d9-859d-34ffb4d171cb")</f>
        <v>https://jam.dev/c/a588c16f-6ac6-42d9-859d-34ffb4d171cb</v>
      </c>
      <c r="M48" s="25" t="str">
        <f>IFERROR(__xludf.DUMMYFUNCTION("""COMPUTED_VALUE"""),"Update the label text to ""Unavailability"" to match the requirement")</f>
        <v>Update the label text to "Unavailability" to match the requirement</v>
      </c>
      <c r="N48" s="25" t="str">
        <f>IFERROR(__xludf.DUMMYFUNCTION("""COMPUTED_VALUE"""),"Tahsin")</f>
        <v>Tahsin</v>
      </c>
      <c r="O48" s="25"/>
      <c r="P48" s="20"/>
      <c r="Q48" s="20"/>
      <c r="R48" s="20"/>
      <c r="S48" s="20"/>
      <c r="T48" s="20"/>
      <c r="U48" s="20"/>
      <c r="V48" s="20"/>
      <c r="W48" s="20"/>
      <c r="X48" s="20"/>
      <c r="Y48" s="20"/>
      <c r="Z48" s="20"/>
      <c r="AA48" s="20"/>
    </row>
    <row r="49">
      <c r="A49" s="27"/>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c r="A50" s="29"/>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9"/>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9"/>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9"/>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9"/>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9"/>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9"/>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9"/>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9"/>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9"/>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9"/>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9"/>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9"/>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9"/>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9"/>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9"/>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9"/>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9"/>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9"/>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9"/>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9"/>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9"/>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9"/>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9"/>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9"/>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9"/>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9"/>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9"/>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9"/>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9"/>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9"/>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9"/>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9"/>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9"/>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9"/>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9"/>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9"/>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9"/>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9"/>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9"/>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9"/>
    </row>
    <row r="91">
      <c r="A91" s="29"/>
    </row>
    <row r="92">
      <c r="A92" s="29"/>
    </row>
    <row r="93">
      <c r="A93" s="29"/>
    </row>
    <row r="94">
      <c r="A94" s="29"/>
    </row>
    <row r="95">
      <c r="A95" s="29"/>
    </row>
    <row r="96">
      <c r="A96" s="29"/>
    </row>
    <row r="97">
      <c r="A97" s="29"/>
    </row>
    <row r="98">
      <c r="A98" s="29"/>
    </row>
    <row r="99">
      <c r="A99" s="29"/>
    </row>
    <row r="100">
      <c r="O100" s="30"/>
    </row>
    <row r="101">
      <c r="O101" s="30"/>
    </row>
    <row r="102">
      <c r="O102" s="30"/>
    </row>
    <row r="103">
      <c r="O103" s="30"/>
    </row>
    <row r="104">
      <c r="O104" s="30"/>
    </row>
    <row r="105">
      <c r="O105" s="30"/>
    </row>
    <row r="106">
      <c r="O106" s="30"/>
    </row>
    <row r="107">
      <c r="O107" s="30"/>
    </row>
    <row r="108">
      <c r="O108" s="30"/>
    </row>
    <row r="109">
      <c r="O109" s="30"/>
    </row>
    <row r="110">
      <c r="O110" s="30"/>
    </row>
    <row r="111">
      <c r="O111" s="30"/>
    </row>
    <row r="112">
      <c r="O112" s="30"/>
    </row>
    <row r="113">
      <c r="O113" s="30"/>
    </row>
    <row r="114">
      <c r="O114" s="30"/>
    </row>
    <row r="115">
      <c r="O115" s="30"/>
    </row>
    <row r="116">
      <c r="O116" s="30"/>
    </row>
    <row r="117">
      <c r="O117" s="30"/>
    </row>
    <row r="118">
      <c r="O118" s="30"/>
    </row>
    <row r="119">
      <c r="O119" s="30"/>
    </row>
    <row r="120">
      <c r="O120" s="30"/>
    </row>
    <row r="121">
      <c r="O121" s="30"/>
    </row>
    <row r="122">
      <c r="O122" s="30"/>
    </row>
    <row r="123">
      <c r="O123" s="30"/>
    </row>
    <row r="124">
      <c r="O124" s="30"/>
    </row>
    <row r="125">
      <c r="O125" s="30"/>
    </row>
    <row r="126">
      <c r="O126" s="30"/>
    </row>
    <row r="127">
      <c r="O127" s="30"/>
    </row>
    <row r="128">
      <c r="O128" s="30"/>
    </row>
    <row r="129">
      <c r="O129" s="30"/>
    </row>
    <row r="130">
      <c r="O130" s="30"/>
    </row>
    <row r="131">
      <c r="O131" s="30"/>
    </row>
    <row r="132">
      <c r="O132" s="30"/>
    </row>
    <row r="133">
      <c r="O133" s="30"/>
    </row>
    <row r="134">
      <c r="O134" s="30"/>
    </row>
    <row r="135">
      <c r="O135" s="30"/>
    </row>
    <row r="136">
      <c r="O136" s="30"/>
    </row>
    <row r="137">
      <c r="O137" s="30"/>
    </row>
    <row r="138">
      <c r="O138" s="30"/>
    </row>
    <row r="139">
      <c r="O139" s="30"/>
    </row>
    <row r="140">
      <c r="O140" s="30"/>
    </row>
    <row r="141">
      <c r="O141" s="30"/>
    </row>
    <row r="142">
      <c r="O142" s="30"/>
    </row>
    <row r="143">
      <c r="O143" s="30"/>
    </row>
    <row r="144">
      <c r="O144" s="30"/>
    </row>
    <row r="145">
      <c r="O145" s="30"/>
    </row>
    <row r="146">
      <c r="O146" s="30"/>
    </row>
    <row r="147">
      <c r="O147" s="30"/>
    </row>
    <row r="148">
      <c r="O148" s="30"/>
    </row>
    <row r="149">
      <c r="O149" s="30"/>
    </row>
    <row r="150">
      <c r="O150" s="30"/>
    </row>
    <row r="151">
      <c r="O151" s="30"/>
    </row>
    <row r="152">
      <c r="O152" s="30"/>
    </row>
    <row r="153">
      <c r="O153" s="30"/>
    </row>
    <row r="154">
      <c r="O154" s="30"/>
    </row>
    <row r="155">
      <c r="O155" s="30"/>
    </row>
    <row r="156">
      <c r="O156" s="30"/>
    </row>
    <row r="157">
      <c r="O157" s="30"/>
    </row>
    <row r="158">
      <c r="O158" s="30"/>
    </row>
    <row r="159">
      <c r="O159" s="30"/>
    </row>
    <row r="160">
      <c r="O160" s="30"/>
    </row>
    <row r="161">
      <c r="O161" s="30"/>
    </row>
    <row r="162">
      <c r="O162" s="30"/>
    </row>
    <row r="163">
      <c r="O163" s="30"/>
    </row>
    <row r="164">
      <c r="O164" s="30"/>
    </row>
    <row r="165">
      <c r="O165" s="30"/>
    </row>
    <row r="166">
      <c r="O166" s="30"/>
    </row>
    <row r="167">
      <c r="O167" s="30"/>
    </row>
    <row r="168">
      <c r="O168" s="30"/>
    </row>
    <row r="169">
      <c r="O169" s="30"/>
    </row>
    <row r="170">
      <c r="O170" s="30"/>
    </row>
    <row r="171">
      <c r="O171" s="30"/>
    </row>
    <row r="172">
      <c r="O172" s="30"/>
    </row>
    <row r="173">
      <c r="O173" s="30"/>
    </row>
    <row r="174">
      <c r="O174" s="30"/>
    </row>
    <row r="175">
      <c r="O175" s="30"/>
    </row>
    <row r="176">
      <c r="O176" s="30"/>
    </row>
    <row r="177">
      <c r="O177" s="30"/>
    </row>
    <row r="178">
      <c r="O178" s="30"/>
    </row>
    <row r="179">
      <c r="O179" s="30"/>
    </row>
    <row r="180">
      <c r="O180" s="30"/>
    </row>
    <row r="181">
      <c r="O181" s="30"/>
    </row>
    <row r="182">
      <c r="O182" s="30"/>
    </row>
    <row r="183">
      <c r="O183" s="30"/>
    </row>
    <row r="184">
      <c r="O184" s="30"/>
    </row>
    <row r="185">
      <c r="O185" s="30"/>
    </row>
    <row r="186">
      <c r="O186" s="30"/>
    </row>
    <row r="187">
      <c r="O187" s="30"/>
    </row>
    <row r="188">
      <c r="O188" s="30"/>
    </row>
    <row r="189">
      <c r="O189" s="30"/>
    </row>
    <row r="190">
      <c r="O190" s="30"/>
    </row>
    <row r="191">
      <c r="O191" s="30"/>
    </row>
    <row r="192">
      <c r="O192" s="30"/>
    </row>
    <row r="193">
      <c r="O193" s="30"/>
    </row>
    <row r="194">
      <c r="O194" s="30"/>
    </row>
    <row r="195">
      <c r="O195" s="30"/>
    </row>
    <row r="196">
      <c r="O196" s="30"/>
    </row>
    <row r="197">
      <c r="O197" s="30"/>
    </row>
    <row r="198">
      <c r="O198" s="30"/>
    </row>
    <row r="199">
      <c r="O199" s="30"/>
    </row>
    <row r="200">
      <c r="O200" s="30"/>
    </row>
    <row r="201">
      <c r="O201" s="30"/>
    </row>
    <row r="202">
      <c r="O202" s="30"/>
    </row>
    <row r="203">
      <c r="O203" s="30"/>
    </row>
    <row r="204">
      <c r="O204" s="30"/>
    </row>
    <row r="205">
      <c r="O205" s="30"/>
    </row>
    <row r="206">
      <c r="O206" s="30"/>
    </row>
    <row r="207">
      <c r="O207" s="30"/>
    </row>
    <row r="208">
      <c r="O208" s="30"/>
    </row>
    <row r="209">
      <c r="O209" s="30"/>
    </row>
    <row r="210">
      <c r="O210" s="30"/>
    </row>
    <row r="211">
      <c r="O211" s="30"/>
    </row>
    <row r="212">
      <c r="O212" s="30"/>
    </row>
    <row r="213">
      <c r="O213" s="30"/>
    </row>
    <row r="214">
      <c r="O214" s="30"/>
    </row>
    <row r="215">
      <c r="O215" s="30"/>
    </row>
    <row r="216">
      <c r="O216" s="30"/>
    </row>
    <row r="217">
      <c r="O217" s="30"/>
    </row>
    <row r="218">
      <c r="O218" s="30"/>
    </row>
    <row r="219">
      <c r="O219" s="30"/>
    </row>
    <row r="220">
      <c r="O220" s="30"/>
    </row>
    <row r="221">
      <c r="O221" s="30"/>
    </row>
    <row r="222">
      <c r="O222" s="30"/>
    </row>
    <row r="223">
      <c r="O223" s="30"/>
    </row>
    <row r="224">
      <c r="O224" s="30"/>
    </row>
    <row r="225">
      <c r="O225" s="30"/>
    </row>
    <row r="226">
      <c r="O226" s="30"/>
    </row>
    <row r="227">
      <c r="O227" s="30"/>
    </row>
    <row r="228">
      <c r="O228" s="30"/>
    </row>
    <row r="229">
      <c r="O229" s="30"/>
    </row>
    <row r="230">
      <c r="O230" s="30"/>
    </row>
    <row r="231">
      <c r="O231" s="30"/>
    </row>
    <row r="232">
      <c r="O232" s="30"/>
    </row>
    <row r="233">
      <c r="O233" s="30"/>
    </row>
    <row r="234">
      <c r="O234" s="30"/>
    </row>
    <row r="235">
      <c r="O235" s="30"/>
    </row>
    <row r="236">
      <c r="O236" s="30"/>
    </row>
    <row r="237">
      <c r="O237" s="30"/>
    </row>
    <row r="238">
      <c r="O238" s="30"/>
    </row>
    <row r="239">
      <c r="O239" s="30"/>
    </row>
    <row r="240">
      <c r="O240" s="30"/>
    </row>
    <row r="241">
      <c r="O241" s="30"/>
    </row>
    <row r="242">
      <c r="O242" s="30"/>
    </row>
    <row r="243">
      <c r="O243" s="30"/>
    </row>
    <row r="244">
      <c r="O244" s="30"/>
    </row>
    <row r="245">
      <c r="O245" s="30"/>
    </row>
    <row r="246">
      <c r="O246" s="30"/>
    </row>
    <row r="247">
      <c r="O247" s="30"/>
    </row>
    <row r="248">
      <c r="O248" s="30"/>
    </row>
    <row r="249">
      <c r="O249" s="30"/>
    </row>
    <row r="250">
      <c r="O250" s="30"/>
    </row>
    <row r="251">
      <c r="O251" s="30"/>
    </row>
    <row r="252">
      <c r="O252" s="30"/>
    </row>
    <row r="253">
      <c r="O253" s="30"/>
    </row>
    <row r="254">
      <c r="O254" s="30"/>
    </row>
    <row r="255">
      <c r="O255" s="30"/>
    </row>
    <row r="256">
      <c r="O256" s="30"/>
    </row>
    <row r="257">
      <c r="O257" s="30"/>
    </row>
    <row r="258">
      <c r="O258" s="30"/>
    </row>
    <row r="259">
      <c r="O259" s="30"/>
    </row>
    <row r="260">
      <c r="O260" s="30"/>
    </row>
    <row r="261">
      <c r="O261" s="30"/>
    </row>
    <row r="262">
      <c r="O262" s="30"/>
    </row>
    <row r="263">
      <c r="O263" s="30"/>
    </row>
    <row r="264">
      <c r="O264" s="30"/>
    </row>
    <row r="265">
      <c r="O265" s="30"/>
    </row>
    <row r="266">
      <c r="O266" s="30"/>
    </row>
    <row r="267">
      <c r="O267" s="30"/>
    </row>
    <row r="268">
      <c r="O268" s="30"/>
    </row>
    <row r="269">
      <c r="O269" s="30"/>
    </row>
    <row r="270">
      <c r="O270" s="30"/>
    </row>
    <row r="271">
      <c r="O271" s="30"/>
    </row>
    <row r="272">
      <c r="O272" s="30"/>
    </row>
    <row r="273">
      <c r="O273" s="30"/>
    </row>
    <row r="274">
      <c r="O274" s="30"/>
    </row>
    <row r="275">
      <c r="O275" s="30"/>
    </row>
    <row r="276">
      <c r="O276" s="30"/>
    </row>
    <row r="277">
      <c r="O277" s="30"/>
    </row>
    <row r="278">
      <c r="O278" s="30"/>
    </row>
    <row r="279">
      <c r="O279" s="30"/>
    </row>
    <row r="280">
      <c r="O280" s="30"/>
    </row>
    <row r="281">
      <c r="O281" s="30"/>
    </row>
    <row r="282">
      <c r="O282" s="30"/>
    </row>
    <row r="283">
      <c r="O283" s="30"/>
    </row>
    <row r="284">
      <c r="O284" s="30"/>
    </row>
    <row r="285">
      <c r="O285" s="30"/>
    </row>
    <row r="286">
      <c r="O286" s="30"/>
    </row>
    <row r="287">
      <c r="O287" s="30"/>
    </row>
    <row r="288">
      <c r="O288" s="30"/>
    </row>
    <row r="289">
      <c r="O289" s="30"/>
    </row>
    <row r="290">
      <c r="O290" s="30"/>
    </row>
    <row r="291">
      <c r="O291" s="30"/>
    </row>
    <row r="292">
      <c r="O292" s="30"/>
    </row>
    <row r="293">
      <c r="O293" s="30"/>
    </row>
    <row r="294">
      <c r="O294" s="30"/>
    </row>
    <row r="295">
      <c r="O295" s="30"/>
    </row>
    <row r="296">
      <c r="O296" s="30"/>
    </row>
    <row r="297">
      <c r="O297" s="30"/>
    </row>
    <row r="298">
      <c r="O298" s="30"/>
    </row>
    <row r="299">
      <c r="O299" s="30"/>
    </row>
    <row r="300">
      <c r="O300" s="30"/>
    </row>
    <row r="301">
      <c r="O301" s="30"/>
    </row>
    <row r="302">
      <c r="O302" s="30"/>
    </row>
    <row r="303">
      <c r="O303" s="30"/>
    </row>
    <row r="304">
      <c r="O304" s="30"/>
    </row>
    <row r="305">
      <c r="O305" s="30"/>
    </row>
    <row r="306">
      <c r="O306" s="30"/>
    </row>
    <row r="307">
      <c r="O307" s="30"/>
    </row>
    <row r="308">
      <c r="O308" s="30"/>
    </row>
    <row r="309">
      <c r="O309" s="30"/>
    </row>
    <row r="310">
      <c r="O310" s="30"/>
    </row>
    <row r="311">
      <c r="O311" s="30"/>
    </row>
    <row r="312">
      <c r="O312" s="30"/>
    </row>
    <row r="313">
      <c r="O313" s="30"/>
    </row>
    <row r="314">
      <c r="O314" s="30"/>
    </row>
    <row r="315">
      <c r="O315" s="30"/>
    </row>
    <row r="316">
      <c r="O316" s="30"/>
    </row>
    <row r="317">
      <c r="O317" s="30"/>
    </row>
    <row r="318">
      <c r="O318" s="30"/>
    </row>
    <row r="319">
      <c r="O319" s="30"/>
    </row>
    <row r="320">
      <c r="O320" s="30"/>
    </row>
    <row r="321">
      <c r="O321" s="30"/>
    </row>
    <row r="322">
      <c r="O322" s="30"/>
    </row>
    <row r="323">
      <c r="O323" s="30"/>
    </row>
    <row r="324">
      <c r="O324" s="30"/>
    </row>
    <row r="325">
      <c r="O325" s="30"/>
    </row>
    <row r="326">
      <c r="O326" s="30"/>
    </row>
    <row r="327">
      <c r="O327" s="30"/>
    </row>
    <row r="328">
      <c r="O328" s="30"/>
    </row>
    <row r="329">
      <c r="O329" s="30"/>
    </row>
    <row r="330">
      <c r="O330" s="30"/>
    </row>
    <row r="331">
      <c r="O331" s="30"/>
    </row>
    <row r="332">
      <c r="O332" s="30"/>
    </row>
    <row r="333">
      <c r="O333" s="30"/>
    </row>
    <row r="334">
      <c r="O334" s="30"/>
    </row>
    <row r="335">
      <c r="O335" s="30"/>
    </row>
    <row r="336">
      <c r="O336" s="30"/>
    </row>
    <row r="337">
      <c r="O337" s="30"/>
    </row>
    <row r="338">
      <c r="O338" s="30"/>
    </row>
    <row r="339">
      <c r="O339" s="30"/>
    </row>
    <row r="340">
      <c r="O340" s="30"/>
    </row>
    <row r="341">
      <c r="O341" s="30"/>
    </row>
    <row r="342">
      <c r="O342" s="30"/>
    </row>
    <row r="343">
      <c r="O343" s="30"/>
    </row>
    <row r="344">
      <c r="O344" s="30"/>
    </row>
    <row r="345">
      <c r="O345" s="30"/>
    </row>
    <row r="346">
      <c r="O346" s="30"/>
    </row>
    <row r="347">
      <c r="O347" s="30"/>
    </row>
    <row r="348">
      <c r="O348" s="30"/>
    </row>
    <row r="349">
      <c r="O349" s="30"/>
    </row>
    <row r="350">
      <c r="O350" s="30"/>
    </row>
    <row r="351">
      <c r="O351" s="30"/>
    </row>
    <row r="352">
      <c r="O352" s="30"/>
    </row>
    <row r="353">
      <c r="O353" s="30"/>
    </row>
    <row r="354">
      <c r="O354" s="30"/>
    </row>
    <row r="355">
      <c r="O355" s="30"/>
    </row>
    <row r="356">
      <c r="O356" s="30"/>
    </row>
    <row r="357">
      <c r="O357" s="30"/>
    </row>
    <row r="358">
      <c r="O358" s="30"/>
    </row>
    <row r="359">
      <c r="O359" s="30"/>
    </row>
    <row r="360">
      <c r="O360" s="30"/>
    </row>
    <row r="361">
      <c r="O361" s="30"/>
    </row>
    <row r="362">
      <c r="O362" s="30"/>
    </row>
    <row r="363">
      <c r="O363" s="30"/>
    </row>
    <row r="364">
      <c r="O364" s="30"/>
    </row>
    <row r="365">
      <c r="O365" s="30"/>
    </row>
    <row r="366">
      <c r="O366" s="30"/>
    </row>
    <row r="367">
      <c r="O367" s="30"/>
    </row>
    <row r="368">
      <c r="O368" s="30"/>
    </row>
    <row r="369">
      <c r="O369" s="30"/>
    </row>
    <row r="370">
      <c r="O370" s="30"/>
    </row>
    <row r="371">
      <c r="O371" s="30"/>
    </row>
    <row r="372">
      <c r="O372" s="30"/>
    </row>
    <row r="373">
      <c r="O373" s="30"/>
    </row>
    <row r="374">
      <c r="O374" s="30"/>
    </row>
    <row r="375">
      <c r="O375" s="30"/>
    </row>
    <row r="376">
      <c r="O376" s="30"/>
    </row>
    <row r="377">
      <c r="O377" s="30"/>
    </row>
    <row r="378">
      <c r="O378" s="30"/>
    </row>
    <row r="379">
      <c r="O379" s="30"/>
    </row>
    <row r="380">
      <c r="O380" s="30"/>
    </row>
    <row r="381">
      <c r="O381" s="30"/>
    </row>
    <row r="382">
      <c r="O382" s="30"/>
    </row>
    <row r="383">
      <c r="O383" s="30"/>
    </row>
    <row r="384">
      <c r="O384" s="30"/>
    </row>
    <row r="385">
      <c r="O385" s="30"/>
    </row>
    <row r="386">
      <c r="O386" s="30"/>
    </row>
    <row r="387">
      <c r="O387" s="30"/>
    </row>
    <row r="388">
      <c r="O388" s="30"/>
    </row>
    <row r="389">
      <c r="O389" s="30"/>
    </row>
    <row r="390">
      <c r="O390" s="30"/>
    </row>
    <row r="391">
      <c r="O391" s="30"/>
    </row>
    <row r="392">
      <c r="O392" s="30"/>
    </row>
    <row r="393">
      <c r="O393" s="30"/>
    </row>
    <row r="394">
      <c r="O394" s="30"/>
    </row>
    <row r="395">
      <c r="O395" s="30"/>
    </row>
    <row r="396">
      <c r="O396" s="30"/>
    </row>
    <row r="397">
      <c r="O397" s="30"/>
    </row>
    <row r="398">
      <c r="O398" s="30"/>
    </row>
    <row r="399">
      <c r="O399" s="30"/>
    </row>
    <row r="400">
      <c r="O400" s="30"/>
    </row>
    <row r="401">
      <c r="O401" s="30"/>
    </row>
    <row r="402">
      <c r="O402" s="30"/>
    </row>
    <row r="403">
      <c r="O403" s="30"/>
    </row>
    <row r="404">
      <c r="O404" s="30"/>
    </row>
    <row r="405">
      <c r="O405" s="30"/>
    </row>
    <row r="406">
      <c r="O406" s="30"/>
    </row>
    <row r="407">
      <c r="O407" s="30"/>
    </row>
    <row r="408">
      <c r="O408" s="30"/>
    </row>
    <row r="409">
      <c r="O409" s="30"/>
    </row>
    <row r="410">
      <c r="O410" s="30"/>
    </row>
    <row r="411">
      <c r="O411" s="30"/>
    </row>
    <row r="412">
      <c r="O412" s="30"/>
    </row>
    <row r="413">
      <c r="O413" s="30"/>
    </row>
    <row r="414">
      <c r="O414" s="30"/>
    </row>
    <row r="415">
      <c r="O415" s="30"/>
    </row>
    <row r="416">
      <c r="O416" s="30"/>
    </row>
    <row r="417">
      <c r="O417" s="30"/>
    </row>
    <row r="418">
      <c r="O418" s="30"/>
    </row>
    <row r="419">
      <c r="O419" s="30"/>
    </row>
    <row r="420">
      <c r="O420" s="30"/>
    </row>
    <row r="421">
      <c r="O421" s="30"/>
    </row>
    <row r="422">
      <c r="O422" s="30"/>
    </row>
    <row r="423">
      <c r="O423" s="30"/>
    </row>
    <row r="424">
      <c r="O424" s="30"/>
    </row>
    <row r="425">
      <c r="O425" s="30"/>
    </row>
    <row r="426">
      <c r="O426" s="30"/>
    </row>
    <row r="427">
      <c r="O427" s="30"/>
    </row>
    <row r="428">
      <c r="O428" s="30"/>
    </row>
    <row r="429">
      <c r="O429" s="30"/>
    </row>
    <row r="430">
      <c r="O430" s="30"/>
    </row>
    <row r="431">
      <c r="O431" s="30"/>
    </row>
    <row r="432">
      <c r="O432" s="30"/>
    </row>
    <row r="433">
      <c r="O433" s="30"/>
    </row>
    <row r="434">
      <c r="O434" s="30"/>
    </row>
    <row r="435">
      <c r="O435" s="30"/>
    </row>
    <row r="436">
      <c r="O436" s="30"/>
    </row>
    <row r="437">
      <c r="O437" s="30"/>
    </row>
    <row r="438">
      <c r="O438" s="30"/>
    </row>
    <row r="439">
      <c r="O439" s="30"/>
    </row>
    <row r="440">
      <c r="O440" s="30"/>
    </row>
    <row r="441">
      <c r="O441" s="30"/>
    </row>
    <row r="442">
      <c r="O442" s="30"/>
    </row>
    <row r="443">
      <c r="O443" s="30"/>
    </row>
    <row r="444">
      <c r="O444" s="30"/>
    </row>
    <row r="445">
      <c r="O445" s="30"/>
    </row>
    <row r="446">
      <c r="O446" s="30"/>
    </row>
    <row r="447">
      <c r="O447" s="30"/>
    </row>
    <row r="448">
      <c r="O448" s="30"/>
    </row>
    <row r="449">
      <c r="O449" s="30"/>
    </row>
    <row r="450">
      <c r="O450" s="30"/>
    </row>
    <row r="451">
      <c r="O451" s="30"/>
    </row>
    <row r="452">
      <c r="O452" s="30"/>
    </row>
    <row r="453">
      <c r="O453" s="30"/>
    </row>
    <row r="454">
      <c r="O454" s="30"/>
    </row>
    <row r="455">
      <c r="O455" s="30"/>
    </row>
    <row r="456">
      <c r="O456" s="30"/>
    </row>
    <row r="457">
      <c r="O457" s="30"/>
    </row>
    <row r="458">
      <c r="O458" s="30"/>
    </row>
    <row r="459">
      <c r="O459" s="30"/>
    </row>
    <row r="460">
      <c r="O460" s="30"/>
    </row>
    <row r="461">
      <c r="O461" s="30"/>
    </row>
    <row r="462">
      <c r="O462" s="30"/>
    </row>
    <row r="463">
      <c r="O463" s="30"/>
    </row>
    <row r="464">
      <c r="O464" s="30"/>
    </row>
    <row r="465">
      <c r="O465" s="30"/>
    </row>
    <row r="466">
      <c r="O466" s="30"/>
    </row>
    <row r="467">
      <c r="O467" s="30"/>
    </row>
    <row r="468">
      <c r="O468" s="30"/>
    </row>
    <row r="469">
      <c r="O469" s="30"/>
    </row>
    <row r="470">
      <c r="O470" s="30"/>
    </row>
    <row r="471">
      <c r="O471" s="30"/>
    </row>
    <row r="472">
      <c r="O472" s="30"/>
    </row>
    <row r="473">
      <c r="O473" s="30"/>
    </row>
    <row r="474">
      <c r="O474" s="30"/>
    </row>
    <row r="475">
      <c r="O475" s="30"/>
    </row>
    <row r="476">
      <c r="O476" s="30"/>
    </row>
    <row r="477">
      <c r="O477" s="30"/>
    </row>
    <row r="478">
      <c r="O478" s="30"/>
    </row>
    <row r="479">
      <c r="O479" s="30"/>
    </row>
    <row r="480">
      <c r="O480" s="30"/>
    </row>
    <row r="481">
      <c r="O481" s="30"/>
    </row>
    <row r="482">
      <c r="O482" s="30"/>
    </row>
    <row r="483">
      <c r="O483" s="30"/>
    </row>
    <row r="484">
      <c r="O484" s="30"/>
    </row>
    <row r="485">
      <c r="O485" s="30"/>
    </row>
    <row r="486">
      <c r="O486" s="30"/>
    </row>
    <row r="487">
      <c r="O487" s="30"/>
    </row>
    <row r="488">
      <c r="O488" s="30"/>
    </row>
    <row r="489">
      <c r="O489" s="30"/>
    </row>
    <row r="490">
      <c r="O490" s="30"/>
    </row>
    <row r="491">
      <c r="O491" s="30"/>
    </row>
    <row r="492">
      <c r="O492" s="30"/>
    </row>
    <row r="493">
      <c r="O493" s="30"/>
    </row>
    <row r="494">
      <c r="O494" s="30"/>
    </row>
    <row r="495">
      <c r="O495" s="30"/>
    </row>
    <row r="496">
      <c r="O496" s="30"/>
    </row>
    <row r="497">
      <c r="O497" s="30"/>
    </row>
    <row r="498">
      <c r="O498" s="30"/>
    </row>
    <row r="499">
      <c r="O499" s="30"/>
    </row>
    <row r="500">
      <c r="O500" s="30"/>
    </row>
    <row r="501">
      <c r="O501" s="30"/>
    </row>
    <row r="502">
      <c r="O502" s="30"/>
    </row>
    <row r="503">
      <c r="O503" s="30"/>
    </row>
    <row r="504">
      <c r="O504" s="30"/>
    </row>
    <row r="505">
      <c r="O505" s="30"/>
    </row>
    <row r="506">
      <c r="O506" s="30"/>
    </row>
    <row r="507">
      <c r="O507" s="30"/>
    </row>
    <row r="508">
      <c r="O508" s="30"/>
    </row>
    <row r="509">
      <c r="O509" s="30"/>
    </row>
    <row r="510">
      <c r="O510" s="30"/>
    </row>
    <row r="511">
      <c r="O511" s="30"/>
    </row>
    <row r="512">
      <c r="O512" s="30"/>
    </row>
    <row r="513">
      <c r="O513" s="30"/>
    </row>
    <row r="514">
      <c r="O514" s="30"/>
    </row>
    <row r="515">
      <c r="O515" s="30"/>
    </row>
    <row r="516">
      <c r="O516" s="30"/>
    </row>
    <row r="517">
      <c r="O517" s="30"/>
    </row>
    <row r="518">
      <c r="O518" s="30"/>
    </row>
    <row r="519">
      <c r="O519" s="30"/>
    </row>
    <row r="520">
      <c r="O520" s="30"/>
    </row>
    <row r="521">
      <c r="O521" s="30"/>
    </row>
    <row r="522">
      <c r="O522" s="30"/>
    </row>
    <row r="523">
      <c r="O523" s="30"/>
    </row>
    <row r="524">
      <c r="O524" s="30"/>
    </row>
    <row r="525">
      <c r="O525" s="30"/>
    </row>
    <row r="526">
      <c r="O526" s="30"/>
    </row>
    <row r="527">
      <c r="O527" s="30"/>
    </row>
    <row r="528">
      <c r="O528" s="30"/>
    </row>
    <row r="529">
      <c r="O529" s="30"/>
    </row>
    <row r="530">
      <c r="O530" s="30"/>
    </row>
    <row r="531">
      <c r="O531" s="30"/>
    </row>
    <row r="532">
      <c r="O532" s="30"/>
    </row>
    <row r="533">
      <c r="O533" s="30"/>
    </row>
    <row r="534">
      <c r="O534" s="30"/>
    </row>
    <row r="535">
      <c r="O535" s="30"/>
    </row>
    <row r="536">
      <c r="O536" s="30"/>
    </row>
    <row r="537">
      <c r="O537" s="30"/>
    </row>
    <row r="538">
      <c r="O538" s="30"/>
    </row>
    <row r="539">
      <c r="O539" s="30"/>
    </row>
    <row r="540">
      <c r="O540" s="30"/>
    </row>
    <row r="541">
      <c r="O541" s="30"/>
    </row>
    <row r="542">
      <c r="O542" s="30"/>
    </row>
    <row r="543">
      <c r="O543" s="30"/>
    </row>
    <row r="544">
      <c r="O544" s="30"/>
    </row>
    <row r="545">
      <c r="O545" s="30"/>
    </row>
    <row r="546">
      <c r="O546" s="30"/>
    </row>
    <row r="547">
      <c r="O547" s="30"/>
    </row>
    <row r="548">
      <c r="O548" s="30"/>
    </row>
    <row r="549">
      <c r="O549" s="30"/>
    </row>
    <row r="550">
      <c r="O550" s="30"/>
    </row>
    <row r="551">
      <c r="O551" s="30"/>
    </row>
    <row r="552">
      <c r="O552" s="30"/>
    </row>
    <row r="553">
      <c r="O553" s="30"/>
    </row>
    <row r="554">
      <c r="O554" s="30"/>
    </row>
    <row r="555">
      <c r="O555" s="30"/>
    </row>
    <row r="556">
      <c r="O556" s="30"/>
    </row>
    <row r="557">
      <c r="O557" s="30"/>
    </row>
    <row r="558">
      <c r="O558" s="30"/>
    </row>
    <row r="559">
      <c r="O559" s="30"/>
    </row>
    <row r="560">
      <c r="O560" s="30"/>
    </row>
    <row r="561">
      <c r="O561" s="30"/>
    </row>
    <row r="562">
      <c r="O562" s="30"/>
    </row>
    <row r="563">
      <c r="O563" s="30"/>
    </row>
    <row r="564">
      <c r="O564" s="30"/>
    </row>
    <row r="565">
      <c r="O565" s="30"/>
    </row>
    <row r="566">
      <c r="O566" s="30"/>
    </row>
    <row r="567">
      <c r="O567" s="30"/>
    </row>
    <row r="568">
      <c r="O568" s="30"/>
    </row>
    <row r="569">
      <c r="O569" s="30"/>
    </row>
    <row r="570">
      <c r="O570" s="30"/>
    </row>
    <row r="571">
      <c r="O571" s="30"/>
    </row>
    <row r="572">
      <c r="O572" s="30"/>
    </row>
    <row r="573">
      <c r="O573" s="30"/>
    </row>
    <row r="574">
      <c r="O574" s="30"/>
    </row>
    <row r="575">
      <c r="O575" s="30"/>
    </row>
    <row r="576">
      <c r="O576" s="30"/>
    </row>
    <row r="577">
      <c r="O577" s="30"/>
    </row>
    <row r="578">
      <c r="O578" s="30"/>
    </row>
    <row r="579">
      <c r="O579" s="30"/>
    </row>
    <row r="580">
      <c r="O580" s="30"/>
    </row>
    <row r="581">
      <c r="O581" s="30"/>
    </row>
    <row r="582">
      <c r="O582" s="30"/>
    </row>
    <row r="583">
      <c r="O583" s="30"/>
    </row>
    <row r="584">
      <c r="O584" s="30"/>
    </row>
    <row r="585">
      <c r="O585" s="30"/>
    </row>
    <row r="586">
      <c r="O586" s="30"/>
    </row>
    <row r="587">
      <c r="O587" s="30"/>
    </row>
    <row r="588">
      <c r="O588" s="30"/>
    </row>
    <row r="589">
      <c r="O589" s="30"/>
    </row>
    <row r="590">
      <c r="O590" s="30"/>
    </row>
    <row r="591">
      <c r="O591" s="30"/>
    </row>
    <row r="592">
      <c r="O592" s="30"/>
    </row>
    <row r="593">
      <c r="O593" s="30"/>
    </row>
    <row r="594">
      <c r="O594" s="30"/>
    </row>
    <row r="595">
      <c r="O595" s="30"/>
    </row>
    <row r="596">
      <c r="O596" s="30"/>
    </row>
    <row r="597">
      <c r="O597" s="30"/>
    </row>
    <row r="598">
      <c r="O598" s="30"/>
    </row>
    <row r="599">
      <c r="O599" s="30"/>
    </row>
    <row r="600">
      <c r="O600" s="30"/>
    </row>
    <row r="601">
      <c r="O601" s="30"/>
    </row>
    <row r="602">
      <c r="O602" s="30"/>
    </row>
    <row r="603">
      <c r="O603" s="30"/>
    </row>
    <row r="604">
      <c r="O604" s="30"/>
    </row>
    <row r="605">
      <c r="O605" s="30"/>
    </row>
    <row r="606">
      <c r="O606" s="30"/>
    </row>
    <row r="607">
      <c r="O607" s="30"/>
    </row>
    <row r="608">
      <c r="O608" s="30"/>
    </row>
    <row r="609">
      <c r="O609" s="30"/>
    </row>
    <row r="610">
      <c r="O610" s="30"/>
    </row>
    <row r="611">
      <c r="O611" s="30"/>
    </row>
    <row r="612">
      <c r="O612" s="30"/>
    </row>
    <row r="613">
      <c r="O613" s="30"/>
    </row>
    <row r="614">
      <c r="O614" s="30"/>
    </row>
    <row r="615">
      <c r="O615" s="30"/>
    </row>
    <row r="616">
      <c r="O616" s="30"/>
    </row>
    <row r="617">
      <c r="O617" s="30"/>
    </row>
    <row r="618">
      <c r="O618" s="30"/>
    </row>
    <row r="619">
      <c r="O619" s="30"/>
    </row>
    <row r="620">
      <c r="O620" s="30"/>
    </row>
    <row r="621">
      <c r="O621" s="30"/>
    </row>
    <row r="622">
      <c r="O622" s="30"/>
    </row>
    <row r="623">
      <c r="O623" s="30"/>
    </row>
    <row r="624">
      <c r="O624" s="30"/>
    </row>
    <row r="625">
      <c r="O625" s="30"/>
    </row>
    <row r="626">
      <c r="O626" s="30"/>
    </row>
    <row r="627">
      <c r="O627" s="30"/>
    </row>
    <row r="628">
      <c r="O628" s="30"/>
    </row>
    <row r="629">
      <c r="O629" s="30"/>
    </row>
    <row r="630">
      <c r="O630" s="30"/>
    </row>
    <row r="631">
      <c r="O631" s="30"/>
    </row>
    <row r="632">
      <c r="O632" s="30"/>
    </row>
    <row r="633">
      <c r="O633" s="30"/>
    </row>
    <row r="634">
      <c r="O634" s="30"/>
    </row>
    <row r="635">
      <c r="O635" s="30"/>
    </row>
    <row r="636">
      <c r="O636" s="30"/>
    </row>
    <row r="637">
      <c r="O637" s="30"/>
    </row>
    <row r="638">
      <c r="O638" s="30"/>
    </row>
    <row r="639">
      <c r="O639" s="30"/>
    </row>
    <row r="640">
      <c r="O640" s="30"/>
    </row>
    <row r="641">
      <c r="O641" s="30"/>
    </row>
    <row r="642">
      <c r="O642" s="30"/>
    </row>
    <row r="643">
      <c r="O643" s="30"/>
    </row>
    <row r="644">
      <c r="O644" s="30"/>
    </row>
    <row r="645">
      <c r="O645" s="30"/>
    </row>
    <row r="646">
      <c r="O646" s="30"/>
    </row>
    <row r="647">
      <c r="O647" s="30"/>
    </row>
    <row r="648">
      <c r="O648" s="30"/>
    </row>
    <row r="649">
      <c r="O649" s="30"/>
    </row>
    <row r="650">
      <c r="O650" s="30"/>
    </row>
    <row r="651">
      <c r="O651" s="30"/>
    </row>
    <row r="652">
      <c r="O652" s="30"/>
    </row>
    <row r="653">
      <c r="O653" s="30"/>
    </row>
    <row r="654">
      <c r="O654" s="30"/>
    </row>
    <row r="655">
      <c r="O655" s="30"/>
    </row>
    <row r="656">
      <c r="O656" s="30"/>
    </row>
    <row r="657">
      <c r="O657" s="30"/>
    </row>
    <row r="658">
      <c r="O658" s="30"/>
    </row>
    <row r="659">
      <c r="O659" s="30"/>
    </row>
    <row r="660">
      <c r="O660" s="30"/>
    </row>
    <row r="661">
      <c r="O661" s="30"/>
    </row>
    <row r="662">
      <c r="O662" s="30"/>
    </row>
    <row r="663">
      <c r="O663" s="30"/>
    </row>
    <row r="664">
      <c r="O664" s="30"/>
    </row>
    <row r="665">
      <c r="O665" s="30"/>
    </row>
    <row r="666">
      <c r="O666" s="30"/>
    </row>
    <row r="667">
      <c r="O667" s="30"/>
    </row>
    <row r="668">
      <c r="O668" s="30"/>
    </row>
    <row r="669">
      <c r="O669" s="30"/>
    </row>
    <row r="670">
      <c r="O670" s="30"/>
    </row>
    <row r="671">
      <c r="O671" s="30"/>
    </row>
    <row r="672">
      <c r="O672" s="30"/>
    </row>
    <row r="673">
      <c r="O673" s="30"/>
    </row>
    <row r="674">
      <c r="O674" s="30"/>
    </row>
    <row r="675">
      <c r="O675" s="30"/>
    </row>
    <row r="676">
      <c r="O676" s="30"/>
    </row>
    <row r="677">
      <c r="O677" s="30"/>
    </row>
    <row r="678">
      <c r="O678" s="30"/>
    </row>
    <row r="679">
      <c r="O679" s="30"/>
    </row>
    <row r="680">
      <c r="O680" s="30"/>
    </row>
    <row r="681">
      <c r="O681" s="30"/>
    </row>
    <row r="682">
      <c r="O682" s="30"/>
    </row>
    <row r="683">
      <c r="O683" s="30"/>
    </row>
    <row r="684">
      <c r="O684" s="30"/>
    </row>
    <row r="685">
      <c r="O685" s="30"/>
    </row>
    <row r="686">
      <c r="O686" s="30"/>
    </row>
    <row r="687">
      <c r="O687" s="30"/>
    </row>
    <row r="688">
      <c r="O688" s="30"/>
    </row>
    <row r="689">
      <c r="O689" s="30"/>
    </row>
    <row r="690">
      <c r="O690" s="30"/>
    </row>
    <row r="691">
      <c r="O691" s="30"/>
    </row>
    <row r="692">
      <c r="O692" s="30"/>
    </row>
    <row r="693">
      <c r="O693" s="30"/>
    </row>
    <row r="694">
      <c r="O694" s="30"/>
    </row>
    <row r="695">
      <c r="O695" s="30"/>
    </row>
    <row r="696">
      <c r="O696" s="30"/>
    </row>
    <row r="697">
      <c r="O697" s="30"/>
    </row>
    <row r="698">
      <c r="O698" s="30"/>
    </row>
    <row r="699">
      <c r="O699" s="30"/>
    </row>
    <row r="700">
      <c r="O700" s="30"/>
    </row>
    <row r="701">
      <c r="O701" s="30"/>
    </row>
    <row r="702">
      <c r="O702" s="30"/>
    </row>
    <row r="703">
      <c r="O703" s="30"/>
    </row>
    <row r="704">
      <c r="O704" s="30"/>
    </row>
    <row r="705">
      <c r="O705" s="30"/>
    </row>
    <row r="706">
      <c r="O706" s="30"/>
    </row>
    <row r="707">
      <c r="O707" s="30"/>
    </row>
    <row r="708">
      <c r="O708" s="30"/>
    </row>
    <row r="709">
      <c r="O709" s="30"/>
    </row>
    <row r="710">
      <c r="O710" s="30"/>
    </row>
    <row r="711">
      <c r="O711" s="30"/>
    </row>
    <row r="712">
      <c r="O712" s="30"/>
    </row>
    <row r="713">
      <c r="O713" s="30"/>
    </row>
    <row r="714">
      <c r="O714" s="30"/>
    </row>
    <row r="715">
      <c r="O715" s="30"/>
    </row>
    <row r="716">
      <c r="O716" s="30"/>
    </row>
    <row r="717">
      <c r="O717" s="30"/>
    </row>
    <row r="718">
      <c r="O718" s="30"/>
    </row>
    <row r="719">
      <c r="O719" s="30"/>
    </row>
    <row r="720">
      <c r="O720" s="30"/>
    </row>
    <row r="721">
      <c r="O721" s="30"/>
    </row>
    <row r="722">
      <c r="O722" s="30"/>
    </row>
    <row r="723">
      <c r="O723" s="30"/>
    </row>
    <row r="724">
      <c r="O724" s="30"/>
    </row>
    <row r="725">
      <c r="O725" s="30"/>
    </row>
    <row r="726">
      <c r="O726" s="30"/>
    </row>
    <row r="727">
      <c r="O727" s="30"/>
    </row>
    <row r="728">
      <c r="O728" s="30"/>
    </row>
    <row r="729">
      <c r="O729" s="30"/>
    </row>
    <row r="730">
      <c r="O730" s="30"/>
    </row>
    <row r="731">
      <c r="O731" s="30"/>
    </row>
    <row r="732">
      <c r="O732" s="30"/>
    </row>
    <row r="733">
      <c r="O733" s="30"/>
    </row>
    <row r="734">
      <c r="O734" s="30"/>
    </row>
    <row r="735">
      <c r="O735" s="30"/>
    </row>
    <row r="736">
      <c r="O736" s="30"/>
    </row>
    <row r="737">
      <c r="O737" s="30"/>
    </row>
    <row r="738">
      <c r="O738" s="30"/>
    </row>
    <row r="739">
      <c r="O739" s="30"/>
    </row>
    <row r="740">
      <c r="O740" s="30"/>
    </row>
    <row r="741">
      <c r="O741" s="30"/>
    </row>
    <row r="742">
      <c r="O742" s="30"/>
    </row>
    <row r="743">
      <c r="O743" s="30"/>
    </row>
    <row r="744">
      <c r="O744" s="30"/>
    </row>
    <row r="745">
      <c r="O745" s="30"/>
    </row>
    <row r="746">
      <c r="O746" s="30"/>
    </row>
    <row r="747">
      <c r="O747" s="30"/>
    </row>
    <row r="748">
      <c r="O748" s="30"/>
    </row>
    <row r="749">
      <c r="O749" s="30"/>
    </row>
    <row r="750">
      <c r="O750" s="30"/>
    </row>
    <row r="751">
      <c r="O751" s="30"/>
    </row>
    <row r="752">
      <c r="O752" s="30"/>
    </row>
    <row r="753">
      <c r="O753" s="30"/>
    </row>
    <row r="754">
      <c r="O754" s="30"/>
    </row>
    <row r="755">
      <c r="O755" s="30"/>
    </row>
    <row r="756">
      <c r="O756" s="30"/>
    </row>
    <row r="757">
      <c r="O757" s="30"/>
    </row>
    <row r="758">
      <c r="O758" s="30"/>
    </row>
    <row r="759">
      <c r="O759" s="30"/>
    </row>
    <row r="760">
      <c r="O760" s="30"/>
    </row>
    <row r="761">
      <c r="O761" s="30"/>
    </row>
    <row r="762">
      <c r="O762" s="30"/>
    </row>
    <row r="763">
      <c r="O763" s="30"/>
    </row>
    <row r="764">
      <c r="O764" s="30"/>
    </row>
    <row r="765">
      <c r="O765" s="30"/>
    </row>
    <row r="766">
      <c r="O766" s="30"/>
    </row>
    <row r="767">
      <c r="O767" s="30"/>
    </row>
    <row r="768">
      <c r="O768" s="30"/>
    </row>
    <row r="769">
      <c r="O769" s="30"/>
    </row>
    <row r="770">
      <c r="O770" s="30"/>
    </row>
    <row r="771">
      <c r="O771" s="30"/>
    </row>
    <row r="772">
      <c r="O772" s="30"/>
    </row>
    <row r="773">
      <c r="O773" s="30"/>
    </row>
    <row r="774">
      <c r="O774" s="30"/>
    </row>
    <row r="775">
      <c r="O775" s="30"/>
    </row>
    <row r="776">
      <c r="O776" s="30"/>
    </row>
    <row r="777">
      <c r="O777" s="30"/>
    </row>
    <row r="778">
      <c r="O778" s="30"/>
    </row>
    <row r="779">
      <c r="O779" s="30"/>
    </row>
    <row r="780">
      <c r="O780" s="30"/>
    </row>
    <row r="781">
      <c r="O781" s="30"/>
    </row>
    <row r="782">
      <c r="O782" s="30"/>
    </row>
    <row r="783">
      <c r="O783" s="30"/>
    </row>
    <row r="784">
      <c r="O784" s="30"/>
    </row>
    <row r="785">
      <c r="O785" s="30"/>
    </row>
    <row r="786">
      <c r="O786" s="30"/>
    </row>
    <row r="787">
      <c r="O787" s="30"/>
    </row>
    <row r="788">
      <c r="O788" s="30"/>
    </row>
    <row r="789">
      <c r="O789" s="30"/>
    </row>
    <row r="790">
      <c r="O790" s="30"/>
    </row>
    <row r="791">
      <c r="O791" s="30"/>
    </row>
    <row r="792">
      <c r="O792" s="30"/>
    </row>
    <row r="793">
      <c r="O793" s="30"/>
    </row>
    <row r="794">
      <c r="O794" s="30"/>
    </row>
    <row r="795">
      <c r="O795" s="30"/>
    </row>
    <row r="796">
      <c r="O796" s="30"/>
    </row>
    <row r="797">
      <c r="O797" s="30"/>
    </row>
    <row r="798">
      <c r="O798" s="30"/>
    </row>
    <row r="799">
      <c r="O799" s="30"/>
    </row>
    <row r="800">
      <c r="O800" s="30"/>
    </row>
    <row r="801">
      <c r="O801" s="30"/>
    </row>
    <row r="802">
      <c r="O802" s="30"/>
    </row>
    <row r="803">
      <c r="O803" s="30"/>
    </row>
    <row r="804">
      <c r="O804" s="30"/>
    </row>
    <row r="805">
      <c r="O805" s="30"/>
    </row>
    <row r="806">
      <c r="O806" s="30"/>
    </row>
    <row r="807">
      <c r="O807" s="30"/>
    </row>
    <row r="808">
      <c r="O808" s="30"/>
    </row>
    <row r="809">
      <c r="O809" s="30"/>
    </row>
    <row r="810">
      <c r="O810" s="30"/>
    </row>
    <row r="811">
      <c r="O811" s="30"/>
    </row>
    <row r="812">
      <c r="O812" s="30"/>
    </row>
    <row r="813">
      <c r="O813" s="30"/>
    </row>
    <row r="814">
      <c r="O814" s="30"/>
    </row>
    <row r="815">
      <c r="O815" s="30"/>
    </row>
    <row r="816">
      <c r="O816" s="30"/>
    </row>
    <row r="817">
      <c r="O817" s="30"/>
    </row>
    <row r="818">
      <c r="O818" s="30"/>
    </row>
    <row r="819">
      <c r="O819" s="30"/>
    </row>
    <row r="820">
      <c r="O820" s="30"/>
    </row>
    <row r="821">
      <c r="O821" s="30"/>
    </row>
    <row r="822">
      <c r="O822" s="30"/>
    </row>
    <row r="823">
      <c r="O823" s="30"/>
    </row>
    <row r="824">
      <c r="O824" s="30"/>
    </row>
    <row r="825">
      <c r="O825" s="30"/>
    </row>
    <row r="826">
      <c r="O826" s="30"/>
    </row>
    <row r="827">
      <c r="O827" s="30"/>
    </row>
    <row r="828">
      <c r="O828" s="30"/>
    </row>
    <row r="829">
      <c r="O829" s="30"/>
    </row>
    <row r="830">
      <c r="O830" s="30"/>
    </row>
    <row r="831">
      <c r="O831" s="30"/>
    </row>
    <row r="832">
      <c r="O832" s="30"/>
    </row>
    <row r="833">
      <c r="O833" s="30"/>
    </row>
    <row r="834">
      <c r="O834" s="30"/>
    </row>
    <row r="835">
      <c r="O835" s="30"/>
    </row>
    <row r="836">
      <c r="O836" s="30"/>
    </row>
    <row r="837">
      <c r="O837" s="30"/>
    </row>
    <row r="838">
      <c r="O838" s="30"/>
    </row>
    <row r="839">
      <c r="O839" s="30"/>
    </row>
    <row r="840">
      <c r="O840" s="30"/>
    </row>
    <row r="841">
      <c r="O841" s="30"/>
    </row>
    <row r="842">
      <c r="O842" s="30"/>
    </row>
    <row r="843">
      <c r="O843" s="30"/>
    </row>
    <row r="844">
      <c r="O844" s="30"/>
    </row>
    <row r="845">
      <c r="O845" s="30"/>
    </row>
    <row r="846">
      <c r="O846" s="30"/>
    </row>
    <row r="847">
      <c r="O847" s="30"/>
    </row>
    <row r="848">
      <c r="O848" s="30"/>
    </row>
    <row r="849">
      <c r="O849" s="30"/>
    </row>
    <row r="850">
      <c r="O850" s="30"/>
    </row>
    <row r="851">
      <c r="O851" s="30"/>
    </row>
    <row r="852">
      <c r="O852" s="30"/>
    </row>
    <row r="853">
      <c r="O853" s="30"/>
    </row>
    <row r="854">
      <c r="O854" s="30"/>
    </row>
    <row r="855">
      <c r="O855" s="30"/>
    </row>
    <row r="856">
      <c r="O856" s="30"/>
    </row>
    <row r="857">
      <c r="O857" s="30"/>
    </row>
    <row r="858">
      <c r="O858" s="30"/>
    </row>
    <row r="859">
      <c r="O859" s="30"/>
    </row>
    <row r="860">
      <c r="O860" s="30"/>
    </row>
    <row r="861">
      <c r="O861" s="30"/>
    </row>
    <row r="862">
      <c r="O862" s="30"/>
    </row>
    <row r="863">
      <c r="O863" s="30"/>
    </row>
    <row r="864">
      <c r="O864" s="30"/>
    </row>
    <row r="865">
      <c r="O865" s="30"/>
    </row>
    <row r="866">
      <c r="O866" s="30"/>
    </row>
    <row r="867">
      <c r="O867" s="30"/>
    </row>
    <row r="868">
      <c r="O868" s="30"/>
    </row>
    <row r="869">
      <c r="O869" s="30"/>
    </row>
    <row r="870">
      <c r="O870" s="30"/>
    </row>
    <row r="871">
      <c r="O871" s="30"/>
    </row>
    <row r="872">
      <c r="O872" s="30"/>
    </row>
    <row r="873">
      <c r="O873" s="30"/>
    </row>
    <row r="874">
      <c r="O874" s="30"/>
    </row>
    <row r="875">
      <c r="O875" s="30"/>
    </row>
    <row r="876">
      <c r="O876" s="30"/>
    </row>
    <row r="877">
      <c r="O877" s="30"/>
    </row>
    <row r="878">
      <c r="O878" s="30"/>
    </row>
    <row r="879">
      <c r="O879" s="30"/>
    </row>
    <row r="880">
      <c r="O880" s="30"/>
    </row>
    <row r="881">
      <c r="O881" s="30"/>
    </row>
    <row r="882">
      <c r="O882" s="30"/>
    </row>
    <row r="883">
      <c r="O883" s="30"/>
    </row>
    <row r="884">
      <c r="O884" s="30"/>
    </row>
    <row r="885">
      <c r="O885" s="30"/>
    </row>
    <row r="886">
      <c r="O886" s="30"/>
    </row>
    <row r="887">
      <c r="O887" s="30"/>
    </row>
    <row r="888">
      <c r="O888" s="30"/>
    </row>
    <row r="889">
      <c r="O889" s="30"/>
    </row>
    <row r="890">
      <c r="O890" s="30"/>
    </row>
    <row r="891">
      <c r="O891" s="30"/>
    </row>
    <row r="892">
      <c r="O892" s="30"/>
    </row>
    <row r="893">
      <c r="O893" s="30"/>
    </row>
    <row r="894">
      <c r="O894" s="30"/>
    </row>
    <row r="895">
      <c r="O895" s="30"/>
    </row>
    <row r="896">
      <c r="O896" s="30"/>
    </row>
    <row r="897">
      <c r="O897" s="30"/>
    </row>
    <row r="898">
      <c r="O898" s="30"/>
    </row>
    <row r="899">
      <c r="O899" s="30"/>
    </row>
    <row r="900">
      <c r="O900" s="30"/>
    </row>
    <row r="901">
      <c r="O901" s="30"/>
    </row>
    <row r="902">
      <c r="O902" s="30"/>
    </row>
    <row r="903">
      <c r="O903" s="30"/>
    </row>
    <row r="904">
      <c r="O904" s="30"/>
    </row>
    <row r="905">
      <c r="O905" s="30"/>
    </row>
    <row r="906">
      <c r="O906" s="30"/>
    </row>
    <row r="907">
      <c r="O907" s="30"/>
    </row>
    <row r="908">
      <c r="O908" s="30"/>
    </row>
    <row r="909">
      <c r="O909" s="30"/>
    </row>
    <row r="910">
      <c r="O910" s="30"/>
    </row>
    <row r="911">
      <c r="O911" s="30"/>
    </row>
    <row r="912">
      <c r="O912" s="30"/>
    </row>
    <row r="913">
      <c r="O913" s="30"/>
    </row>
    <row r="914">
      <c r="O914" s="30"/>
    </row>
    <row r="915">
      <c r="O915" s="30"/>
    </row>
    <row r="916">
      <c r="O916" s="30"/>
    </row>
    <row r="917">
      <c r="O917" s="30"/>
    </row>
    <row r="918">
      <c r="O918" s="30"/>
    </row>
    <row r="919">
      <c r="O919" s="30"/>
    </row>
    <row r="920">
      <c r="O920" s="30"/>
    </row>
    <row r="921">
      <c r="O921" s="30"/>
    </row>
    <row r="922">
      <c r="O922" s="30"/>
    </row>
    <row r="923">
      <c r="O923" s="30"/>
    </row>
    <row r="924">
      <c r="O924" s="30"/>
    </row>
    <row r="925">
      <c r="O925" s="30"/>
    </row>
    <row r="926">
      <c r="O926" s="30"/>
    </row>
    <row r="927">
      <c r="O927" s="30"/>
    </row>
    <row r="928">
      <c r="O928" s="30"/>
    </row>
    <row r="929">
      <c r="O929" s="30"/>
    </row>
    <row r="930">
      <c r="O930" s="30"/>
    </row>
    <row r="931">
      <c r="O931" s="30"/>
    </row>
    <row r="932">
      <c r="O932" s="30"/>
    </row>
    <row r="933">
      <c r="O933" s="30"/>
    </row>
    <row r="934">
      <c r="O934" s="30"/>
    </row>
    <row r="935">
      <c r="O935" s="30"/>
    </row>
    <row r="936">
      <c r="O936" s="30"/>
    </row>
    <row r="937">
      <c r="O937" s="30"/>
    </row>
    <row r="938">
      <c r="O938" s="30"/>
    </row>
    <row r="939">
      <c r="O939" s="30"/>
    </row>
    <row r="940">
      <c r="O940" s="30"/>
    </row>
    <row r="941">
      <c r="O941" s="30"/>
    </row>
    <row r="942">
      <c r="O942" s="30"/>
    </row>
    <row r="943">
      <c r="O943" s="30"/>
    </row>
    <row r="944">
      <c r="O944" s="30"/>
    </row>
    <row r="945">
      <c r="O945" s="30"/>
    </row>
    <row r="946">
      <c r="O946" s="30"/>
    </row>
    <row r="947">
      <c r="O947" s="30"/>
    </row>
    <row r="948">
      <c r="O948" s="30"/>
    </row>
    <row r="949">
      <c r="O949" s="30"/>
    </row>
    <row r="950">
      <c r="O950" s="30"/>
    </row>
    <row r="951">
      <c r="O951" s="30"/>
    </row>
    <row r="952">
      <c r="O952" s="30"/>
    </row>
    <row r="953">
      <c r="O953" s="30"/>
    </row>
    <row r="954">
      <c r="O954" s="30"/>
    </row>
    <row r="955">
      <c r="O955" s="30"/>
    </row>
    <row r="956">
      <c r="O956" s="30"/>
    </row>
    <row r="957">
      <c r="O957" s="30"/>
    </row>
    <row r="958">
      <c r="O958" s="30"/>
    </row>
    <row r="959">
      <c r="O959" s="30"/>
    </row>
    <row r="960">
      <c r="O960" s="30"/>
    </row>
    <row r="961">
      <c r="O961" s="30"/>
    </row>
    <row r="962">
      <c r="O962" s="30"/>
    </row>
    <row r="963">
      <c r="O963" s="30"/>
    </row>
    <row r="964">
      <c r="O964" s="30"/>
    </row>
    <row r="965">
      <c r="O965" s="30"/>
    </row>
    <row r="966">
      <c r="O966" s="30"/>
    </row>
    <row r="967">
      <c r="O967" s="30"/>
    </row>
    <row r="968">
      <c r="O968" s="30"/>
    </row>
    <row r="969">
      <c r="O969" s="30"/>
    </row>
    <row r="970">
      <c r="O970" s="30"/>
    </row>
    <row r="971">
      <c r="O971" s="30"/>
    </row>
    <row r="972">
      <c r="O972" s="30"/>
    </row>
    <row r="973">
      <c r="O973" s="30"/>
    </row>
    <row r="974">
      <c r="O974" s="30"/>
    </row>
    <row r="975">
      <c r="O975" s="30"/>
    </row>
    <row r="976">
      <c r="O976" s="30"/>
    </row>
    <row r="977">
      <c r="O977" s="30"/>
    </row>
    <row r="978">
      <c r="O978" s="30"/>
    </row>
    <row r="979">
      <c r="O979" s="30"/>
    </row>
    <row r="980">
      <c r="O980" s="30"/>
    </row>
    <row r="981">
      <c r="O981" s="30"/>
    </row>
    <row r="982">
      <c r="O982" s="30"/>
    </row>
    <row r="983">
      <c r="O983" s="30"/>
    </row>
    <row r="984">
      <c r="O984" s="30"/>
    </row>
    <row r="985">
      <c r="O985" s="30"/>
    </row>
    <row r="986">
      <c r="O986" s="30"/>
    </row>
    <row r="987">
      <c r="O987" s="30"/>
    </row>
    <row r="988">
      <c r="O988" s="30"/>
    </row>
    <row r="989">
      <c r="O989" s="30"/>
    </row>
    <row r="990">
      <c r="O990" s="30"/>
    </row>
    <row r="991">
      <c r="O991" s="30"/>
    </row>
    <row r="992">
      <c r="O992" s="30"/>
    </row>
    <row r="993">
      <c r="O993" s="30"/>
    </row>
    <row r="994">
      <c r="O994" s="30"/>
    </row>
    <row r="995">
      <c r="O995" s="30"/>
    </row>
    <row r="996">
      <c r="O996" s="30"/>
    </row>
    <row r="997">
      <c r="O997" s="30"/>
    </row>
    <row r="998">
      <c r="O998" s="30"/>
    </row>
    <row r="999">
      <c r="O999" s="30"/>
    </row>
  </sheetData>
  <dataValidations>
    <dataValidation type="list" allowBlank="1" showErrorMessage="1" sqref="J11:J48">
      <formula1>"Fail,Pass"</formula1>
    </dataValidation>
    <dataValidation type="list" allowBlank="1" showErrorMessage="1" sqref="O11:O48 O100:O999">
      <formula1>"Solved,Unsolved"</formula1>
    </dataValidation>
    <dataValidation type="list" allowBlank="1" showErrorMessage="1" sqref="K11:K48">
      <formula1>"Low,Medium,High"</formula1>
    </dataValidation>
  </dataValidations>
  <hyperlinks>
    <hyperlink r:id="rId1" ref="B3"/>
    <hyperlink r:id="rId2" ref="L11"/>
    <hyperlink r:id="rId3" ref="L12"/>
    <hyperlink r:id="rId4" ref="L13"/>
    <hyperlink r:id="rId5" ref="L14"/>
    <hyperlink r:id="rId6" ref="L15"/>
    <hyperlink r:id="rId7" ref="L16"/>
    <hyperlink r:id="rId8" ref="L19"/>
    <hyperlink r:id="rId9" ref="L20"/>
    <hyperlink r:id="rId10" ref="L21"/>
    <hyperlink r:id="rId11" ref="L22"/>
    <hyperlink r:id="rId12" ref="M22"/>
    <hyperlink r:id="rId13" ref="L23"/>
    <hyperlink r:id="rId14" ref="L24"/>
    <hyperlink r:id="rId15" ref="L25"/>
    <hyperlink r:id="rId16" ref="L26"/>
    <hyperlink r:id="rId17" ref="L27"/>
    <hyperlink r:id="rId18" ref="L28"/>
    <hyperlink r:id="rId19" ref="L29"/>
    <hyperlink r:id="rId20" ref="L30"/>
    <hyperlink r:id="rId21" ref="L31"/>
    <hyperlink r:id="rId22" ref="L32"/>
    <hyperlink r:id="rId23" ref="L33"/>
    <hyperlink r:id="rId24" ref="L34"/>
    <hyperlink r:id="rId25" ref="L35"/>
    <hyperlink r:id="rId26" ref="L36"/>
    <hyperlink r:id="rId27" ref="L37"/>
    <hyperlink r:id="rId28" ref="L38"/>
    <hyperlink r:id="rId29" ref="L39"/>
    <hyperlink r:id="rId30" ref="L40"/>
    <hyperlink r:id="rId31" ref="L41"/>
    <hyperlink r:id="rId32" ref="L42"/>
    <hyperlink r:id="rId33" ref="L43"/>
    <hyperlink r:id="rId34" ref="L44"/>
    <hyperlink r:id="rId35" ref="L45"/>
    <hyperlink r:id="rId36" ref="L46"/>
    <hyperlink r:id="rId37" ref="L47"/>
    <hyperlink r:id="rId38" ref="L48"/>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9.5"/>
    <col customWidth="1" min="3" max="3" width="15.75"/>
    <col customWidth="1" min="4" max="4" width="21.63"/>
    <col customWidth="1" min="5" max="5" width="17.13"/>
    <col customWidth="1" min="6" max="6" width="23.13"/>
    <col customWidth="1" min="8" max="8" width="19.63"/>
    <col customWidth="1" min="9" max="9" width="15.88"/>
    <col customWidth="1" min="11" max="11" width="16.0"/>
    <col customWidth="1" min="12" max="12" width="16.5"/>
    <col customWidth="1" min="13" max="13" width="17.13"/>
    <col customWidth="1" min="14" max="14" width="14.13"/>
  </cols>
  <sheetData>
    <row r="1">
      <c r="A1" s="31"/>
      <c r="B1" s="31"/>
      <c r="C1" s="31"/>
      <c r="D1" s="31"/>
      <c r="E1" s="1"/>
      <c r="F1" s="1"/>
      <c r="G1" s="31"/>
      <c r="H1" s="31"/>
      <c r="I1" s="31"/>
      <c r="J1" s="31"/>
      <c r="K1" s="31"/>
      <c r="L1" s="31"/>
      <c r="M1" s="31"/>
      <c r="N1" s="31"/>
      <c r="O1" s="31"/>
      <c r="P1" s="31"/>
    </row>
    <row r="2">
      <c r="A2" s="32" t="s">
        <v>0</v>
      </c>
      <c r="B2" s="33" t="s">
        <v>68</v>
      </c>
      <c r="C2" s="31"/>
      <c r="D2" s="34" t="s">
        <v>2</v>
      </c>
      <c r="E2" s="34" t="s">
        <v>3</v>
      </c>
      <c r="F2" s="31"/>
      <c r="G2" s="31"/>
      <c r="H2" s="31"/>
      <c r="I2" s="31"/>
      <c r="J2" s="31"/>
      <c r="K2" s="31"/>
      <c r="L2" s="31"/>
      <c r="M2" s="31"/>
      <c r="N2" s="31"/>
      <c r="O2" s="31"/>
      <c r="P2" s="31"/>
    </row>
    <row r="3">
      <c r="A3" s="32" t="s">
        <v>4</v>
      </c>
      <c r="B3" s="35" t="s">
        <v>69</v>
      </c>
      <c r="C3" s="31"/>
      <c r="D3" s="9" t="s">
        <v>6</v>
      </c>
      <c r="E3" s="36">
        <f>COUNTIF(K14:K1005, "High")</f>
        <v>2</v>
      </c>
      <c r="F3" s="31"/>
      <c r="G3" s="31"/>
      <c r="H3" s="31"/>
      <c r="I3" s="31"/>
      <c r="J3" s="31"/>
      <c r="K3" s="31"/>
      <c r="L3" s="31"/>
      <c r="M3" s="31"/>
      <c r="N3" s="31"/>
      <c r="O3" s="31"/>
      <c r="P3" s="31"/>
    </row>
    <row r="4">
      <c r="A4" s="32" t="s">
        <v>7</v>
      </c>
      <c r="B4" s="37" t="s">
        <v>70</v>
      </c>
      <c r="C4" s="31"/>
      <c r="D4" s="9" t="s">
        <v>8</v>
      </c>
      <c r="E4" s="36">
        <f>COUNTIF(K14:K1006, "Medium")</f>
        <v>6</v>
      </c>
      <c r="F4" s="31"/>
      <c r="G4" s="31"/>
      <c r="H4" s="31"/>
      <c r="I4" s="31"/>
      <c r="J4" s="31"/>
      <c r="K4" s="31"/>
      <c r="L4" s="31"/>
      <c r="M4" s="31"/>
      <c r="N4" s="31"/>
      <c r="O4" s="31"/>
      <c r="P4" s="31"/>
    </row>
    <row r="5">
      <c r="A5" s="32" t="s">
        <v>9</v>
      </c>
      <c r="B5" s="38"/>
      <c r="C5" s="31"/>
      <c r="D5" s="9" t="s">
        <v>10</v>
      </c>
      <c r="E5" s="36">
        <f>COUNTIF(K14:K1007, "Low") </f>
        <v>8</v>
      </c>
      <c r="F5" s="31"/>
      <c r="G5" s="31"/>
      <c r="H5" s="31"/>
      <c r="I5" s="31"/>
      <c r="J5" s="31"/>
      <c r="K5" s="31"/>
      <c r="L5" s="31"/>
      <c r="M5" s="31"/>
      <c r="N5" s="31"/>
      <c r="O5" s="31"/>
      <c r="P5" s="31"/>
    </row>
    <row r="6">
      <c r="A6" s="32" t="s">
        <v>11</v>
      </c>
      <c r="B6" s="38"/>
      <c r="C6" s="31"/>
      <c r="D6" s="31"/>
      <c r="E6" s="31"/>
      <c r="F6" s="31"/>
      <c r="G6" s="31"/>
      <c r="H6" s="31"/>
      <c r="I6" s="31"/>
      <c r="J6" s="31"/>
      <c r="K6" s="31"/>
      <c r="L6" s="31"/>
      <c r="M6" s="31"/>
      <c r="N6" s="31"/>
      <c r="O6" s="31"/>
      <c r="P6" s="31"/>
    </row>
    <row r="7">
      <c r="A7" s="39" t="s">
        <v>13</v>
      </c>
      <c r="B7" s="38"/>
      <c r="C7" s="31"/>
      <c r="D7" s="40" t="s">
        <v>14</v>
      </c>
      <c r="E7" s="41">
        <f>SUM(E3:E5)</f>
        <v>16</v>
      </c>
      <c r="F7" s="31"/>
      <c r="G7" s="31"/>
      <c r="H7" s="31"/>
      <c r="I7" s="31"/>
      <c r="J7" s="31"/>
      <c r="K7" s="31"/>
      <c r="L7" s="31"/>
      <c r="M7" s="31"/>
      <c r="N7" s="31"/>
      <c r="O7" s="31"/>
      <c r="P7" s="31"/>
    </row>
    <row r="8">
      <c r="A8" s="31"/>
      <c r="B8" s="31"/>
      <c r="C8" s="31"/>
      <c r="D8" s="40" t="s">
        <v>15</v>
      </c>
      <c r="E8" s="38"/>
      <c r="F8" s="31"/>
      <c r="G8" s="31"/>
      <c r="H8" s="31"/>
      <c r="I8" s="31"/>
      <c r="J8" s="31"/>
      <c r="K8" s="31"/>
      <c r="L8" s="31"/>
      <c r="M8" s="31"/>
      <c r="N8" s="31"/>
      <c r="O8" s="31"/>
      <c r="P8" s="31"/>
    </row>
    <row r="9">
      <c r="A9" s="31"/>
      <c r="B9" s="31"/>
      <c r="C9" s="31"/>
      <c r="D9" s="31"/>
      <c r="E9" s="31"/>
      <c r="F9" s="31"/>
      <c r="G9" s="31"/>
      <c r="H9" s="31"/>
      <c r="I9" s="31"/>
      <c r="J9" s="31"/>
      <c r="K9" s="31"/>
      <c r="L9" s="31"/>
      <c r="M9" s="31"/>
      <c r="N9" s="31"/>
      <c r="O9" s="31"/>
      <c r="P9" s="31"/>
    </row>
    <row r="10">
      <c r="A10" s="31"/>
      <c r="B10" s="31"/>
      <c r="C10" s="31"/>
      <c r="D10" s="31"/>
      <c r="E10" s="31"/>
      <c r="F10" s="31"/>
      <c r="G10" s="31"/>
      <c r="H10" s="31"/>
      <c r="I10" s="31"/>
      <c r="J10" s="31"/>
      <c r="K10" s="31"/>
      <c r="L10" s="31"/>
      <c r="M10" s="31"/>
      <c r="N10" s="31"/>
      <c r="O10" s="31"/>
      <c r="P10" s="31"/>
    </row>
    <row r="11">
      <c r="A11" s="31"/>
      <c r="B11" s="31"/>
      <c r="C11" s="31"/>
      <c r="D11" s="31"/>
      <c r="E11" s="31"/>
      <c r="F11" s="31"/>
      <c r="G11" s="31"/>
      <c r="H11" s="31"/>
      <c r="I11" s="31"/>
      <c r="J11" s="31"/>
      <c r="K11" s="31"/>
      <c r="L11" s="31"/>
      <c r="M11" s="31"/>
      <c r="N11" s="31"/>
      <c r="O11" s="31"/>
      <c r="P11" s="31"/>
    </row>
    <row r="12">
      <c r="A12" s="31"/>
      <c r="B12" s="31"/>
      <c r="C12" s="31"/>
      <c r="D12" s="31"/>
      <c r="E12" s="31"/>
      <c r="F12" s="31"/>
      <c r="G12" s="31"/>
      <c r="H12" s="31"/>
      <c r="I12" s="31"/>
      <c r="J12" s="31"/>
      <c r="K12" s="31"/>
      <c r="L12" s="31"/>
      <c r="M12" s="31"/>
      <c r="N12" s="31"/>
      <c r="O12" s="31"/>
      <c r="P12" s="31"/>
    </row>
    <row r="13">
      <c r="A13" s="31"/>
      <c r="B13" s="31"/>
      <c r="C13" s="31"/>
      <c r="D13" s="31"/>
      <c r="E13" s="31"/>
      <c r="F13" s="31"/>
      <c r="G13" s="31"/>
      <c r="H13" s="31"/>
      <c r="I13" s="31"/>
      <c r="J13" s="31"/>
      <c r="K13" s="31"/>
      <c r="L13" s="31"/>
      <c r="M13" s="31"/>
      <c r="N13" s="31"/>
      <c r="O13" s="31"/>
      <c r="P13" s="31"/>
    </row>
    <row r="14">
      <c r="A14" s="42" t="s">
        <v>71</v>
      </c>
      <c r="B14" s="42" t="s">
        <v>17</v>
      </c>
      <c r="C14" s="42" t="s">
        <v>18</v>
      </c>
      <c r="D14" s="42" t="s">
        <v>19</v>
      </c>
      <c r="E14" s="42" t="s">
        <v>20</v>
      </c>
      <c r="F14" s="42" t="s">
        <v>21</v>
      </c>
      <c r="G14" s="42" t="s">
        <v>22</v>
      </c>
      <c r="H14" s="42" t="s">
        <v>23</v>
      </c>
      <c r="I14" s="42" t="s">
        <v>24</v>
      </c>
      <c r="J14" s="42" t="s">
        <v>25</v>
      </c>
      <c r="K14" s="42" t="s">
        <v>2</v>
      </c>
      <c r="L14" s="42" t="s">
        <v>26</v>
      </c>
      <c r="M14" s="42" t="s">
        <v>27</v>
      </c>
      <c r="N14" s="42" t="s">
        <v>29</v>
      </c>
      <c r="O14" s="31"/>
      <c r="P14" s="31"/>
    </row>
    <row r="15">
      <c r="A15" s="43" t="s">
        <v>72</v>
      </c>
      <c r="B15" s="43" t="s">
        <v>73</v>
      </c>
      <c r="C15" s="43" t="s">
        <v>74</v>
      </c>
      <c r="D15" s="43" t="s">
        <v>75</v>
      </c>
      <c r="E15" s="43" t="s">
        <v>76</v>
      </c>
      <c r="F15" s="43" t="s">
        <v>77</v>
      </c>
      <c r="G15" s="43" t="s">
        <v>78</v>
      </c>
      <c r="H15" s="43" t="s">
        <v>79</v>
      </c>
      <c r="I15" s="43" t="s">
        <v>80</v>
      </c>
      <c r="J15" s="43" t="s">
        <v>81</v>
      </c>
      <c r="K15" s="43" t="s">
        <v>10</v>
      </c>
      <c r="L15" s="44" t="s">
        <v>82</v>
      </c>
      <c r="M15" s="43" t="s">
        <v>83</v>
      </c>
      <c r="N15" s="43"/>
      <c r="O15" s="31"/>
      <c r="P15" s="31"/>
    </row>
    <row r="16">
      <c r="A16" s="43" t="s">
        <v>84</v>
      </c>
      <c r="B16" s="43" t="s">
        <v>73</v>
      </c>
      <c r="C16" s="43" t="s">
        <v>85</v>
      </c>
      <c r="D16" s="43" t="s">
        <v>86</v>
      </c>
      <c r="E16" s="43" t="s">
        <v>87</v>
      </c>
      <c r="F16" s="43" t="s">
        <v>88</v>
      </c>
      <c r="G16" s="43" t="s">
        <v>78</v>
      </c>
      <c r="H16" s="43" t="s">
        <v>89</v>
      </c>
      <c r="I16" s="43" t="s">
        <v>90</v>
      </c>
      <c r="J16" s="43" t="s">
        <v>81</v>
      </c>
      <c r="K16" s="43" t="s">
        <v>10</v>
      </c>
      <c r="L16" s="44" t="s">
        <v>91</v>
      </c>
      <c r="M16" s="43" t="s">
        <v>92</v>
      </c>
      <c r="N16" s="45"/>
      <c r="O16" s="31"/>
      <c r="P16" s="31"/>
    </row>
    <row r="17">
      <c r="A17" s="43" t="s">
        <v>93</v>
      </c>
      <c r="B17" s="43" t="s">
        <v>73</v>
      </c>
      <c r="C17" s="43" t="s">
        <v>94</v>
      </c>
      <c r="D17" s="43" t="s">
        <v>95</v>
      </c>
      <c r="E17" s="43" t="s">
        <v>96</v>
      </c>
      <c r="F17" s="43" t="s">
        <v>97</v>
      </c>
      <c r="G17" s="43" t="s">
        <v>78</v>
      </c>
      <c r="H17" s="43" t="s">
        <v>98</v>
      </c>
      <c r="I17" s="43" t="s">
        <v>99</v>
      </c>
      <c r="J17" s="43" t="s">
        <v>81</v>
      </c>
      <c r="K17" s="43" t="s">
        <v>10</v>
      </c>
      <c r="L17" s="44" t="s">
        <v>100</v>
      </c>
      <c r="M17" s="43" t="s">
        <v>101</v>
      </c>
      <c r="N17" s="45"/>
      <c r="O17" s="31"/>
      <c r="P17" s="31"/>
    </row>
    <row r="18">
      <c r="A18" s="43" t="s">
        <v>102</v>
      </c>
      <c r="B18" s="43" t="s">
        <v>73</v>
      </c>
      <c r="C18" s="43" t="s">
        <v>103</v>
      </c>
      <c r="D18" s="43" t="s">
        <v>104</v>
      </c>
      <c r="E18" s="43" t="s">
        <v>105</v>
      </c>
      <c r="F18" s="43" t="s">
        <v>106</v>
      </c>
      <c r="G18" s="43" t="s">
        <v>78</v>
      </c>
      <c r="H18" s="43" t="s">
        <v>98</v>
      </c>
      <c r="I18" s="43" t="s">
        <v>99</v>
      </c>
      <c r="J18" s="43" t="s">
        <v>81</v>
      </c>
      <c r="K18" s="43" t="s">
        <v>10</v>
      </c>
      <c r="L18" s="46" t="s">
        <v>107</v>
      </c>
      <c r="M18" s="43" t="s">
        <v>101</v>
      </c>
      <c r="N18" s="45"/>
      <c r="O18" s="31"/>
      <c r="P18" s="31"/>
    </row>
    <row r="19">
      <c r="A19" s="43" t="s">
        <v>108</v>
      </c>
      <c r="B19" s="43" t="s">
        <v>73</v>
      </c>
      <c r="C19" s="43" t="s">
        <v>85</v>
      </c>
      <c r="D19" s="43" t="s">
        <v>109</v>
      </c>
      <c r="E19" s="43" t="s">
        <v>110</v>
      </c>
      <c r="F19" s="43" t="s">
        <v>111</v>
      </c>
      <c r="G19" s="43" t="s">
        <v>78</v>
      </c>
      <c r="H19" s="43" t="s">
        <v>112</v>
      </c>
      <c r="I19" s="43" t="s">
        <v>113</v>
      </c>
      <c r="J19" s="43" t="s">
        <v>81</v>
      </c>
      <c r="K19" s="43" t="s">
        <v>8</v>
      </c>
      <c r="L19" s="43"/>
      <c r="M19" s="43" t="s">
        <v>114</v>
      </c>
      <c r="N19" s="45"/>
      <c r="O19" s="31"/>
      <c r="P19" s="31"/>
    </row>
    <row r="20">
      <c r="A20" s="43" t="s">
        <v>115</v>
      </c>
      <c r="B20" s="43" t="s">
        <v>73</v>
      </c>
      <c r="C20" s="43" t="s">
        <v>73</v>
      </c>
      <c r="D20" s="43" t="s">
        <v>116</v>
      </c>
      <c r="E20" s="43" t="s">
        <v>117</v>
      </c>
      <c r="F20" s="43" t="s">
        <v>118</v>
      </c>
      <c r="G20" s="43" t="s">
        <v>78</v>
      </c>
      <c r="H20" s="43" t="s">
        <v>119</v>
      </c>
      <c r="I20" s="43" t="s">
        <v>120</v>
      </c>
      <c r="J20" s="43" t="s">
        <v>81</v>
      </c>
      <c r="K20" s="43" t="s">
        <v>10</v>
      </c>
      <c r="L20" s="43"/>
      <c r="M20" s="43" t="s">
        <v>121</v>
      </c>
      <c r="N20" s="45"/>
      <c r="O20" s="31"/>
      <c r="P20" s="31"/>
    </row>
    <row r="21">
      <c r="A21" s="43" t="s">
        <v>122</v>
      </c>
      <c r="B21" s="43" t="s">
        <v>123</v>
      </c>
      <c r="C21" s="43" t="s">
        <v>124</v>
      </c>
      <c r="D21" s="43" t="s">
        <v>125</v>
      </c>
      <c r="E21" s="43" t="s">
        <v>126</v>
      </c>
      <c r="F21" s="43" t="s">
        <v>127</v>
      </c>
      <c r="G21" s="43" t="s">
        <v>78</v>
      </c>
      <c r="H21" s="43" t="s">
        <v>128</v>
      </c>
      <c r="I21" s="43" t="s">
        <v>129</v>
      </c>
      <c r="J21" s="43" t="s">
        <v>81</v>
      </c>
      <c r="K21" s="43" t="s">
        <v>8</v>
      </c>
      <c r="L21" s="44" t="s">
        <v>130</v>
      </c>
      <c r="M21" s="43" t="s">
        <v>131</v>
      </c>
      <c r="N21" s="45"/>
      <c r="O21" s="31"/>
      <c r="P21" s="31"/>
    </row>
    <row r="22">
      <c r="A22" s="43" t="s">
        <v>132</v>
      </c>
      <c r="B22" s="43" t="s">
        <v>123</v>
      </c>
      <c r="C22" s="43" t="s">
        <v>133</v>
      </c>
      <c r="D22" s="43" t="s">
        <v>134</v>
      </c>
      <c r="E22" s="43" t="s">
        <v>135</v>
      </c>
      <c r="F22" s="43" t="s">
        <v>136</v>
      </c>
      <c r="G22" s="43" t="s">
        <v>78</v>
      </c>
      <c r="H22" s="43" t="s">
        <v>137</v>
      </c>
      <c r="I22" s="43" t="s">
        <v>138</v>
      </c>
      <c r="J22" s="43" t="s">
        <v>81</v>
      </c>
      <c r="K22" s="43" t="s">
        <v>10</v>
      </c>
      <c r="L22" s="44" t="s">
        <v>139</v>
      </c>
      <c r="M22" s="43" t="s">
        <v>140</v>
      </c>
      <c r="N22" s="45"/>
      <c r="O22" s="31"/>
      <c r="P22" s="31"/>
    </row>
    <row r="23">
      <c r="A23" s="43" t="s">
        <v>141</v>
      </c>
      <c r="B23" s="43" t="s">
        <v>123</v>
      </c>
      <c r="C23" s="43" t="s">
        <v>133</v>
      </c>
      <c r="D23" s="43" t="s">
        <v>142</v>
      </c>
      <c r="E23" s="43" t="s">
        <v>135</v>
      </c>
      <c r="F23" s="43" t="s">
        <v>143</v>
      </c>
      <c r="G23" s="43" t="s">
        <v>78</v>
      </c>
      <c r="H23" s="43" t="s">
        <v>144</v>
      </c>
      <c r="I23" s="43" t="s">
        <v>145</v>
      </c>
      <c r="J23" s="43" t="s">
        <v>81</v>
      </c>
      <c r="K23" s="43" t="s">
        <v>8</v>
      </c>
      <c r="L23" s="44" t="s">
        <v>146</v>
      </c>
      <c r="M23" s="43" t="s">
        <v>147</v>
      </c>
      <c r="N23" s="45"/>
      <c r="O23" s="31"/>
      <c r="P23" s="31"/>
    </row>
    <row r="24">
      <c r="A24" s="43" t="s">
        <v>148</v>
      </c>
      <c r="B24" s="43" t="s">
        <v>123</v>
      </c>
      <c r="C24" s="43" t="s">
        <v>149</v>
      </c>
      <c r="D24" s="43" t="s">
        <v>150</v>
      </c>
      <c r="E24" s="43" t="s">
        <v>151</v>
      </c>
      <c r="F24" s="43" t="s">
        <v>152</v>
      </c>
      <c r="G24" s="43" t="s">
        <v>78</v>
      </c>
      <c r="H24" s="43" t="s">
        <v>153</v>
      </c>
      <c r="I24" s="43" t="s">
        <v>154</v>
      </c>
      <c r="J24" s="43" t="s">
        <v>81</v>
      </c>
      <c r="K24" s="43" t="s">
        <v>6</v>
      </c>
      <c r="L24" s="44" t="s">
        <v>155</v>
      </c>
      <c r="M24" s="43" t="s">
        <v>156</v>
      </c>
      <c r="N24" s="45"/>
      <c r="O24" s="31"/>
      <c r="P24" s="31"/>
    </row>
    <row r="25">
      <c r="A25" s="43" t="s">
        <v>157</v>
      </c>
      <c r="B25" s="43" t="s">
        <v>123</v>
      </c>
      <c r="C25" s="43" t="s">
        <v>149</v>
      </c>
      <c r="D25" s="43" t="s">
        <v>158</v>
      </c>
      <c r="E25" s="43" t="s">
        <v>151</v>
      </c>
      <c r="F25" s="43" t="s">
        <v>159</v>
      </c>
      <c r="G25" s="43" t="s">
        <v>78</v>
      </c>
      <c r="H25" s="43" t="s">
        <v>160</v>
      </c>
      <c r="I25" s="43" t="s">
        <v>161</v>
      </c>
      <c r="J25" s="43" t="s">
        <v>81</v>
      </c>
      <c r="K25" s="43" t="s">
        <v>6</v>
      </c>
      <c r="L25" s="44" t="s">
        <v>162</v>
      </c>
      <c r="M25" s="43" t="s">
        <v>163</v>
      </c>
      <c r="N25" s="45"/>
      <c r="O25" s="31"/>
      <c r="P25" s="31"/>
    </row>
    <row r="26">
      <c r="A26" s="43" t="s">
        <v>164</v>
      </c>
      <c r="B26" s="43" t="s">
        <v>123</v>
      </c>
      <c r="C26" s="43" t="s">
        <v>165</v>
      </c>
      <c r="D26" s="43" t="s">
        <v>166</v>
      </c>
      <c r="E26" s="43" t="s">
        <v>167</v>
      </c>
      <c r="F26" s="43" t="s">
        <v>168</v>
      </c>
      <c r="G26" s="43" t="s">
        <v>169</v>
      </c>
      <c r="H26" s="43" t="s">
        <v>170</v>
      </c>
      <c r="I26" s="43" t="s">
        <v>171</v>
      </c>
      <c r="J26" s="43" t="s">
        <v>81</v>
      </c>
      <c r="K26" s="43" t="s">
        <v>8</v>
      </c>
      <c r="L26" s="44" t="s">
        <v>172</v>
      </c>
      <c r="M26" s="43" t="s">
        <v>173</v>
      </c>
      <c r="N26" s="45"/>
      <c r="O26" s="31"/>
      <c r="P26" s="31"/>
    </row>
    <row r="27">
      <c r="A27" s="43" t="s">
        <v>174</v>
      </c>
      <c r="B27" s="43" t="s">
        <v>123</v>
      </c>
      <c r="C27" s="43" t="s">
        <v>175</v>
      </c>
      <c r="D27" s="43" t="s">
        <v>176</v>
      </c>
      <c r="E27" s="43" t="s">
        <v>177</v>
      </c>
      <c r="F27" s="43" t="s">
        <v>178</v>
      </c>
      <c r="G27" s="43" t="s">
        <v>78</v>
      </c>
      <c r="H27" s="43" t="s">
        <v>179</v>
      </c>
      <c r="I27" s="43" t="s">
        <v>180</v>
      </c>
      <c r="J27" s="43" t="s">
        <v>81</v>
      </c>
      <c r="K27" s="43" t="s">
        <v>10</v>
      </c>
      <c r="L27" s="44" t="s">
        <v>181</v>
      </c>
      <c r="M27" s="43" t="s">
        <v>182</v>
      </c>
      <c r="N27" s="45"/>
      <c r="O27" s="31"/>
      <c r="P27" s="31"/>
    </row>
    <row r="28">
      <c r="A28" s="43" t="s">
        <v>183</v>
      </c>
      <c r="B28" s="43" t="s">
        <v>123</v>
      </c>
      <c r="C28" s="43" t="s">
        <v>175</v>
      </c>
      <c r="D28" s="43" t="s">
        <v>184</v>
      </c>
      <c r="E28" s="43" t="s">
        <v>185</v>
      </c>
      <c r="F28" s="43" t="s">
        <v>186</v>
      </c>
      <c r="G28" s="43" t="s">
        <v>78</v>
      </c>
      <c r="H28" s="43" t="s">
        <v>187</v>
      </c>
      <c r="I28" s="43" t="s">
        <v>188</v>
      </c>
      <c r="J28" s="43" t="s">
        <v>81</v>
      </c>
      <c r="K28" s="43" t="s">
        <v>8</v>
      </c>
      <c r="L28" s="44" t="s">
        <v>189</v>
      </c>
      <c r="M28" s="43" t="s">
        <v>190</v>
      </c>
      <c r="N28" s="45"/>
      <c r="O28" s="31"/>
      <c r="P28" s="31"/>
    </row>
    <row r="29">
      <c r="A29" s="43" t="s">
        <v>191</v>
      </c>
      <c r="B29" s="43" t="s">
        <v>192</v>
      </c>
      <c r="C29" s="43" t="s">
        <v>124</v>
      </c>
      <c r="D29" s="43" t="s">
        <v>193</v>
      </c>
      <c r="E29" s="43" t="s">
        <v>194</v>
      </c>
      <c r="F29" s="43" t="s">
        <v>195</v>
      </c>
      <c r="G29" s="43" t="s">
        <v>78</v>
      </c>
      <c r="H29" s="43" t="s">
        <v>196</v>
      </c>
      <c r="I29" s="43" t="s">
        <v>197</v>
      </c>
      <c r="J29" s="43" t="s">
        <v>81</v>
      </c>
      <c r="K29" s="43" t="s">
        <v>8</v>
      </c>
      <c r="L29" s="44" t="s">
        <v>198</v>
      </c>
      <c r="M29" s="43" t="s">
        <v>199</v>
      </c>
      <c r="N29" s="45"/>
      <c r="O29" s="31"/>
      <c r="P29" s="31"/>
    </row>
    <row r="30">
      <c r="A30" s="43" t="s">
        <v>200</v>
      </c>
      <c r="B30" s="43" t="s">
        <v>192</v>
      </c>
      <c r="C30" s="43" t="s">
        <v>201</v>
      </c>
      <c r="D30" s="43" t="s">
        <v>202</v>
      </c>
      <c r="E30" s="43" t="s">
        <v>203</v>
      </c>
      <c r="F30" s="43" t="s">
        <v>204</v>
      </c>
      <c r="G30" s="43" t="s">
        <v>78</v>
      </c>
      <c r="H30" s="43" t="s">
        <v>205</v>
      </c>
      <c r="I30" s="43" t="s">
        <v>206</v>
      </c>
      <c r="J30" s="43" t="s">
        <v>81</v>
      </c>
      <c r="K30" s="43" t="s">
        <v>10</v>
      </c>
      <c r="L30" s="44" t="s">
        <v>207</v>
      </c>
      <c r="M30" s="43" t="s">
        <v>208</v>
      </c>
      <c r="N30" s="45"/>
      <c r="O30" s="31"/>
      <c r="P30" s="31"/>
    </row>
    <row r="31">
      <c r="A31" s="43" t="s">
        <v>209</v>
      </c>
      <c r="B31" s="43"/>
      <c r="C31" s="45"/>
      <c r="D31" s="45"/>
      <c r="E31" s="45"/>
      <c r="F31" s="45"/>
      <c r="G31" s="45"/>
      <c r="H31" s="45"/>
      <c r="I31" s="45"/>
      <c r="J31" s="45"/>
      <c r="K31" s="45"/>
      <c r="L31" s="45"/>
      <c r="M31" s="45"/>
      <c r="N31" s="45"/>
      <c r="O31" s="31"/>
      <c r="P31" s="31"/>
    </row>
    <row r="32">
      <c r="A32" s="43" t="s">
        <v>210</v>
      </c>
      <c r="B32" s="43"/>
      <c r="C32" s="45"/>
      <c r="D32" s="45"/>
      <c r="E32" s="45"/>
      <c r="F32" s="45"/>
      <c r="G32" s="45"/>
      <c r="H32" s="45"/>
      <c r="I32" s="45"/>
      <c r="J32" s="45"/>
      <c r="K32" s="45"/>
      <c r="L32" s="45"/>
      <c r="M32" s="45"/>
      <c r="N32" s="45"/>
      <c r="O32" s="31"/>
      <c r="P32" s="31"/>
    </row>
    <row r="33">
      <c r="A33" s="43" t="s">
        <v>211</v>
      </c>
      <c r="B33" s="43"/>
      <c r="C33" s="45"/>
      <c r="D33" s="45"/>
      <c r="E33" s="45"/>
      <c r="F33" s="45"/>
      <c r="G33" s="45"/>
      <c r="H33" s="45"/>
      <c r="I33" s="45"/>
      <c r="J33" s="45"/>
      <c r="K33" s="45"/>
      <c r="L33" s="45"/>
      <c r="M33" s="45"/>
      <c r="N33" s="45"/>
      <c r="O33" s="31"/>
      <c r="P33" s="31"/>
    </row>
    <row r="34">
      <c r="A34" s="43" t="s">
        <v>212</v>
      </c>
      <c r="B34" s="43"/>
      <c r="C34" s="45"/>
      <c r="D34" s="45"/>
      <c r="E34" s="45"/>
      <c r="F34" s="45"/>
      <c r="G34" s="45"/>
      <c r="H34" s="45"/>
      <c r="I34" s="45"/>
      <c r="J34" s="45"/>
      <c r="K34" s="45"/>
      <c r="L34" s="45"/>
      <c r="M34" s="45"/>
      <c r="N34" s="45"/>
      <c r="O34" s="31"/>
      <c r="P34" s="31"/>
    </row>
    <row r="35">
      <c r="A35" s="43" t="s">
        <v>213</v>
      </c>
      <c r="B35" s="43"/>
      <c r="C35" s="45"/>
      <c r="D35" s="45"/>
      <c r="E35" s="45"/>
      <c r="F35" s="45"/>
      <c r="G35" s="45"/>
      <c r="H35" s="45"/>
      <c r="I35" s="45"/>
      <c r="J35" s="45"/>
      <c r="K35" s="45"/>
      <c r="L35" s="45"/>
      <c r="M35" s="45"/>
      <c r="N35" s="45"/>
      <c r="O35" s="31"/>
      <c r="P35" s="31"/>
    </row>
    <row r="36">
      <c r="A36" s="43" t="s">
        <v>214</v>
      </c>
      <c r="B36" s="45"/>
      <c r="C36" s="45"/>
      <c r="D36" s="45"/>
      <c r="E36" s="45"/>
      <c r="F36" s="45"/>
      <c r="G36" s="45"/>
      <c r="H36" s="45"/>
      <c r="I36" s="45"/>
      <c r="J36" s="45"/>
      <c r="K36" s="45"/>
      <c r="L36" s="45"/>
      <c r="M36" s="45"/>
      <c r="N36" s="45"/>
      <c r="O36" s="31"/>
      <c r="P36" s="31"/>
    </row>
    <row r="37">
      <c r="A37" s="43" t="s">
        <v>215</v>
      </c>
      <c r="B37" s="45"/>
      <c r="C37" s="45"/>
      <c r="D37" s="45"/>
      <c r="E37" s="45"/>
      <c r="F37" s="45"/>
      <c r="G37" s="45"/>
      <c r="H37" s="45"/>
      <c r="I37" s="45"/>
      <c r="J37" s="45"/>
      <c r="K37" s="45"/>
      <c r="L37" s="45"/>
      <c r="M37" s="45"/>
      <c r="N37" s="45"/>
      <c r="O37" s="31"/>
      <c r="P37" s="31"/>
    </row>
    <row r="38">
      <c r="A38" s="43" t="s">
        <v>216</v>
      </c>
      <c r="B38" s="45"/>
      <c r="C38" s="45"/>
      <c r="D38" s="45"/>
      <c r="E38" s="45"/>
      <c r="F38" s="45"/>
      <c r="G38" s="45"/>
      <c r="H38" s="45"/>
      <c r="I38" s="45"/>
      <c r="J38" s="45"/>
      <c r="K38" s="45"/>
      <c r="L38" s="45"/>
      <c r="M38" s="45"/>
      <c r="N38" s="45"/>
      <c r="O38" s="31"/>
      <c r="P38" s="31"/>
    </row>
    <row r="39">
      <c r="A39" s="43" t="s">
        <v>217</v>
      </c>
      <c r="B39" s="45"/>
      <c r="C39" s="45"/>
      <c r="D39" s="45"/>
      <c r="E39" s="45"/>
      <c r="F39" s="45"/>
      <c r="G39" s="45"/>
      <c r="H39" s="45"/>
      <c r="I39" s="45"/>
      <c r="J39" s="45"/>
      <c r="K39" s="45"/>
      <c r="L39" s="45"/>
      <c r="M39" s="45"/>
      <c r="N39" s="45"/>
      <c r="O39" s="31"/>
      <c r="P39" s="31"/>
    </row>
    <row r="40">
      <c r="A40" s="43" t="s">
        <v>218</v>
      </c>
      <c r="B40" s="45"/>
      <c r="C40" s="45"/>
      <c r="D40" s="45"/>
      <c r="E40" s="45"/>
      <c r="F40" s="45"/>
      <c r="G40" s="45"/>
      <c r="H40" s="45"/>
      <c r="I40" s="45"/>
      <c r="J40" s="45"/>
      <c r="K40" s="45"/>
      <c r="L40" s="45"/>
      <c r="M40" s="45"/>
      <c r="N40" s="45"/>
      <c r="O40" s="31"/>
      <c r="P40" s="31"/>
    </row>
    <row r="41">
      <c r="A41" s="43" t="s">
        <v>219</v>
      </c>
      <c r="B41" s="45"/>
      <c r="C41" s="45"/>
      <c r="D41" s="45"/>
      <c r="E41" s="45"/>
      <c r="F41" s="45"/>
      <c r="G41" s="45"/>
      <c r="H41" s="45"/>
      <c r="I41" s="45"/>
      <c r="J41" s="45"/>
      <c r="K41" s="45"/>
      <c r="L41" s="45"/>
      <c r="M41" s="45"/>
      <c r="N41" s="45"/>
      <c r="O41" s="31"/>
      <c r="P41" s="31"/>
    </row>
    <row r="42">
      <c r="A42" s="43" t="s">
        <v>220</v>
      </c>
      <c r="B42" s="45"/>
      <c r="C42" s="45"/>
      <c r="D42" s="45"/>
      <c r="E42" s="45"/>
      <c r="F42" s="45"/>
      <c r="G42" s="45"/>
      <c r="H42" s="45"/>
      <c r="I42" s="45"/>
      <c r="J42" s="45"/>
      <c r="K42" s="45"/>
      <c r="L42" s="45"/>
      <c r="M42" s="45"/>
      <c r="N42" s="45"/>
      <c r="O42" s="31"/>
      <c r="P42" s="31"/>
    </row>
    <row r="43">
      <c r="A43" s="43" t="s">
        <v>221</v>
      </c>
      <c r="B43" s="45"/>
      <c r="C43" s="45"/>
      <c r="D43" s="45"/>
      <c r="E43" s="45"/>
      <c r="F43" s="45"/>
      <c r="G43" s="45"/>
      <c r="H43" s="45"/>
      <c r="I43" s="45"/>
      <c r="J43" s="45"/>
      <c r="K43" s="45"/>
      <c r="L43" s="45"/>
      <c r="M43" s="45"/>
      <c r="N43" s="45"/>
      <c r="O43" s="31"/>
      <c r="P43" s="31"/>
    </row>
    <row r="44">
      <c r="A44" s="45"/>
      <c r="B44" s="45"/>
      <c r="C44" s="45"/>
      <c r="D44" s="45"/>
      <c r="E44" s="45"/>
      <c r="F44" s="45"/>
      <c r="G44" s="45"/>
      <c r="H44" s="45"/>
      <c r="I44" s="45"/>
      <c r="J44" s="45"/>
      <c r="K44" s="45"/>
      <c r="L44" s="45"/>
      <c r="M44" s="45"/>
      <c r="N44" s="45"/>
      <c r="O44" s="31"/>
      <c r="P44" s="31"/>
    </row>
    <row r="45">
      <c r="A45" s="45"/>
      <c r="B45" s="45"/>
      <c r="C45" s="45"/>
      <c r="D45" s="45"/>
      <c r="E45" s="45"/>
      <c r="F45" s="45"/>
      <c r="G45" s="45"/>
      <c r="H45" s="45"/>
      <c r="I45" s="45"/>
      <c r="J45" s="45"/>
      <c r="K45" s="45"/>
      <c r="L45" s="45"/>
      <c r="M45" s="45"/>
      <c r="N45" s="45"/>
      <c r="O45" s="31"/>
      <c r="P45" s="31"/>
    </row>
    <row r="46">
      <c r="A46" s="45"/>
      <c r="B46" s="45"/>
      <c r="C46" s="45"/>
      <c r="D46" s="45"/>
      <c r="E46" s="45"/>
      <c r="F46" s="45"/>
      <c r="G46" s="45"/>
      <c r="H46" s="45"/>
      <c r="I46" s="45"/>
      <c r="J46" s="45"/>
      <c r="K46" s="45"/>
      <c r="L46" s="45"/>
      <c r="M46" s="45"/>
      <c r="N46" s="45"/>
      <c r="O46" s="31"/>
      <c r="P46" s="31"/>
    </row>
    <row r="47">
      <c r="A47" s="45"/>
      <c r="B47" s="45"/>
      <c r="C47" s="45"/>
      <c r="D47" s="45"/>
      <c r="E47" s="45"/>
      <c r="F47" s="45"/>
      <c r="G47" s="45"/>
      <c r="H47" s="45"/>
      <c r="I47" s="45"/>
      <c r="J47" s="45"/>
      <c r="K47" s="45"/>
      <c r="L47" s="45"/>
      <c r="M47" s="45"/>
      <c r="N47" s="45"/>
      <c r="O47" s="31"/>
      <c r="P47" s="31"/>
    </row>
    <row r="48">
      <c r="A48" s="45"/>
      <c r="B48" s="45"/>
      <c r="C48" s="45"/>
      <c r="D48" s="45"/>
      <c r="E48" s="45"/>
      <c r="F48" s="45"/>
      <c r="G48" s="45"/>
      <c r="H48" s="45"/>
      <c r="I48" s="45"/>
      <c r="J48" s="45"/>
      <c r="K48" s="45"/>
      <c r="L48" s="45"/>
      <c r="M48" s="45"/>
      <c r="N48" s="45"/>
      <c r="O48" s="31"/>
      <c r="P48" s="31"/>
    </row>
    <row r="49">
      <c r="A49" s="45"/>
      <c r="B49" s="45"/>
      <c r="C49" s="45"/>
      <c r="D49" s="45"/>
      <c r="E49" s="45"/>
      <c r="F49" s="45"/>
      <c r="G49" s="45"/>
      <c r="H49" s="45"/>
      <c r="I49" s="45"/>
      <c r="J49" s="45"/>
      <c r="K49" s="45"/>
      <c r="L49" s="45"/>
      <c r="M49" s="45"/>
      <c r="N49" s="45"/>
      <c r="O49" s="31"/>
      <c r="P49" s="31"/>
    </row>
    <row r="50">
      <c r="A50" s="45"/>
      <c r="B50" s="45"/>
      <c r="C50" s="45"/>
      <c r="D50" s="45"/>
      <c r="E50" s="45"/>
      <c r="F50" s="45"/>
      <c r="G50" s="45"/>
      <c r="H50" s="45"/>
      <c r="I50" s="45"/>
      <c r="J50" s="45"/>
      <c r="K50" s="45"/>
      <c r="L50" s="45"/>
      <c r="M50" s="45"/>
      <c r="N50" s="45"/>
      <c r="O50" s="31"/>
      <c r="P50" s="31"/>
    </row>
    <row r="51">
      <c r="A51" s="45"/>
      <c r="B51" s="45"/>
      <c r="C51" s="45"/>
      <c r="D51" s="45"/>
      <c r="E51" s="45"/>
      <c r="F51" s="45"/>
      <c r="G51" s="45"/>
      <c r="H51" s="45"/>
      <c r="I51" s="45"/>
      <c r="J51" s="45"/>
      <c r="K51" s="45"/>
      <c r="L51" s="45"/>
      <c r="M51" s="45"/>
      <c r="N51" s="45"/>
      <c r="O51" s="31"/>
      <c r="P51" s="31"/>
    </row>
    <row r="52">
      <c r="A52" s="45"/>
      <c r="B52" s="45"/>
      <c r="C52" s="45"/>
      <c r="D52" s="45"/>
      <c r="E52" s="45"/>
      <c r="F52" s="45"/>
      <c r="G52" s="45"/>
      <c r="H52" s="45"/>
      <c r="I52" s="45"/>
      <c r="J52" s="45"/>
      <c r="K52" s="45"/>
      <c r="L52" s="45"/>
      <c r="M52" s="45"/>
      <c r="N52" s="45"/>
      <c r="O52" s="31"/>
      <c r="P52" s="31"/>
    </row>
    <row r="53">
      <c r="A53" s="45"/>
      <c r="B53" s="45"/>
      <c r="C53" s="45"/>
      <c r="D53" s="45"/>
      <c r="E53" s="45"/>
      <c r="F53" s="45"/>
      <c r="G53" s="45"/>
      <c r="H53" s="45"/>
      <c r="I53" s="45"/>
      <c r="J53" s="45"/>
      <c r="K53" s="45"/>
      <c r="L53" s="45"/>
      <c r="M53" s="45"/>
      <c r="N53" s="45"/>
      <c r="O53" s="31"/>
      <c r="P53" s="31"/>
    </row>
    <row r="54">
      <c r="A54" s="45"/>
      <c r="B54" s="45"/>
      <c r="C54" s="45"/>
      <c r="D54" s="45"/>
      <c r="E54" s="45"/>
      <c r="F54" s="45"/>
      <c r="G54" s="45"/>
      <c r="H54" s="45"/>
      <c r="I54" s="45"/>
      <c r="J54" s="45"/>
      <c r="K54" s="45"/>
      <c r="L54" s="45"/>
      <c r="M54" s="45"/>
      <c r="N54" s="45"/>
      <c r="O54" s="31"/>
      <c r="P54" s="31"/>
    </row>
    <row r="55">
      <c r="A55" s="45"/>
      <c r="B55" s="45"/>
      <c r="C55" s="45"/>
      <c r="D55" s="45"/>
      <c r="E55" s="45"/>
      <c r="F55" s="45"/>
      <c r="G55" s="45"/>
      <c r="H55" s="45"/>
      <c r="I55" s="45"/>
      <c r="J55" s="45"/>
      <c r="K55" s="45"/>
      <c r="L55" s="45"/>
      <c r="M55" s="45"/>
      <c r="N55" s="45"/>
      <c r="O55" s="31"/>
      <c r="P55" s="31"/>
    </row>
    <row r="56">
      <c r="A56" s="45"/>
      <c r="B56" s="45"/>
      <c r="C56" s="45"/>
      <c r="D56" s="45"/>
      <c r="E56" s="45"/>
      <c r="F56" s="45"/>
      <c r="G56" s="45"/>
      <c r="H56" s="45"/>
      <c r="I56" s="45"/>
      <c r="J56" s="45"/>
      <c r="K56" s="45"/>
      <c r="L56" s="45"/>
      <c r="M56" s="45"/>
      <c r="N56" s="45"/>
      <c r="O56" s="31"/>
      <c r="P56" s="31"/>
    </row>
    <row r="57">
      <c r="A57" s="45"/>
      <c r="B57" s="45"/>
      <c r="C57" s="45"/>
      <c r="D57" s="45"/>
      <c r="E57" s="45"/>
      <c r="F57" s="45"/>
      <c r="G57" s="45"/>
      <c r="H57" s="45"/>
      <c r="I57" s="45"/>
      <c r="J57" s="45"/>
      <c r="K57" s="45"/>
      <c r="L57" s="45"/>
      <c r="M57" s="45"/>
      <c r="N57" s="45"/>
      <c r="O57" s="31"/>
      <c r="P57" s="31"/>
    </row>
    <row r="58">
      <c r="A58" s="45"/>
      <c r="B58" s="45"/>
      <c r="C58" s="45"/>
      <c r="D58" s="45"/>
      <c r="E58" s="45"/>
      <c r="F58" s="45"/>
      <c r="G58" s="45"/>
      <c r="H58" s="45"/>
      <c r="I58" s="45"/>
      <c r="J58" s="45"/>
      <c r="K58" s="45"/>
      <c r="L58" s="45"/>
      <c r="M58" s="45"/>
      <c r="N58" s="45"/>
      <c r="O58" s="31"/>
      <c r="P58" s="31"/>
    </row>
    <row r="59">
      <c r="A59" s="45"/>
      <c r="B59" s="45"/>
      <c r="C59" s="45"/>
      <c r="D59" s="45"/>
      <c r="E59" s="45"/>
      <c r="F59" s="45"/>
      <c r="G59" s="45"/>
      <c r="H59" s="45"/>
      <c r="I59" s="45"/>
      <c r="J59" s="45"/>
      <c r="K59" s="45"/>
      <c r="L59" s="45"/>
      <c r="M59" s="45"/>
      <c r="N59" s="45"/>
      <c r="O59" s="31"/>
      <c r="P59" s="31"/>
    </row>
    <row r="60">
      <c r="A60" s="45"/>
      <c r="B60" s="45"/>
      <c r="C60" s="45"/>
      <c r="D60" s="45"/>
      <c r="E60" s="45"/>
      <c r="F60" s="45"/>
      <c r="G60" s="45"/>
      <c r="H60" s="45"/>
      <c r="I60" s="45"/>
      <c r="J60" s="45"/>
      <c r="K60" s="45"/>
      <c r="L60" s="45"/>
      <c r="M60" s="45"/>
      <c r="N60" s="45"/>
      <c r="O60" s="31"/>
      <c r="P60" s="31"/>
    </row>
    <row r="61">
      <c r="A61" s="45"/>
      <c r="B61" s="45"/>
      <c r="C61" s="45"/>
      <c r="D61" s="45"/>
      <c r="E61" s="45"/>
      <c r="F61" s="45"/>
      <c r="G61" s="45"/>
      <c r="H61" s="45"/>
      <c r="I61" s="45"/>
      <c r="J61" s="45"/>
      <c r="K61" s="45"/>
      <c r="L61" s="45"/>
      <c r="M61" s="45"/>
      <c r="N61" s="45"/>
      <c r="O61" s="31"/>
      <c r="P61" s="31"/>
    </row>
    <row r="62">
      <c r="A62" s="45"/>
      <c r="B62" s="45"/>
      <c r="C62" s="45"/>
      <c r="D62" s="45"/>
      <c r="E62" s="45"/>
      <c r="F62" s="45"/>
      <c r="G62" s="45"/>
      <c r="H62" s="45"/>
      <c r="I62" s="45"/>
      <c r="J62" s="45"/>
      <c r="K62" s="45"/>
      <c r="L62" s="45"/>
      <c r="M62" s="45"/>
      <c r="N62" s="45"/>
      <c r="O62" s="31"/>
      <c r="P62" s="31"/>
    </row>
    <row r="63">
      <c r="A63" s="45"/>
      <c r="B63" s="45"/>
      <c r="C63" s="45"/>
      <c r="D63" s="45"/>
      <c r="E63" s="45"/>
      <c r="F63" s="45"/>
      <c r="G63" s="45"/>
      <c r="H63" s="45"/>
      <c r="I63" s="45"/>
      <c r="J63" s="45"/>
      <c r="K63" s="45"/>
      <c r="L63" s="45"/>
      <c r="M63" s="45"/>
      <c r="N63" s="45"/>
      <c r="O63" s="31"/>
      <c r="P63" s="31"/>
    </row>
    <row r="64">
      <c r="A64" s="45"/>
      <c r="B64" s="45"/>
      <c r="C64" s="45"/>
      <c r="D64" s="45"/>
      <c r="E64" s="45"/>
      <c r="F64" s="45"/>
      <c r="G64" s="45"/>
      <c r="H64" s="45"/>
      <c r="I64" s="45"/>
      <c r="J64" s="45"/>
      <c r="K64" s="45"/>
      <c r="L64" s="45"/>
      <c r="M64" s="45"/>
      <c r="N64" s="45"/>
      <c r="O64" s="31"/>
      <c r="P64" s="31"/>
    </row>
    <row r="65">
      <c r="A65" s="45"/>
      <c r="B65" s="45"/>
      <c r="C65" s="45"/>
      <c r="D65" s="45"/>
      <c r="E65" s="45"/>
      <c r="F65" s="45"/>
      <c r="G65" s="45"/>
      <c r="H65" s="45"/>
      <c r="I65" s="45"/>
      <c r="J65" s="45"/>
      <c r="K65" s="45"/>
      <c r="L65" s="45"/>
      <c r="M65" s="45"/>
      <c r="N65" s="45"/>
      <c r="O65" s="31"/>
      <c r="P65" s="31"/>
    </row>
    <row r="66">
      <c r="A66" s="45"/>
      <c r="B66" s="45"/>
      <c r="C66" s="45"/>
      <c r="D66" s="45"/>
      <c r="E66" s="45"/>
      <c r="F66" s="45"/>
      <c r="G66" s="45"/>
      <c r="H66" s="45"/>
      <c r="I66" s="45"/>
      <c r="J66" s="45"/>
      <c r="K66" s="45"/>
      <c r="L66" s="45"/>
      <c r="M66" s="45"/>
      <c r="N66" s="45"/>
      <c r="O66" s="31"/>
      <c r="P66" s="31"/>
    </row>
    <row r="67">
      <c r="A67" s="45"/>
      <c r="B67" s="45"/>
      <c r="C67" s="45"/>
      <c r="D67" s="45"/>
      <c r="E67" s="45"/>
      <c r="F67" s="45"/>
      <c r="G67" s="45"/>
      <c r="H67" s="45"/>
      <c r="I67" s="45"/>
      <c r="J67" s="45"/>
      <c r="K67" s="45"/>
      <c r="L67" s="45"/>
      <c r="M67" s="45"/>
      <c r="N67" s="45"/>
      <c r="O67" s="31"/>
      <c r="P67" s="31"/>
    </row>
    <row r="68">
      <c r="A68" s="45"/>
      <c r="B68" s="45"/>
      <c r="C68" s="45"/>
      <c r="D68" s="45"/>
      <c r="E68" s="45"/>
      <c r="F68" s="45"/>
      <c r="G68" s="45"/>
      <c r="H68" s="45"/>
      <c r="I68" s="45"/>
      <c r="J68" s="45"/>
      <c r="K68" s="45"/>
      <c r="L68" s="45"/>
      <c r="M68" s="45"/>
      <c r="N68" s="45"/>
      <c r="O68" s="31"/>
      <c r="P68" s="31"/>
    </row>
    <row r="69">
      <c r="A69" s="45"/>
      <c r="B69" s="45"/>
      <c r="C69" s="45"/>
      <c r="D69" s="45"/>
      <c r="E69" s="45"/>
      <c r="F69" s="45"/>
      <c r="G69" s="45"/>
      <c r="H69" s="45"/>
      <c r="I69" s="45"/>
      <c r="J69" s="45"/>
      <c r="K69" s="45"/>
      <c r="L69" s="45"/>
      <c r="M69" s="45"/>
      <c r="N69" s="45"/>
      <c r="O69" s="31"/>
      <c r="P69" s="31"/>
    </row>
    <row r="70">
      <c r="A70" s="45"/>
      <c r="B70" s="45"/>
      <c r="C70" s="45"/>
      <c r="D70" s="45"/>
      <c r="E70" s="45"/>
      <c r="F70" s="45"/>
      <c r="G70" s="45"/>
      <c r="H70" s="45"/>
      <c r="I70" s="45"/>
      <c r="J70" s="45"/>
      <c r="K70" s="45"/>
      <c r="L70" s="45"/>
      <c r="M70" s="45"/>
      <c r="N70" s="45"/>
      <c r="O70" s="31"/>
      <c r="P70" s="31"/>
    </row>
    <row r="71">
      <c r="A71" s="45"/>
      <c r="B71" s="45"/>
      <c r="C71" s="45"/>
      <c r="D71" s="45"/>
      <c r="E71" s="45"/>
      <c r="F71" s="45"/>
      <c r="G71" s="45"/>
      <c r="H71" s="45"/>
      <c r="I71" s="45"/>
      <c r="J71" s="45"/>
      <c r="K71" s="45"/>
      <c r="L71" s="45"/>
      <c r="M71" s="45"/>
      <c r="N71" s="45"/>
      <c r="O71" s="31"/>
      <c r="P71" s="31"/>
    </row>
    <row r="72">
      <c r="A72" s="45"/>
      <c r="B72" s="45"/>
      <c r="C72" s="45"/>
      <c r="D72" s="45"/>
      <c r="E72" s="45"/>
      <c r="F72" s="45"/>
      <c r="G72" s="45"/>
      <c r="H72" s="45"/>
      <c r="I72" s="45"/>
      <c r="J72" s="45"/>
      <c r="K72" s="45"/>
      <c r="L72" s="45"/>
      <c r="M72" s="45"/>
      <c r="N72" s="45"/>
      <c r="O72" s="31"/>
      <c r="P72" s="31"/>
    </row>
    <row r="73">
      <c r="A73" s="45"/>
      <c r="B73" s="45"/>
      <c r="C73" s="45"/>
      <c r="D73" s="45"/>
      <c r="E73" s="45"/>
      <c r="F73" s="45"/>
      <c r="G73" s="45"/>
      <c r="H73" s="45"/>
      <c r="I73" s="45"/>
      <c r="J73" s="45"/>
      <c r="K73" s="45"/>
      <c r="L73" s="45"/>
      <c r="M73" s="45"/>
      <c r="N73" s="45"/>
      <c r="O73" s="31"/>
      <c r="P73" s="31"/>
    </row>
    <row r="74">
      <c r="A74" s="45"/>
      <c r="B74" s="45"/>
      <c r="C74" s="45"/>
      <c r="D74" s="45"/>
      <c r="E74" s="45"/>
      <c r="F74" s="45"/>
      <c r="G74" s="45"/>
      <c r="H74" s="45"/>
      <c r="I74" s="45"/>
      <c r="J74" s="45"/>
      <c r="K74" s="45"/>
      <c r="L74" s="45"/>
      <c r="M74" s="45"/>
      <c r="N74" s="45"/>
      <c r="O74" s="31"/>
      <c r="P74" s="31"/>
    </row>
    <row r="75">
      <c r="A75" s="45"/>
      <c r="B75" s="45"/>
      <c r="C75" s="45"/>
      <c r="D75" s="45"/>
      <c r="E75" s="45"/>
      <c r="F75" s="45"/>
      <c r="G75" s="45"/>
      <c r="H75" s="45"/>
      <c r="I75" s="45"/>
      <c r="J75" s="45"/>
      <c r="K75" s="45"/>
      <c r="L75" s="45"/>
      <c r="M75" s="45"/>
      <c r="N75" s="45"/>
      <c r="O75" s="31"/>
      <c r="P75" s="31"/>
    </row>
    <row r="76">
      <c r="A76" s="45"/>
      <c r="B76" s="45"/>
      <c r="C76" s="45"/>
      <c r="D76" s="45"/>
      <c r="E76" s="45"/>
      <c r="F76" s="45"/>
      <c r="G76" s="45"/>
      <c r="H76" s="45"/>
      <c r="I76" s="45"/>
      <c r="J76" s="45"/>
      <c r="K76" s="45"/>
      <c r="L76" s="45"/>
      <c r="M76" s="45"/>
      <c r="N76" s="45"/>
      <c r="O76" s="31"/>
      <c r="P76" s="31"/>
    </row>
    <row r="77">
      <c r="A77" s="45"/>
      <c r="B77" s="45"/>
      <c r="C77" s="45"/>
      <c r="D77" s="45"/>
      <c r="E77" s="45"/>
      <c r="F77" s="45"/>
      <c r="G77" s="45"/>
      <c r="H77" s="45"/>
      <c r="I77" s="45"/>
      <c r="J77" s="45"/>
      <c r="K77" s="45"/>
      <c r="L77" s="45"/>
      <c r="M77" s="45"/>
      <c r="N77" s="45"/>
      <c r="O77" s="31"/>
      <c r="P77" s="31"/>
    </row>
    <row r="78">
      <c r="A78" s="45"/>
      <c r="B78" s="45"/>
      <c r="C78" s="45"/>
      <c r="D78" s="45"/>
      <c r="E78" s="45"/>
      <c r="F78" s="45"/>
      <c r="G78" s="45"/>
      <c r="H78" s="45"/>
      <c r="I78" s="45"/>
      <c r="J78" s="45"/>
      <c r="K78" s="45"/>
      <c r="L78" s="45"/>
      <c r="M78" s="45"/>
      <c r="N78" s="45"/>
      <c r="O78" s="31"/>
      <c r="P78" s="31"/>
    </row>
    <row r="79">
      <c r="A79" s="45"/>
      <c r="B79" s="45"/>
      <c r="C79" s="45"/>
      <c r="D79" s="45"/>
      <c r="E79" s="45"/>
      <c r="F79" s="45"/>
      <c r="G79" s="45"/>
      <c r="H79" s="45"/>
      <c r="I79" s="45"/>
      <c r="J79" s="45"/>
      <c r="K79" s="45"/>
      <c r="L79" s="45"/>
      <c r="M79" s="45"/>
      <c r="N79" s="45"/>
      <c r="O79" s="31"/>
      <c r="P79" s="31"/>
    </row>
    <row r="80">
      <c r="A80" s="45"/>
      <c r="B80" s="45"/>
      <c r="C80" s="45"/>
      <c r="D80" s="45"/>
      <c r="E80" s="45"/>
      <c r="F80" s="45"/>
      <c r="G80" s="45"/>
      <c r="H80" s="45"/>
      <c r="I80" s="45"/>
      <c r="J80" s="45"/>
      <c r="K80" s="45"/>
      <c r="L80" s="45"/>
      <c r="M80" s="45"/>
      <c r="N80" s="45"/>
      <c r="O80" s="31"/>
      <c r="P80" s="31"/>
    </row>
    <row r="81">
      <c r="A81" s="45"/>
      <c r="B81" s="45"/>
      <c r="C81" s="45"/>
      <c r="D81" s="45"/>
      <c r="E81" s="45"/>
      <c r="F81" s="45"/>
      <c r="G81" s="45"/>
      <c r="H81" s="45"/>
      <c r="I81" s="45"/>
      <c r="J81" s="45"/>
      <c r="K81" s="45"/>
      <c r="L81" s="45"/>
      <c r="M81" s="45"/>
      <c r="N81" s="45"/>
      <c r="O81" s="31"/>
      <c r="P81" s="31"/>
    </row>
    <row r="82">
      <c r="A82" s="45"/>
      <c r="B82" s="45"/>
      <c r="C82" s="45"/>
      <c r="D82" s="45"/>
      <c r="E82" s="45"/>
      <c r="F82" s="45"/>
      <c r="G82" s="45"/>
      <c r="H82" s="45"/>
      <c r="I82" s="45"/>
      <c r="J82" s="45"/>
      <c r="K82" s="45"/>
      <c r="L82" s="45"/>
      <c r="M82" s="45"/>
      <c r="N82" s="45"/>
      <c r="O82" s="31"/>
      <c r="P82" s="31"/>
    </row>
    <row r="83">
      <c r="A83" s="45"/>
      <c r="B83" s="45"/>
      <c r="C83" s="45"/>
      <c r="D83" s="45"/>
      <c r="E83" s="45"/>
      <c r="F83" s="45"/>
      <c r="G83" s="45"/>
      <c r="H83" s="45"/>
      <c r="I83" s="45"/>
      <c r="J83" s="45"/>
      <c r="K83" s="45"/>
      <c r="L83" s="45"/>
      <c r="M83" s="45"/>
      <c r="N83" s="45"/>
      <c r="O83" s="31"/>
      <c r="P83" s="31"/>
    </row>
    <row r="84">
      <c r="A84" s="45"/>
      <c r="B84" s="45"/>
      <c r="C84" s="45"/>
      <c r="D84" s="45"/>
      <c r="E84" s="45"/>
      <c r="F84" s="45"/>
      <c r="G84" s="45"/>
      <c r="H84" s="45"/>
      <c r="I84" s="45"/>
      <c r="J84" s="45"/>
      <c r="K84" s="45"/>
      <c r="L84" s="45"/>
      <c r="M84" s="45"/>
      <c r="N84" s="45"/>
      <c r="O84" s="31"/>
      <c r="P84" s="31"/>
    </row>
    <row r="85">
      <c r="A85" s="45"/>
      <c r="B85" s="45"/>
      <c r="C85" s="45"/>
      <c r="D85" s="45"/>
      <c r="E85" s="45"/>
      <c r="F85" s="45"/>
      <c r="G85" s="45"/>
      <c r="H85" s="45"/>
      <c r="I85" s="45"/>
      <c r="J85" s="45"/>
      <c r="K85" s="45"/>
      <c r="L85" s="45"/>
      <c r="M85" s="45"/>
      <c r="N85" s="45"/>
      <c r="O85" s="31"/>
      <c r="P85" s="31"/>
    </row>
    <row r="86">
      <c r="A86" s="45"/>
      <c r="B86" s="45"/>
      <c r="C86" s="45"/>
      <c r="D86" s="45"/>
      <c r="E86" s="45"/>
      <c r="F86" s="45"/>
      <c r="G86" s="45"/>
      <c r="H86" s="45"/>
      <c r="I86" s="45"/>
      <c r="J86" s="45"/>
      <c r="K86" s="45"/>
      <c r="L86" s="45"/>
      <c r="M86" s="45"/>
      <c r="N86" s="45"/>
      <c r="O86" s="31"/>
      <c r="P86" s="31"/>
    </row>
    <row r="87">
      <c r="A87" s="45"/>
      <c r="B87" s="45"/>
      <c r="C87" s="45"/>
      <c r="D87" s="45"/>
      <c r="E87" s="45"/>
      <c r="F87" s="45"/>
      <c r="G87" s="45"/>
      <c r="H87" s="45"/>
      <c r="I87" s="45"/>
      <c r="J87" s="45"/>
      <c r="K87" s="45"/>
      <c r="L87" s="45"/>
      <c r="M87" s="45"/>
      <c r="N87" s="45"/>
      <c r="O87" s="31"/>
      <c r="P87" s="31"/>
    </row>
    <row r="88">
      <c r="A88" s="45"/>
      <c r="B88" s="45"/>
      <c r="C88" s="45"/>
      <c r="D88" s="45"/>
      <c r="E88" s="45"/>
      <c r="F88" s="45"/>
      <c r="G88" s="45"/>
      <c r="H88" s="45"/>
      <c r="I88" s="45"/>
      <c r="J88" s="45"/>
      <c r="K88" s="45"/>
      <c r="L88" s="45"/>
      <c r="M88" s="45"/>
      <c r="N88" s="45"/>
      <c r="O88" s="31"/>
      <c r="P88" s="31"/>
    </row>
    <row r="89">
      <c r="A89" s="45"/>
      <c r="B89" s="45"/>
      <c r="C89" s="45"/>
      <c r="D89" s="45"/>
      <c r="E89" s="45"/>
      <c r="F89" s="45"/>
      <c r="G89" s="45"/>
      <c r="H89" s="45"/>
      <c r="I89" s="45"/>
      <c r="J89" s="45"/>
      <c r="K89" s="45"/>
      <c r="L89" s="45"/>
      <c r="M89" s="45"/>
      <c r="N89" s="45"/>
      <c r="O89" s="31"/>
      <c r="P89" s="31"/>
    </row>
    <row r="90">
      <c r="A90" s="45"/>
      <c r="B90" s="45"/>
      <c r="C90" s="45"/>
      <c r="D90" s="45"/>
      <c r="E90" s="45"/>
      <c r="F90" s="45"/>
      <c r="G90" s="45"/>
      <c r="H90" s="45"/>
      <c r="I90" s="45"/>
      <c r="J90" s="45"/>
      <c r="K90" s="45"/>
      <c r="L90" s="45"/>
      <c r="M90" s="45"/>
      <c r="N90" s="45"/>
      <c r="O90" s="31"/>
      <c r="P90" s="31"/>
    </row>
    <row r="91">
      <c r="A91" s="45"/>
      <c r="B91" s="45"/>
      <c r="C91" s="45"/>
      <c r="D91" s="45"/>
      <c r="E91" s="45"/>
      <c r="F91" s="45"/>
      <c r="G91" s="45"/>
      <c r="H91" s="45"/>
      <c r="I91" s="45"/>
      <c r="J91" s="45"/>
      <c r="K91" s="45"/>
      <c r="L91" s="45"/>
      <c r="M91" s="45"/>
      <c r="N91" s="45"/>
      <c r="O91" s="31"/>
      <c r="P91" s="31"/>
    </row>
    <row r="92">
      <c r="A92" s="45"/>
      <c r="B92" s="45"/>
      <c r="C92" s="45"/>
      <c r="D92" s="45"/>
      <c r="E92" s="45"/>
      <c r="F92" s="45"/>
      <c r="G92" s="45"/>
      <c r="H92" s="45"/>
      <c r="I92" s="45"/>
      <c r="J92" s="45"/>
      <c r="K92" s="45"/>
      <c r="L92" s="45"/>
      <c r="M92" s="45"/>
      <c r="N92" s="45"/>
      <c r="O92" s="31"/>
      <c r="P92" s="31"/>
    </row>
    <row r="93">
      <c r="A93" s="45"/>
      <c r="B93" s="45"/>
      <c r="C93" s="45"/>
      <c r="D93" s="45"/>
      <c r="E93" s="45"/>
      <c r="F93" s="45"/>
      <c r="G93" s="45"/>
      <c r="H93" s="45"/>
      <c r="I93" s="45"/>
      <c r="J93" s="45"/>
      <c r="K93" s="45"/>
      <c r="L93" s="45"/>
      <c r="M93" s="45"/>
      <c r="N93" s="45"/>
      <c r="O93" s="31"/>
      <c r="P93" s="31"/>
    </row>
    <row r="94">
      <c r="A94" s="45"/>
      <c r="B94" s="45"/>
      <c r="C94" s="45"/>
      <c r="D94" s="45"/>
      <c r="E94" s="45"/>
      <c r="F94" s="45"/>
      <c r="G94" s="45"/>
      <c r="H94" s="45"/>
      <c r="I94" s="45"/>
      <c r="J94" s="45"/>
      <c r="K94" s="45"/>
      <c r="L94" s="45"/>
      <c r="M94" s="45"/>
      <c r="N94" s="45"/>
      <c r="O94" s="31"/>
      <c r="P94" s="31"/>
    </row>
    <row r="95">
      <c r="A95" s="45"/>
      <c r="B95" s="45"/>
      <c r="C95" s="45"/>
      <c r="D95" s="45"/>
      <c r="E95" s="45"/>
      <c r="F95" s="45"/>
      <c r="G95" s="45"/>
      <c r="H95" s="45"/>
      <c r="I95" s="45"/>
      <c r="J95" s="45"/>
      <c r="K95" s="45"/>
      <c r="L95" s="45"/>
      <c r="M95" s="45"/>
      <c r="N95" s="45"/>
      <c r="O95" s="31"/>
      <c r="P95" s="31"/>
    </row>
    <row r="96">
      <c r="A96" s="45"/>
      <c r="B96" s="45"/>
      <c r="C96" s="45"/>
      <c r="D96" s="45"/>
      <c r="E96" s="45"/>
      <c r="F96" s="45"/>
      <c r="G96" s="45"/>
      <c r="H96" s="45"/>
      <c r="I96" s="45"/>
      <c r="J96" s="45"/>
      <c r="K96" s="45"/>
      <c r="L96" s="45"/>
      <c r="M96" s="45"/>
      <c r="N96" s="45"/>
      <c r="O96" s="31"/>
      <c r="P96" s="31"/>
    </row>
    <row r="97">
      <c r="A97" s="45"/>
      <c r="B97" s="45"/>
      <c r="C97" s="45"/>
      <c r="D97" s="45"/>
      <c r="E97" s="45"/>
      <c r="F97" s="45"/>
      <c r="G97" s="45"/>
      <c r="H97" s="45"/>
      <c r="I97" s="45"/>
      <c r="J97" s="45"/>
      <c r="K97" s="45"/>
      <c r="L97" s="45"/>
      <c r="M97" s="45"/>
      <c r="N97" s="45"/>
      <c r="O97" s="31"/>
      <c r="P97" s="31"/>
    </row>
    <row r="98">
      <c r="A98" s="45"/>
      <c r="B98" s="45"/>
      <c r="C98" s="45"/>
      <c r="D98" s="45"/>
      <c r="E98" s="45"/>
      <c r="F98" s="45"/>
      <c r="G98" s="45"/>
      <c r="H98" s="45"/>
      <c r="I98" s="45"/>
      <c r="J98" s="45"/>
      <c r="K98" s="45"/>
      <c r="L98" s="45"/>
      <c r="M98" s="45"/>
      <c r="N98" s="45"/>
      <c r="O98" s="31"/>
      <c r="P98" s="31"/>
    </row>
    <row r="99">
      <c r="A99" s="45"/>
      <c r="B99" s="45"/>
      <c r="C99" s="45"/>
      <c r="D99" s="45"/>
      <c r="E99" s="45"/>
      <c r="F99" s="45"/>
      <c r="G99" s="45"/>
      <c r="H99" s="45"/>
      <c r="I99" s="45"/>
      <c r="J99" s="45"/>
      <c r="K99" s="45"/>
      <c r="L99" s="45"/>
      <c r="M99" s="45"/>
      <c r="N99" s="45"/>
      <c r="O99" s="31"/>
      <c r="P99" s="31"/>
    </row>
    <row r="100">
      <c r="A100" s="31"/>
      <c r="B100" s="31"/>
      <c r="C100" s="31"/>
      <c r="D100" s="31"/>
      <c r="E100" s="31"/>
      <c r="F100" s="31"/>
      <c r="G100" s="31"/>
      <c r="H100" s="31"/>
      <c r="I100" s="31"/>
      <c r="J100" s="31"/>
      <c r="K100" s="31"/>
      <c r="L100" s="31"/>
      <c r="M100" s="31"/>
      <c r="N100" s="31"/>
      <c r="O100" s="31"/>
      <c r="P100" s="31"/>
    </row>
    <row r="101">
      <c r="A101" s="31"/>
      <c r="B101" s="31"/>
      <c r="C101" s="31"/>
      <c r="D101" s="31"/>
      <c r="E101" s="31"/>
      <c r="F101" s="31"/>
      <c r="G101" s="31"/>
      <c r="H101" s="31"/>
      <c r="I101" s="31"/>
      <c r="J101" s="31"/>
      <c r="K101" s="31"/>
      <c r="L101" s="31"/>
      <c r="M101" s="31"/>
      <c r="N101" s="31"/>
      <c r="O101" s="31"/>
      <c r="P101" s="31"/>
    </row>
    <row r="102">
      <c r="A102" s="31"/>
      <c r="B102" s="31"/>
      <c r="C102" s="31"/>
      <c r="D102" s="31"/>
      <c r="E102" s="31"/>
      <c r="F102" s="31"/>
      <c r="G102" s="31"/>
      <c r="H102" s="31"/>
      <c r="I102" s="31"/>
      <c r="J102" s="31"/>
      <c r="K102" s="31"/>
      <c r="L102" s="31"/>
      <c r="M102" s="31"/>
      <c r="N102" s="31"/>
      <c r="O102" s="31"/>
      <c r="P102" s="31"/>
    </row>
    <row r="103">
      <c r="A103" s="31"/>
      <c r="B103" s="31"/>
      <c r="C103" s="31"/>
      <c r="D103" s="31"/>
      <c r="E103" s="31"/>
      <c r="F103" s="31"/>
      <c r="G103" s="31"/>
      <c r="H103" s="31"/>
      <c r="I103" s="31"/>
      <c r="J103" s="31"/>
      <c r="K103" s="31"/>
      <c r="L103" s="31"/>
      <c r="M103" s="31"/>
      <c r="N103" s="31"/>
      <c r="O103" s="31"/>
      <c r="P103" s="31"/>
    </row>
    <row r="104">
      <c r="A104" s="31"/>
      <c r="B104" s="31"/>
      <c r="C104" s="31"/>
      <c r="D104" s="31"/>
      <c r="E104" s="31"/>
      <c r="F104" s="31"/>
      <c r="G104" s="31"/>
      <c r="H104" s="31"/>
      <c r="I104" s="31"/>
      <c r="J104" s="31"/>
      <c r="K104" s="31"/>
      <c r="L104" s="31"/>
      <c r="M104" s="31"/>
      <c r="N104" s="31"/>
      <c r="O104" s="31"/>
      <c r="P104" s="31"/>
    </row>
    <row r="105">
      <c r="A105" s="31"/>
      <c r="B105" s="31"/>
      <c r="C105" s="31"/>
      <c r="D105" s="31"/>
      <c r="E105" s="31"/>
      <c r="F105" s="31"/>
      <c r="G105" s="31"/>
      <c r="H105" s="31"/>
      <c r="I105" s="31"/>
      <c r="J105" s="31"/>
      <c r="K105" s="31"/>
      <c r="L105" s="31"/>
      <c r="M105" s="31"/>
      <c r="N105" s="31"/>
      <c r="O105" s="31"/>
      <c r="P105" s="31"/>
    </row>
  </sheetData>
  <dataValidations>
    <dataValidation type="list" allowBlank="1" showErrorMessage="1" sqref="K17">
      <formula1>"High,Medium,Low"</formula1>
    </dataValidation>
    <dataValidation type="list" allowBlank="1" showErrorMessage="1" sqref="N15:N68">
      <formula1>"Solved,Unsolved"</formula1>
    </dataValidation>
    <dataValidation type="list" allowBlank="1" showErrorMessage="1" sqref="K15:K16 K18:K71">
      <formula1>"High,Medium,Low,Severity"</formula1>
    </dataValidation>
    <dataValidation type="list" allowBlank="1" showErrorMessage="1" sqref="J15:J71">
      <formula1>"Pass,Fail"</formula1>
    </dataValidation>
  </dataValidations>
  <hyperlinks>
    <hyperlink r:id="rId1" ref="B4"/>
    <hyperlink r:id="rId2" ref="L15"/>
    <hyperlink r:id="rId3" ref="L16"/>
    <hyperlink r:id="rId4" ref="L17"/>
    <hyperlink r:id="rId5" ref="L18"/>
    <hyperlink r:id="rId6" ref="L21"/>
    <hyperlink r:id="rId7" ref="L22"/>
    <hyperlink r:id="rId8" ref="L23"/>
    <hyperlink r:id="rId9" ref="L24"/>
    <hyperlink r:id="rId10" ref="L25"/>
    <hyperlink r:id="rId11" ref="L26"/>
    <hyperlink r:id="rId12" ref="L27"/>
    <hyperlink r:id="rId13" ref="L28"/>
    <hyperlink r:id="rId14" ref="L29"/>
    <hyperlink r:id="rId15" ref="L30"/>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2.88"/>
    <col customWidth="1" min="3" max="3" width="12.5"/>
    <col customWidth="1" min="4" max="4" width="16.5"/>
    <col customWidth="1" min="5" max="5" width="15.38"/>
    <col customWidth="1" min="6" max="6" width="16.88"/>
    <col customWidth="1" min="7" max="7" width="18.63"/>
    <col customWidth="1" min="8" max="8" width="17.63"/>
    <col customWidth="1" min="9" max="9" width="16.5"/>
    <col customWidth="1" min="10" max="10" width="11.13"/>
    <col customWidth="1" min="11" max="11" width="13.25"/>
    <col customWidth="1" min="12" max="12" width="14.63"/>
    <col customWidth="1" min="13" max="13" width="12.25"/>
    <col customWidth="1" min="14" max="14" width="14.38"/>
  </cols>
  <sheetData>
    <row r="1">
      <c r="A1" s="47" t="s">
        <v>0</v>
      </c>
      <c r="B1" s="48" t="s">
        <v>222</v>
      </c>
      <c r="C1" s="1"/>
      <c r="D1" s="1"/>
      <c r="E1" s="1"/>
      <c r="F1" s="1"/>
      <c r="G1" s="1"/>
      <c r="H1" s="1"/>
      <c r="I1" s="1"/>
      <c r="J1" s="1"/>
      <c r="K1" s="1"/>
      <c r="L1" s="1"/>
      <c r="M1" s="1"/>
      <c r="N1" s="1"/>
    </row>
    <row r="2">
      <c r="A2" s="47" t="s">
        <v>4</v>
      </c>
      <c r="B2" s="6" t="s">
        <v>5</v>
      </c>
      <c r="C2" s="1"/>
      <c r="D2" s="1"/>
      <c r="E2" s="1"/>
      <c r="F2" s="1"/>
      <c r="G2" s="1"/>
      <c r="H2" s="1"/>
      <c r="I2" s="1"/>
      <c r="J2" s="1"/>
      <c r="K2" s="1"/>
      <c r="L2" s="1"/>
      <c r="M2" s="1"/>
      <c r="N2" s="1"/>
    </row>
    <row r="3">
      <c r="A3" s="47" t="s">
        <v>9</v>
      </c>
      <c r="B3" s="10"/>
      <c r="C3" s="1"/>
      <c r="D3" s="1"/>
      <c r="E3" s="1"/>
      <c r="F3" s="1"/>
      <c r="G3" s="1"/>
      <c r="H3" s="1"/>
      <c r="I3" s="1"/>
      <c r="J3" s="1"/>
      <c r="K3" s="1"/>
      <c r="L3" s="1"/>
      <c r="M3" s="1"/>
      <c r="N3" s="1"/>
    </row>
    <row r="4">
      <c r="A4" s="47" t="s">
        <v>11</v>
      </c>
      <c r="B4" s="11" t="s">
        <v>12</v>
      </c>
      <c r="C4" s="1"/>
      <c r="D4" s="1"/>
      <c r="E4" s="1"/>
      <c r="F4" s="1"/>
      <c r="G4" s="1"/>
      <c r="H4" s="1"/>
      <c r="I4" s="1"/>
      <c r="J4" s="1"/>
      <c r="K4" s="1"/>
      <c r="L4" s="1"/>
      <c r="M4" s="1"/>
      <c r="N4" s="1"/>
    </row>
    <row r="5">
      <c r="A5" s="49" t="s">
        <v>13</v>
      </c>
      <c r="B5" s="50" t="s">
        <v>223</v>
      </c>
      <c r="C5" s="1"/>
      <c r="D5" s="1"/>
      <c r="E5" s="1"/>
      <c r="F5" s="1"/>
      <c r="G5" s="1"/>
      <c r="H5" s="1"/>
      <c r="I5" s="1"/>
      <c r="J5" s="1"/>
      <c r="K5" s="1"/>
      <c r="L5" s="1"/>
      <c r="M5" s="1"/>
      <c r="N5" s="1"/>
    </row>
    <row r="6">
      <c r="A6" s="1"/>
      <c r="B6" s="1"/>
      <c r="C6" s="1"/>
      <c r="D6" s="1"/>
      <c r="E6" s="1"/>
      <c r="F6" s="1"/>
      <c r="G6" s="1"/>
      <c r="H6" s="1"/>
      <c r="I6" s="1"/>
      <c r="J6" s="1"/>
      <c r="K6" s="1"/>
      <c r="L6" s="1"/>
      <c r="M6" s="1"/>
      <c r="N6" s="1"/>
    </row>
    <row r="7">
      <c r="A7" s="51" t="s">
        <v>224</v>
      </c>
      <c r="B7" s="51" t="s">
        <v>17</v>
      </c>
      <c r="C7" s="51" t="s">
        <v>18</v>
      </c>
      <c r="D7" s="51" t="s">
        <v>19</v>
      </c>
      <c r="E7" s="51" t="s">
        <v>20</v>
      </c>
      <c r="F7" s="51" t="s">
        <v>21</v>
      </c>
      <c r="G7" s="51" t="s">
        <v>22</v>
      </c>
      <c r="H7" s="51" t="s">
        <v>23</v>
      </c>
      <c r="I7" s="51" t="s">
        <v>24</v>
      </c>
      <c r="J7" s="51" t="s">
        <v>25</v>
      </c>
      <c r="K7" s="51" t="s">
        <v>2</v>
      </c>
      <c r="L7" s="51" t="s">
        <v>26</v>
      </c>
      <c r="M7" s="51" t="s">
        <v>27</v>
      </c>
      <c r="N7" s="51" t="s">
        <v>29</v>
      </c>
      <c r="O7" s="52"/>
      <c r="P7" s="52"/>
      <c r="Q7" s="52"/>
      <c r="R7" s="52"/>
      <c r="S7" s="52"/>
      <c r="T7" s="52"/>
      <c r="U7" s="52"/>
      <c r="V7" s="52"/>
      <c r="W7" s="52"/>
      <c r="X7" s="52"/>
      <c r="Y7" s="52"/>
      <c r="Z7" s="52"/>
    </row>
    <row r="8">
      <c r="A8" s="53" t="s">
        <v>30</v>
      </c>
      <c r="B8" s="54" t="s">
        <v>225</v>
      </c>
      <c r="C8" s="54" t="s">
        <v>226</v>
      </c>
      <c r="D8" s="53" t="s">
        <v>227</v>
      </c>
      <c r="E8" s="53" t="s">
        <v>228</v>
      </c>
      <c r="F8" s="55" t="s">
        <v>229</v>
      </c>
      <c r="G8" s="56" t="s">
        <v>230</v>
      </c>
      <c r="H8" s="53" t="s">
        <v>231</v>
      </c>
      <c r="I8" s="53" t="s">
        <v>232</v>
      </c>
      <c r="J8" s="53" t="s">
        <v>81</v>
      </c>
      <c r="K8" s="53" t="s">
        <v>10</v>
      </c>
      <c r="L8" s="57" t="s">
        <v>233</v>
      </c>
      <c r="M8" s="56"/>
      <c r="N8" s="56" t="s">
        <v>234</v>
      </c>
      <c r="O8" s="20"/>
      <c r="P8" s="20"/>
      <c r="Q8" s="20"/>
      <c r="R8" s="20"/>
      <c r="S8" s="20"/>
      <c r="T8" s="20"/>
      <c r="U8" s="20"/>
      <c r="V8" s="20"/>
      <c r="W8" s="20"/>
      <c r="X8" s="20"/>
      <c r="Y8" s="20"/>
      <c r="Z8" s="20"/>
    </row>
    <row r="9">
      <c r="A9" s="20"/>
      <c r="B9" s="20"/>
      <c r="C9" s="20"/>
      <c r="D9" s="20"/>
      <c r="E9" s="20"/>
      <c r="F9" s="58"/>
      <c r="G9" s="20"/>
      <c r="H9" s="20"/>
      <c r="I9" s="20"/>
      <c r="J9" s="20"/>
      <c r="K9" s="20"/>
      <c r="L9" s="20"/>
      <c r="M9" s="20"/>
      <c r="N9" s="20"/>
      <c r="O9" s="20"/>
      <c r="P9" s="20"/>
      <c r="Q9" s="20"/>
      <c r="R9" s="20"/>
      <c r="S9" s="20"/>
      <c r="T9" s="20"/>
      <c r="U9" s="20"/>
      <c r="V9" s="20"/>
      <c r="W9" s="20"/>
      <c r="X9" s="20"/>
      <c r="Y9" s="20"/>
      <c r="Z9" s="20"/>
    </row>
    <row r="10">
      <c r="A10" s="54" t="s">
        <v>31</v>
      </c>
      <c r="B10" s="54" t="s">
        <v>225</v>
      </c>
      <c r="C10" s="54" t="s">
        <v>226</v>
      </c>
      <c r="D10" s="54" t="s">
        <v>235</v>
      </c>
      <c r="E10" s="54" t="s">
        <v>228</v>
      </c>
      <c r="F10" s="59" t="s">
        <v>236</v>
      </c>
      <c r="G10" s="60" t="s">
        <v>230</v>
      </c>
      <c r="H10" s="54" t="s">
        <v>237</v>
      </c>
      <c r="I10" s="54" t="s">
        <v>238</v>
      </c>
      <c r="J10" s="54" t="s">
        <v>81</v>
      </c>
      <c r="K10" s="54" t="s">
        <v>10</v>
      </c>
      <c r="L10" s="61" t="s">
        <v>239</v>
      </c>
      <c r="M10" s="60" t="s">
        <v>240</v>
      </c>
      <c r="N10" s="60" t="s">
        <v>234</v>
      </c>
      <c r="O10" s="20"/>
      <c r="P10" s="20"/>
      <c r="Q10" s="20"/>
      <c r="R10" s="20"/>
      <c r="S10" s="20"/>
      <c r="T10" s="20"/>
      <c r="U10" s="20"/>
      <c r="V10" s="20"/>
      <c r="W10" s="20"/>
      <c r="X10" s="20"/>
      <c r="Y10" s="20"/>
      <c r="Z10" s="20"/>
    </row>
    <row r="11">
      <c r="A11" s="20"/>
      <c r="B11" s="20"/>
      <c r="C11" s="20"/>
      <c r="D11" s="20"/>
      <c r="E11" s="20"/>
      <c r="F11" s="58"/>
      <c r="G11" s="20"/>
      <c r="H11" s="20"/>
      <c r="I11" s="20"/>
      <c r="J11" s="20"/>
      <c r="K11" s="20"/>
      <c r="L11" s="20"/>
      <c r="M11" s="20"/>
      <c r="N11" s="20"/>
      <c r="O11" s="20"/>
      <c r="P11" s="20"/>
      <c r="Q11" s="20"/>
      <c r="R11" s="20"/>
      <c r="S11" s="20"/>
      <c r="T11" s="20"/>
      <c r="U11" s="20"/>
      <c r="V11" s="20"/>
      <c r="W11" s="20"/>
      <c r="X11" s="20"/>
      <c r="Y11" s="20"/>
      <c r="Z11" s="20"/>
    </row>
    <row r="12">
      <c r="A12" s="54" t="s">
        <v>32</v>
      </c>
      <c r="B12" s="54" t="s">
        <v>225</v>
      </c>
      <c r="C12" s="54" t="s">
        <v>226</v>
      </c>
      <c r="D12" s="54" t="s">
        <v>241</v>
      </c>
      <c r="E12" s="54" t="s">
        <v>228</v>
      </c>
      <c r="F12" s="59" t="s">
        <v>242</v>
      </c>
      <c r="G12" s="60" t="s">
        <v>230</v>
      </c>
      <c r="H12" s="54" t="s">
        <v>243</v>
      </c>
      <c r="I12" s="54" t="s">
        <v>244</v>
      </c>
      <c r="J12" s="54" t="s">
        <v>81</v>
      </c>
      <c r="K12" s="54" t="s">
        <v>10</v>
      </c>
      <c r="L12" s="62" t="s">
        <v>245</v>
      </c>
      <c r="M12" s="63"/>
      <c r="N12" s="60" t="s">
        <v>234</v>
      </c>
      <c r="O12" s="20"/>
      <c r="P12" s="20"/>
      <c r="Q12" s="20"/>
      <c r="R12" s="20"/>
      <c r="S12" s="20"/>
      <c r="T12" s="20"/>
      <c r="U12" s="20"/>
      <c r="V12" s="20"/>
      <c r="W12" s="20"/>
      <c r="X12" s="20"/>
      <c r="Y12" s="20"/>
      <c r="Z12" s="20"/>
    </row>
    <row r="13">
      <c r="A13" s="20"/>
      <c r="B13" s="20"/>
      <c r="C13" s="20"/>
      <c r="D13" s="20"/>
      <c r="E13" s="20"/>
      <c r="F13" s="58"/>
      <c r="G13" s="20"/>
      <c r="H13" s="20"/>
      <c r="I13" s="20"/>
      <c r="J13" s="20"/>
      <c r="K13" s="20"/>
      <c r="L13" s="20"/>
      <c r="M13" s="20"/>
      <c r="N13" s="20"/>
      <c r="O13" s="20"/>
      <c r="P13" s="20"/>
      <c r="Q13" s="20"/>
      <c r="R13" s="20"/>
      <c r="S13" s="20"/>
      <c r="T13" s="20"/>
      <c r="U13" s="20"/>
      <c r="V13" s="20"/>
      <c r="W13" s="20"/>
      <c r="X13" s="20"/>
      <c r="Y13" s="20"/>
      <c r="Z13" s="20"/>
    </row>
    <row r="14">
      <c r="A14" s="54" t="s">
        <v>33</v>
      </c>
      <c r="B14" s="54" t="s">
        <v>225</v>
      </c>
      <c r="C14" s="54" t="s">
        <v>226</v>
      </c>
      <c r="D14" s="54" t="s">
        <v>246</v>
      </c>
      <c r="E14" s="54" t="s">
        <v>228</v>
      </c>
      <c r="F14" s="59" t="s">
        <v>247</v>
      </c>
      <c r="G14" s="60" t="s">
        <v>230</v>
      </c>
      <c r="H14" s="54" t="s">
        <v>248</v>
      </c>
      <c r="I14" s="54" t="s">
        <v>249</v>
      </c>
      <c r="J14" s="54" t="s">
        <v>81</v>
      </c>
      <c r="K14" s="54" t="s">
        <v>6</v>
      </c>
      <c r="L14" s="61" t="s">
        <v>250</v>
      </c>
      <c r="M14" s="64" t="s">
        <v>251</v>
      </c>
      <c r="N14" s="60" t="s">
        <v>234</v>
      </c>
      <c r="O14" s="20"/>
      <c r="P14" s="20"/>
      <c r="Q14" s="20"/>
      <c r="R14" s="20"/>
      <c r="S14" s="20"/>
      <c r="T14" s="20"/>
      <c r="U14" s="20"/>
      <c r="V14" s="20"/>
      <c r="W14" s="20"/>
      <c r="X14" s="20"/>
      <c r="Y14" s="20"/>
      <c r="Z14" s="20"/>
    </row>
    <row r="15">
      <c r="A15" s="20"/>
      <c r="B15" s="20"/>
      <c r="C15" s="20"/>
      <c r="D15" s="20"/>
      <c r="E15" s="20"/>
      <c r="F15" s="58"/>
      <c r="G15" s="20"/>
      <c r="H15" s="20"/>
      <c r="I15" s="20"/>
      <c r="J15" s="20"/>
      <c r="K15" s="20"/>
      <c r="L15" s="20"/>
      <c r="M15" s="20"/>
      <c r="N15" s="20"/>
      <c r="O15" s="20"/>
      <c r="P15" s="20"/>
      <c r="Q15" s="20"/>
      <c r="R15" s="20"/>
      <c r="S15" s="20"/>
      <c r="T15" s="20"/>
      <c r="U15" s="20"/>
      <c r="V15" s="20"/>
      <c r="W15" s="20"/>
      <c r="X15" s="20"/>
      <c r="Y15" s="20"/>
      <c r="Z15" s="20"/>
    </row>
    <row r="16">
      <c r="A16" s="54" t="s">
        <v>34</v>
      </c>
      <c r="B16" s="54" t="s">
        <v>225</v>
      </c>
      <c r="C16" s="54" t="s">
        <v>226</v>
      </c>
      <c r="D16" s="21" t="s">
        <v>252</v>
      </c>
      <c r="E16" s="54" t="s">
        <v>228</v>
      </c>
      <c r="F16" s="59" t="s">
        <v>253</v>
      </c>
      <c r="G16" s="60" t="s">
        <v>230</v>
      </c>
      <c r="H16" s="21" t="s">
        <v>254</v>
      </c>
      <c r="I16" s="21" t="s">
        <v>255</v>
      </c>
      <c r="J16" s="54" t="s">
        <v>81</v>
      </c>
      <c r="K16" s="54" t="s">
        <v>10</v>
      </c>
      <c r="L16" s="61" t="s">
        <v>256</v>
      </c>
      <c r="M16" s="22"/>
      <c r="N16" s="60" t="s">
        <v>234</v>
      </c>
      <c r="O16" s="20"/>
      <c r="P16" s="20"/>
      <c r="Q16" s="20"/>
      <c r="R16" s="20"/>
      <c r="S16" s="20"/>
      <c r="T16" s="20"/>
      <c r="U16" s="20"/>
      <c r="V16" s="20"/>
      <c r="W16" s="20"/>
      <c r="X16" s="20"/>
      <c r="Y16" s="20"/>
      <c r="Z16" s="20"/>
    </row>
    <row r="17">
      <c r="A17" s="20"/>
      <c r="B17" s="20"/>
      <c r="C17" s="20"/>
      <c r="D17" s="20"/>
      <c r="E17" s="20"/>
      <c r="F17" s="58"/>
      <c r="G17" s="20"/>
      <c r="H17" s="20"/>
      <c r="I17" s="20"/>
      <c r="J17" s="20"/>
      <c r="K17" s="20"/>
      <c r="L17" s="20"/>
      <c r="M17" s="20"/>
      <c r="N17" s="20"/>
      <c r="O17" s="20"/>
      <c r="P17" s="20"/>
      <c r="Q17" s="20"/>
      <c r="R17" s="20"/>
      <c r="S17" s="20"/>
      <c r="T17" s="20"/>
      <c r="U17" s="20"/>
      <c r="V17" s="20"/>
      <c r="W17" s="20"/>
      <c r="X17" s="20"/>
      <c r="Y17" s="20"/>
      <c r="Z17" s="20"/>
    </row>
    <row r="18">
      <c r="A18" s="54" t="s">
        <v>35</v>
      </c>
      <c r="B18" s="54" t="s">
        <v>225</v>
      </c>
      <c r="C18" s="54" t="s">
        <v>257</v>
      </c>
      <c r="D18" s="54" t="s">
        <v>258</v>
      </c>
      <c r="E18" s="54" t="s">
        <v>228</v>
      </c>
      <c r="F18" s="59" t="s">
        <v>259</v>
      </c>
      <c r="G18" s="60" t="s">
        <v>260</v>
      </c>
      <c r="H18" s="54" t="s">
        <v>261</v>
      </c>
      <c r="I18" s="54" t="s">
        <v>262</v>
      </c>
      <c r="J18" s="54" t="s">
        <v>81</v>
      </c>
      <c r="K18" s="54" t="s">
        <v>6</v>
      </c>
      <c r="L18" s="61" t="s">
        <v>263</v>
      </c>
      <c r="M18" s="63"/>
      <c r="N18" s="60" t="s">
        <v>234</v>
      </c>
      <c r="O18" s="20"/>
      <c r="P18" s="20"/>
      <c r="Q18" s="20"/>
      <c r="R18" s="20"/>
      <c r="S18" s="20"/>
      <c r="T18" s="20"/>
      <c r="U18" s="20"/>
      <c r="V18" s="20"/>
      <c r="W18" s="20"/>
      <c r="X18" s="20"/>
      <c r="Y18" s="20"/>
      <c r="Z18" s="20"/>
    </row>
    <row r="19">
      <c r="A19" s="20"/>
      <c r="B19" s="20"/>
      <c r="C19" s="20"/>
      <c r="D19" s="20"/>
      <c r="E19" s="20"/>
      <c r="F19" s="58"/>
      <c r="G19" s="20"/>
      <c r="H19" s="20"/>
      <c r="I19" s="20"/>
      <c r="J19" s="20"/>
      <c r="K19" s="20"/>
      <c r="L19" s="20"/>
      <c r="M19" s="20"/>
      <c r="N19" s="20"/>
      <c r="O19" s="20"/>
      <c r="P19" s="20"/>
      <c r="Q19" s="20"/>
      <c r="R19" s="20"/>
      <c r="S19" s="20"/>
      <c r="T19" s="20"/>
      <c r="U19" s="20"/>
      <c r="V19" s="20"/>
      <c r="W19" s="20"/>
      <c r="X19" s="20"/>
      <c r="Y19" s="20"/>
      <c r="Z19" s="20"/>
    </row>
    <row r="20">
      <c r="A20" s="54" t="s">
        <v>36</v>
      </c>
      <c r="B20" s="54" t="s">
        <v>225</v>
      </c>
      <c r="C20" s="54" t="s">
        <v>257</v>
      </c>
      <c r="D20" s="54" t="s">
        <v>264</v>
      </c>
      <c r="E20" s="54" t="s">
        <v>228</v>
      </c>
      <c r="F20" s="59" t="s">
        <v>265</v>
      </c>
      <c r="G20" s="60" t="s">
        <v>260</v>
      </c>
      <c r="H20" s="54" t="s">
        <v>266</v>
      </c>
      <c r="I20" s="54" t="s">
        <v>267</v>
      </c>
      <c r="J20" s="54" t="s">
        <v>81</v>
      </c>
      <c r="K20" s="54" t="s">
        <v>8</v>
      </c>
      <c r="L20" s="61" t="s">
        <v>268</v>
      </c>
      <c r="M20" s="63"/>
      <c r="N20" s="60" t="s">
        <v>234</v>
      </c>
      <c r="O20" s="20"/>
      <c r="P20" s="20"/>
      <c r="Q20" s="20"/>
      <c r="R20" s="20"/>
      <c r="S20" s="20"/>
      <c r="T20" s="20"/>
      <c r="U20" s="20"/>
      <c r="V20" s="20"/>
      <c r="W20" s="20"/>
      <c r="X20" s="20"/>
      <c r="Y20" s="20"/>
      <c r="Z20" s="20"/>
    </row>
    <row r="21">
      <c r="A21" s="20"/>
      <c r="B21" s="20"/>
      <c r="C21" s="20"/>
      <c r="D21" s="20"/>
      <c r="E21" s="20"/>
      <c r="F21" s="58"/>
      <c r="G21" s="20"/>
      <c r="H21" s="20"/>
      <c r="I21" s="20"/>
      <c r="J21" s="20"/>
      <c r="K21" s="20"/>
      <c r="L21" s="20"/>
      <c r="M21" s="20"/>
      <c r="N21" s="20"/>
      <c r="O21" s="20"/>
      <c r="P21" s="20"/>
      <c r="Q21" s="20"/>
      <c r="R21" s="20"/>
      <c r="S21" s="20"/>
      <c r="T21" s="20"/>
      <c r="U21" s="20"/>
      <c r="V21" s="20"/>
      <c r="W21" s="20"/>
      <c r="X21" s="20"/>
      <c r="Y21" s="20"/>
      <c r="Z21" s="20"/>
    </row>
    <row r="22">
      <c r="A22" s="54" t="s">
        <v>37</v>
      </c>
      <c r="B22" s="54" t="s">
        <v>225</v>
      </c>
      <c r="C22" s="54" t="s">
        <v>257</v>
      </c>
      <c r="D22" s="54" t="s">
        <v>269</v>
      </c>
      <c r="E22" s="54" t="s">
        <v>228</v>
      </c>
      <c r="F22" s="59" t="s">
        <v>270</v>
      </c>
      <c r="G22" s="60" t="s">
        <v>260</v>
      </c>
      <c r="H22" s="54" t="s">
        <v>271</v>
      </c>
      <c r="I22" s="54" t="s">
        <v>272</v>
      </c>
      <c r="J22" s="54" t="s">
        <v>81</v>
      </c>
      <c r="K22" s="54" t="s">
        <v>8</v>
      </c>
      <c r="L22" s="61" t="s">
        <v>273</v>
      </c>
      <c r="M22" s="63"/>
      <c r="N22" s="60" t="s">
        <v>234</v>
      </c>
      <c r="O22" s="20"/>
      <c r="P22" s="20"/>
      <c r="Q22" s="20"/>
      <c r="R22" s="20"/>
      <c r="S22" s="20"/>
      <c r="T22" s="20"/>
      <c r="U22" s="20"/>
      <c r="V22" s="20"/>
      <c r="W22" s="20"/>
      <c r="X22" s="20"/>
      <c r="Y22" s="20"/>
      <c r="Z22" s="20"/>
    </row>
    <row r="23">
      <c r="A23" s="20"/>
      <c r="B23" s="20"/>
      <c r="C23" s="20"/>
      <c r="D23" s="20"/>
      <c r="E23" s="20"/>
      <c r="F23" s="58"/>
      <c r="G23" s="20"/>
      <c r="H23" s="20"/>
      <c r="I23" s="20"/>
      <c r="J23" s="20"/>
      <c r="K23" s="20"/>
      <c r="L23" s="20"/>
      <c r="M23" s="20"/>
      <c r="N23" s="20"/>
      <c r="O23" s="20"/>
      <c r="P23" s="20"/>
      <c r="Q23" s="20"/>
      <c r="R23" s="20"/>
      <c r="S23" s="20"/>
      <c r="T23" s="20"/>
      <c r="U23" s="20"/>
      <c r="V23" s="20"/>
      <c r="W23" s="20"/>
      <c r="X23" s="20"/>
      <c r="Y23" s="20"/>
      <c r="Z23" s="20"/>
    </row>
    <row r="24">
      <c r="A24" s="54" t="s">
        <v>38</v>
      </c>
      <c r="B24" s="54" t="s">
        <v>225</v>
      </c>
      <c r="C24" s="54" t="s">
        <v>257</v>
      </c>
      <c r="D24" s="54" t="s">
        <v>274</v>
      </c>
      <c r="E24" s="54" t="s">
        <v>228</v>
      </c>
      <c r="F24" s="59" t="s">
        <v>275</v>
      </c>
      <c r="G24" s="60" t="s">
        <v>260</v>
      </c>
      <c r="H24" s="54" t="s">
        <v>276</v>
      </c>
      <c r="I24" s="54" t="s">
        <v>277</v>
      </c>
      <c r="J24" s="54" t="s">
        <v>81</v>
      </c>
      <c r="K24" s="54" t="s">
        <v>6</v>
      </c>
      <c r="L24" s="61" t="s">
        <v>278</v>
      </c>
      <c r="M24" s="63"/>
      <c r="N24" s="60" t="s">
        <v>234</v>
      </c>
      <c r="O24" s="20"/>
      <c r="P24" s="20"/>
      <c r="Q24" s="20"/>
      <c r="R24" s="20"/>
      <c r="S24" s="20"/>
      <c r="T24" s="20"/>
      <c r="U24" s="20"/>
      <c r="V24" s="20"/>
      <c r="W24" s="20"/>
      <c r="X24" s="20"/>
      <c r="Y24" s="20"/>
      <c r="Z24" s="20"/>
    </row>
    <row r="25">
      <c r="A25" s="20"/>
      <c r="B25" s="20"/>
      <c r="C25" s="20"/>
      <c r="D25" s="20"/>
      <c r="E25" s="20"/>
      <c r="F25" s="58"/>
      <c r="G25" s="20"/>
      <c r="H25" s="20"/>
      <c r="I25" s="20"/>
      <c r="J25" s="20"/>
      <c r="K25" s="20"/>
      <c r="L25" s="20"/>
      <c r="M25" s="20"/>
      <c r="N25" s="20"/>
      <c r="O25" s="20"/>
      <c r="P25" s="20"/>
      <c r="Q25" s="20"/>
      <c r="R25" s="20"/>
      <c r="S25" s="20"/>
      <c r="T25" s="20"/>
      <c r="U25" s="20"/>
      <c r="V25" s="20"/>
      <c r="W25" s="20"/>
      <c r="X25" s="20"/>
      <c r="Y25" s="20"/>
      <c r="Z25" s="20"/>
    </row>
    <row r="26">
      <c r="A26" s="54" t="s">
        <v>39</v>
      </c>
      <c r="B26" s="54" t="s">
        <v>225</v>
      </c>
      <c r="C26" s="54" t="s">
        <v>279</v>
      </c>
      <c r="D26" s="54" t="s">
        <v>269</v>
      </c>
      <c r="E26" s="54" t="s">
        <v>228</v>
      </c>
      <c r="F26" s="59" t="s">
        <v>280</v>
      </c>
      <c r="G26" s="60" t="s">
        <v>260</v>
      </c>
      <c r="H26" s="54" t="s">
        <v>281</v>
      </c>
      <c r="I26" s="54" t="s">
        <v>282</v>
      </c>
      <c r="J26" s="54" t="s">
        <v>81</v>
      </c>
      <c r="K26" s="54" t="s">
        <v>8</v>
      </c>
      <c r="L26" s="62" t="s">
        <v>283</v>
      </c>
      <c r="M26" s="63"/>
      <c r="N26" s="60" t="s">
        <v>234</v>
      </c>
      <c r="O26" s="20"/>
      <c r="P26" s="20"/>
      <c r="Q26" s="20"/>
      <c r="R26" s="20"/>
      <c r="S26" s="20"/>
      <c r="T26" s="20"/>
      <c r="U26" s="20"/>
      <c r="V26" s="20"/>
      <c r="W26" s="20"/>
      <c r="X26" s="20"/>
      <c r="Y26" s="20"/>
      <c r="Z26" s="20"/>
    </row>
    <row r="27">
      <c r="A27" s="20"/>
      <c r="B27" s="20"/>
      <c r="C27" s="20"/>
      <c r="D27" s="20"/>
      <c r="E27" s="20"/>
      <c r="F27" s="58"/>
      <c r="G27" s="20"/>
      <c r="H27" s="20"/>
      <c r="I27" s="20"/>
      <c r="J27" s="20"/>
      <c r="K27" s="20"/>
      <c r="L27" s="20"/>
      <c r="M27" s="20"/>
      <c r="N27" s="20"/>
      <c r="O27" s="20"/>
      <c r="P27" s="20"/>
      <c r="Q27" s="20"/>
      <c r="R27" s="20"/>
      <c r="S27" s="20"/>
      <c r="T27" s="20"/>
      <c r="U27" s="20"/>
      <c r="V27" s="20"/>
      <c r="W27" s="20"/>
      <c r="X27" s="20"/>
      <c r="Y27" s="20"/>
      <c r="Z27" s="20"/>
    </row>
    <row r="28">
      <c r="A28" s="54" t="s">
        <v>40</v>
      </c>
      <c r="B28" s="54" t="s">
        <v>225</v>
      </c>
      <c r="C28" s="54" t="s">
        <v>279</v>
      </c>
      <c r="D28" s="54" t="s">
        <v>284</v>
      </c>
      <c r="E28" s="54" t="s">
        <v>228</v>
      </c>
      <c r="F28" s="59" t="s">
        <v>285</v>
      </c>
      <c r="G28" s="60" t="s">
        <v>260</v>
      </c>
      <c r="H28" s="54" t="s">
        <v>286</v>
      </c>
      <c r="I28" s="54" t="s">
        <v>287</v>
      </c>
      <c r="J28" s="54" t="s">
        <v>81</v>
      </c>
      <c r="K28" s="54" t="s">
        <v>10</v>
      </c>
      <c r="L28" s="61" t="s">
        <v>288</v>
      </c>
      <c r="M28" s="63"/>
      <c r="N28" s="60" t="s">
        <v>234</v>
      </c>
      <c r="O28" s="20"/>
      <c r="P28" s="20"/>
      <c r="Q28" s="20"/>
      <c r="R28" s="20"/>
      <c r="S28" s="20"/>
      <c r="T28" s="20"/>
      <c r="U28" s="20"/>
      <c r="V28" s="20"/>
      <c r="W28" s="20"/>
      <c r="X28" s="20"/>
      <c r="Y28" s="20"/>
      <c r="Z28" s="20"/>
    </row>
    <row r="29">
      <c r="A29" s="20"/>
      <c r="B29" s="20"/>
      <c r="C29" s="20"/>
      <c r="D29" s="20"/>
      <c r="E29" s="20"/>
      <c r="F29" s="58"/>
      <c r="G29" s="20"/>
      <c r="H29" s="20"/>
      <c r="I29" s="20"/>
      <c r="J29" s="20"/>
      <c r="K29" s="20"/>
      <c r="L29" s="20"/>
      <c r="M29" s="20"/>
      <c r="N29" s="20"/>
      <c r="O29" s="20"/>
      <c r="P29" s="20"/>
      <c r="Q29" s="20"/>
      <c r="R29" s="20"/>
      <c r="S29" s="20"/>
      <c r="T29" s="20"/>
      <c r="U29" s="20"/>
      <c r="V29" s="20"/>
      <c r="W29" s="20"/>
      <c r="X29" s="20"/>
      <c r="Y29" s="20"/>
      <c r="Z29" s="20"/>
    </row>
    <row r="30">
      <c r="A30" s="54" t="s">
        <v>41</v>
      </c>
      <c r="B30" s="54" t="s">
        <v>225</v>
      </c>
      <c r="C30" s="54" t="s">
        <v>289</v>
      </c>
      <c r="D30" s="54" t="s">
        <v>290</v>
      </c>
      <c r="E30" s="54" t="s">
        <v>228</v>
      </c>
      <c r="F30" s="59" t="s">
        <v>291</v>
      </c>
      <c r="G30" s="60" t="s">
        <v>260</v>
      </c>
      <c r="H30" s="54" t="s">
        <v>292</v>
      </c>
      <c r="I30" s="54" t="s">
        <v>293</v>
      </c>
      <c r="J30" s="54" t="s">
        <v>81</v>
      </c>
      <c r="K30" s="54" t="s">
        <v>10</v>
      </c>
      <c r="L30" s="61" t="s">
        <v>294</v>
      </c>
      <c r="M30" s="63"/>
      <c r="N30" s="60" t="s">
        <v>234</v>
      </c>
      <c r="O30" s="20"/>
      <c r="P30" s="20"/>
      <c r="Q30" s="20"/>
      <c r="R30" s="20"/>
      <c r="S30" s="20"/>
      <c r="T30" s="20"/>
      <c r="U30" s="20"/>
      <c r="V30" s="20"/>
      <c r="W30" s="20"/>
      <c r="X30" s="20"/>
      <c r="Y30" s="20"/>
      <c r="Z30" s="20"/>
    </row>
    <row r="31">
      <c r="A31" s="20"/>
      <c r="B31" s="20"/>
      <c r="C31" s="20"/>
      <c r="D31" s="20"/>
      <c r="E31" s="20"/>
      <c r="F31" s="58"/>
      <c r="G31" s="20"/>
      <c r="H31" s="20"/>
      <c r="I31" s="20"/>
      <c r="J31" s="20"/>
      <c r="K31" s="20"/>
      <c r="L31" s="20"/>
      <c r="M31" s="20"/>
      <c r="N31" s="20"/>
      <c r="O31" s="20"/>
      <c r="P31" s="20"/>
      <c r="Q31" s="20"/>
      <c r="R31" s="20"/>
      <c r="S31" s="20"/>
      <c r="T31" s="20"/>
      <c r="U31" s="20"/>
      <c r="V31" s="20"/>
      <c r="W31" s="20"/>
      <c r="X31" s="20"/>
      <c r="Y31" s="20"/>
      <c r="Z31" s="20"/>
    </row>
    <row r="32">
      <c r="A32" s="54" t="s">
        <v>42</v>
      </c>
      <c r="B32" s="54" t="s">
        <v>73</v>
      </c>
      <c r="C32" s="54" t="s">
        <v>73</v>
      </c>
      <c r="D32" s="54" t="s">
        <v>295</v>
      </c>
      <c r="E32" s="54" t="s">
        <v>228</v>
      </c>
      <c r="F32" s="59" t="s">
        <v>296</v>
      </c>
      <c r="G32" s="60" t="s">
        <v>260</v>
      </c>
      <c r="H32" s="54" t="s">
        <v>297</v>
      </c>
      <c r="I32" s="54" t="s">
        <v>298</v>
      </c>
      <c r="J32" s="54" t="s">
        <v>81</v>
      </c>
      <c r="K32" s="54" t="s">
        <v>8</v>
      </c>
      <c r="L32" s="61" t="s">
        <v>299</v>
      </c>
      <c r="M32" s="63"/>
      <c r="N32" s="60" t="s">
        <v>234</v>
      </c>
      <c r="O32" s="20"/>
      <c r="P32" s="20"/>
      <c r="Q32" s="20"/>
      <c r="R32" s="20"/>
      <c r="S32" s="20"/>
      <c r="T32" s="20"/>
      <c r="U32" s="20"/>
      <c r="V32" s="20"/>
      <c r="W32" s="20"/>
      <c r="X32" s="20"/>
      <c r="Y32" s="20"/>
      <c r="Z32" s="20"/>
    </row>
    <row r="33">
      <c r="A33" s="20"/>
      <c r="B33" s="20"/>
      <c r="C33" s="20"/>
      <c r="D33" s="20"/>
      <c r="E33" s="20"/>
      <c r="F33" s="58"/>
      <c r="G33" s="20"/>
      <c r="H33" s="20"/>
      <c r="I33" s="20"/>
      <c r="J33" s="20"/>
      <c r="K33" s="20"/>
      <c r="L33" s="20"/>
      <c r="M33" s="20"/>
      <c r="N33" s="20"/>
      <c r="O33" s="20"/>
      <c r="P33" s="20"/>
      <c r="Q33" s="20"/>
      <c r="R33" s="20"/>
      <c r="S33" s="20"/>
      <c r="T33" s="20"/>
      <c r="U33" s="20"/>
      <c r="V33" s="20"/>
      <c r="W33" s="20"/>
      <c r="X33" s="20"/>
      <c r="Y33" s="20"/>
      <c r="Z33" s="20"/>
    </row>
    <row r="34">
      <c r="A34" s="54" t="s">
        <v>43</v>
      </c>
      <c r="B34" s="54" t="s">
        <v>73</v>
      </c>
      <c r="C34" s="54" t="s">
        <v>300</v>
      </c>
      <c r="D34" s="54" t="s">
        <v>301</v>
      </c>
      <c r="E34" s="54" t="s">
        <v>302</v>
      </c>
      <c r="F34" s="59" t="s">
        <v>303</v>
      </c>
      <c r="G34" s="60" t="s">
        <v>230</v>
      </c>
      <c r="H34" s="54" t="s">
        <v>304</v>
      </c>
      <c r="I34" s="54" t="s">
        <v>305</v>
      </c>
      <c r="J34" s="54" t="s">
        <v>81</v>
      </c>
      <c r="K34" s="54" t="s">
        <v>6</v>
      </c>
      <c r="L34" s="61" t="s">
        <v>306</v>
      </c>
      <c r="M34" s="63"/>
      <c r="N34" s="60" t="s">
        <v>234</v>
      </c>
      <c r="O34" s="20"/>
      <c r="P34" s="20"/>
      <c r="Q34" s="20"/>
      <c r="R34" s="20"/>
      <c r="S34" s="20"/>
      <c r="T34" s="20"/>
      <c r="U34" s="20"/>
      <c r="V34" s="20"/>
      <c r="W34" s="20"/>
      <c r="X34" s="20"/>
      <c r="Y34" s="20"/>
      <c r="Z34" s="20"/>
    </row>
    <row r="35">
      <c r="A35" s="20"/>
      <c r="B35" s="20"/>
      <c r="C35" s="20"/>
      <c r="D35" s="20"/>
      <c r="E35" s="20"/>
      <c r="F35" s="58"/>
      <c r="G35" s="20"/>
      <c r="H35" s="20"/>
      <c r="I35" s="20"/>
      <c r="J35" s="20"/>
      <c r="K35" s="20"/>
      <c r="L35" s="20"/>
      <c r="M35" s="20"/>
      <c r="N35" s="20"/>
      <c r="O35" s="20"/>
      <c r="P35" s="20"/>
      <c r="Q35" s="20"/>
      <c r="R35" s="20"/>
      <c r="S35" s="20"/>
      <c r="T35" s="20"/>
      <c r="U35" s="20"/>
      <c r="V35" s="20"/>
      <c r="W35" s="20"/>
      <c r="X35" s="20"/>
      <c r="Y35" s="20"/>
      <c r="Z35" s="20"/>
    </row>
    <row r="36">
      <c r="A36" s="54" t="s">
        <v>44</v>
      </c>
      <c r="B36" s="54" t="s">
        <v>192</v>
      </c>
      <c r="C36" s="54" t="s">
        <v>307</v>
      </c>
      <c r="D36" s="54" t="s">
        <v>308</v>
      </c>
      <c r="E36" s="54" t="s">
        <v>228</v>
      </c>
      <c r="F36" s="65" t="s">
        <v>309</v>
      </c>
      <c r="G36" s="60" t="s">
        <v>230</v>
      </c>
      <c r="H36" s="54" t="s">
        <v>310</v>
      </c>
      <c r="I36" s="54" t="s">
        <v>311</v>
      </c>
      <c r="J36" s="54" t="s">
        <v>81</v>
      </c>
      <c r="K36" s="54" t="s">
        <v>6</v>
      </c>
      <c r="L36" s="61" t="s">
        <v>312</v>
      </c>
      <c r="M36" s="63"/>
      <c r="N36" s="60" t="s">
        <v>234</v>
      </c>
      <c r="O36" s="20"/>
      <c r="P36" s="20"/>
      <c r="Q36" s="20"/>
      <c r="R36" s="20"/>
      <c r="S36" s="20"/>
      <c r="T36" s="20"/>
      <c r="U36" s="20"/>
      <c r="V36" s="20"/>
      <c r="W36" s="20"/>
      <c r="X36" s="20"/>
      <c r="Y36" s="20"/>
      <c r="Z36" s="20"/>
    </row>
    <row r="37">
      <c r="A37" s="20"/>
      <c r="B37" s="20"/>
      <c r="C37" s="20"/>
      <c r="D37" s="20"/>
      <c r="E37" s="20"/>
      <c r="F37" s="58"/>
      <c r="G37" s="20"/>
      <c r="H37" s="20"/>
      <c r="I37" s="20"/>
      <c r="J37" s="20"/>
      <c r="K37" s="20"/>
      <c r="L37" s="20"/>
      <c r="M37" s="20"/>
      <c r="N37" s="20"/>
      <c r="O37" s="20"/>
      <c r="P37" s="20"/>
      <c r="Q37" s="20"/>
      <c r="R37" s="20"/>
      <c r="S37" s="20"/>
      <c r="T37" s="20"/>
      <c r="U37" s="20"/>
      <c r="V37" s="20"/>
      <c r="W37" s="20"/>
      <c r="X37" s="20"/>
      <c r="Y37" s="20"/>
      <c r="Z37" s="20"/>
    </row>
    <row r="38">
      <c r="A38" s="54" t="s">
        <v>45</v>
      </c>
      <c r="B38" s="54" t="s">
        <v>192</v>
      </c>
      <c r="C38" s="54" t="s">
        <v>307</v>
      </c>
      <c r="D38" s="54" t="s">
        <v>313</v>
      </c>
      <c r="E38" s="54" t="s">
        <v>228</v>
      </c>
      <c r="F38" s="65" t="s">
        <v>314</v>
      </c>
      <c r="G38" s="60" t="s">
        <v>230</v>
      </c>
      <c r="H38" s="54" t="s">
        <v>315</v>
      </c>
      <c r="I38" s="54" t="s">
        <v>316</v>
      </c>
      <c r="J38" s="54" t="s">
        <v>81</v>
      </c>
      <c r="K38" s="54" t="s">
        <v>6</v>
      </c>
      <c r="L38" s="61" t="s">
        <v>317</v>
      </c>
      <c r="M38" s="63"/>
      <c r="N38" s="60" t="s">
        <v>234</v>
      </c>
      <c r="O38" s="20"/>
      <c r="P38" s="20"/>
      <c r="Q38" s="20"/>
      <c r="R38" s="20"/>
      <c r="S38" s="20"/>
      <c r="T38" s="20"/>
      <c r="U38" s="20"/>
      <c r="V38" s="20"/>
      <c r="W38" s="20"/>
      <c r="X38" s="20"/>
      <c r="Y38" s="20"/>
      <c r="Z38" s="20"/>
    </row>
    <row r="39">
      <c r="A39" s="20"/>
      <c r="B39" s="20"/>
      <c r="C39" s="20"/>
      <c r="D39" s="20"/>
      <c r="E39" s="20"/>
      <c r="F39" s="58"/>
      <c r="G39" s="20"/>
      <c r="H39" s="20"/>
      <c r="I39" s="20"/>
      <c r="J39" s="20"/>
      <c r="K39" s="20"/>
      <c r="L39" s="20"/>
      <c r="M39" s="20"/>
      <c r="N39" s="20"/>
      <c r="O39" s="20"/>
      <c r="P39" s="20"/>
      <c r="Q39" s="20"/>
      <c r="R39" s="20"/>
      <c r="S39" s="20"/>
      <c r="T39" s="20"/>
      <c r="U39" s="20"/>
      <c r="V39" s="20"/>
      <c r="W39" s="20"/>
      <c r="X39" s="20"/>
      <c r="Y39" s="20"/>
      <c r="Z39" s="20"/>
    </row>
    <row r="40">
      <c r="A40" s="54" t="s">
        <v>46</v>
      </c>
      <c r="B40" s="54" t="s">
        <v>192</v>
      </c>
      <c r="C40" s="54" t="s">
        <v>307</v>
      </c>
      <c r="D40" s="54" t="s">
        <v>318</v>
      </c>
      <c r="E40" s="54" t="s">
        <v>228</v>
      </c>
      <c r="F40" s="65" t="s">
        <v>319</v>
      </c>
      <c r="G40" s="60" t="s">
        <v>230</v>
      </c>
      <c r="H40" s="54" t="s">
        <v>320</v>
      </c>
      <c r="I40" s="54" t="s">
        <v>321</v>
      </c>
      <c r="J40" s="54" t="s">
        <v>81</v>
      </c>
      <c r="K40" s="54" t="s">
        <v>6</v>
      </c>
      <c r="L40" s="61" t="s">
        <v>322</v>
      </c>
      <c r="M40" s="63"/>
      <c r="N40" s="60" t="s">
        <v>234</v>
      </c>
      <c r="O40" s="20"/>
      <c r="P40" s="20"/>
      <c r="Q40" s="20"/>
      <c r="R40" s="20"/>
      <c r="S40" s="20"/>
      <c r="T40" s="20"/>
      <c r="U40" s="20"/>
      <c r="V40" s="20"/>
      <c r="W40" s="20"/>
      <c r="X40" s="20"/>
      <c r="Y40" s="20"/>
      <c r="Z40" s="20"/>
    </row>
    <row r="41">
      <c r="A41" s="20"/>
      <c r="B41" s="20"/>
      <c r="C41" s="20"/>
      <c r="D41" s="20"/>
      <c r="E41" s="20"/>
      <c r="F41" s="58"/>
      <c r="G41" s="20"/>
      <c r="H41" s="20"/>
      <c r="I41" s="20"/>
      <c r="J41" s="20"/>
      <c r="K41" s="20"/>
      <c r="L41" s="20"/>
      <c r="M41" s="20"/>
      <c r="N41" s="20"/>
      <c r="O41" s="20"/>
      <c r="P41" s="20"/>
      <c r="Q41" s="20"/>
      <c r="R41" s="20"/>
      <c r="S41" s="20"/>
      <c r="T41" s="20"/>
      <c r="U41" s="20"/>
      <c r="V41" s="20"/>
      <c r="W41" s="20"/>
      <c r="X41" s="20"/>
      <c r="Y41" s="20"/>
      <c r="Z41" s="20"/>
    </row>
    <row r="42">
      <c r="A42" s="54" t="s">
        <v>47</v>
      </c>
      <c r="B42" s="54" t="s">
        <v>192</v>
      </c>
      <c r="C42" s="54" t="s">
        <v>307</v>
      </c>
      <c r="D42" s="54" t="s">
        <v>323</v>
      </c>
      <c r="E42" s="54" t="s">
        <v>228</v>
      </c>
      <c r="F42" s="65" t="s">
        <v>324</v>
      </c>
      <c r="G42" s="60" t="s">
        <v>230</v>
      </c>
      <c r="H42" s="54" t="s">
        <v>325</v>
      </c>
      <c r="I42" s="54" t="s">
        <v>326</v>
      </c>
      <c r="J42" s="54" t="s">
        <v>81</v>
      </c>
      <c r="K42" s="54" t="s">
        <v>8</v>
      </c>
      <c r="L42" s="61" t="s">
        <v>327</v>
      </c>
      <c r="M42" s="63"/>
      <c r="N42" s="60" t="s">
        <v>234</v>
      </c>
      <c r="O42" s="20"/>
      <c r="P42" s="20"/>
      <c r="Q42" s="20"/>
      <c r="R42" s="20"/>
      <c r="S42" s="20"/>
      <c r="T42" s="20"/>
      <c r="U42" s="20"/>
      <c r="V42" s="20"/>
      <c r="W42" s="20"/>
      <c r="X42" s="20"/>
      <c r="Y42" s="20"/>
      <c r="Z42" s="20"/>
    </row>
    <row r="43">
      <c r="A43" s="20"/>
      <c r="B43" s="20"/>
      <c r="C43" s="20"/>
      <c r="D43" s="20"/>
      <c r="E43" s="20"/>
      <c r="F43" s="58"/>
      <c r="G43" s="20"/>
      <c r="H43" s="20"/>
      <c r="I43" s="20"/>
      <c r="J43" s="20"/>
      <c r="K43" s="20"/>
      <c r="L43" s="20"/>
      <c r="M43" s="20"/>
      <c r="N43" s="20"/>
      <c r="O43" s="20"/>
      <c r="P43" s="20"/>
      <c r="Q43" s="20"/>
      <c r="R43" s="20"/>
      <c r="S43" s="20"/>
      <c r="T43" s="20"/>
      <c r="U43" s="20"/>
      <c r="V43" s="20"/>
      <c r="W43" s="20"/>
      <c r="X43" s="20"/>
      <c r="Y43" s="20"/>
      <c r="Z43" s="20"/>
    </row>
    <row r="44">
      <c r="A44" s="54" t="s">
        <v>48</v>
      </c>
      <c r="B44" s="54" t="s">
        <v>192</v>
      </c>
      <c r="C44" s="54" t="s">
        <v>307</v>
      </c>
      <c r="D44" s="54" t="s">
        <v>328</v>
      </c>
      <c r="E44" s="54" t="s">
        <v>228</v>
      </c>
      <c r="F44" s="65" t="s">
        <v>329</v>
      </c>
      <c r="G44" s="60" t="s">
        <v>230</v>
      </c>
      <c r="H44" s="54" t="s">
        <v>330</v>
      </c>
      <c r="I44" s="54" t="s">
        <v>331</v>
      </c>
      <c r="J44" s="54" t="s">
        <v>81</v>
      </c>
      <c r="K44" s="54" t="s">
        <v>6</v>
      </c>
      <c r="L44" s="61" t="s">
        <v>332</v>
      </c>
      <c r="M44" s="63"/>
      <c r="N44" s="60" t="s">
        <v>234</v>
      </c>
      <c r="O44" s="20"/>
      <c r="P44" s="20"/>
      <c r="Q44" s="20"/>
      <c r="R44" s="20"/>
      <c r="S44" s="20"/>
      <c r="T44" s="20"/>
      <c r="U44" s="20"/>
      <c r="V44" s="20"/>
      <c r="W44" s="20"/>
      <c r="X44" s="20"/>
      <c r="Y44" s="20"/>
      <c r="Z44" s="20"/>
    </row>
    <row r="45">
      <c r="A45" s="20"/>
      <c r="B45" s="20"/>
      <c r="C45" s="20"/>
      <c r="D45" s="20"/>
      <c r="E45" s="20"/>
      <c r="F45" s="58"/>
      <c r="G45" s="20"/>
      <c r="H45" s="20"/>
      <c r="I45" s="20"/>
      <c r="J45" s="20"/>
      <c r="K45" s="20"/>
      <c r="L45" s="20"/>
      <c r="M45" s="20"/>
      <c r="N45" s="20"/>
      <c r="O45" s="20"/>
      <c r="P45" s="20"/>
      <c r="Q45" s="20"/>
      <c r="R45" s="20"/>
      <c r="S45" s="20"/>
      <c r="T45" s="20"/>
      <c r="U45" s="20"/>
      <c r="V45" s="20"/>
      <c r="W45" s="20"/>
      <c r="X45" s="20"/>
      <c r="Y45" s="20"/>
      <c r="Z45" s="20"/>
    </row>
    <row r="46">
      <c r="A46" s="54" t="s">
        <v>49</v>
      </c>
      <c r="B46" s="54" t="s">
        <v>192</v>
      </c>
      <c r="C46" s="54" t="s">
        <v>307</v>
      </c>
      <c r="D46" s="54" t="s">
        <v>333</v>
      </c>
      <c r="E46" s="54" t="s">
        <v>228</v>
      </c>
      <c r="F46" s="65" t="s">
        <v>334</v>
      </c>
      <c r="G46" s="60" t="s">
        <v>230</v>
      </c>
      <c r="H46" s="54" t="s">
        <v>335</v>
      </c>
      <c r="I46" s="54" t="s">
        <v>336</v>
      </c>
      <c r="J46" s="54" t="s">
        <v>81</v>
      </c>
      <c r="K46" s="54" t="s">
        <v>8</v>
      </c>
      <c r="L46" s="61" t="s">
        <v>337</v>
      </c>
      <c r="M46" s="63"/>
      <c r="N46" s="60" t="s">
        <v>234</v>
      </c>
      <c r="O46" s="20"/>
      <c r="P46" s="20"/>
      <c r="Q46" s="20"/>
      <c r="R46" s="20"/>
      <c r="S46" s="20"/>
      <c r="T46" s="20"/>
      <c r="U46" s="20"/>
      <c r="V46" s="20"/>
      <c r="W46" s="20"/>
      <c r="X46" s="20"/>
      <c r="Y46" s="20"/>
      <c r="Z46" s="20"/>
    </row>
    <row r="47">
      <c r="A47" s="20"/>
      <c r="B47" s="20"/>
      <c r="C47" s="20"/>
      <c r="D47" s="20"/>
      <c r="E47" s="20"/>
      <c r="F47" s="58"/>
      <c r="G47" s="20"/>
      <c r="H47" s="20"/>
      <c r="I47" s="20"/>
      <c r="J47" s="20"/>
      <c r="K47" s="20"/>
      <c r="L47" s="20"/>
      <c r="M47" s="20"/>
      <c r="N47" s="20"/>
      <c r="O47" s="20"/>
      <c r="P47" s="20"/>
      <c r="Q47" s="20"/>
      <c r="R47" s="20"/>
      <c r="S47" s="20"/>
      <c r="T47" s="20"/>
      <c r="U47" s="20"/>
      <c r="V47" s="20"/>
      <c r="W47" s="20"/>
      <c r="X47" s="20"/>
      <c r="Y47" s="20"/>
      <c r="Z47" s="20"/>
    </row>
    <row r="48">
      <c r="A48" s="54" t="s">
        <v>50</v>
      </c>
      <c r="B48" s="54" t="s">
        <v>192</v>
      </c>
      <c r="C48" s="54" t="s">
        <v>307</v>
      </c>
      <c r="D48" s="54" t="s">
        <v>338</v>
      </c>
      <c r="E48" s="54" t="s">
        <v>228</v>
      </c>
      <c r="F48" s="65" t="s">
        <v>339</v>
      </c>
      <c r="G48" s="60" t="s">
        <v>230</v>
      </c>
      <c r="H48" s="54" t="s">
        <v>340</v>
      </c>
      <c r="I48" s="54" t="s">
        <v>341</v>
      </c>
      <c r="J48" s="54" t="s">
        <v>81</v>
      </c>
      <c r="K48" s="54" t="s">
        <v>10</v>
      </c>
      <c r="L48" s="61" t="s">
        <v>342</v>
      </c>
      <c r="M48" s="60" t="s">
        <v>343</v>
      </c>
      <c r="N48" s="60" t="s">
        <v>234</v>
      </c>
      <c r="O48" s="20"/>
      <c r="P48" s="20"/>
      <c r="Q48" s="20"/>
      <c r="R48" s="20"/>
      <c r="S48" s="20"/>
      <c r="T48" s="20"/>
      <c r="U48" s="20"/>
      <c r="V48" s="20"/>
      <c r="W48" s="20"/>
      <c r="X48" s="20"/>
      <c r="Y48" s="20"/>
      <c r="Z48" s="20"/>
    </row>
    <row r="49">
      <c r="A49" s="20"/>
      <c r="B49" s="20"/>
      <c r="C49" s="20"/>
      <c r="D49" s="20"/>
      <c r="E49" s="20"/>
      <c r="F49" s="58"/>
      <c r="G49" s="20"/>
      <c r="H49" s="20"/>
      <c r="I49" s="20"/>
      <c r="J49" s="20"/>
      <c r="K49" s="20"/>
      <c r="L49" s="20"/>
      <c r="M49" s="20"/>
      <c r="N49" s="20"/>
      <c r="O49" s="20"/>
      <c r="P49" s="20"/>
      <c r="Q49" s="20"/>
      <c r="R49" s="20"/>
      <c r="S49" s="20"/>
      <c r="T49" s="20"/>
      <c r="U49" s="20"/>
      <c r="V49" s="20"/>
      <c r="W49" s="20"/>
      <c r="X49" s="20"/>
      <c r="Y49" s="20"/>
      <c r="Z49" s="20"/>
    </row>
    <row r="50">
      <c r="A50" s="54" t="s">
        <v>51</v>
      </c>
      <c r="B50" s="54" t="s">
        <v>192</v>
      </c>
      <c r="C50" s="54" t="s">
        <v>307</v>
      </c>
      <c r="D50" s="54" t="s">
        <v>344</v>
      </c>
      <c r="E50" s="54" t="s">
        <v>228</v>
      </c>
      <c r="F50" s="65" t="s">
        <v>345</v>
      </c>
      <c r="G50" s="60" t="s">
        <v>230</v>
      </c>
      <c r="H50" s="54" t="s">
        <v>346</v>
      </c>
      <c r="I50" s="54" t="s">
        <v>347</v>
      </c>
      <c r="J50" s="54" t="s">
        <v>81</v>
      </c>
      <c r="K50" s="54" t="s">
        <v>6</v>
      </c>
      <c r="L50" s="61" t="s">
        <v>348</v>
      </c>
      <c r="M50" s="63"/>
      <c r="N50" s="63"/>
      <c r="O50" s="20"/>
      <c r="P50" s="20"/>
      <c r="Q50" s="20"/>
      <c r="R50" s="20"/>
      <c r="S50" s="20"/>
      <c r="T50" s="20"/>
      <c r="U50" s="20"/>
      <c r="V50" s="20"/>
      <c r="W50" s="20"/>
      <c r="X50" s="20"/>
      <c r="Y50" s="20"/>
      <c r="Z50" s="20"/>
    </row>
    <row r="51">
      <c r="A51" s="20"/>
      <c r="B51" s="20"/>
      <c r="C51" s="20"/>
      <c r="D51" s="20"/>
      <c r="E51" s="20"/>
      <c r="F51" s="58"/>
      <c r="G51" s="20"/>
      <c r="H51" s="20"/>
      <c r="I51" s="20"/>
      <c r="J51" s="20"/>
      <c r="K51" s="20"/>
      <c r="L51" s="20"/>
      <c r="M51" s="20"/>
      <c r="N51" s="20"/>
      <c r="O51" s="20"/>
      <c r="P51" s="20"/>
      <c r="Q51" s="20"/>
      <c r="R51" s="20"/>
      <c r="S51" s="20"/>
      <c r="T51" s="20"/>
      <c r="U51" s="20"/>
      <c r="V51" s="20"/>
      <c r="W51" s="20"/>
      <c r="X51" s="20"/>
      <c r="Y51" s="20"/>
      <c r="Z51" s="20"/>
    </row>
    <row r="52">
      <c r="A52" s="54" t="s">
        <v>52</v>
      </c>
      <c r="B52" s="66"/>
      <c r="C52" s="66"/>
      <c r="D52" s="66"/>
      <c r="E52" s="66"/>
      <c r="F52" s="67"/>
      <c r="G52" s="63"/>
      <c r="H52" s="66"/>
      <c r="I52" s="66"/>
      <c r="J52" s="66"/>
      <c r="K52" s="66"/>
      <c r="L52" s="68"/>
      <c r="M52" s="63"/>
      <c r="N52" s="63"/>
      <c r="O52" s="20"/>
      <c r="P52" s="20"/>
      <c r="Q52" s="20"/>
      <c r="R52" s="20"/>
      <c r="S52" s="20"/>
      <c r="T52" s="20"/>
      <c r="U52" s="20"/>
      <c r="V52" s="20"/>
      <c r="W52" s="20"/>
      <c r="X52" s="20"/>
      <c r="Y52" s="20"/>
      <c r="Z52" s="20"/>
    </row>
    <row r="53">
      <c r="A53" s="20"/>
      <c r="B53" s="20"/>
      <c r="C53" s="20"/>
      <c r="D53" s="20"/>
      <c r="E53" s="20"/>
      <c r="F53" s="58"/>
      <c r="G53" s="20"/>
      <c r="H53" s="20"/>
      <c r="I53" s="20"/>
      <c r="J53" s="20"/>
      <c r="K53" s="20"/>
      <c r="L53" s="20"/>
      <c r="M53" s="20"/>
      <c r="N53" s="20"/>
      <c r="O53" s="20"/>
      <c r="P53" s="20"/>
      <c r="Q53" s="20"/>
      <c r="R53" s="20"/>
      <c r="S53" s="20"/>
      <c r="T53" s="20"/>
      <c r="U53" s="20"/>
      <c r="V53" s="20"/>
      <c r="W53" s="20"/>
      <c r="X53" s="20"/>
      <c r="Y53" s="20"/>
      <c r="Z53" s="20"/>
    </row>
    <row r="54">
      <c r="A54" s="54" t="s">
        <v>53</v>
      </c>
      <c r="B54" s="66"/>
      <c r="C54" s="66"/>
      <c r="D54" s="66"/>
      <c r="E54" s="66"/>
      <c r="F54" s="67"/>
      <c r="G54" s="63"/>
      <c r="H54" s="66"/>
      <c r="I54" s="66"/>
      <c r="J54" s="66"/>
      <c r="K54" s="66"/>
      <c r="L54" s="68"/>
      <c r="M54" s="63"/>
      <c r="N54" s="63"/>
      <c r="O54" s="20"/>
      <c r="P54" s="20"/>
      <c r="Q54" s="20"/>
      <c r="R54" s="20"/>
      <c r="S54" s="20"/>
      <c r="T54" s="20"/>
      <c r="U54" s="20"/>
      <c r="V54" s="20"/>
      <c r="W54" s="20"/>
      <c r="X54" s="20"/>
      <c r="Y54" s="20"/>
      <c r="Z54" s="20"/>
    </row>
    <row r="55">
      <c r="A55" s="20"/>
      <c r="B55" s="20"/>
      <c r="C55" s="20"/>
      <c r="D55" s="20"/>
      <c r="E55" s="20"/>
      <c r="F55" s="58"/>
      <c r="G55" s="20"/>
      <c r="H55" s="20"/>
      <c r="I55" s="20"/>
      <c r="J55" s="20"/>
      <c r="K55" s="20"/>
      <c r="L55" s="20"/>
      <c r="M55" s="20"/>
      <c r="N55" s="20"/>
      <c r="O55" s="20"/>
      <c r="P55" s="20"/>
      <c r="Q55" s="20"/>
      <c r="R55" s="20"/>
      <c r="S55" s="20"/>
      <c r="T55" s="20"/>
      <c r="U55" s="20"/>
      <c r="V55" s="20"/>
      <c r="W55" s="20"/>
      <c r="X55" s="20"/>
      <c r="Y55" s="20"/>
      <c r="Z55" s="20"/>
    </row>
    <row r="56">
      <c r="A56" s="54" t="s">
        <v>54</v>
      </c>
      <c r="B56" s="66"/>
      <c r="C56" s="66"/>
      <c r="D56" s="66"/>
      <c r="E56" s="66"/>
      <c r="F56" s="67"/>
      <c r="G56" s="63"/>
      <c r="H56" s="66"/>
      <c r="I56" s="66"/>
      <c r="J56" s="66"/>
      <c r="K56" s="66"/>
      <c r="L56" s="68"/>
      <c r="M56" s="63"/>
      <c r="N56" s="63"/>
      <c r="O56" s="20"/>
      <c r="P56" s="20"/>
      <c r="Q56" s="20"/>
      <c r="R56" s="20"/>
      <c r="S56" s="20"/>
      <c r="T56" s="20"/>
      <c r="U56" s="20"/>
      <c r="V56" s="20"/>
      <c r="W56" s="20"/>
      <c r="X56" s="20"/>
      <c r="Y56" s="20"/>
      <c r="Z56" s="20"/>
    </row>
    <row r="57">
      <c r="A57" s="20"/>
      <c r="B57" s="20"/>
      <c r="C57" s="20"/>
      <c r="D57" s="20"/>
      <c r="E57" s="20"/>
      <c r="F57" s="58"/>
      <c r="G57" s="20"/>
      <c r="H57" s="20"/>
      <c r="I57" s="20"/>
      <c r="J57" s="20"/>
      <c r="K57" s="20"/>
      <c r="L57" s="20"/>
      <c r="M57" s="20"/>
      <c r="N57" s="20"/>
      <c r="O57" s="20"/>
      <c r="P57" s="20"/>
      <c r="Q57" s="20"/>
      <c r="R57" s="20"/>
      <c r="S57" s="20"/>
      <c r="T57" s="20"/>
      <c r="U57" s="20"/>
      <c r="V57" s="20"/>
      <c r="W57" s="20"/>
      <c r="X57" s="20"/>
      <c r="Y57" s="20"/>
      <c r="Z57" s="20"/>
    </row>
    <row r="58">
      <c r="A58" s="54" t="s">
        <v>55</v>
      </c>
      <c r="B58" s="66"/>
      <c r="C58" s="66"/>
      <c r="D58" s="66"/>
      <c r="E58" s="66"/>
      <c r="F58" s="67"/>
      <c r="G58" s="63"/>
      <c r="H58" s="66"/>
      <c r="I58" s="66"/>
      <c r="J58" s="66"/>
      <c r="K58" s="66"/>
      <c r="L58" s="68"/>
      <c r="M58" s="63"/>
      <c r="N58" s="63"/>
      <c r="O58" s="20"/>
      <c r="P58" s="20"/>
      <c r="Q58" s="20"/>
      <c r="R58" s="20"/>
      <c r="S58" s="20"/>
      <c r="T58" s="20"/>
      <c r="U58" s="20"/>
      <c r="V58" s="20"/>
      <c r="W58" s="20"/>
      <c r="X58" s="20"/>
      <c r="Y58" s="20"/>
      <c r="Z58" s="20"/>
    </row>
    <row r="59">
      <c r="A59" s="20"/>
      <c r="B59" s="20"/>
      <c r="C59" s="20"/>
      <c r="D59" s="20"/>
      <c r="E59" s="20"/>
      <c r="F59" s="58"/>
      <c r="G59" s="20"/>
      <c r="H59" s="20"/>
      <c r="I59" s="20"/>
      <c r="J59" s="20"/>
      <c r="K59" s="20"/>
      <c r="L59" s="20"/>
      <c r="M59" s="20"/>
      <c r="N59" s="20"/>
      <c r="O59" s="20"/>
      <c r="P59" s="20"/>
      <c r="Q59" s="20"/>
      <c r="R59" s="20"/>
      <c r="S59" s="20"/>
      <c r="T59" s="20"/>
      <c r="U59" s="20"/>
      <c r="V59" s="20"/>
      <c r="W59" s="20"/>
      <c r="X59" s="20"/>
      <c r="Y59" s="20"/>
      <c r="Z59" s="20"/>
    </row>
    <row r="60">
      <c r="A60" s="54" t="s">
        <v>56</v>
      </c>
      <c r="B60" s="66"/>
      <c r="C60" s="66"/>
      <c r="D60" s="66"/>
      <c r="E60" s="66"/>
      <c r="F60" s="67"/>
      <c r="G60" s="63"/>
      <c r="H60" s="66"/>
      <c r="I60" s="66"/>
      <c r="J60" s="66"/>
      <c r="K60" s="66"/>
      <c r="L60" s="68"/>
      <c r="M60" s="63"/>
      <c r="N60" s="63"/>
      <c r="O60" s="20"/>
      <c r="P60" s="20"/>
      <c r="Q60" s="20"/>
      <c r="R60" s="20"/>
      <c r="S60" s="20"/>
      <c r="T60" s="20"/>
      <c r="U60" s="20"/>
      <c r="V60" s="20"/>
      <c r="W60" s="20"/>
      <c r="X60" s="20"/>
      <c r="Y60" s="20"/>
      <c r="Z60" s="20"/>
    </row>
    <row r="61">
      <c r="A61" s="20"/>
      <c r="B61" s="20"/>
      <c r="C61" s="20"/>
      <c r="D61" s="20"/>
      <c r="E61" s="20"/>
      <c r="F61" s="58"/>
      <c r="G61" s="20"/>
      <c r="H61" s="20"/>
      <c r="I61" s="20"/>
      <c r="J61" s="20"/>
      <c r="K61" s="20"/>
      <c r="L61" s="20"/>
      <c r="M61" s="20"/>
      <c r="N61" s="20"/>
      <c r="O61" s="20"/>
      <c r="P61" s="20"/>
      <c r="Q61" s="20"/>
      <c r="R61" s="20"/>
      <c r="S61" s="20"/>
      <c r="T61" s="20"/>
      <c r="U61" s="20"/>
      <c r="V61" s="20"/>
      <c r="W61" s="20"/>
      <c r="X61" s="20"/>
      <c r="Y61" s="20"/>
      <c r="Z61" s="20"/>
    </row>
    <row r="62">
      <c r="A62" s="54" t="s">
        <v>57</v>
      </c>
      <c r="B62" s="66"/>
      <c r="C62" s="66"/>
      <c r="D62" s="66"/>
      <c r="E62" s="66"/>
      <c r="F62" s="67"/>
      <c r="G62" s="63"/>
      <c r="H62" s="66"/>
      <c r="I62" s="66"/>
      <c r="J62" s="66"/>
      <c r="K62" s="66"/>
      <c r="L62" s="68"/>
      <c r="M62" s="63"/>
      <c r="N62" s="63"/>
      <c r="O62" s="20"/>
      <c r="P62" s="20"/>
      <c r="Q62" s="20"/>
      <c r="R62" s="20"/>
      <c r="S62" s="20"/>
      <c r="T62" s="20"/>
      <c r="U62" s="20"/>
      <c r="V62" s="20"/>
      <c r="W62" s="20"/>
      <c r="X62" s="20"/>
      <c r="Y62" s="20"/>
      <c r="Z62" s="20"/>
    </row>
    <row r="63">
      <c r="A63" s="20"/>
      <c r="B63" s="20"/>
      <c r="C63" s="20"/>
      <c r="D63" s="20"/>
      <c r="E63" s="20"/>
      <c r="F63" s="58"/>
      <c r="G63" s="20"/>
      <c r="H63" s="20"/>
      <c r="I63" s="20"/>
      <c r="J63" s="20"/>
      <c r="K63" s="20"/>
      <c r="L63" s="20"/>
      <c r="M63" s="20"/>
      <c r="N63" s="20"/>
      <c r="O63" s="20"/>
      <c r="P63" s="20"/>
      <c r="Q63" s="20"/>
      <c r="R63" s="20"/>
      <c r="S63" s="20"/>
      <c r="T63" s="20"/>
      <c r="U63" s="20"/>
      <c r="V63" s="20"/>
      <c r="W63" s="20"/>
      <c r="X63" s="20"/>
      <c r="Y63" s="20"/>
      <c r="Z63" s="20"/>
    </row>
    <row r="64">
      <c r="A64" s="54" t="s">
        <v>58</v>
      </c>
      <c r="B64" s="66"/>
      <c r="C64" s="66"/>
      <c r="D64" s="66"/>
      <c r="E64" s="66"/>
      <c r="F64" s="67"/>
      <c r="G64" s="63"/>
      <c r="H64" s="66"/>
      <c r="I64" s="66"/>
      <c r="J64" s="66"/>
      <c r="K64" s="66"/>
      <c r="L64" s="68"/>
      <c r="M64" s="63"/>
      <c r="N64" s="63"/>
      <c r="O64" s="20"/>
      <c r="P64" s="20"/>
      <c r="Q64" s="20"/>
      <c r="R64" s="20"/>
      <c r="S64" s="20"/>
      <c r="T64" s="20"/>
      <c r="U64" s="20"/>
      <c r="V64" s="20"/>
      <c r="W64" s="20"/>
      <c r="X64" s="20"/>
      <c r="Y64" s="20"/>
      <c r="Z64" s="20"/>
    </row>
    <row r="65">
      <c r="A65" s="20"/>
      <c r="B65" s="20"/>
      <c r="C65" s="20"/>
      <c r="D65" s="20"/>
      <c r="E65" s="20"/>
      <c r="F65" s="58"/>
      <c r="G65" s="20"/>
      <c r="H65" s="20"/>
      <c r="I65" s="20"/>
      <c r="J65" s="20"/>
      <c r="K65" s="20"/>
      <c r="L65" s="20"/>
      <c r="M65" s="20"/>
      <c r="N65" s="20"/>
      <c r="O65" s="20"/>
      <c r="P65" s="20"/>
      <c r="Q65" s="20"/>
      <c r="R65" s="20"/>
      <c r="S65" s="20"/>
      <c r="T65" s="20"/>
      <c r="U65" s="20"/>
      <c r="V65" s="20"/>
      <c r="W65" s="20"/>
      <c r="X65" s="20"/>
      <c r="Y65" s="20"/>
      <c r="Z65" s="20"/>
    </row>
    <row r="66">
      <c r="A66" s="54"/>
      <c r="B66" s="66"/>
      <c r="C66" s="66"/>
      <c r="D66" s="66"/>
      <c r="E66" s="66"/>
      <c r="F66" s="67"/>
      <c r="G66" s="63"/>
      <c r="H66" s="66"/>
      <c r="I66" s="66"/>
      <c r="J66" s="66"/>
      <c r="K66" s="66"/>
      <c r="L66" s="68"/>
      <c r="M66" s="63"/>
      <c r="N66" s="63"/>
      <c r="O66" s="20"/>
      <c r="P66" s="20"/>
      <c r="Q66" s="20"/>
      <c r="R66" s="20"/>
      <c r="S66" s="20"/>
      <c r="T66" s="20"/>
      <c r="U66" s="20"/>
      <c r="V66" s="20"/>
      <c r="W66" s="20"/>
      <c r="X66" s="20"/>
      <c r="Y66" s="20"/>
      <c r="Z66" s="20"/>
    </row>
    <row r="67">
      <c r="A67" s="20"/>
      <c r="B67" s="20"/>
      <c r="C67" s="20"/>
      <c r="D67" s="20"/>
      <c r="E67" s="20"/>
      <c r="F67" s="58"/>
      <c r="G67" s="20"/>
      <c r="H67" s="20"/>
      <c r="I67" s="20"/>
      <c r="J67" s="20"/>
      <c r="K67" s="20"/>
      <c r="L67" s="20"/>
      <c r="M67" s="20"/>
      <c r="N67" s="20"/>
      <c r="O67" s="20"/>
      <c r="P67" s="20"/>
      <c r="Q67" s="20"/>
      <c r="R67" s="20"/>
      <c r="S67" s="20"/>
      <c r="T67" s="20"/>
      <c r="U67" s="20"/>
      <c r="V67" s="20"/>
      <c r="W67" s="20"/>
      <c r="X67" s="20"/>
      <c r="Y67" s="20"/>
      <c r="Z67" s="20"/>
    </row>
    <row r="68">
      <c r="A68" s="54"/>
      <c r="B68" s="66"/>
      <c r="C68" s="66"/>
      <c r="D68" s="66"/>
      <c r="E68" s="66"/>
      <c r="F68" s="67"/>
      <c r="G68" s="63"/>
      <c r="H68" s="66"/>
      <c r="I68" s="66"/>
      <c r="J68" s="66"/>
      <c r="K68" s="66"/>
      <c r="L68" s="68"/>
      <c r="M68" s="63"/>
      <c r="N68" s="63"/>
      <c r="O68" s="20"/>
      <c r="P68" s="20"/>
      <c r="Q68" s="20"/>
      <c r="R68" s="20"/>
      <c r="S68" s="20"/>
      <c r="T68" s="20"/>
      <c r="U68" s="20"/>
      <c r="V68" s="20"/>
      <c r="W68" s="20"/>
      <c r="X68" s="20"/>
      <c r="Y68" s="20"/>
      <c r="Z68" s="20"/>
    </row>
    <row r="69">
      <c r="A69" s="20"/>
      <c r="B69" s="20"/>
      <c r="C69" s="20"/>
      <c r="D69" s="20"/>
      <c r="E69" s="20"/>
      <c r="F69" s="58"/>
      <c r="G69" s="20"/>
      <c r="H69" s="20"/>
      <c r="I69" s="20"/>
      <c r="J69" s="20"/>
      <c r="K69" s="20"/>
      <c r="L69" s="20"/>
      <c r="M69" s="20"/>
      <c r="N69" s="20"/>
      <c r="O69" s="20"/>
      <c r="P69" s="20"/>
      <c r="Q69" s="20"/>
      <c r="R69" s="20"/>
      <c r="S69" s="20"/>
      <c r="T69" s="20"/>
      <c r="U69" s="20"/>
      <c r="V69" s="20"/>
      <c r="W69" s="20"/>
      <c r="X69" s="20"/>
      <c r="Y69" s="20"/>
      <c r="Z69" s="20"/>
    </row>
    <row r="70">
      <c r="A70" s="54"/>
      <c r="B70" s="66"/>
      <c r="C70" s="66"/>
      <c r="D70" s="66"/>
      <c r="E70" s="66"/>
      <c r="F70" s="67"/>
      <c r="G70" s="63"/>
      <c r="H70" s="66"/>
      <c r="I70" s="66"/>
      <c r="J70" s="66"/>
      <c r="K70" s="66"/>
      <c r="L70" s="68"/>
      <c r="M70" s="63"/>
      <c r="N70" s="63"/>
      <c r="O70" s="20"/>
      <c r="P70" s="20"/>
      <c r="Q70" s="20"/>
      <c r="R70" s="20"/>
      <c r="S70" s="20"/>
      <c r="T70" s="20"/>
      <c r="U70" s="20"/>
      <c r="V70" s="20"/>
      <c r="W70" s="20"/>
      <c r="X70" s="20"/>
      <c r="Y70" s="20"/>
      <c r="Z70" s="20"/>
    </row>
    <row r="71">
      <c r="A71" s="20"/>
      <c r="B71" s="20"/>
      <c r="C71" s="20"/>
      <c r="D71" s="20"/>
      <c r="E71" s="20"/>
      <c r="F71" s="58"/>
      <c r="G71" s="20"/>
      <c r="H71" s="20"/>
      <c r="I71" s="20"/>
      <c r="J71" s="20"/>
      <c r="K71" s="20"/>
      <c r="L71" s="20"/>
      <c r="M71" s="20"/>
      <c r="N71" s="20"/>
      <c r="O71" s="20"/>
      <c r="P71" s="20"/>
      <c r="Q71" s="20"/>
      <c r="R71" s="20"/>
      <c r="S71" s="20"/>
      <c r="T71" s="20"/>
      <c r="U71" s="20"/>
      <c r="V71" s="20"/>
      <c r="W71" s="20"/>
      <c r="X71" s="20"/>
      <c r="Y71" s="20"/>
      <c r="Z71" s="20"/>
    </row>
    <row r="72">
      <c r="A72" s="54"/>
      <c r="B72" s="66"/>
      <c r="C72" s="66"/>
      <c r="D72" s="66"/>
      <c r="E72" s="66"/>
      <c r="F72" s="67"/>
      <c r="G72" s="63"/>
      <c r="H72" s="66"/>
      <c r="I72" s="66"/>
      <c r="J72" s="66"/>
      <c r="K72" s="66"/>
      <c r="L72" s="68"/>
      <c r="M72" s="63"/>
      <c r="N72" s="63"/>
      <c r="O72" s="20"/>
      <c r="P72" s="20"/>
      <c r="Q72" s="20"/>
      <c r="R72" s="20"/>
      <c r="S72" s="20"/>
      <c r="T72" s="20"/>
      <c r="U72" s="20"/>
      <c r="V72" s="20"/>
      <c r="W72" s="20"/>
      <c r="X72" s="20"/>
      <c r="Y72" s="20"/>
      <c r="Z72" s="20"/>
    </row>
    <row r="73">
      <c r="A73" s="20"/>
      <c r="B73" s="20"/>
      <c r="C73" s="20"/>
      <c r="D73" s="20"/>
      <c r="E73" s="20"/>
      <c r="F73" s="58"/>
      <c r="G73" s="20"/>
      <c r="H73" s="20"/>
      <c r="I73" s="20"/>
      <c r="J73" s="20"/>
      <c r="K73" s="20"/>
      <c r="L73" s="20"/>
      <c r="M73" s="20"/>
      <c r="N73" s="20"/>
      <c r="O73" s="20"/>
      <c r="P73" s="20"/>
      <c r="Q73" s="20"/>
      <c r="R73" s="20"/>
      <c r="S73" s="20"/>
      <c r="T73" s="20"/>
      <c r="U73" s="20"/>
      <c r="V73" s="20"/>
      <c r="W73" s="20"/>
      <c r="X73" s="20"/>
      <c r="Y73" s="20"/>
      <c r="Z73" s="20"/>
    </row>
    <row r="74">
      <c r="A74" s="54"/>
      <c r="B74" s="66"/>
      <c r="C74" s="66"/>
      <c r="D74" s="66"/>
      <c r="E74" s="66"/>
      <c r="F74" s="67"/>
      <c r="G74" s="63"/>
      <c r="H74" s="66"/>
      <c r="I74" s="66"/>
      <c r="J74" s="66"/>
      <c r="K74" s="66"/>
      <c r="L74" s="68"/>
      <c r="M74" s="63"/>
      <c r="N74" s="63"/>
      <c r="O74" s="20"/>
      <c r="P74" s="20"/>
      <c r="Q74" s="20"/>
      <c r="R74" s="20"/>
      <c r="S74" s="20"/>
      <c r="T74" s="20"/>
      <c r="U74" s="20"/>
      <c r="V74" s="20"/>
      <c r="W74" s="20"/>
      <c r="X74" s="20"/>
      <c r="Y74" s="20"/>
      <c r="Z74" s="20"/>
    </row>
    <row r="75">
      <c r="A75" s="20"/>
      <c r="B75" s="20"/>
      <c r="C75" s="20"/>
      <c r="D75" s="20"/>
      <c r="E75" s="20"/>
      <c r="F75" s="58"/>
      <c r="G75" s="20"/>
      <c r="H75" s="20"/>
      <c r="I75" s="20"/>
      <c r="J75" s="20"/>
      <c r="K75" s="20"/>
      <c r="L75" s="20"/>
      <c r="M75" s="20"/>
      <c r="N75" s="20"/>
      <c r="O75" s="20"/>
      <c r="P75" s="20"/>
      <c r="Q75" s="20"/>
      <c r="R75" s="20"/>
      <c r="S75" s="20"/>
      <c r="T75" s="20"/>
      <c r="U75" s="20"/>
      <c r="V75" s="20"/>
      <c r="W75" s="20"/>
      <c r="X75" s="20"/>
      <c r="Y75" s="20"/>
      <c r="Z75" s="20"/>
    </row>
    <row r="76">
      <c r="A76" s="54"/>
      <c r="B76" s="66"/>
      <c r="C76" s="66"/>
      <c r="D76" s="66"/>
      <c r="E76" s="66"/>
      <c r="F76" s="67"/>
      <c r="G76" s="63"/>
      <c r="H76" s="66"/>
      <c r="I76" s="66"/>
      <c r="J76" s="66"/>
      <c r="K76" s="66"/>
      <c r="L76" s="68"/>
      <c r="M76" s="63"/>
      <c r="N76" s="63"/>
      <c r="O76" s="20"/>
      <c r="P76" s="20"/>
      <c r="Q76" s="20"/>
      <c r="R76" s="20"/>
      <c r="S76" s="20"/>
      <c r="T76" s="20"/>
      <c r="U76" s="20"/>
      <c r="V76" s="20"/>
      <c r="W76" s="20"/>
      <c r="X76" s="20"/>
      <c r="Y76" s="20"/>
      <c r="Z76" s="20"/>
    </row>
    <row r="77">
      <c r="A77" s="20"/>
      <c r="B77" s="20"/>
      <c r="C77" s="20"/>
      <c r="D77" s="20"/>
      <c r="E77" s="20"/>
      <c r="F77" s="58"/>
      <c r="G77" s="20"/>
      <c r="H77" s="20"/>
      <c r="I77" s="20"/>
      <c r="J77" s="20"/>
      <c r="K77" s="20"/>
      <c r="L77" s="20"/>
      <c r="M77" s="20"/>
      <c r="N77" s="20"/>
      <c r="O77" s="20"/>
      <c r="P77" s="20"/>
      <c r="Q77" s="20"/>
      <c r="R77" s="20"/>
      <c r="S77" s="20"/>
      <c r="T77" s="20"/>
      <c r="U77" s="20"/>
      <c r="V77" s="20"/>
      <c r="W77" s="20"/>
      <c r="X77" s="20"/>
      <c r="Y77" s="20"/>
      <c r="Z77" s="20"/>
    </row>
    <row r="78">
      <c r="A78" s="54"/>
      <c r="B78" s="66"/>
      <c r="C78" s="66"/>
      <c r="D78" s="66"/>
      <c r="E78" s="66"/>
      <c r="F78" s="67"/>
      <c r="G78" s="63"/>
      <c r="H78" s="66"/>
      <c r="I78" s="66"/>
      <c r="J78" s="66"/>
      <c r="K78" s="66"/>
      <c r="L78" s="68"/>
      <c r="M78" s="63"/>
      <c r="N78" s="63"/>
      <c r="O78" s="20"/>
      <c r="P78" s="20"/>
      <c r="Q78" s="20"/>
      <c r="R78" s="20"/>
      <c r="S78" s="20"/>
      <c r="T78" s="20"/>
      <c r="U78" s="20"/>
      <c r="V78" s="20"/>
      <c r="W78" s="20"/>
      <c r="X78" s="20"/>
      <c r="Y78" s="20"/>
      <c r="Z78" s="20"/>
    </row>
    <row r="79">
      <c r="A79" s="20"/>
      <c r="B79" s="20"/>
      <c r="C79" s="20"/>
      <c r="D79" s="20"/>
      <c r="E79" s="20"/>
      <c r="F79" s="58"/>
      <c r="G79" s="20"/>
      <c r="H79" s="20"/>
      <c r="I79" s="20"/>
      <c r="J79" s="20"/>
      <c r="K79" s="20"/>
      <c r="L79" s="20"/>
      <c r="M79" s="20"/>
      <c r="N79" s="20"/>
      <c r="O79" s="20"/>
      <c r="P79" s="20"/>
      <c r="Q79" s="20"/>
      <c r="R79" s="20"/>
      <c r="S79" s="20"/>
      <c r="T79" s="20"/>
      <c r="U79" s="20"/>
      <c r="V79" s="20"/>
      <c r="W79" s="20"/>
      <c r="X79" s="20"/>
      <c r="Y79" s="20"/>
      <c r="Z79" s="20"/>
    </row>
    <row r="80">
      <c r="A80" s="54"/>
      <c r="B80" s="66"/>
      <c r="C80" s="66"/>
      <c r="D80" s="66"/>
      <c r="E80" s="66"/>
      <c r="F80" s="67"/>
      <c r="G80" s="63"/>
      <c r="H80" s="66"/>
      <c r="I80" s="66"/>
      <c r="J80" s="66"/>
      <c r="K80" s="66"/>
      <c r="L80" s="68"/>
      <c r="M80" s="63"/>
      <c r="N80" s="63"/>
      <c r="O80" s="20"/>
      <c r="P80" s="20"/>
      <c r="Q80" s="20"/>
      <c r="R80" s="20"/>
      <c r="S80" s="20"/>
      <c r="T80" s="20"/>
      <c r="U80" s="20"/>
      <c r="V80" s="20"/>
      <c r="W80" s="20"/>
      <c r="X80" s="20"/>
      <c r="Y80" s="20"/>
      <c r="Z80" s="20"/>
    </row>
    <row r="81">
      <c r="A81" s="20"/>
      <c r="B81" s="20"/>
      <c r="C81" s="20"/>
      <c r="D81" s="20"/>
      <c r="E81" s="20"/>
      <c r="F81" s="58"/>
      <c r="G81" s="20"/>
      <c r="H81" s="20"/>
      <c r="I81" s="20"/>
      <c r="J81" s="20"/>
      <c r="K81" s="20"/>
      <c r="L81" s="20"/>
      <c r="M81" s="20"/>
      <c r="N81" s="20"/>
      <c r="O81" s="20"/>
      <c r="P81" s="20"/>
      <c r="Q81" s="20"/>
      <c r="R81" s="20"/>
      <c r="S81" s="20"/>
      <c r="T81" s="20"/>
      <c r="U81" s="20"/>
      <c r="V81" s="20"/>
      <c r="W81" s="20"/>
      <c r="X81" s="20"/>
      <c r="Y81" s="20"/>
      <c r="Z81" s="20"/>
    </row>
    <row r="82">
      <c r="A82" s="54"/>
      <c r="B82" s="66"/>
      <c r="C82" s="66"/>
      <c r="D82" s="66"/>
      <c r="E82" s="66"/>
      <c r="F82" s="67"/>
      <c r="G82" s="63"/>
      <c r="H82" s="66"/>
      <c r="I82" s="66"/>
      <c r="J82" s="66"/>
      <c r="K82" s="66"/>
      <c r="L82" s="68"/>
      <c r="M82" s="63"/>
      <c r="N82" s="63"/>
      <c r="O82" s="20"/>
      <c r="P82" s="20"/>
      <c r="Q82" s="20"/>
      <c r="R82" s="20"/>
      <c r="S82" s="20"/>
      <c r="T82" s="20"/>
      <c r="U82" s="20"/>
      <c r="V82" s="20"/>
      <c r="W82" s="20"/>
      <c r="X82" s="20"/>
      <c r="Y82" s="20"/>
      <c r="Z82" s="20"/>
    </row>
    <row r="83">
      <c r="A83" s="20"/>
      <c r="B83" s="20"/>
      <c r="C83" s="20"/>
      <c r="D83" s="20"/>
      <c r="E83" s="20"/>
      <c r="F83" s="58"/>
      <c r="G83" s="20"/>
      <c r="H83" s="20"/>
      <c r="I83" s="20"/>
      <c r="J83" s="20"/>
      <c r="K83" s="20"/>
      <c r="L83" s="20"/>
      <c r="M83" s="20"/>
      <c r="N83" s="20"/>
      <c r="O83" s="20"/>
      <c r="P83" s="20"/>
      <c r="Q83" s="20"/>
      <c r="R83" s="20"/>
      <c r="S83" s="20"/>
      <c r="T83" s="20"/>
      <c r="U83" s="20"/>
      <c r="V83" s="20"/>
      <c r="W83" s="20"/>
      <c r="X83" s="20"/>
      <c r="Y83" s="20"/>
      <c r="Z83" s="20"/>
    </row>
    <row r="84">
      <c r="A84" s="54"/>
      <c r="B84" s="66"/>
      <c r="C84" s="66"/>
      <c r="D84" s="66"/>
      <c r="E84" s="66"/>
      <c r="F84" s="66"/>
      <c r="G84" s="63"/>
      <c r="H84" s="66"/>
      <c r="I84" s="66"/>
      <c r="J84" s="66"/>
      <c r="K84" s="66"/>
      <c r="L84" s="68"/>
      <c r="M84" s="63"/>
      <c r="N84" s="63"/>
      <c r="O84" s="20"/>
      <c r="P84" s="20"/>
      <c r="Q84" s="20"/>
      <c r="R84" s="20"/>
      <c r="S84" s="20"/>
      <c r="T84" s="20"/>
      <c r="U84" s="20"/>
      <c r="V84" s="20"/>
      <c r="W84" s="20"/>
      <c r="X84" s="20"/>
      <c r="Y84" s="20"/>
      <c r="Z84" s="20"/>
    </row>
  </sheetData>
  <dataValidations>
    <dataValidation type="list" allowBlank="1" showErrorMessage="1" sqref="N8 N10 N12 N14 N16 N18 N20 N22 N24 N26 N28 N30 N32 N34 N36 N38 N40 N42 N44 N46 N48 N50 N52 N54 N56 N58 N60 N62 N64 N66 N68 N70 N72 N74 N76 N78 N80 N82 N84">
      <formula1>"Solved,Unsolve"</formula1>
    </dataValidation>
    <dataValidation type="list" allowBlank="1" showErrorMessage="1" sqref="J8 J10 J12 J14 J16 J18 J20 J22 J24 J26 J28 J30 J32 J34 J36 J38 J40 J42 J44 J46 J48 J50 J52 J54 J56 J58 J60 J62 J64 J66 J68 J70 J72 J74 J76 J78 J80 J82 J84">
      <formula1>"Pass,Fail"</formula1>
    </dataValidation>
    <dataValidation type="list" allowBlank="1" showErrorMessage="1" sqref="K8 K10 K12 K14 K16 K18 K20 K22 K24 K26 K28 K30 K32 K34 K36 K38 K40 K42 K44 K46 K48 K50 K52 K54 K56 K58 K60 K62 K64 K66 K68 K70 K72 K74 K76 K78 K80 K82 K84">
      <formula1>"High,Medium,Low"</formula1>
    </dataValidation>
  </dataValidations>
  <hyperlinks>
    <hyperlink r:id="rId1" ref="B2"/>
    <hyperlink r:id="rId2" ref="F8"/>
    <hyperlink r:id="rId3" ref="L8"/>
    <hyperlink r:id="rId4" ref="F10"/>
    <hyperlink r:id="rId5" ref="L10"/>
    <hyperlink r:id="rId6" ref="F12"/>
    <hyperlink r:id="rId7" ref="L12"/>
    <hyperlink r:id="rId8" ref="F14"/>
    <hyperlink r:id="rId9" ref="L14"/>
    <hyperlink r:id="rId10" ref="M14"/>
    <hyperlink r:id="rId11" ref="F16"/>
    <hyperlink r:id="rId12" ref="L16"/>
    <hyperlink r:id="rId13" ref="F18"/>
    <hyperlink r:id="rId14" ref="L18"/>
    <hyperlink r:id="rId15" ref="F20"/>
    <hyperlink r:id="rId16" ref="L20"/>
    <hyperlink r:id="rId17" ref="F22"/>
    <hyperlink r:id="rId18" ref="L22"/>
    <hyperlink r:id="rId19" ref="F24"/>
    <hyperlink r:id="rId20" ref="L24"/>
    <hyperlink r:id="rId21" ref="F26"/>
    <hyperlink r:id="rId22" ref="L26"/>
    <hyperlink r:id="rId23" ref="F28"/>
    <hyperlink r:id="rId24" ref="L28"/>
    <hyperlink r:id="rId25" ref="F30"/>
    <hyperlink r:id="rId26" ref="L30"/>
    <hyperlink r:id="rId27" ref="F32"/>
    <hyperlink r:id="rId28" ref="L32"/>
    <hyperlink r:id="rId29" ref="F34"/>
    <hyperlink r:id="rId30" ref="L34"/>
    <hyperlink r:id="rId31" ref="F36"/>
    <hyperlink r:id="rId32" ref="L36"/>
    <hyperlink r:id="rId33" ref="F38"/>
    <hyperlink r:id="rId34" ref="L38"/>
    <hyperlink r:id="rId35" ref="F40"/>
    <hyperlink r:id="rId36" ref="L40"/>
    <hyperlink r:id="rId37" ref="F42"/>
    <hyperlink r:id="rId38" ref="L42"/>
    <hyperlink r:id="rId39" ref="F44"/>
    <hyperlink r:id="rId40" ref="L44"/>
    <hyperlink r:id="rId41" ref="F46"/>
    <hyperlink r:id="rId42" ref="L46"/>
    <hyperlink r:id="rId43" ref="F48"/>
    <hyperlink r:id="rId44" ref="L48"/>
    <hyperlink r:id="rId45" ref="F50"/>
    <hyperlink r:id="rId46" ref="L50"/>
  </hyperlinks>
  <drawing r:id="rId4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8.5"/>
    <col customWidth="1" min="3" max="3" width="13.88"/>
    <col customWidth="1" min="4" max="4" width="14.13"/>
    <col customWidth="1" min="5" max="5" width="14.88"/>
  </cols>
  <sheetData>
    <row r="1">
      <c r="A1" s="69" t="s">
        <v>17</v>
      </c>
      <c r="B1" s="69" t="s">
        <v>349</v>
      </c>
      <c r="C1" s="69" t="s">
        <v>350</v>
      </c>
      <c r="D1" s="69" t="s">
        <v>351</v>
      </c>
      <c r="E1" s="69" t="s">
        <v>352</v>
      </c>
      <c r="F1" s="20"/>
      <c r="G1" s="20"/>
      <c r="H1" s="20"/>
      <c r="I1" s="20"/>
      <c r="J1" s="20"/>
      <c r="K1" s="20"/>
      <c r="L1" s="20"/>
      <c r="M1" s="20"/>
      <c r="N1" s="20"/>
      <c r="O1" s="20"/>
      <c r="P1" s="20"/>
      <c r="Q1" s="20"/>
      <c r="R1" s="20"/>
      <c r="S1" s="20"/>
      <c r="T1" s="20"/>
      <c r="U1" s="20"/>
      <c r="V1" s="20"/>
      <c r="W1" s="20"/>
      <c r="X1" s="20"/>
      <c r="Y1" s="20"/>
      <c r="Z1" s="20"/>
    </row>
    <row r="2">
      <c r="A2" s="70" t="str">
        <f>IFERROR(__xludf.DUMMYFUNCTION("UNIQUE(FILTER('Main Report'!B11:B1000, 'Main Report'!B11:B1000 &lt;&gt; """"))"),"Landing Page")</f>
        <v>Landing Page</v>
      </c>
      <c r="B2" s="71" t="str">
        <f>IFERROR(__xludf.DUMMYFUNCTION("IFERROR(TEXTJOIN("", "", TRUE, FILTER('Main Report'!$A$11:$A1000, 'Main Report'!$B$11:$B1000 = A2)), """")
"),"TC-001, TC-002, TC-003, TC-004, TC-005, TC-006, TC-007, TC-008")</f>
        <v>TC-001, TC-002, TC-003, TC-004, TC-005, TC-006, TC-007, TC-008</v>
      </c>
      <c r="C2" s="71">
        <f>IF(COUNTIFS('Main Report'!$B$11:$B1000, A2, 'Main Report'!$K$11:$K1000, "&lt;&gt;")=0, "", COUNTIFS('Main Report'!$B$11:$B1000, A2, 'Main Report'!$K$11:$K1000, "&lt;&gt;"))
</f>
        <v>8</v>
      </c>
      <c r="D2" s="71" t="str">
        <f>IF(OR(C2=0, 'Main Report'!$E$7=0), "", TEXT(C2 / 'Main Report'!$E$7 * 100, "0.00") &amp; "%")
</f>
        <v>21.05%</v>
      </c>
      <c r="E2" s="71" t="str">
        <f>"High: " &amp; COUNTIFS('Main Report'!$B$11:B1000, A2, 'Main Report'!$K$11:K1000, "High") &amp; CHAR(10) &amp;
"Medium: " &amp; COUNTIFS('Main Report'!B11:B1000, A2, 'Main Report'!K11:K1000, "Medium") &amp; CHAR(10) &amp;
"Low: " &amp; COUNTIFS('Main Report'!B11:B1000, A2, 'Main Report'!K11:K1000, "Low")</f>
        <v>High: 1
Medium: 2
Low: 5</v>
      </c>
      <c r="F2" s="29" t="s">
        <v>353</v>
      </c>
      <c r="G2" s="20"/>
      <c r="H2" s="20"/>
      <c r="I2" s="20"/>
      <c r="J2" s="20"/>
      <c r="K2" s="20"/>
      <c r="L2" s="20"/>
      <c r="M2" s="20"/>
      <c r="N2" s="20"/>
      <c r="O2" s="20"/>
      <c r="P2" s="20"/>
      <c r="Q2" s="20"/>
      <c r="R2" s="20"/>
      <c r="S2" s="20"/>
      <c r="T2" s="20"/>
      <c r="U2" s="20"/>
      <c r="V2" s="20"/>
      <c r="W2" s="20"/>
      <c r="X2" s="20"/>
      <c r="Y2" s="20"/>
      <c r="Z2" s="20"/>
    </row>
    <row r="3">
      <c r="A3" s="70" t="str">
        <f>IFERROR(__xludf.DUMMYFUNCTION("""COMPUTED_VALUE"""),"Sign Up")</f>
        <v>Sign Up</v>
      </c>
      <c r="B3" s="71" t="str">
        <f>IFERROR(__xludf.DUMMYFUNCTION("IFERROR(TEXTJOIN("", "", TRUE, FILTER('Main Report'!$A$11:$A1000, 'Main Report'!$B$11:$B1000 = A3)), """")
"),"TC-009, TC-010, TC-011, TC-012, TC-013, TC-014, TC-015, TC-016, TC-017, TC-018, TC-019, TC-020")</f>
        <v>TC-009, TC-010, TC-011, TC-012, TC-013, TC-014, TC-015, TC-016, TC-017, TC-018, TC-019, TC-020</v>
      </c>
      <c r="C3" s="71">
        <f>IF(COUNTIFS('Main Report'!$B$11:$B1000, A3, 'Main Report'!$K$11:$K1000, "&lt;&gt;")=0, "", COUNTIFS('Main Report'!$B$11:$B1000, A3, 'Main Report'!$K$11:$K1000, "&lt;&gt;"))
</f>
        <v>12</v>
      </c>
      <c r="D3" s="71" t="str">
        <f>IF(OR(C3=0, 'Main Report'!$E$7=0), "", TEXT(C3 / 'Main Report'!$E$7 * 100, "0.00") &amp; "%")
</f>
        <v>31.58%</v>
      </c>
      <c r="E3" s="71" t="str">
        <f>"High: " &amp; COUNTIFS('Main Report'!$B$11:B1000, A3, 'Main Report'!$K$11:K1000, "High") &amp; CHAR(10) &amp;
"Medium: " &amp; COUNTIFS('Main Report'!B12:B1000, A3, 'Main Report'!K12:K1000, "Medium") &amp; CHAR(10) &amp;
"Low: " &amp; COUNTIFS('Main Report'!B12:B1000, A3, 'Main Report'!K12:K1000, "Low")</f>
        <v>High: 3
Medium: 3
Low: 6</v>
      </c>
      <c r="F3" s="20" t="str">
        <f>IFERROR(__xludf.DUMMYFUNCTION("TEXTJOIN("", "", TRUE, UNIQUE(FILTER('Main Report'!P12:P1000, 'Main Report'!B12:B1000 = A3)))
"),"")</f>
        <v/>
      </c>
      <c r="G3" s="20"/>
      <c r="H3" s="20"/>
      <c r="I3" s="20"/>
      <c r="J3" s="20"/>
      <c r="K3" s="20"/>
      <c r="L3" s="20"/>
      <c r="M3" s="20"/>
      <c r="N3" s="20"/>
      <c r="O3" s="20"/>
      <c r="P3" s="20"/>
      <c r="Q3" s="20"/>
      <c r="R3" s="20"/>
      <c r="S3" s="20"/>
      <c r="T3" s="20"/>
      <c r="U3" s="20"/>
      <c r="V3" s="20"/>
      <c r="W3" s="20"/>
      <c r="X3" s="20"/>
      <c r="Y3" s="20"/>
      <c r="Z3" s="20"/>
    </row>
    <row r="4">
      <c r="A4" s="70" t="str">
        <f>IFERROR(__xludf.DUMMYFUNCTION("""COMPUTED_VALUE"""),"Super Admin Dashboard")</f>
        <v>Super Admin Dashboard</v>
      </c>
      <c r="B4" s="71" t="str">
        <f>IFERROR(__xludf.DUMMYFUNCTION("IFERROR(TEXTJOIN("", "", TRUE, FILTER('Main Report'!$A$11:$A1000, 'Main Report'!$B$11:$B1000 = A4)), """")
"),"TC-021, TC-022, TC-023, TC-024, TC-025, TC-026, TC-027, TC-028, TC-029, TC-030")</f>
        <v>TC-021, TC-022, TC-023, TC-024, TC-025, TC-026, TC-027, TC-028, TC-029, TC-030</v>
      </c>
      <c r="C4" s="71">
        <f>IF(COUNTIFS('Main Report'!$B$11:$B1000, A4, 'Main Report'!$K$11:$K1000, "&lt;&gt;")=0, "", COUNTIFS('Main Report'!$B$11:$B1000, A4, 'Main Report'!$K$11:$K1000, "&lt;&gt;"))
</f>
        <v>10</v>
      </c>
      <c r="D4" s="71" t="str">
        <f>IF(OR(C4=0, 'Main Report'!$E$7=0), "", TEXT(C4 / 'Main Report'!$E$7 * 100, "0.00") &amp; "%")
</f>
        <v>26.32%</v>
      </c>
      <c r="E4" s="71" t="str">
        <f>"High: " &amp; COUNTIFS('Main Report'!$B$11:B1000, A4, 'Main Report'!$K$11:K1000, "High") &amp; CHAR(10) &amp;
"Medium: " &amp; COUNTIFS('Main Report'!B13:B1000, A4, 'Main Report'!K13:K1000, "Medium") &amp; CHAR(10) &amp;
"Low: " &amp; COUNTIFS('Main Report'!B13:B1000, A4, 'Main Report'!K13:K1000, "Low")</f>
        <v>High: 5
Medium: 3
Low: 2</v>
      </c>
      <c r="F4" s="20" t="str">
        <f>IFERROR(__xludf.DUMMYFUNCTION("TEXTJOIN("", "", TRUE, UNIQUE(FILTER('Main Report'!P13:P1000, 'Main Report'!B13:B1000 = A4)))
"),"")</f>
        <v/>
      </c>
      <c r="G4" s="20"/>
      <c r="H4" s="20"/>
      <c r="I4" s="20"/>
      <c r="J4" s="20"/>
      <c r="K4" s="20"/>
      <c r="L4" s="20"/>
      <c r="M4" s="20"/>
      <c r="N4" s="20"/>
      <c r="O4" s="20"/>
      <c r="P4" s="20"/>
      <c r="Q4" s="20"/>
      <c r="R4" s="20"/>
      <c r="S4" s="20"/>
      <c r="T4" s="20"/>
      <c r="U4" s="20"/>
      <c r="V4" s="20"/>
      <c r="W4" s="20"/>
      <c r="X4" s="20"/>
      <c r="Y4" s="20"/>
      <c r="Z4" s="20"/>
    </row>
    <row r="5">
      <c r="A5" s="72" t="str">
        <f>IFERROR(__xludf.DUMMYFUNCTION("""COMPUTED_VALUE"""),"User Dashboard")</f>
        <v>User Dashboard</v>
      </c>
      <c r="B5" s="73" t="str">
        <f>IFERROR(__xludf.DUMMYFUNCTION("IFERROR(TEXTJOIN("", "", TRUE, FILTER('Main Report'!$A$11:$A1000, 'Main Report'!$B$11:$B1000 = A5)), """")
"),"TC-031, TC-032, TC-033, TC-034, TC-035, TC-036, TC-037, TC-038")</f>
        <v>TC-031, TC-032, TC-033, TC-034, TC-035, TC-036, TC-037, TC-038</v>
      </c>
      <c r="C5" s="73">
        <f>IF(COUNTIFS('Main Report'!$B$11:$B1000, A5, 'Main Report'!$K$11:$K1000, "&lt;&gt;")=0, "", COUNTIFS('Main Report'!$B$11:$B1000, A5, 'Main Report'!$K$11:$K1000, "&lt;&gt;"))
</f>
        <v>8</v>
      </c>
      <c r="D5" s="71" t="str">
        <f>IF(OR(C5=0, 'Main Report'!$E$7=0), "", TEXT(C5 / 'Main Report'!$E$7 * 100, "0.00") &amp; "%")
</f>
        <v>21.05%</v>
      </c>
      <c r="E5" s="71" t="str">
        <f>"High: " &amp; COUNTIFS('Main Report'!$B$11:B1000, A5, 'Main Report'!$K$11:K1000, "High") &amp; CHAR(10) &amp;
"Medium: " &amp; COUNTIFS('Main Report'!B14:B1000, A5, 'Main Report'!K14:K1000, "Medium") &amp; CHAR(10) &amp;
"Low: " &amp; COUNTIFS('Main Report'!B14:B1000, A5, 'Main Report'!K14:K1000, "Low")</f>
        <v>High: 2
Medium: 4
Low: 2</v>
      </c>
      <c r="F5" s="20"/>
      <c r="G5" s="20"/>
      <c r="H5" s="20"/>
      <c r="I5" s="20"/>
      <c r="J5" s="20"/>
      <c r="K5" s="20"/>
      <c r="L5" s="20"/>
      <c r="M5" s="20"/>
      <c r="N5" s="20"/>
      <c r="O5" s="20"/>
      <c r="P5" s="20"/>
      <c r="Q5" s="20"/>
      <c r="R5" s="20"/>
      <c r="S5" s="20"/>
      <c r="T5" s="20"/>
      <c r="U5" s="20"/>
      <c r="V5" s="20"/>
      <c r="W5" s="20"/>
      <c r="X5" s="20"/>
      <c r="Y5" s="20"/>
      <c r="Z5" s="20"/>
    </row>
    <row r="6">
      <c r="A6" s="74" t="s">
        <v>354</v>
      </c>
      <c r="B6" s="75"/>
      <c r="C6" s="76">
        <f>SUM(C2:C5)</f>
        <v>38</v>
      </c>
      <c r="D6" s="20"/>
      <c r="E6" s="20"/>
      <c r="F6" s="20"/>
      <c r="G6" s="20"/>
      <c r="H6" s="20"/>
      <c r="I6" s="20"/>
      <c r="J6" s="20"/>
      <c r="K6" s="20"/>
      <c r="L6" s="20"/>
      <c r="M6" s="20"/>
      <c r="N6" s="20"/>
      <c r="O6" s="20"/>
      <c r="P6" s="20"/>
      <c r="Q6" s="20"/>
      <c r="R6" s="20"/>
      <c r="S6" s="20"/>
      <c r="T6" s="20"/>
      <c r="U6" s="20"/>
      <c r="V6" s="20"/>
      <c r="W6" s="20"/>
      <c r="X6" s="20"/>
      <c r="Y6" s="20"/>
      <c r="Z6" s="20"/>
    </row>
    <row r="7">
      <c r="A7" s="20"/>
      <c r="B7" s="20"/>
      <c r="C7" s="20" t="str">
        <f>IF(COUNTIFS('Main Report'!$B$11:$B1000, A7, 'Main Report'!$K$11:$K1000, "&lt;&gt;")=0, "", COUNTIFS('Main Report'!$B$11:$B1000, A7, 'Main Report'!$K$11:$K1000, "&lt;&gt;"))
</f>
        <v/>
      </c>
      <c r="D7" s="20"/>
      <c r="E7" s="20"/>
      <c r="F7" s="20"/>
      <c r="G7" s="20"/>
      <c r="H7" s="20"/>
      <c r="I7" s="20"/>
      <c r="J7" s="20"/>
      <c r="K7" s="20"/>
      <c r="L7" s="20"/>
      <c r="M7" s="20"/>
      <c r="N7" s="20"/>
      <c r="O7" s="20"/>
      <c r="P7" s="20"/>
      <c r="Q7" s="20"/>
      <c r="R7" s="20"/>
      <c r="S7" s="20"/>
      <c r="T7" s="20"/>
      <c r="U7" s="20"/>
      <c r="V7" s="20"/>
      <c r="W7" s="20"/>
      <c r="X7" s="20"/>
      <c r="Y7" s="20"/>
      <c r="Z7" s="20"/>
    </row>
    <row r="8">
      <c r="A8" s="20"/>
      <c r="B8" s="20"/>
      <c r="C8" s="20" t="str">
        <f>IF(COUNTIFS('Main Report'!$B$11:$B1000, A8, 'Main Report'!$K$11:$K1000, "&lt;&gt;")=0, "", COUNTIFS('Main Report'!$B$11:$B1000, A8, 'Main Report'!$K$11:$K1000, "&lt;&gt;"))
</f>
        <v/>
      </c>
      <c r="D8" s="20"/>
      <c r="E8" s="20"/>
      <c r="F8" s="20"/>
      <c r="G8" s="20"/>
      <c r="H8" s="20"/>
      <c r="I8" s="20"/>
      <c r="J8" s="20"/>
      <c r="K8" s="20"/>
      <c r="L8" s="20"/>
      <c r="M8" s="20"/>
      <c r="N8" s="20"/>
      <c r="O8" s="20"/>
      <c r="P8" s="20"/>
      <c r="Q8" s="20"/>
      <c r="R8" s="20"/>
      <c r="S8" s="20"/>
      <c r="T8" s="20"/>
      <c r="U8" s="20"/>
      <c r="V8" s="20"/>
      <c r="W8" s="20"/>
      <c r="X8" s="20"/>
      <c r="Y8" s="20"/>
      <c r="Z8" s="20"/>
    </row>
    <row r="9">
      <c r="A9" s="20"/>
      <c r="B9" s="20"/>
      <c r="C9" s="20" t="str">
        <f>IF(COUNTIFS('Main Report'!$B$11:$B1000, A9, 'Main Report'!$K$11:$K1000, "&lt;&gt;")=0, "", COUNTIFS('Main Report'!$B$11:$B1000, A9, 'Main Report'!$K$11:$K1000, "&lt;&gt;"))
</f>
        <v/>
      </c>
      <c r="D9" s="20"/>
      <c r="E9" s="20"/>
      <c r="F9" s="20"/>
      <c r="G9" s="20"/>
      <c r="H9" s="20"/>
      <c r="I9" s="20"/>
      <c r="J9" s="20"/>
      <c r="K9" s="20"/>
      <c r="L9" s="20"/>
      <c r="M9" s="20"/>
      <c r="N9" s="20"/>
      <c r="O9" s="20"/>
      <c r="P9" s="20"/>
      <c r="Q9" s="20"/>
      <c r="R9" s="20"/>
      <c r="S9" s="20"/>
      <c r="T9" s="20"/>
      <c r="U9" s="20"/>
      <c r="V9" s="20"/>
      <c r="W9" s="20"/>
      <c r="X9" s="20"/>
      <c r="Y9" s="20"/>
      <c r="Z9" s="20"/>
    </row>
    <row r="10">
      <c r="A10" s="20"/>
      <c r="B10" s="20"/>
      <c r="C10" s="20" t="str">
        <f>IF(COUNTIFS('Main Report'!$B$11:$B1000, A10, 'Main Report'!$K$11:$K1000, "&lt;&gt;")=0, "", COUNTIFS('Main Report'!$B$11:$B1000, A10, 'Main Report'!$K$11:$K1000, "&lt;&gt;"))
</f>
        <v/>
      </c>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t="str">
        <f>IF(COUNTIFS('Main Report'!$B$11:$B1000, A11, 'Main Report'!$K$11:$K1000, "&lt;&gt;")=0, "", COUNTIFS('Main Report'!$B$11:$B1000, A11, 'Main Report'!$K$11:$K1000, "&lt;&gt;"))
</f>
        <v/>
      </c>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t="str">
        <f>IF(COUNTIFS('Main Report'!$B$11:$B1000, A12, 'Main Report'!$K$11:$K1000, "&lt;&gt;")=0, "", COUNTIFS('Main Report'!$B$11:$B1000, A12, 'Main Report'!$K$11:$K1000, "&lt;&gt;"))
</f>
        <v/>
      </c>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t="str">
        <f>IF(COUNTIFS('Main Report'!$B$11:$B1000, A13, 'Main Report'!$K$11:$K1000, "&lt;&gt;")=0, "", COUNTIFS('Main Report'!$B$11:$B1000, A13, 'Main Report'!$K$11:$K1000, "&lt;&gt;"))
</f>
        <v/>
      </c>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t="str">
        <f>IF(COUNTIFS('Main Report'!$B$11:$B1000, A14, 'Main Report'!$K$11:$K1000, "&lt;&gt;")=0, "", COUNTIFS('Main Report'!$B$11:$B1000, A14, 'Main Report'!$K$11:$K1000, "&lt;&gt;"))
</f>
        <v/>
      </c>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t="str">
        <f>IF(OR(C16=0, 'Main Report'!$E$7=0), "", TEXT(C16 / 'Main Report'!$E$7 * 100, "0.00") &amp; "%")
</f>
        <v/>
      </c>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t="str">
        <f>IF(OR(C17=0, 'Main Report'!$E$7=0), "", TEXT(C17 / 'Main Report'!$E$7 * 100, "0.00") &amp; "%")
</f>
        <v/>
      </c>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t="str">
        <f>IF(OR(C18=0, 'Main Report'!$E$7=0), "", TEXT(C18 / 'Main Report'!$E$7 * 100, "0.00") &amp; "%")
</f>
        <v/>
      </c>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t="str">
        <f>IF(OR(C19=0, 'Main Report'!$E$7=0), "", TEXT(C19 / 'Main Report'!$E$7 * 100, "0.00") &amp; "%")
</f>
        <v/>
      </c>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t="str">
        <f>IF(OR(C20=0, 'Main Report'!$E$7=0), "", TEXT(C20 / 'Main Report'!$E$7 * 100, "0.00") &amp; "%")
</f>
        <v/>
      </c>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t="str">
        <f>IF(OR(C21=0, 'Main Report'!$E$7=0), "", TEXT(C21 / 'Main Report'!$E$7 * 100, "0.00") &amp; "%")
</f>
        <v/>
      </c>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t="str">
        <f>IF(OR(C22=0, 'Main Report'!$E$7=0), "", TEXT(C22 / 'Main Report'!$E$7 * 100, "0.00") &amp; "%")
</f>
        <v/>
      </c>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t="str">
        <f>IF(OR(C23=0, 'Main Report'!$E$7=0), "", TEXT(C23 / 'Main Report'!$E$7 * 100, "0.00") &amp; "%")
</f>
        <v/>
      </c>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t="str">
        <f>IF(OR(C24=0, 'Main Report'!$E$7=0), "", TEXT(C24 / 'Main Report'!$E$7 * 100, "0.00") &amp; "%")
</f>
        <v/>
      </c>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t="str">
        <f>IF(OR(C25=0, 'Main Report'!$E$7=0), "", TEXT(C25 / 'Main Report'!$E$7 * 100, "0.00") &amp; "%")
</f>
        <v/>
      </c>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t="str">
        <f>IF(OR(C26=0, 'Main Report'!$E$7=0), "", TEXT(C26 / 'Main Report'!$E$7 * 100, "0.00") &amp; "%")
</f>
        <v/>
      </c>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t="str">
        <f>IF(OR(C27=0, 'Main Report'!$E$7=0), "", TEXT(C27 / 'Main Report'!$E$7 * 100, "0.00") &amp; "%")
</f>
        <v/>
      </c>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t="str">
        <f>IF(OR(C28=0, 'Main Report'!$E$7=0), "", TEXT(C28 / 'Main Report'!$E$7 * 100, "0.00") &amp; "%")
</f>
        <v/>
      </c>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t="str">
        <f>IF(OR(C29=0, 'Main Report'!$E$7=0), "", TEXT(C29 / 'Main Report'!$E$7 * 100, "0.00") &amp; "%")
</f>
        <v/>
      </c>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t="str">
        <f>IF(OR(C30=0, 'Main Report'!$E$7=0), "", TEXT(C30 / 'Main Report'!$E$7 * 100, "0.00") &amp; "%")
</f>
        <v/>
      </c>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t="str">
        <f>IF(OR(C31=0, 'Main Report'!$E$7=0), "", TEXT(C31 / 'Main Report'!$E$7 * 100, "0.00") &amp; "%")
</f>
        <v/>
      </c>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t="str">
        <f>IF(OR(C32=0, 'Main Report'!$E$7=0), "", TEXT(C32 / 'Main Report'!$E$7 * 100, "0.00") &amp; "%")
</f>
        <v/>
      </c>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t="str">
        <f>IF(OR(C33=0, 'Main Report'!$E$7=0), "", TEXT(C33 / 'Main Report'!$E$7 * 100, "0.00") &amp; "%")
</f>
        <v/>
      </c>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t="str">
        <f>IF(OR(C34=0, 'Main Report'!$E$7=0), "", TEXT(C34 / 'Main Report'!$E$7 * 100, "0.00") &amp; "%")
</f>
        <v/>
      </c>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t="str">
        <f>IF(OR(C35=0, 'Main Report'!$E$7=0), "", TEXT(C35 / 'Main Report'!$E$7 * 100, "0.00") &amp; "%")
</f>
        <v/>
      </c>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t="str">
        <f>IF(OR(C36=0, 'Main Report'!$E$7=0), "", TEXT(C36 / 'Main Report'!$E$7 * 100, "0.00") &amp; "%")
</f>
        <v/>
      </c>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t="str">
        <f>IF(OR(C37=0, 'Main Report'!$E$7=0), "", TEXT(C37 / 'Main Report'!$E$7 * 100, "0.00") &amp; "%")
</f>
        <v/>
      </c>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6:B6"/>
  </mergeCells>
  <drawing r:id="rId1"/>
</worksheet>
</file>