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harakaholdingsqatar-my.sharepoint.com/personal/k_senthuran_dietdelights_com_qa/Documents/VC funding/market research/edited/carlsen/app specs/"/>
    </mc:Choice>
  </mc:AlternateContent>
  <xr:revisionPtr revIDLastSave="560" documentId="8_{261075ED-6625-4664-9A6D-9199C84F2777}" xr6:coauthVersionLast="47" xr6:coauthVersionMax="47" xr10:uidLastSave="{178A560D-E752-4FBB-BC72-4DE8ABCC4B33}"/>
  <bookViews>
    <workbookView xWindow="-108" yWindow="-108" windowWidth="23256" windowHeight="12576" activeTab="4" xr2:uid="{20CDA458-3E3D-4A36-BA45-93CC31388435}"/>
  </bookViews>
  <sheets>
    <sheet name="Packages Details" sheetId="2" r:id="rId1"/>
    <sheet name="Sheet1" sheetId="4" r:id="rId2"/>
    <sheet name="ditribution" sheetId="1" r:id="rId3"/>
    <sheet name="ex" sheetId="3" r:id="rId4"/>
    <sheet name="Scenario Meal prescription" sheetId="6" r:id="rId5"/>
  </sheets>
  <definedNames>
    <definedName name="_xlnm.Print_Area" localSheetId="0">'Packages Details'!$A$1:$L$47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6" l="1"/>
  <c r="I35" i="6"/>
  <c r="F39" i="6"/>
  <c r="M37" i="6"/>
  <c r="N37" i="6"/>
  <c r="L37" i="6"/>
  <c r="M36" i="6"/>
  <c r="N36" i="6"/>
  <c r="L36" i="6"/>
  <c r="L34" i="6"/>
  <c r="H35" i="6"/>
  <c r="H38" i="6"/>
  <c r="H24" i="6"/>
  <c r="H22" i="6"/>
  <c r="K38" i="6"/>
  <c r="J38" i="6"/>
  <c r="M38" i="6" s="1"/>
  <c r="K35" i="6"/>
  <c r="J35" i="6"/>
  <c r="G33" i="6"/>
  <c r="H33" i="6" s="1"/>
  <c r="E39" i="6"/>
  <c r="D39" i="6"/>
  <c r="D40" i="6" s="1"/>
  <c r="C39" i="6"/>
  <c r="C28" i="6"/>
  <c r="D28" i="6"/>
  <c r="E28" i="6"/>
  <c r="F28" i="6"/>
  <c r="H27" i="6"/>
  <c r="J27" i="6"/>
  <c r="K27" i="6"/>
  <c r="K22" i="6"/>
  <c r="K24" i="6"/>
  <c r="J24" i="6"/>
  <c r="J22" i="6"/>
  <c r="I27" i="6"/>
  <c r="I24" i="6"/>
  <c r="I22" i="6"/>
  <c r="K15" i="6"/>
  <c r="J15" i="6"/>
  <c r="I15" i="6"/>
  <c r="H15" i="6"/>
  <c r="K12" i="6"/>
  <c r="J12" i="6"/>
  <c r="I12" i="6"/>
  <c r="H12" i="6"/>
  <c r="K10" i="6"/>
  <c r="J10" i="6"/>
  <c r="I10" i="6"/>
  <c r="H10" i="6"/>
  <c r="S2" i="3"/>
  <c r="N38" i="6" l="1"/>
  <c r="L38" i="6"/>
  <c r="G39" i="6"/>
  <c r="O37" i="6"/>
  <c r="O36" i="6"/>
  <c r="N35" i="6"/>
  <c r="L35" i="6"/>
  <c r="M35" i="6"/>
  <c r="K33" i="6"/>
  <c r="J33" i="6"/>
  <c r="J39" i="6" s="1"/>
  <c r="I33" i="6"/>
  <c r="I39" i="6" s="1"/>
  <c r="H39" i="6"/>
  <c r="M27" i="6"/>
  <c r="M24" i="6"/>
  <c r="L27" i="6"/>
  <c r="N27" i="6"/>
  <c r="L24" i="6"/>
  <c r="N24" i="6"/>
  <c r="I28" i="6"/>
  <c r="L22" i="6"/>
  <c r="K28" i="6"/>
  <c r="M15" i="6"/>
  <c r="H28" i="6"/>
  <c r="N15" i="6"/>
  <c r="J28" i="6"/>
  <c r="N22" i="6"/>
  <c r="L15" i="6"/>
  <c r="M22" i="6"/>
  <c r="N12" i="6"/>
  <c r="H16" i="6"/>
  <c r="K16" i="6"/>
  <c r="I16" i="6"/>
  <c r="J16" i="6"/>
  <c r="M12" i="6"/>
  <c r="M10" i="6"/>
  <c r="L12" i="6"/>
  <c r="N10" i="6"/>
  <c r="L10" i="6"/>
  <c r="O35" i="6" l="1"/>
  <c r="M34" i="6"/>
  <c r="N34" i="6"/>
  <c r="O38" i="6"/>
  <c r="O24" i="6"/>
  <c r="O27" i="6"/>
  <c r="O22" i="6"/>
  <c r="O12" i="6"/>
  <c r="O15" i="6"/>
  <c r="O10" i="6"/>
  <c r="N33" i="6"/>
  <c r="M33" i="6"/>
  <c r="L33" i="6"/>
  <c r="K39" i="6"/>
  <c r="N28" i="6"/>
  <c r="M28" i="6"/>
  <c r="L28" i="6"/>
  <c r="L16" i="6"/>
  <c r="M16" i="6"/>
  <c r="N16" i="6"/>
  <c r="O34" i="6" l="1"/>
  <c r="N39" i="6"/>
  <c r="M39" i="6"/>
  <c r="L39" i="6"/>
  <c r="O28" i="6"/>
  <c r="O33" i="6"/>
  <c r="O16" i="6"/>
  <c r="O39" i="6" l="1"/>
  <c r="M20" i="2" l="1"/>
  <c r="C22" i="2"/>
  <c r="C20" i="2"/>
  <c r="R2" i="3"/>
  <c r="R22" i="3" l="1"/>
  <c r="R23" i="3"/>
  <c r="R24" i="3"/>
  <c r="R26" i="3"/>
  <c r="R27" i="3"/>
  <c r="R28" i="3"/>
  <c r="Q27" i="3"/>
  <c r="Q28" i="3"/>
  <c r="Q26" i="3"/>
  <c r="Q23" i="3"/>
  <c r="Q24" i="3"/>
  <c r="Q22" i="3"/>
  <c r="P27" i="3"/>
  <c r="P28" i="3"/>
  <c r="P26" i="3"/>
  <c r="P23" i="3"/>
  <c r="P24" i="3"/>
  <c r="P22" i="3"/>
  <c r="S3" i="3"/>
  <c r="T3" i="3"/>
  <c r="U3" i="3"/>
  <c r="S4" i="3"/>
  <c r="T4" i="3"/>
  <c r="U4" i="3"/>
  <c r="S7" i="3"/>
  <c r="T7" i="3"/>
  <c r="U7" i="3"/>
  <c r="S8" i="3"/>
  <c r="T8" i="3"/>
  <c r="U8" i="3"/>
  <c r="S9" i="3"/>
  <c r="T9" i="3"/>
  <c r="U9" i="3"/>
  <c r="S12" i="3"/>
  <c r="T12" i="3"/>
  <c r="U12" i="3"/>
  <c r="S13" i="3"/>
  <c r="T13" i="3"/>
  <c r="U13" i="3"/>
  <c r="S14" i="3"/>
  <c r="T14" i="3"/>
  <c r="U14" i="3"/>
  <c r="U2" i="3"/>
  <c r="T2" i="3"/>
  <c r="R3" i="3"/>
  <c r="R4" i="3"/>
  <c r="R7" i="3"/>
  <c r="R8" i="3"/>
  <c r="R9" i="3"/>
  <c r="R12" i="3"/>
  <c r="R13" i="3"/>
  <c r="R14" i="3"/>
  <c r="U22" i="1"/>
  <c r="V22" i="1"/>
  <c r="W22" i="1"/>
  <c r="X22" i="1"/>
  <c r="Y22" i="1"/>
  <c r="Z22" i="1"/>
  <c r="AA22" i="1"/>
  <c r="AB22" i="1"/>
  <c r="AC22" i="1"/>
  <c r="AD22" i="1"/>
  <c r="M48" i="1"/>
  <c r="I48" i="1"/>
  <c r="J22" i="1"/>
  <c r="AA40" i="1"/>
  <c r="AA41" i="1" s="1"/>
  <c r="AA42" i="1"/>
  <c r="V37" i="1"/>
  <c r="V38" i="1" s="1"/>
  <c r="Q39" i="1"/>
  <c r="Q38" i="1"/>
  <c r="Q37" i="1"/>
  <c r="M37" i="1"/>
  <c r="I37" i="1"/>
  <c r="I17" i="2"/>
  <c r="I18" i="2"/>
  <c r="F20" i="2"/>
  <c r="C21" i="2"/>
  <c r="F21" i="2"/>
  <c r="F22" i="2"/>
  <c r="M21" i="2"/>
  <c r="J8" i="1"/>
  <c r="J11" i="1" s="1"/>
  <c r="J18" i="1" s="1"/>
  <c r="I8" i="1"/>
  <c r="I11" i="1" s="1"/>
  <c r="I18" i="1" s="1"/>
  <c r="X3" i="3" l="1"/>
  <c r="W7" i="3"/>
  <c r="V7" i="3"/>
  <c r="V3" i="3"/>
  <c r="W9" i="3"/>
  <c r="W2" i="3"/>
  <c r="V14" i="3"/>
  <c r="V12" i="3"/>
  <c r="X7" i="3"/>
  <c r="X4" i="3"/>
  <c r="W8" i="3"/>
  <c r="V13" i="3"/>
  <c r="V2" i="3"/>
  <c r="X2" i="3"/>
  <c r="W14" i="3"/>
  <c r="X9" i="3"/>
  <c r="X13" i="3"/>
  <c r="V9" i="3"/>
  <c r="W4" i="3"/>
  <c r="W13" i="3"/>
  <c r="X8" i="3"/>
  <c r="V4" i="3"/>
  <c r="X12" i="3"/>
  <c r="W12" i="3"/>
  <c r="W3" i="3"/>
  <c r="I20" i="1"/>
  <c r="L20" i="1" s="1"/>
  <c r="L21" i="1" s="1"/>
  <c r="V8" i="3"/>
  <c r="I15" i="1"/>
  <c r="K15" i="1" s="1"/>
  <c r="K16" i="1" s="1"/>
  <c r="X14" i="3"/>
  <c r="I22" i="1"/>
  <c r="J15" i="1"/>
  <c r="J21" i="1"/>
  <c r="I21" i="1"/>
  <c r="J20" i="1"/>
  <c r="J17" i="1"/>
  <c r="I17" i="1"/>
  <c r="M20" i="1" l="1"/>
  <c r="M21" i="1" s="1"/>
  <c r="K20" i="1"/>
  <c r="K21" i="1" s="1"/>
  <c r="L15" i="1"/>
  <c r="L16" i="1" s="1"/>
  <c r="M15" i="1"/>
  <c r="M16" i="1" s="1"/>
  <c r="L17" i="1"/>
  <c r="M17" i="1"/>
  <c r="K17" i="1"/>
</calcChain>
</file>

<file path=xl/sharedStrings.xml><?xml version="1.0" encoding="utf-8"?>
<sst xmlns="http://schemas.openxmlformats.org/spreadsheetml/2006/main" count="651" uniqueCount="252">
  <si>
    <t>Standard meal Plan</t>
  </si>
  <si>
    <t>1 Por</t>
  </si>
  <si>
    <t>2 Por</t>
  </si>
  <si>
    <t>3 Por</t>
  </si>
  <si>
    <t>90+30</t>
  </si>
  <si>
    <t>120+30</t>
  </si>
  <si>
    <t>Calories</t>
  </si>
  <si>
    <t>Lunch</t>
  </si>
  <si>
    <t>Dinner</t>
  </si>
  <si>
    <t>Macro Distribution</t>
  </si>
  <si>
    <t>Low Carb Plan</t>
  </si>
  <si>
    <t>150+30</t>
  </si>
  <si>
    <t>Athlete</t>
  </si>
  <si>
    <t>B fast</t>
  </si>
  <si>
    <t>120+60</t>
  </si>
  <si>
    <t>150+60</t>
  </si>
  <si>
    <t>Men</t>
  </si>
  <si>
    <t>Women</t>
  </si>
  <si>
    <t>Age</t>
  </si>
  <si>
    <t>Hight</t>
  </si>
  <si>
    <t>Weight</t>
  </si>
  <si>
    <t>Men:</t>
  </si>
  <si>
    <t>BMR = 10×weight (kg)+6.25×height (cm)−5×age (years)+510 \times \text{weight (kg)} + 6.25 \times \text{height (cm)} - 5 \times \text{age (years)} + 510×weight (kg)+6.25×height (cm)−5×age (years)+5</t>
  </si>
  <si>
    <t>Women:</t>
  </si>
  <si>
    <t>BMR = 10×weight (kg)+6.25×height (cm)−5×age (years)−16110 \times \text{weight (kg)} + 6.25 \times \text{height (cm)} - 5 \times \text{age (years)} - 16110×weight (kg)+6.25×height (cm)−5×age (years)−161</t>
  </si>
  <si>
    <t>BMR</t>
  </si>
  <si>
    <t>Sedentary (little or no exercise): 1.2</t>
  </si>
  <si>
    <t>Lightly active (light exercise/sports 1-3 days/week): 1.375</t>
  </si>
  <si>
    <t>Moderately active (moderate exercise 3-5 days/week): 1.55</t>
  </si>
  <si>
    <t>Very active (hard exercise/sports 6-7 days/week): 1.725</t>
  </si>
  <si>
    <t>Extremely active (very hard exercise, physical job, or twice-daily training): 1.9</t>
  </si>
  <si>
    <t>Objective</t>
  </si>
  <si>
    <t>Weight Gain Gradual</t>
  </si>
  <si>
    <t>Weight Gain Rapid</t>
  </si>
  <si>
    <t xml:space="preserve">Weght loss Gradual </t>
  </si>
  <si>
    <t>Weght loss Rapid</t>
  </si>
  <si>
    <t>15 qr/d</t>
  </si>
  <si>
    <t>Extra protein shake</t>
  </si>
  <si>
    <t>10 qr/100g</t>
  </si>
  <si>
    <t>Extra protein</t>
  </si>
  <si>
    <t>10 qr/d</t>
  </si>
  <si>
    <t>free</t>
  </si>
  <si>
    <t>25 qr/d</t>
  </si>
  <si>
    <t>Extra dinner</t>
  </si>
  <si>
    <t>35 qr/d</t>
  </si>
  <si>
    <t>Extra lunch</t>
  </si>
  <si>
    <t>Extra breakfast</t>
  </si>
  <si>
    <t>Extra pm snack</t>
  </si>
  <si>
    <t>this program could be personlaized (this is just an example)</t>
  </si>
  <si>
    <t>30 qr/d</t>
  </si>
  <si>
    <t>Extra Bowl</t>
  </si>
  <si>
    <t>420g/d</t>
  </si>
  <si>
    <t>Max Protein</t>
  </si>
  <si>
    <t>Add-Ons</t>
  </si>
  <si>
    <t>330g/d</t>
  </si>
  <si>
    <t>270g/d</t>
  </si>
  <si>
    <t>7 ex Pro + 3 ex CHO</t>
  </si>
  <si>
    <t>600 Cal (120g meat)</t>
  </si>
  <si>
    <t>6 ex Pro + 3 ex CHO</t>
  </si>
  <si>
    <t>400 Cal (90g meat)</t>
  </si>
  <si>
    <t>5 ex Pro + 1.5 ex CHO</t>
  </si>
  <si>
    <t>360g/d</t>
  </si>
  <si>
    <t>300 Cal (60g meat)</t>
  </si>
  <si>
    <t>400 Cal</t>
  </si>
  <si>
    <t>Pm snack</t>
  </si>
  <si>
    <t>450 Cal (150g meat)</t>
  </si>
  <si>
    <t>150 Cal</t>
  </si>
  <si>
    <t>Pm Snack</t>
  </si>
  <si>
    <t>300 Cal</t>
  </si>
  <si>
    <t xml:space="preserve">Dinner </t>
  </si>
  <si>
    <t>Side dish</t>
  </si>
  <si>
    <t>350 Cal (120g meat)</t>
  </si>
  <si>
    <t>150 CaL</t>
  </si>
  <si>
    <t>Side Dish</t>
  </si>
  <si>
    <t>100 Cal</t>
  </si>
  <si>
    <t xml:space="preserve">Snack pm </t>
  </si>
  <si>
    <t>1p 100 cal/ 2p 200 Cal</t>
  </si>
  <si>
    <t>650 Cal (150g meat)</t>
  </si>
  <si>
    <t>500 Cal (120g meat)</t>
  </si>
  <si>
    <t>300 Cal (90g meat)</t>
  </si>
  <si>
    <t xml:space="preserve">Lunch </t>
  </si>
  <si>
    <t>200 Cal</t>
  </si>
  <si>
    <t>Am snack</t>
  </si>
  <si>
    <t>60 Cal</t>
  </si>
  <si>
    <t>Am Snack</t>
  </si>
  <si>
    <t>1p 50 Cal/2p 100Cal</t>
  </si>
  <si>
    <t>4 ex Pro + 2 ex CHO</t>
  </si>
  <si>
    <t>400 Cal (60g bread)</t>
  </si>
  <si>
    <t>250 Cal</t>
  </si>
  <si>
    <t>3 ex Pro + 1.5 ex CHO</t>
  </si>
  <si>
    <t>300 Cal (45g bread)</t>
  </si>
  <si>
    <t>Breakfast</t>
  </si>
  <si>
    <t>2 ex Pro + 1 ex CHO</t>
  </si>
  <si>
    <t xml:space="preserve">Breakfast </t>
  </si>
  <si>
    <t>200 Cal (30g bread)</t>
  </si>
  <si>
    <t>Caloric Distribution</t>
  </si>
  <si>
    <t>Detox</t>
  </si>
  <si>
    <t>High protein</t>
  </si>
  <si>
    <t>Low Carb</t>
  </si>
  <si>
    <t>Gourmet</t>
  </si>
  <si>
    <t xml:space="preserve">Balanced </t>
  </si>
  <si>
    <t>Carb</t>
  </si>
  <si>
    <t>Pro</t>
  </si>
  <si>
    <t>Fat</t>
  </si>
  <si>
    <t>macro Grams</t>
  </si>
  <si>
    <t>calories</t>
  </si>
  <si>
    <t>add On Pot</t>
  </si>
  <si>
    <t>30 gram</t>
  </si>
  <si>
    <t>Protein</t>
  </si>
  <si>
    <t>protein</t>
  </si>
  <si>
    <t>7g</t>
  </si>
  <si>
    <t>3g</t>
  </si>
  <si>
    <t>Light active TDEE</t>
  </si>
  <si>
    <t>Case 1 I choose Gradual weight Loss 1700</t>
  </si>
  <si>
    <t>Case 2 I choose Gradual weight rapid  1474</t>
  </si>
  <si>
    <t xml:space="preserve">Loose Weights </t>
  </si>
  <si>
    <t>Case 3 I choose Rapid Weight Gain</t>
  </si>
  <si>
    <t>deficit</t>
  </si>
  <si>
    <t>Weight gain rapid  2720</t>
  </si>
  <si>
    <t>Weight gain rapid  2195</t>
  </si>
  <si>
    <t>add Snack</t>
  </si>
  <si>
    <t>add Pots</t>
  </si>
  <si>
    <t xml:space="preserve">POT </t>
  </si>
  <si>
    <t>70 CAL</t>
  </si>
  <si>
    <t>Multiple Selection</t>
  </si>
  <si>
    <t xml:space="preserve">Weight Gain rapid Extremely active </t>
  </si>
  <si>
    <t>Weght loss Rapid sedentry</t>
  </si>
  <si>
    <t>Case 2 I choose Gradual weight rapid  1286</t>
  </si>
  <si>
    <t>hard Case 2 I choose Gradual weight loss 1000</t>
  </si>
  <si>
    <t>the lowest we can go is 1160 CAL</t>
  </si>
  <si>
    <t>how to distribute pots</t>
  </si>
  <si>
    <t>if 1 Pot</t>
  </si>
  <si>
    <t>if 2 Pot</t>
  </si>
  <si>
    <t>if 3 Pot</t>
  </si>
  <si>
    <t>if 4 Pot</t>
  </si>
  <si>
    <t>if 5 Pot</t>
  </si>
  <si>
    <t>if 6 Pot</t>
  </si>
  <si>
    <t>if 7 Pot</t>
  </si>
  <si>
    <t>if 8 Pot</t>
  </si>
  <si>
    <t>if 9 Pot</t>
  </si>
  <si>
    <t>if 10 Pot</t>
  </si>
  <si>
    <t>Total POT</t>
  </si>
  <si>
    <t>Item</t>
  </si>
  <si>
    <t xml:space="preserve">Break fast </t>
  </si>
  <si>
    <t>1.5 EX Pro</t>
  </si>
  <si>
    <t>1 Ex CHO</t>
  </si>
  <si>
    <t>2 Ex CHO</t>
  </si>
  <si>
    <t>3 Ex CHO</t>
  </si>
  <si>
    <t>1.5 Ex CHO</t>
  </si>
  <si>
    <t>3 EX Pro</t>
  </si>
  <si>
    <t>2 EX Pro</t>
  </si>
  <si>
    <t>Small</t>
  </si>
  <si>
    <t>Medium</t>
  </si>
  <si>
    <t>Large</t>
  </si>
  <si>
    <t>4 EX Pro</t>
  </si>
  <si>
    <t>2.5 EX Pro</t>
  </si>
  <si>
    <t>5 Ex CHO</t>
  </si>
  <si>
    <t>5 EX Pro</t>
  </si>
  <si>
    <t>4.5 Ex CHO</t>
  </si>
  <si>
    <t>Size</t>
  </si>
  <si>
    <t>Meal</t>
  </si>
  <si>
    <t>CHO Multiplier</t>
  </si>
  <si>
    <t>Protein Multiplier</t>
  </si>
  <si>
    <t>Medium (Base)</t>
  </si>
  <si>
    <t>All Meals</t>
  </si>
  <si>
    <t>Other</t>
  </si>
  <si>
    <t>Parsley</t>
  </si>
  <si>
    <t>Stroganoff Sauce</t>
  </si>
  <si>
    <t>Beef</t>
  </si>
  <si>
    <t>CHO</t>
  </si>
  <si>
    <t>Basmati Rice</t>
  </si>
  <si>
    <t>Multiplier Used</t>
  </si>
  <si>
    <t>Adjusted Qty (g)</t>
  </si>
  <si>
    <t>Category</t>
  </si>
  <si>
    <t>Component</t>
  </si>
  <si>
    <t>Portion Size</t>
  </si>
  <si>
    <t>small</t>
  </si>
  <si>
    <t xml:space="preserve">medium </t>
  </si>
  <si>
    <t>large</t>
  </si>
  <si>
    <t>Balance revised</t>
  </si>
  <si>
    <t>1 CHO</t>
  </si>
  <si>
    <t>80 Cal</t>
  </si>
  <si>
    <t>15 g Carbs</t>
  </si>
  <si>
    <t>50g rice , 70 Gr pasta , 1 Banana, 1 apple</t>
  </si>
  <si>
    <t>1PRO</t>
  </si>
  <si>
    <t>60cal</t>
  </si>
  <si>
    <t>7 gr protiens</t>
  </si>
  <si>
    <t>3 grams fat</t>
  </si>
  <si>
    <t>1 Fat</t>
  </si>
  <si>
    <t>45 Cal</t>
  </si>
  <si>
    <t>30g meat</t>
  </si>
  <si>
    <t>5 gr fat</t>
  </si>
  <si>
    <t>Carbs</t>
  </si>
  <si>
    <t>% Carb</t>
  </si>
  <si>
    <t>% PRO</t>
  </si>
  <si>
    <t>% faT</t>
  </si>
  <si>
    <t>FAT Multiplier</t>
  </si>
  <si>
    <t>CHO Exc</t>
  </si>
  <si>
    <t>PRO EXC</t>
  </si>
  <si>
    <t>FAT EXC</t>
  </si>
  <si>
    <t xml:space="preserve">Min </t>
  </si>
  <si>
    <t>max</t>
  </si>
  <si>
    <t>Min calories</t>
  </si>
  <si>
    <t>Max Calories</t>
  </si>
  <si>
    <t>max pro</t>
  </si>
  <si>
    <t>120g</t>
  </si>
  <si>
    <t>135g</t>
  </si>
  <si>
    <t>min pro</t>
  </si>
  <si>
    <t>70g</t>
  </si>
  <si>
    <t>Low Carb/flexi</t>
  </si>
  <si>
    <t>Athletes</t>
  </si>
  <si>
    <t>Min cal</t>
  </si>
  <si>
    <t>Max cal</t>
  </si>
  <si>
    <t>max cal</t>
  </si>
  <si>
    <t>130g</t>
  </si>
  <si>
    <t>Min pro</t>
  </si>
  <si>
    <t>90g</t>
  </si>
  <si>
    <t>Min Pro</t>
  </si>
  <si>
    <t xml:space="preserve">90g </t>
  </si>
  <si>
    <t xml:space="preserve">180g </t>
  </si>
  <si>
    <t>7 day boost</t>
  </si>
  <si>
    <t xml:space="preserve">calories </t>
  </si>
  <si>
    <t>min cal (female)</t>
  </si>
  <si>
    <t>Max Cal (male)</t>
  </si>
  <si>
    <t>med</t>
  </si>
  <si>
    <t>Aprox 50 carb/ 30/ protein/ 20 Fat</t>
  </si>
  <si>
    <t>Aprox 30 carb/ 40/ protein/ 30 Fat</t>
  </si>
  <si>
    <t>Aprox 40 carb/ 40/ protein/ 20 Fat</t>
  </si>
  <si>
    <t xml:space="preserve">Meal Type </t>
  </si>
  <si>
    <t xml:space="preserve">Balance Programs </t>
  </si>
  <si>
    <t>Macros distribution</t>
  </si>
  <si>
    <t xml:space="preserve">Carbs </t>
  </si>
  <si>
    <t xml:space="preserve">proteins </t>
  </si>
  <si>
    <t>fat</t>
  </si>
  <si>
    <t>Break f</t>
  </si>
  <si>
    <t>snack</t>
  </si>
  <si>
    <t>Snack 1</t>
  </si>
  <si>
    <t>Snack 2</t>
  </si>
  <si>
    <t>carbs</t>
  </si>
  <si>
    <t>fats</t>
  </si>
  <si>
    <t>medium</t>
  </si>
  <si>
    <t>add Proteins</t>
  </si>
  <si>
    <t>scenario 1</t>
  </si>
  <si>
    <t>scenario 2</t>
  </si>
  <si>
    <t>Add meal</t>
  </si>
  <si>
    <t>scenario 3</t>
  </si>
  <si>
    <t>salad</t>
  </si>
  <si>
    <t>sweet</t>
  </si>
  <si>
    <t>fruit</t>
  </si>
  <si>
    <t>EXTRA PROTIENS</t>
  </si>
  <si>
    <t>Extara B fast</t>
  </si>
  <si>
    <t>Extra Lunch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</si>
</sst>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u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0" fontId="3" fillId="0" borderId="0" xfId="0" applyFont="1"/>
    <xf numFmtId="164" fontId="3" fillId="0" borderId="0" xfId="1" applyNumberFormat="1" applyFont="1" applyAlignment="1">
      <alignment wrapText="1"/>
    </xf>
    <xf numFmtId="3" fontId="0" fillId="0" borderId="1" xfId="0" applyNumberFormat="1" applyBorder="1"/>
    <xf numFmtId="0" fontId="3" fillId="0" borderId="1" xfId="0" applyFont="1" applyBorder="1"/>
    <xf numFmtId="0" fontId="0" fillId="0" borderId="1" xfId="0" applyBorder="1"/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/>
    <xf numFmtId="8" fontId="0" fillId="0" borderId="0" xfId="0" applyNumberFormat="1"/>
    <xf numFmtId="0" fontId="0" fillId="0" borderId="4" xfId="0" applyBorder="1"/>
    <xf numFmtId="0" fontId="0" fillId="0" borderId="1" xfId="0" applyBorder="1" applyAlignment="1">
      <alignment horizontal="center"/>
    </xf>
    <xf numFmtId="0" fontId="5" fillId="0" borderId="2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7" fillId="0" borderId="1" xfId="0" applyFont="1" applyBorder="1"/>
    <xf numFmtId="0" fontId="5" fillId="0" borderId="3" xfId="0" applyFont="1" applyBorder="1"/>
    <xf numFmtId="0" fontId="3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0" fillId="7" borderId="0" xfId="1" applyNumberFormat="1" applyFont="1" applyFill="1"/>
    <xf numFmtId="0" fontId="0" fillId="0" borderId="3" xfId="0" applyBorder="1"/>
    <xf numFmtId="0" fontId="5" fillId="0" borderId="9" xfId="0" applyFont="1" applyBorder="1" applyAlignment="1">
      <alignment horizontal="left" vertical="center"/>
    </xf>
    <xf numFmtId="0" fontId="0" fillId="0" borderId="10" xfId="0" applyBorder="1"/>
    <xf numFmtId="0" fontId="3" fillId="0" borderId="11" xfId="0" applyFont="1" applyBorder="1"/>
    <xf numFmtId="0" fontId="5" fillId="0" borderId="12" xfId="0" applyFont="1" applyBorder="1" applyAlignment="1">
      <alignment horizontal="left" vertical="center"/>
    </xf>
    <xf numFmtId="0" fontId="2" fillId="0" borderId="0" xfId="0" applyFont="1"/>
    <xf numFmtId="0" fontId="5" fillId="0" borderId="13" xfId="0" applyFont="1" applyBorder="1" applyAlignment="1">
      <alignment horizontal="left" vertical="center"/>
    </xf>
    <xf numFmtId="0" fontId="0" fillId="0" borderId="14" xfId="0" applyBorder="1"/>
    <xf numFmtId="0" fontId="3" fillId="0" borderId="15" xfId="0" applyFont="1" applyBorder="1"/>
    <xf numFmtId="0" fontId="5" fillId="0" borderId="16" xfId="0" applyFont="1" applyBorder="1" applyAlignment="1">
      <alignment horizontal="left" vertical="center"/>
    </xf>
    <xf numFmtId="0" fontId="0" fillId="0" borderId="17" xfId="0" applyBorder="1"/>
    <xf numFmtId="0" fontId="0" fillId="0" borderId="18" xfId="0" applyBorder="1"/>
    <xf numFmtId="0" fontId="5" fillId="0" borderId="19" xfId="0" applyFont="1" applyBorder="1" applyAlignment="1">
      <alignment horizontal="left" vertical="center"/>
    </xf>
    <xf numFmtId="0" fontId="0" fillId="0" borderId="20" xfId="0" applyBorder="1"/>
    <xf numFmtId="0" fontId="5" fillId="0" borderId="2" xfId="0" applyFont="1" applyBorder="1"/>
    <xf numFmtId="0" fontId="0" fillId="0" borderId="2" xfId="0" applyBorder="1"/>
    <xf numFmtId="0" fontId="0" fillId="0" borderId="21" xfId="0" applyBorder="1"/>
    <xf numFmtId="0" fontId="0" fillId="0" borderId="7" xfId="0" applyBorder="1"/>
    <xf numFmtId="0" fontId="8" fillId="0" borderId="11" xfId="0" applyFont="1" applyBorder="1"/>
    <xf numFmtId="0" fontId="3" fillId="0" borderId="22" xfId="0" applyFont="1" applyBorder="1"/>
    <xf numFmtId="0" fontId="3" fillId="0" borderId="10" xfId="0" applyFont="1" applyBorder="1"/>
    <xf numFmtId="0" fontId="0" fillId="0" borderId="9" xfId="0" applyBorder="1"/>
    <xf numFmtId="0" fontId="0" fillId="0" borderId="23" xfId="0" applyBorder="1"/>
    <xf numFmtId="0" fontId="0" fillId="0" borderId="24" xfId="0" applyBorder="1"/>
    <xf numFmtId="0" fontId="0" fillId="7" borderId="0" xfId="0" applyFill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7" borderId="1" xfId="0" applyFont="1" applyFill="1" applyBorder="1"/>
    <xf numFmtId="0" fontId="0" fillId="7" borderId="1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" xfId="0" applyFill="1" applyBorder="1"/>
    <xf numFmtId="164" fontId="0" fillId="7" borderId="1" xfId="1" applyNumberFormat="1" applyFont="1" applyFill="1" applyBorder="1"/>
    <xf numFmtId="9" fontId="0" fillId="7" borderId="1" xfId="2" applyFont="1" applyFill="1" applyBorder="1"/>
    <xf numFmtId="0" fontId="3" fillId="7" borderId="0" xfId="0" applyFont="1" applyFill="1" applyAlignment="1">
      <alignment horizontal="center" vertical="top"/>
    </xf>
    <xf numFmtId="0" fontId="3" fillId="7" borderId="0" xfId="0" applyFont="1" applyFill="1" applyAlignment="1">
      <alignment horizontal="center" vertical="top" wrapText="1"/>
    </xf>
    <xf numFmtId="0" fontId="3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165" fontId="0" fillId="7" borderId="1" xfId="1" applyNumberFormat="1" applyFont="1" applyFill="1" applyBorder="1" applyAlignment="1">
      <alignment vertical="center" wrapText="1"/>
    </xf>
    <xf numFmtId="165" fontId="0" fillId="7" borderId="1" xfId="0" applyNumberFormat="1" applyFill="1" applyBorder="1" applyAlignment="1">
      <alignment vertical="center" wrapText="1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6" fillId="6" borderId="6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0" fillId="0" borderId="25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3" fillId="7" borderId="0" xfId="0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7" borderId="0" xfId="0" applyFont="1" applyFill="1"/>
    <xf numFmtId="0" fontId="3" fillId="0" borderId="27" xfId="0" applyNumberFormat="1" applyFont="1" applyBorder="1" applyAlignment="1">
      <alignment horizontal="center" wrapText="1"/>
    </xf>
    <xf numFmtId="9" fontId="0" fillId="0" borderId="0" xfId="0" applyNumberFormat="1"/>
    <xf numFmtId="0" fontId="3" fillId="7" borderId="1" xfId="0" applyFont="1" applyFill="1" applyBorder="1" applyAlignment="1">
      <alignment horizontal="center"/>
    </xf>
    <xf numFmtId="164" fontId="0" fillId="0" borderId="0" xfId="0" applyNumberFormat="1"/>
    <xf numFmtId="0" fontId="3" fillId="7" borderId="1" xfId="0" applyFont="1" applyFill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B17BD-D306-44FC-90F2-9AFB3A03EFCE}">
  <sheetPr>
    <pageSetUpPr fitToPage="1"/>
  </sheetPr>
  <dimension ref="A2:O45"/>
  <sheetViews>
    <sheetView zoomScaleNormal="100" workbookViewId="0">
      <selection activeCell="B10" sqref="B10"/>
    </sheetView>
  </sheetViews>
  <sheetFormatPr defaultRowHeight="14.4" x14ac:dyDescent="0.3"/>
  <cols>
    <col min="1" max="1" width="14.109375" bestFit="1" customWidth="1"/>
    <col min="2" max="2" width="17.88671875" bestFit="1" customWidth="1"/>
    <col min="4" max="4" width="14.5546875" bestFit="1" customWidth="1"/>
    <col min="5" max="5" width="18.33203125" bestFit="1" customWidth="1"/>
    <col min="7" max="7" width="30.109375" bestFit="1" customWidth="1"/>
    <col min="8" max="8" width="19" bestFit="1" customWidth="1"/>
    <col min="10" max="10" width="55" bestFit="1" customWidth="1"/>
    <col min="12" max="12" width="19.5546875" bestFit="1" customWidth="1"/>
    <col min="14" max="14" width="12.6640625" bestFit="1" customWidth="1"/>
    <col min="15" max="15" width="8.88671875" customWidth="1"/>
  </cols>
  <sheetData>
    <row r="2" spans="1:15" s="6" customFormat="1" x14ac:dyDescent="0.3">
      <c r="A2" s="92" t="s">
        <v>225</v>
      </c>
      <c r="B2" s="92"/>
      <c r="D2" s="92" t="s">
        <v>225</v>
      </c>
      <c r="E2" s="92"/>
      <c r="G2" s="92" t="s">
        <v>226</v>
      </c>
      <c r="H2" s="92"/>
      <c r="J2" s="92" t="s">
        <v>227</v>
      </c>
      <c r="K2" s="92"/>
    </row>
    <row r="3" spans="1:15" ht="18" x14ac:dyDescent="0.35">
      <c r="A3" s="71" t="s">
        <v>100</v>
      </c>
      <c r="B3" s="72"/>
      <c r="C3" s="23"/>
      <c r="D3" s="71" t="s">
        <v>99</v>
      </c>
      <c r="E3" s="72"/>
      <c r="G3" s="85" t="s">
        <v>98</v>
      </c>
      <c r="H3" s="86"/>
      <c r="J3" s="81" t="s">
        <v>97</v>
      </c>
      <c r="K3" s="82"/>
      <c r="L3" s="83"/>
      <c r="N3" s="79" t="s">
        <v>96</v>
      </c>
      <c r="O3" s="80"/>
    </row>
    <row r="4" spans="1:15" x14ac:dyDescent="0.3">
      <c r="A4" s="73" t="s">
        <v>95</v>
      </c>
      <c r="B4" s="74"/>
      <c r="C4" s="22"/>
      <c r="D4" s="73" t="s">
        <v>95</v>
      </c>
      <c r="E4" s="74"/>
      <c r="G4" s="73" t="s">
        <v>95</v>
      </c>
      <c r="H4" s="74"/>
      <c r="J4" s="73" t="s">
        <v>95</v>
      </c>
      <c r="K4" s="84"/>
      <c r="L4" s="74"/>
      <c r="N4" s="73" t="s">
        <v>95</v>
      </c>
      <c r="O4" s="74"/>
    </row>
    <row r="5" spans="1:15" x14ac:dyDescent="0.3">
      <c r="A5" s="68" t="s">
        <v>91</v>
      </c>
      <c r="B5" s="10" t="s">
        <v>94</v>
      </c>
      <c r="C5" s="15">
        <v>200</v>
      </c>
      <c r="D5" s="68" t="s">
        <v>91</v>
      </c>
      <c r="E5" s="10" t="s">
        <v>94</v>
      </c>
      <c r="F5">
        <v>200</v>
      </c>
      <c r="G5" s="68" t="s">
        <v>93</v>
      </c>
      <c r="H5" s="20" t="s">
        <v>81</v>
      </c>
      <c r="I5">
        <v>200</v>
      </c>
      <c r="J5" s="68" t="s">
        <v>93</v>
      </c>
      <c r="K5" s="16">
        <v>250</v>
      </c>
      <c r="L5" s="10" t="s">
        <v>92</v>
      </c>
      <c r="M5">
        <v>250</v>
      </c>
      <c r="N5" s="68" t="s">
        <v>91</v>
      </c>
      <c r="O5" s="10" t="s">
        <v>66</v>
      </c>
    </row>
    <row r="6" spans="1:15" x14ac:dyDescent="0.3">
      <c r="A6" s="70"/>
      <c r="B6" s="10" t="s">
        <v>90</v>
      </c>
      <c r="C6" s="15">
        <v>300</v>
      </c>
      <c r="D6" s="70"/>
      <c r="E6" s="10" t="s">
        <v>90</v>
      </c>
      <c r="F6">
        <v>300</v>
      </c>
      <c r="G6" s="69"/>
      <c r="H6" s="20" t="s">
        <v>68</v>
      </c>
      <c r="I6">
        <v>300</v>
      </c>
      <c r="J6" s="70"/>
      <c r="K6" s="16">
        <v>350</v>
      </c>
      <c r="L6" s="10" t="s">
        <v>89</v>
      </c>
      <c r="M6">
        <v>350</v>
      </c>
      <c r="N6" s="69"/>
      <c r="O6" s="10" t="s">
        <v>88</v>
      </c>
    </row>
    <row r="7" spans="1:15" x14ac:dyDescent="0.3">
      <c r="A7" s="69"/>
      <c r="B7" s="10" t="s">
        <v>87</v>
      </c>
      <c r="C7" s="15">
        <v>400</v>
      </c>
      <c r="D7" s="69"/>
      <c r="E7" s="10" t="s">
        <v>87</v>
      </c>
      <c r="F7">
        <v>400</v>
      </c>
      <c r="G7" s="13" t="s">
        <v>84</v>
      </c>
      <c r="H7" s="20" t="s">
        <v>85</v>
      </c>
      <c r="I7">
        <v>50</v>
      </c>
      <c r="J7" s="69"/>
      <c r="K7" s="16">
        <v>500</v>
      </c>
      <c r="L7" s="10" t="s">
        <v>86</v>
      </c>
      <c r="M7">
        <v>500</v>
      </c>
      <c r="N7" s="13" t="s">
        <v>82</v>
      </c>
      <c r="O7" s="10" t="s">
        <v>83</v>
      </c>
    </row>
    <row r="8" spans="1:15" x14ac:dyDescent="0.3">
      <c r="A8" s="18"/>
      <c r="B8" s="10"/>
      <c r="C8" s="15"/>
      <c r="D8" s="18"/>
      <c r="E8" s="10"/>
      <c r="G8" s="13" t="s">
        <v>84</v>
      </c>
      <c r="H8" s="20" t="s">
        <v>85</v>
      </c>
      <c r="I8">
        <v>100</v>
      </c>
      <c r="J8" s="17"/>
      <c r="K8" s="16"/>
      <c r="L8" s="10"/>
      <c r="N8" s="21"/>
      <c r="O8" s="10"/>
    </row>
    <row r="9" spans="1:15" x14ac:dyDescent="0.3">
      <c r="A9" s="18" t="s">
        <v>84</v>
      </c>
      <c r="B9" s="10" t="s">
        <v>83</v>
      </c>
      <c r="C9" s="15">
        <v>60</v>
      </c>
      <c r="D9" s="18" t="s">
        <v>84</v>
      </c>
      <c r="E9" s="10" t="s">
        <v>83</v>
      </c>
      <c r="F9">
        <v>60</v>
      </c>
      <c r="G9" s="68" t="s">
        <v>80</v>
      </c>
      <c r="H9" s="20" t="s">
        <v>71</v>
      </c>
      <c r="I9">
        <v>350</v>
      </c>
      <c r="J9" s="13" t="s">
        <v>82</v>
      </c>
      <c r="K9" s="16">
        <v>60</v>
      </c>
      <c r="L9" s="10"/>
      <c r="M9">
        <v>60</v>
      </c>
      <c r="N9" s="68" t="s">
        <v>7</v>
      </c>
      <c r="O9" s="10" t="s">
        <v>81</v>
      </c>
    </row>
    <row r="10" spans="1:15" x14ac:dyDescent="0.3">
      <c r="A10" s="68" t="s">
        <v>80</v>
      </c>
      <c r="B10" s="10" t="s">
        <v>79</v>
      </c>
      <c r="C10" s="15">
        <v>300</v>
      </c>
      <c r="D10" s="68" t="s">
        <v>80</v>
      </c>
      <c r="E10" s="10" t="s">
        <v>79</v>
      </c>
      <c r="F10">
        <v>300</v>
      </c>
      <c r="G10" s="69"/>
      <c r="H10" s="20" t="s">
        <v>65</v>
      </c>
      <c r="I10">
        <v>450</v>
      </c>
      <c r="J10" s="68" t="s">
        <v>7</v>
      </c>
      <c r="K10" s="16">
        <v>500</v>
      </c>
      <c r="L10" s="10" t="s">
        <v>60</v>
      </c>
      <c r="M10">
        <v>500</v>
      </c>
      <c r="N10" s="69"/>
      <c r="O10" s="10" t="s">
        <v>68</v>
      </c>
    </row>
    <row r="11" spans="1:15" x14ac:dyDescent="0.3">
      <c r="A11" s="70"/>
      <c r="B11" s="10" t="s">
        <v>78</v>
      </c>
      <c r="C11" s="15">
        <v>500</v>
      </c>
      <c r="D11" s="70"/>
      <c r="E11" s="10" t="s">
        <v>78</v>
      </c>
      <c r="F11">
        <v>500</v>
      </c>
      <c r="G11" s="13" t="s">
        <v>70</v>
      </c>
      <c r="H11" s="20" t="s">
        <v>66</v>
      </c>
      <c r="I11">
        <v>150</v>
      </c>
      <c r="J11" s="70"/>
      <c r="K11" s="16">
        <v>700</v>
      </c>
      <c r="L11" s="10" t="s">
        <v>58</v>
      </c>
      <c r="M11">
        <v>700</v>
      </c>
      <c r="N11" s="13" t="s">
        <v>73</v>
      </c>
      <c r="O11" s="10" t="s">
        <v>74</v>
      </c>
    </row>
    <row r="12" spans="1:15" x14ac:dyDescent="0.3">
      <c r="A12" s="70"/>
      <c r="B12" s="10"/>
      <c r="C12" s="15"/>
      <c r="D12" s="70"/>
      <c r="E12" s="10"/>
      <c r="G12" s="13" t="s">
        <v>64</v>
      </c>
      <c r="H12" s="20" t="s">
        <v>76</v>
      </c>
      <c r="I12">
        <v>100</v>
      </c>
      <c r="J12" s="70"/>
      <c r="K12" s="16"/>
      <c r="L12" s="10"/>
      <c r="N12" s="13"/>
      <c r="O12" s="10"/>
    </row>
    <row r="13" spans="1:15" x14ac:dyDescent="0.3">
      <c r="A13" s="69"/>
      <c r="B13" s="10" t="s">
        <v>77</v>
      </c>
      <c r="C13" s="15">
        <v>650</v>
      </c>
      <c r="D13" s="69"/>
      <c r="E13" s="10" t="s">
        <v>77</v>
      </c>
      <c r="F13">
        <v>650</v>
      </c>
      <c r="G13" s="13" t="s">
        <v>64</v>
      </c>
      <c r="H13" s="20" t="s">
        <v>76</v>
      </c>
      <c r="I13">
        <v>200</v>
      </c>
      <c r="J13" s="69"/>
      <c r="K13" s="16">
        <v>750</v>
      </c>
      <c r="L13" s="10" t="s">
        <v>56</v>
      </c>
      <c r="M13">
        <v>750</v>
      </c>
      <c r="N13" s="13" t="s">
        <v>75</v>
      </c>
      <c r="O13" s="10" t="s">
        <v>74</v>
      </c>
    </row>
    <row r="14" spans="1:15" x14ac:dyDescent="0.3">
      <c r="A14" s="13" t="s">
        <v>73</v>
      </c>
      <c r="B14" s="10" t="s">
        <v>72</v>
      </c>
      <c r="C14" s="15">
        <v>150</v>
      </c>
      <c r="D14" s="13" t="s">
        <v>73</v>
      </c>
      <c r="E14" s="10" t="s">
        <v>72</v>
      </c>
      <c r="F14">
        <v>150</v>
      </c>
      <c r="G14" s="68" t="s">
        <v>69</v>
      </c>
      <c r="H14" s="20" t="s">
        <v>71</v>
      </c>
      <c r="I14">
        <v>350</v>
      </c>
      <c r="J14" s="13" t="s">
        <v>70</v>
      </c>
      <c r="K14" s="16">
        <v>150</v>
      </c>
      <c r="L14" s="77"/>
      <c r="M14">
        <v>150</v>
      </c>
      <c r="N14" s="68" t="s">
        <v>69</v>
      </c>
      <c r="O14" s="10" t="s">
        <v>68</v>
      </c>
    </row>
    <row r="15" spans="1:15" x14ac:dyDescent="0.3">
      <c r="A15" s="13" t="s">
        <v>67</v>
      </c>
      <c r="B15" s="10" t="s">
        <v>66</v>
      </c>
      <c r="C15" s="15">
        <v>150</v>
      </c>
      <c r="D15" s="13" t="s">
        <v>67</v>
      </c>
      <c r="E15" s="10" t="s">
        <v>66</v>
      </c>
      <c r="F15">
        <v>150</v>
      </c>
      <c r="G15" s="69"/>
      <c r="H15" s="20" t="s">
        <v>65</v>
      </c>
      <c r="I15">
        <v>450</v>
      </c>
      <c r="J15" s="13" t="s">
        <v>64</v>
      </c>
      <c r="K15" s="16">
        <v>150</v>
      </c>
      <c r="L15" s="78"/>
      <c r="M15">
        <v>150</v>
      </c>
      <c r="N15" s="69"/>
      <c r="O15" s="10" t="s">
        <v>63</v>
      </c>
    </row>
    <row r="16" spans="1:15" x14ac:dyDescent="0.3">
      <c r="A16" s="68" t="s">
        <v>8</v>
      </c>
      <c r="B16" s="10" t="s">
        <v>62</v>
      </c>
      <c r="C16" s="15">
        <v>300</v>
      </c>
      <c r="D16" s="68" t="s">
        <v>8</v>
      </c>
      <c r="E16" s="10" t="s">
        <v>62</v>
      </c>
      <c r="F16">
        <v>300</v>
      </c>
      <c r="G16" s="9" t="s">
        <v>52</v>
      </c>
      <c r="H16" s="10" t="s">
        <v>61</v>
      </c>
      <c r="J16" s="68" t="s">
        <v>8</v>
      </c>
      <c r="K16" s="16">
        <v>500</v>
      </c>
      <c r="L16" s="10" t="s">
        <v>60</v>
      </c>
      <c r="M16">
        <v>500</v>
      </c>
    </row>
    <row r="17" spans="1:13" x14ac:dyDescent="0.3">
      <c r="A17" s="70"/>
      <c r="B17" s="10" t="s">
        <v>59</v>
      </c>
      <c r="C17" s="15">
        <v>400</v>
      </c>
      <c r="D17" s="70"/>
      <c r="E17" s="10" t="s">
        <v>59</v>
      </c>
      <c r="F17">
        <v>400</v>
      </c>
      <c r="H17" t="s">
        <v>200</v>
      </c>
      <c r="I17" s="15">
        <f>I5+I7+I9+I11+I12+I14</f>
        <v>1200</v>
      </c>
      <c r="J17" s="70"/>
      <c r="K17" s="16">
        <v>700</v>
      </c>
      <c r="L17" s="10" t="s">
        <v>58</v>
      </c>
      <c r="M17">
        <v>700</v>
      </c>
    </row>
    <row r="18" spans="1:13" x14ac:dyDescent="0.3">
      <c r="A18" s="69"/>
      <c r="B18" s="10" t="s">
        <v>57</v>
      </c>
      <c r="C18" s="15">
        <v>600</v>
      </c>
      <c r="D18" s="69"/>
      <c r="E18" s="10" t="s">
        <v>57</v>
      </c>
      <c r="F18">
        <v>600</v>
      </c>
      <c r="H18" t="s">
        <v>201</v>
      </c>
      <c r="I18" s="15">
        <f>I6+I8+I10+I11+I13+I15</f>
        <v>1650</v>
      </c>
      <c r="J18" s="69"/>
      <c r="K18" s="16">
        <v>750</v>
      </c>
      <c r="L18" s="10" t="s">
        <v>56</v>
      </c>
      <c r="M18">
        <v>750</v>
      </c>
    </row>
    <row r="19" spans="1:13" ht="18" x14ac:dyDescent="0.35">
      <c r="A19" s="9" t="s">
        <v>52</v>
      </c>
      <c r="B19" s="10" t="s">
        <v>55</v>
      </c>
      <c r="C19" s="15"/>
      <c r="D19" s="9" t="s">
        <v>52</v>
      </c>
      <c r="E19" s="10" t="s">
        <v>54</v>
      </c>
      <c r="G19" s="75" t="s">
        <v>53</v>
      </c>
      <c r="H19" s="76"/>
      <c r="I19" s="15"/>
      <c r="J19" s="9" t="s">
        <v>52</v>
      </c>
      <c r="K19" s="10" t="s">
        <v>51</v>
      </c>
    </row>
    <row r="20" spans="1:13" x14ac:dyDescent="0.3">
      <c r="B20" t="s">
        <v>200</v>
      </c>
      <c r="C20" s="15">
        <f>C5+C9+C10+C14+C15+C16</f>
        <v>1160</v>
      </c>
      <c r="E20" t="s">
        <v>200</v>
      </c>
      <c r="F20" s="15">
        <f>F5+F9+F10+F14+F15+F16</f>
        <v>1160</v>
      </c>
      <c r="G20" s="12" t="s">
        <v>50</v>
      </c>
      <c r="H20" s="10" t="s">
        <v>49</v>
      </c>
      <c r="J20" t="s">
        <v>48</v>
      </c>
      <c r="L20" t="s">
        <v>200</v>
      </c>
      <c r="M20">
        <f>M5+M9+M10+M14+M15+M16</f>
        <v>1610</v>
      </c>
    </row>
    <row r="21" spans="1:13" x14ac:dyDescent="0.3">
      <c r="B21" t="s">
        <v>224</v>
      </c>
      <c r="C21" s="15">
        <f>C6+C9+C11+C14+C15+C17</f>
        <v>1560</v>
      </c>
      <c r="E21" t="s">
        <v>224</v>
      </c>
      <c r="F21" s="15">
        <f>F6+F9+F11+F14+F15+F17</f>
        <v>1560</v>
      </c>
      <c r="G21" s="11" t="s">
        <v>47</v>
      </c>
      <c r="H21" s="10" t="s">
        <v>40</v>
      </c>
      <c r="L21" t="s">
        <v>201</v>
      </c>
      <c r="M21">
        <f>M7+M9+M13+M14+M15+M18</f>
        <v>2360</v>
      </c>
    </row>
    <row r="22" spans="1:13" x14ac:dyDescent="0.3">
      <c r="B22" t="s">
        <v>200</v>
      </c>
      <c r="C22" s="15">
        <f>C7+C9+C13+C14+C15+C18</f>
        <v>2010</v>
      </c>
      <c r="E22" t="s">
        <v>200</v>
      </c>
      <c r="F22" s="15">
        <f>F7+F9+F13+F14+F15+F18</f>
        <v>2010</v>
      </c>
      <c r="G22" s="13" t="s">
        <v>46</v>
      </c>
      <c r="H22" s="10" t="s">
        <v>36</v>
      </c>
    </row>
    <row r="23" spans="1:13" x14ac:dyDescent="0.3">
      <c r="G23" s="12" t="s">
        <v>45</v>
      </c>
      <c r="H23" s="10" t="s">
        <v>44</v>
      </c>
    </row>
    <row r="24" spans="1:13" ht="14.4" customHeight="1" x14ac:dyDescent="0.3">
      <c r="G24" s="11" t="s">
        <v>43</v>
      </c>
      <c r="H24" s="10" t="s">
        <v>42</v>
      </c>
    </row>
    <row r="25" spans="1:13" ht="14.4" customHeight="1" x14ac:dyDescent="0.3">
      <c r="A25" t="s">
        <v>180</v>
      </c>
      <c r="B25" t="s">
        <v>181</v>
      </c>
      <c r="C25" t="s">
        <v>182</v>
      </c>
      <c r="D25" t="s">
        <v>183</v>
      </c>
      <c r="G25" s="13"/>
      <c r="H25" s="10" t="s">
        <v>36</v>
      </c>
      <c r="L25" s="14"/>
    </row>
    <row r="26" spans="1:13" x14ac:dyDescent="0.3">
      <c r="A26" t="s">
        <v>184</v>
      </c>
      <c r="B26" t="s">
        <v>185</v>
      </c>
      <c r="C26" t="s">
        <v>186</v>
      </c>
      <c r="D26" t="s">
        <v>187</v>
      </c>
      <c r="E26" t="s">
        <v>190</v>
      </c>
      <c r="G26" s="13"/>
      <c r="H26" s="10" t="s">
        <v>41</v>
      </c>
    </row>
    <row r="27" spans="1:13" ht="14.4" customHeight="1" x14ac:dyDescent="0.3">
      <c r="A27" t="s">
        <v>188</v>
      </c>
      <c r="B27" t="s">
        <v>189</v>
      </c>
      <c r="C27" t="s">
        <v>191</v>
      </c>
      <c r="G27" s="12"/>
      <c r="H27" s="10" t="s">
        <v>40</v>
      </c>
    </row>
    <row r="28" spans="1:13" ht="14.4" customHeight="1" x14ac:dyDescent="0.3">
      <c r="G28" s="11" t="s">
        <v>39</v>
      </c>
      <c r="H28" s="10" t="s">
        <v>38</v>
      </c>
    </row>
    <row r="29" spans="1:13" ht="14.4" customHeight="1" x14ac:dyDescent="0.3">
      <c r="G29" s="11" t="s">
        <v>37</v>
      </c>
      <c r="H29" s="10" t="s">
        <v>36</v>
      </c>
    </row>
    <row r="30" spans="1:13" x14ac:dyDescent="0.3">
      <c r="G30" s="9"/>
      <c r="H30" s="8"/>
    </row>
    <row r="35" spans="1:8" x14ac:dyDescent="0.3">
      <c r="A35" s="89" t="s">
        <v>100</v>
      </c>
      <c r="B35" s="90"/>
      <c r="C35" s="6"/>
      <c r="D35" s="89" t="s">
        <v>99</v>
      </c>
      <c r="E35" s="89"/>
      <c r="G35" s="89" t="s">
        <v>220</v>
      </c>
      <c r="H35" s="90"/>
    </row>
    <row r="36" spans="1:8" x14ac:dyDescent="0.3">
      <c r="A36" t="s">
        <v>202</v>
      </c>
      <c r="B36">
        <v>1200</v>
      </c>
      <c r="D36" t="s">
        <v>202</v>
      </c>
      <c r="E36">
        <v>1200</v>
      </c>
      <c r="G36" t="s">
        <v>221</v>
      </c>
      <c r="H36">
        <v>1000</v>
      </c>
    </row>
    <row r="37" spans="1:8" x14ac:dyDescent="0.3">
      <c r="A37" t="s">
        <v>203</v>
      </c>
      <c r="B37">
        <v>2000</v>
      </c>
      <c r="D37" t="s">
        <v>203</v>
      </c>
      <c r="E37">
        <v>2100</v>
      </c>
      <c r="G37" t="s">
        <v>109</v>
      </c>
      <c r="H37" t="s">
        <v>208</v>
      </c>
    </row>
    <row r="38" spans="1:8" x14ac:dyDescent="0.3">
      <c r="A38" t="s">
        <v>204</v>
      </c>
      <c r="B38" t="s">
        <v>205</v>
      </c>
      <c r="D38" t="s">
        <v>204</v>
      </c>
      <c r="E38" t="s">
        <v>206</v>
      </c>
    </row>
    <row r="39" spans="1:8" x14ac:dyDescent="0.3">
      <c r="A39" t="s">
        <v>207</v>
      </c>
      <c r="B39" t="s">
        <v>208</v>
      </c>
      <c r="D39" t="s">
        <v>207</v>
      </c>
      <c r="E39" t="s">
        <v>208</v>
      </c>
      <c r="G39" s="89" t="s">
        <v>96</v>
      </c>
      <c r="H39" s="90"/>
    </row>
    <row r="40" spans="1:8" x14ac:dyDescent="0.3">
      <c r="G40" t="s">
        <v>222</v>
      </c>
      <c r="H40">
        <v>900</v>
      </c>
    </row>
    <row r="41" spans="1:8" x14ac:dyDescent="0.3">
      <c r="A41" s="89" t="s">
        <v>209</v>
      </c>
      <c r="B41" s="89"/>
      <c r="C41" s="91"/>
      <c r="D41" s="89" t="s">
        <v>210</v>
      </c>
      <c r="E41" s="89"/>
      <c r="G41" t="s">
        <v>223</v>
      </c>
      <c r="H41">
        <v>1200</v>
      </c>
    </row>
    <row r="42" spans="1:8" x14ac:dyDescent="0.3">
      <c r="A42" t="s">
        <v>211</v>
      </c>
      <c r="B42">
        <v>1200</v>
      </c>
      <c r="D42" t="s">
        <v>211</v>
      </c>
      <c r="E42">
        <v>1200</v>
      </c>
    </row>
    <row r="43" spans="1:8" x14ac:dyDescent="0.3">
      <c r="A43" t="s">
        <v>212</v>
      </c>
      <c r="B43">
        <v>1700</v>
      </c>
      <c r="D43" t="s">
        <v>213</v>
      </c>
      <c r="E43">
        <v>2700</v>
      </c>
    </row>
    <row r="44" spans="1:8" x14ac:dyDescent="0.3">
      <c r="A44" t="s">
        <v>52</v>
      </c>
      <c r="B44" t="s">
        <v>214</v>
      </c>
      <c r="D44" t="s">
        <v>215</v>
      </c>
      <c r="E44" t="s">
        <v>216</v>
      </c>
    </row>
    <row r="45" spans="1:8" x14ac:dyDescent="0.3">
      <c r="A45" t="s">
        <v>217</v>
      </c>
      <c r="B45" t="s">
        <v>218</v>
      </c>
      <c r="D45" t="s">
        <v>204</v>
      </c>
      <c r="E45" t="s">
        <v>219</v>
      </c>
    </row>
  </sheetData>
  <mergeCells count="37">
    <mergeCell ref="G39:H39"/>
    <mergeCell ref="A2:B2"/>
    <mergeCell ref="D2:E2"/>
    <mergeCell ref="G2:H2"/>
    <mergeCell ref="J2:K2"/>
    <mergeCell ref="A35:B35"/>
    <mergeCell ref="D35:E35"/>
    <mergeCell ref="D41:E41"/>
    <mergeCell ref="A41:B41"/>
    <mergeCell ref="G35:H35"/>
    <mergeCell ref="G19:H19"/>
    <mergeCell ref="J10:J13"/>
    <mergeCell ref="J16:J18"/>
    <mergeCell ref="L14:L15"/>
    <mergeCell ref="N3:O3"/>
    <mergeCell ref="N4:O4"/>
    <mergeCell ref="N5:N6"/>
    <mergeCell ref="N9:N10"/>
    <mergeCell ref="N14:N15"/>
    <mergeCell ref="J3:L3"/>
    <mergeCell ref="J4:L4"/>
    <mergeCell ref="J5:J7"/>
    <mergeCell ref="G4:H4"/>
    <mergeCell ref="G3:H3"/>
    <mergeCell ref="G5:G6"/>
    <mergeCell ref="G14:G15"/>
    <mergeCell ref="G9:G10"/>
    <mergeCell ref="A16:A18"/>
    <mergeCell ref="D3:E3"/>
    <mergeCell ref="D4:E4"/>
    <mergeCell ref="D5:D7"/>
    <mergeCell ref="D10:D13"/>
    <mergeCell ref="D16:D18"/>
    <mergeCell ref="A3:B3"/>
    <mergeCell ref="A4:B4"/>
    <mergeCell ref="A5:A7"/>
    <mergeCell ref="A10:A13"/>
  </mergeCells>
  <pageMargins left="0.7" right="0.7" top="0.75" bottom="0.75" header="0.3" footer="0.3"/>
  <pageSetup paperSize="8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98EC0-A44E-4EA0-8492-85C6C589336E}">
  <dimension ref="A1:F13"/>
  <sheetViews>
    <sheetView workbookViewId="0">
      <selection activeCell="L18" sqref="L18"/>
    </sheetView>
  </sheetViews>
  <sheetFormatPr defaultRowHeight="14.4" x14ac:dyDescent="0.3"/>
  <sheetData>
    <row r="1" spans="1:6" x14ac:dyDescent="0.3">
      <c r="A1" s="50" t="s">
        <v>175</v>
      </c>
      <c r="B1" s="50" t="s">
        <v>174</v>
      </c>
      <c r="C1" s="50" t="s">
        <v>173</v>
      </c>
      <c r="D1" s="50" t="s">
        <v>172</v>
      </c>
      <c r="E1" s="50" t="s">
        <v>6</v>
      </c>
      <c r="F1" s="50" t="s">
        <v>171</v>
      </c>
    </row>
    <row r="2" spans="1:6" x14ac:dyDescent="0.3">
      <c r="A2" t="s">
        <v>151</v>
      </c>
      <c r="B2" t="s">
        <v>170</v>
      </c>
      <c r="C2" t="s">
        <v>169</v>
      </c>
      <c r="D2">
        <v>50</v>
      </c>
      <c r="E2">
        <v>65</v>
      </c>
      <c r="F2">
        <v>0.5</v>
      </c>
    </row>
    <row r="3" spans="1:6" x14ac:dyDescent="0.3">
      <c r="A3" t="s">
        <v>151</v>
      </c>
      <c r="B3" t="s">
        <v>168</v>
      </c>
      <c r="C3" t="s">
        <v>102</v>
      </c>
      <c r="D3">
        <v>90</v>
      </c>
      <c r="E3">
        <v>180</v>
      </c>
      <c r="F3">
        <v>0.75</v>
      </c>
    </row>
    <row r="4" spans="1:6" x14ac:dyDescent="0.3">
      <c r="A4" t="s">
        <v>151</v>
      </c>
      <c r="B4" t="s">
        <v>167</v>
      </c>
      <c r="C4" t="s">
        <v>103</v>
      </c>
      <c r="D4">
        <v>50</v>
      </c>
      <c r="E4">
        <v>110</v>
      </c>
      <c r="F4">
        <v>1</v>
      </c>
    </row>
    <row r="5" spans="1:6" x14ac:dyDescent="0.3">
      <c r="A5" t="s">
        <v>151</v>
      </c>
      <c r="B5" t="s">
        <v>166</v>
      </c>
      <c r="C5" t="s">
        <v>165</v>
      </c>
      <c r="D5">
        <v>5</v>
      </c>
      <c r="E5">
        <v>2</v>
      </c>
      <c r="F5">
        <v>1</v>
      </c>
    </row>
    <row r="6" spans="1:6" x14ac:dyDescent="0.3">
      <c r="A6" t="s">
        <v>152</v>
      </c>
      <c r="B6" t="s">
        <v>170</v>
      </c>
      <c r="C6" t="s">
        <v>169</v>
      </c>
      <c r="D6">
        <v>100</v>
      </c>
      <c r="E6">
        <v>130</v>
      </c>
      <c r="F6">
        <v>1</v>
      </c>
    </row>
    <row r="7" spans="1:6" x14ac:dyDescent="0.3">
      <c r="A7" t="s">
        <v>152</v>
      </c>
      <c r="B7" t="s">
        <v>168</v>
      </c>
      <c r="C7" t="s">
        <v>102</v>
      </c>
      <c r="D7">
        <v>120</v>
      </c>
      <c r="E7">
        <v>240</v>
      </c>
      <c r="F7">
        <v>1</v>
      </c>
    </row>
    <row r="8" spans="1:6" x14ac:dyDescent="0.3">
      <c r="A8" t="s">
        <v>152</v>
      </c>
      <c r="B8" t="s">
        <v>167</v>
      </c>
      <c r="C8" t="s">
        <v>103</v>
      </c>
      <c r="D8">
        <v>50</v>
      </c>
      <c r="E8">
        <v>110</v>
      </c>
      <c r="F8">
        <v>1</v>
      </c>
    </row>
    <row r="9" spans="1:6" x14ac:dyDescent="0.3">
      <c r="A9" t="s">
        <v>152</v>
      </c>
      <c r="B9" t="s">
        <v>166</v>
      </c>
      <c r="C9" t="s">
        <v>165</v>
      </c>
      <c r="D9">
        <v>5</v>
      </c>
      <c r="E9">
        <v>2</v>
      </c>
      <c r="F9">
        <v>1</v>
      </c>
    </row>
    <row r="10" spans="1:6" x14ac:dyDescent="0.3">
      <c r="A10" t="s">
        <v>153</v>
      </c>
      <c r="B10" t="s">
        <v>170</v>
      </c>
      <c r="C10" t="s">
        <v>169</v>
      </c>
      <c r="D10">
        <v>167</v>
      </c>
      <c r="E10">
        <v>217.1</v>
      </c>
      <c r="F10">
        <v>1.67</v>
      </c>
    </row>
    <row r="11" spans="1:6" x14ac:dyDescent="0.3">
      <c r="A11" t="s">
        <v>153</v>
      </c>
      <c r="B11" t="s">
        <v>168</v>
      </c>
      <c r="C11" t="s">
        <v>102</v>
      </c>
      <c r="D11">
        <v>150</v>
      </c>
      <c r="E11">
        <v>300</v>
      </c>
      <c r="F11">
        <v>1.25</v>
      </c>
    </row>
    <row r="12" spans="1:6" x14ac:dyDescent="0.3">
      <c r="A12" t="s">
        <v>153</v>
      </c>
      <c r="B12" t="s">
        <v>167</v>
      </c>
      <c r="C12" t="s">
        <v>103</v>
      </c>
      <c r="D12">
        <v>50</v>
      </c>
      <c r="E12">
        <v>110</v>
      </c>
      <c r="F12">
        <v>1</v>
      </c>
    </row>
    <row r="13" spans="1:6" x14ac:dyDescent="0.3">
      <c r="A13" t="s">
        <v>153</v>
      </c>
      <c r="B13" t="s">
        <v>166</v>
      </c>
      <c r="C13" t="s">
        <v>165</v>
      </c>
      <c r="D13">
        <v>5</v>
      </c>
      <c r="E13">
        <v>2</v>
      </c>
      <c r="F1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5FA25-02B1-4FBD-9820-AE881EC6817F}">
  <dimension ref="A2:AD50"/>
  <sheetViews>
    <sheetView topLeftCell="A2" workbookViewId="0">
      <selection activeCell="J19" sqref="J19"/>
    </sheetView>
  </sheetViews>
  <sheetFormatPr defaultRowHeight="14.4" x14ac:dyDescent="0.3"/>
  <cols>
    <col min="1" max="1" width="29.109375" customWidth="1"/>
    <col min="8" max="8" width="16.88671875" customWidth="1"/>
    <col min="9" max="10" width="9.21875" bestFit="1" customWidth="1"/>
    <col min="11" max="12" width="11.21875" bestFit="1" customWidth="1"/>
    <col min="26" max="26" width="18" bestFit="1" customWidth="1"/>
  </cols>
  <sheetData>
    <row r="2" spans="1:22" ht="43.2" x14ac:dyDescent="0.3">
      <c r="A2" t="s">
        <v>0</v>
      </c>
      <c r="B2" s="1" t="s">
        <v>1</v>
      </c>
      <c r="C2" s="1" t="s">
        <v>2</v>
      </c>
      <c r="D2" s="1" t="s">
        <v>3</v>
      </c>
      <c r="E2" s="3" t="s">
        <v>9</v>
      </c>
      <c r="I2" t="s">
        <v>16</v>
      </c>
      <c r="J2" t="s">
        <v>17</v>
      </c>
      <c r="L2" s="6" t="s">
        <v>21</v>
      </c>
    </row>
    <row r="3" spans="1:22" x14ac:dyDescent="0.3">
      <c r="A3" t="s">
        <v>7</v>
      </c>
      <c r="B3" s="2">
        <v>90</v>
      </c>
      <c r="C3" s="2" t="s">
        <v>4</v>
      </c>
      <c r="D3" s="2" t="s">
        <v>5</v>
      </c>
      <c r="E3" s="4">
        <v>50</v>
      </c>
      <c r="H3" t="s">
        <v>18</v>
      </c>
      <c r="I3" s="49">
        <v>43</v>
      </c>
      <c r="J3">
        <v>28</v>
      </c>
      <c r="L3" t="s">
        <v>22</v>
      </c>
    </row>
    <row r="4" spans="1:22" x14ac:dyDescent="0.3">
      <c r="A4" t="s">
        <v>8</v>
      </c>
      <c r="B4" s="2">
        <v>90</v>
      </c>
      <c r="C4" s="2" t="s">
        <v>4</v>
      </c>
      <c r="D4" s="2" t="s">
        <v>5</v>
      </c>
      <c r="E4" s="4">
        <v>35</v>
      </c>
      <c r="H4" t="s">
        <v>19</v>
      </c>
      <c r="I4" s="49">
        <v>172</v>
      </c>
      <c r="J4">
        <v>165</v>
      </c>
      <c r="L4" s="6" t="s">
        <v>23</v>
      </c>
    </row>
    <row r="5" spans="1:22" x14ac:dyDescent="0.3">
      <c r="A5" t="s">
        <v>6</v>
      </c>
      <c r="B5" s="2">
        <v>1200</v>
      </c>
      <c r="C5" s="2">
        <v>1600</v>
      </c>
      <c r="D5" s="2">
        <v>2000</v>
      </c>
      <c r="E5" s="5">
        <v>15</v>
      </c>
      <c r="H5" t="s">
        <v>20</v>
      </c>
      <c r="I5" s="49">
        <v>65</v>
      </c>
      <c r="J5">
        <v>60</v>
      </c>
      <c r="L5" t="s">
        <v>24</v>
      </c>
    </row>
    <row r="6" spans="1:22" x14ac:dyDescent="0.3">
      <c r="B6" s="2"/>
      <c r="C6" s="2"/>
      <c r="D6" s="2"/>
      <c r="E6" s="4"/>
    </row>
    <row r="7" spans="1:22" x14ac:dyDescent="0.3">
      <c r="B7" s="2"/>
      <c r="C7" s="2"/>
      <c r="D7" s="2"/>
      <c r="E7" s="4"/>
      <c r="L7" t="s">
        <v>26</v>
      </c>
    </row>
    <row r="8" spans="1:22" ht="43.2" x14ac:dyDescent="0.3">
      <c r="A8" t="s">
        <v>10</v>
      </c>
      <c r="B8" s="1" t="s">
        <v>1</v>
      </c>
      <c r="C8" s="1" t="s">
        <v>2</v>
      </c>
      <c r="D8" s="1" t="s">
        <v>3</v>
      </c>
      <c r="E8" s="3" t="s">
        <v>9</v>
      </c>
      <c r="H8" t="s">
        <v>25</v>
      </c>
      <c r="I8" s="2">
        <f>I5*10+6.25*I4-5*I3+5</f>
        <v>1515</v>
      </c>
      <c r="J8" s="2">
        <f>J5*10+6.25*J4-5*J3-161</f>
        <v>1330.25</v>
      </c>
      <c r="L8" t="s">
        <v>27</v>
      </c>
    </row>
    <row r="9" spans="1:22" x14ac:dyDescent="0.3">
      <c r="A9" t="s">
        <v>7</v>
      </c>
      <c r="B9" s="2"/>
      <c r="C9" s="2" t="s">
        <v>5</v>
      </c>
      <c r="D9" s="2" t="s">
        <v>11</v>
      </c>
      <c r="E9" s="4">
        <v>25</v>
      </c>
      <c r="I9" s="2"/>
      <c r="J9" s="2"/>
      <c r="L9" t="s">
        <v>28</v>
      </c>
    </row>
    <row r="10" spans="1:22" x14ac:dyDescent="0.3">
      <c r="A10" t="s">
        <v>8</v>
      </c>
      <c r="B10" s="2"/>
      <c r="C10" s="2" t="s">
        <v>5</v>
      </c>
      <c r="D10" s="2" t="s">
        <v>11</v>
      </c>
      <c r="E10" s="4">
        <v>50</v>
      </c>
      <c r="I10" s="2"/>
      <c r="J10" s="2"/>
      <c r="L10" t="s">
        <v>29</v>
      </c>
    </row>
    <row r="11" spans="1:22" x14ac:dyDescent="0.3">
      <c r="A11" t="s">
        <v>6</v>
      </c>
      <c r="B11" s="2"/>
      <c r="C11" s="2">
        <v>1200</v>
      </c>
      <c r="D11" s="2">
        <v>1650</v>
      </c>
      <c r="E11" s="5">
        <v>25</v>
      </c>
      <c r="H11" t="s">
        <v>112</v>
      </c>
      <c r="I11" s="2">
        <f>I8*1.375</f>
        <v>2083.125</v>
      </c>
      <c r="J11" s="2">
        <f>J8*1.375</f>
        <v>1829.09375</v>
      </c>
      <c r="L11" t="s">
        <v>30</v>
      </c>
    </row>
    <row r="12" spans="1:22" x14ac:dyDescent="0.3">
      <c r="B12" s="2"/>
      <c r="C12" s="2"/>
      <c r="D12" s="2"/>
      <c r="E12" s="4"/>
      <c r="I12" s="2"/>
      <c r="J12" s="2"/>
    </row>
    <row r="13" spans="1:22" x14ac:dyDescent="0.3">
      <c r="B13" s="2"/>
      <c r="C13" s="2"/>
      <c r="D13" s="2"/>
      <c r="E13" s="4"/>
      <c r="I13" s="2"/>
      <c r="J13" s="2"/>
    </row>
    <row r="14" spans="1:22" ht="43.2" x14ac:dyDescent="0.3">
      <c r="A14" t="s">
        <v>12</v>
      </c>
      <c r="B14" s="1" t="s">
        <v>1</v>
      </c>
      <c r="C14" s="1" t="s">
        <v>2</v>
      </c>
      <c r="D14" s="1" t="s">
        <v>3</v>
      </c>
      <c r="E14" s="3" t="s">
        <v>9</v>
      </c>
      <c r="H14" t="s">
        <v>31</v>
      </c>
      <c r="I14" s="2" t="s">
        <v>105</v>
      </c>
      <c r="J14" s="2" t="s">
        <v>105</v>
      </c>
      <c r="K14" s="1" t="s">
        <v>101</v>
      </c>
      <c r="L14" s="1" t="s">
        <v>102</v>
      </c>
      <c r="M14" s="1" t="s">
        <v>103</v>
      </c>
    </row>
    <row r="15" spans="1:22" x14ac:dyDescent="0.3">
      <c r="A15" t="s">
        <v>13</v>
      </c>
      <c r="B15" s="1">
        <v>60</v>
      </c>
      <c r="C15" s="1">
        <v>90</v>
      </c>
      <c r="D15" s="1" t="s">
        <v>4</v>
      </c>
      <c r="E15" s="4">
        <v>40</v>
      </c>
      <c r="H15" s="49" t="s">
        <v>32</v>
      </c>
      <c r="I15" s="24">
        <f>I11*1.1</f>
        <v>2291.4375</v>
      </c>
      <c r="J15" s="24">
        <f>J11*1.1</f>
        <v>2012.0031250000002</v>
      </c>
      <c r="K15" s="24">
        <f>I15*E15/100</f>
        <v>916.57500000000005</v>
      </c>
      <c r="L15" s="24">
        <f>E17*I15/100</f>
        <v>916.57500000000005</v>
      </c>
      <c r="M15" s="24">
        <f>I15*E18/100</f>
        <v>458.28750000000002</v>
      </c>
    </row>
    <row r="16" spans="1:22" x14ac:dyDescent="0.3">
      <c r="B16" s="1"/>
      <c r="C16" s="1"/>
      <c r="D16" s="1"/>
      <c r="E16" s="4"/>
      <c r="H16" t="s">
        <v>104</v>
      </c>
      <c r="I16" s="2"/>
      <c r="J16" s="2"/>
      <c r="K16" s="2">
        <f>K15/4</f>
        <v>229.14375000000001</v>
      </c>
      <c r="L16" s="2">
        <f t="shared" ref="L16" si="0">L15/4</f>
        <v>229.14375000000001</v>
      </c>
      <c r="M16" s="2">
        <f>M15/9</f>
        <v>50.920833333333334</v>
      </c>
      <c r="T16" s="6" t="s">
        <v>130</v>
      </c>
      <c r="U16" s="6"/>
      <c r="V16" s="6"/>
    </row>
    <row r="17" spans="1:30" ht="15" thickBot="1" x14ac:dyDescent="0.35">
      <c r="A17" t="s">
        <v>7</v>
      </c>
      <c r="B17" s="2" t="s">
        <v>5</v>
      </c>
      <c r="C17" s="2" t="s">
        <v>14</v>
      </c>
      <c r="D17" s="2" t="s">
        <v>15</v>
      </c>
      <c r="E17" s="4">
        <v>40</v>
      </c>
      <c r="H17" t="s">
        <v>33</v>
      </c>
      <c r="I17" s="2">
        <f>I11*1.2</f>
        <v>2499.75</v>
      </c>
      <c r="J17" s="2">
        <f>J11*1.2</f>
        <v>2194.9124999999999</v>
      </c>
      <c r="K17" s="2">
        <f>I17*E15/100</f>
        <v>999.9</v>
      </c>
      <c r="L17" s="2">
        <f>E17*I17/100</f>
        <v>999.9</v>
      </c>
      <c r="M17" s="2">
        <f>I17*E18/100</f>
        <v>499.95</v>
      </c>
    </row>
    <row r="18" spans="1:30" ht="15" thickBot="1" x14ac:dyDescent="0.35">
      <c r="A18" t="s">
        <v>8</v>
      </c>
      <c r="B18" s="2" t="s">
        <v>5</v>
      </c>
      <c r="C18" s="2" t="s">
        <v>14</v>
      </c>
      <c r="D18" s="2" t="s">
        <v>15</v>
      </c>
      <c r="E18" s="7">
        <v>20</v>
      </c>
      <c r="H18" t="s">
        <v>125</v>
      </c>
      <c r="I18" s="2">
        <f>I11*1.9</f>
        <v>3957.9375</v>
      </c>
      <c r="J18" s="2">
        <f>J11*1.9</f>
        <v>3475.2781249999998</v>
      </c>
      <c r="K18" s="2"/>
      <c r="L18" s="2"/>
      <c r="M18" s="2"/>
      <c r="Q18">
        <v>1</v>
      </c>
      <c r="R18" t="s">
        <v>122</v>
      </c>
      <c r="S18" t="s">
        <v>123</v>
      </c>
      <c r="T18" s="46" t="s">
        <v>142</v>
      </c>
      <c r="U18" s="47" t="s">
        <v>131</v>
      </c>
      <c r="V18" s="47" t="s">
        <v>132</v>
      </c>
      <c r="W18" s="47" t="s">
        <v>133</v>
      </c>
      <c r="X18" s="47" t="s">
        <v>134</v>
      </c>
      <c r="Y18" s="47" t="s">
        <v>135</v>
      </c>
      <c r="Z18" s="47" t="s">
        <v>136</v>
      </c>
      <c r="AA18" s="47" t="s">
        <v>137</v>
      </c>
      <c r="AB18" s="47" t="s">
        <v>138</v>
      </c>
      <c r="AC18" s="47" t="s">
        <v>139</v>
      </c>
      <c r="AD18" s="48" t="s">
        <v>140</v>
      </c>
    </row>
    <row r="19" spans="1:30" x14ac:dyDescent="0.3">
      <c r="A19" t="s">
        <v>6</v>
      </c>
      <c r="B19" s="6">
        <v>1600</v>
      </c>
      <c r="C19" s="6">
        <v>2100</v>
      </c>
      <c r="D19" s="6">
        <v>2400</v>
      </c>
      <c r="I19" s="2"/>
      <c r="J19" s="2"/>
      <c r="T19" t="s">
        <v>91</v>
      </c>
    </row>
    <row r="20" spans="1:30" x14ac:dyDescent="0.3">
      <c r="H20" s="49" t="s">
        <v>34</v>
      </c>
      <c r="I20" s="24">
        <f>I11*0.8</f>
        <v>1666.5</v>
      </c>
      <c r="J20" s="24">
        <f>J11*0.75</f>
        <v>1371.8203125</v>
      </c>
      <c r="K20" s="24">
        <f>I20*E3/100</f>
        <v>833.25</v>
      </c>
      <c r="L20" s="24">
        <f>E4*I20/100</f>
        <v>583.27499999999998</v>
      </c>
      <c r="M20" s="24">
        <f>I20*E5/100</f>
        <v>249.97499999999999</v>
      </c>
      <c r="T20" t="s">
        <v>80</v>
      </c>
      <c r="U20">
        <v>1</v>
      </c>
      <c r="V20">
        <v>1</v>
      </c>
      <c r="W20">
        <v>2</v>
      </c>
      <c r="X20">
        <v>2</v>
      </c>
      <c r="Y20">
        <v>3</v>
      </c>
      <c r="Z20">
        <v>3</v>
      </c>
      <c r="AA20">
        <v>4</v>
      </c>
      <c r="AB20">
        <v>4</v>
      </c>
      <c r="AC20">
        <v>5</v>
      </c>
      <c r="AD20">
        <v>5</v>
      </c>
    </row>
    <row r="21" spans="1:30" ht="15" thickBot="1" x14ac:dyDescent="0.35">
      <c r="H21" t="s">
        <v>35</v>
      </c>
      <c r="I21" s="2">
        <f>I11*0.65</f>
        <v>1354.03125</v>
      </c>
      <c r="J21" s="2">
        <f>J11*0.65</f>
        <v>1188.9109375</v>
      </c>
      <c r="K21" s="2">
        <f>K20/4</f>
        <v>208.3125</v>
      </c>
      <c r="L21" s="2">
        <f t="shared" ref="L21" si="1">L20/4</f>
        <v>145.81874999999999</v>
      </c>
      <c r="M21" s="2">
        <f>M20/9</f>
        <v>27.774999999999999</v>
      </c>
      <c r="T21" t="s">
        <v>8</v>
      </c>
      <c r="V21">
        <v>1</v>
      </c>
      <c r="W21">
        <v>1</v>
      </c>
      <c r="X21">
        <v>2</v>
      </c>
      <c r="Y21">
        <v>2</v>
      </c>
      <c r="Z21">
        <v>3</v>
      </c>
      <c r="AA21">
        <v>3</v>
      </c>
      <c r="AB21">
        <v>4</v>
      </c>
      <c r="AC21">
        <v>4</v>
      </c>
      <c r="AD21">
        <v>5</v>
      </c>
    </row>
    <row r="22" spans="1:30" ht="15" thickBot="1" x14ac:dyDescent="0.35">
      <c r="H22" t="s">
        <v>126</v>
      </c>
      <c r="I22" s="2">
        <f>I8*1.2*0.65</f>
        <v>1181.7</v>
      </c>
      <c r="J22" s="2">
        <f>J12*0.65</f>
        <v>0</v>
      </c>
      <c r="T22" s="44" t="s">
        <v>141</v>
      </c>
      <c r="U22" s="45">
        <f t="shared" ref="U22:AD22" si="2">SUM(U20:U21)</f>
        <v>1</v>
      </c>
      <c r="V22" s="45">
        <f t="shared" si="2"/>
        <v>2</v>
      </c>
      <c r="W22" s="45">
        <f t="shared" si="2"/>
        <v>3</v>
      </c>
      <c r="X22" s="45">
        <f t="shared" si="2"/>
        <v>4</v>
      </c>
      <c r="Y22" s="45">
        <f t="shared" si="2"/>
        <v>5</v>
      </c>
      <c r="Z22" s="45">
        <f t="shared" si="2"/>
        <v>6</v>
      </c>
      <c r="AA22" s="45">
        <f t="shared" si="2"/>
        <v>7</v>
      </c>
      <c r="AB22" s="45">
        <f t="shared" si="2"/>
        <v>8</v>
      </c>
      <c r="AC22" s="45">
        <f t="shared" si="2"/>
        <v>9</v>
      </c>
      <c r="AD22" s="28">
        <f t="shared" si="2"/>
        <v>10</v>
      </c>
    </row>
    <row r="23" spans="1:30" x14ac:dyDescent="0.3">
      <c r="I23" t="s">
        <v>108</v>
      </c>
      <c r="J23" t="s">
        <v>105</v>
      </c>
      <c r="K23" t="s">
        <v>109</v>
      </c>
      <c r="L23" t="s">
        <v>103</v>
      </c>
    </row>
    <row r="24" spans="1:30" x14ac:dyDescent="0.3">
      <c r="H24" t="s">
        <v>106</v>
      </c>
      <c r="I24" t="s">
        <v>107</v>
      </c>
      <c r="J24">
        <v>70</v>
      </c>
      <c r="K24" t="s">
        <v>110</v>
      </c>
      <c r="L24" t="s">
        <v>111</v>
      </c>
    </row>
    <row r="27" spans="1:30" x14ac:dyDescent="0.3">
      <c r="Q27">
        <v>2720</v>
      </c>
      <c r="V27">
        <v>2195</v>
      </c>
      <c r="AA27">
        <v>4307</v>
      </c>
    </row>
    <row r="28" spans="1:30" x14ac:dyDescent="0.3">
      <c r="G28" t="s">
        <v>115</v>
      </c>
      <c r="K28" t="s">
        <v>115</v>
      </c>
      <c r="O28" t="s">
        <v>118</v>
      </c>
      <c r="T28" t="s">
        <v>119</v>
      </c>
      <c r="Y28" t="s">
        <v>119</v>
      </c>
    </row>
    <row r="29" spans="1:30" x14ac:dyDescent="0.3">
      <c r="G29" t="s">
        <v>113</v>
      </c>
      <c r="K29" t="s">
        <v>114</v>
      </c>
      <c r="O29" t="s">
        <v>116</v>
      </c>
      <c r="T29" t="s">
        <v>116</v>
      </c>
      <c r="Y29" t="s">
        <v>116</v>
      </c>
    </row>
    <row r="30" spans="1:30" ht="15" thickBot="1" x14ac:dyDescent="0.35"/>
    <row r="31" spans="1:30" x14ac:dyDescent="0.3">
      <c r="G31" s="19" t="s">
        <v>91</v>
      </c>
      <c r="H31" s="10" t="s">
        <v>90</v>
      </c>
      <c r="I31">
        <v>300</v>
      </c>
      <c r="K31" s="19" t="s">
        <v>91</v>
      </c>
      <c r="L31" s="10" t="s">
        <v>90</v>
      </c>
      <c r="M31">
        <v>300</v>
      </c>
      <c r="O31" s="19" t="s">
        <v>91</v>
      </c>
      <c r="P31" s="10" t="s">
        <v>86</v>
      </c>
      <c r="Q31">
        <v>500</v>
      </c>
      <c r="T31" s="19" t="s">
        <v>91</v>
      </c>
      <c r="U31" s="10" t="s">
        <v>86</v>
      </c>
      <c r="V31">
        <v>500</v>
      </c>
      <c r="Y31" s="34" t="s">
        <v>91</v>
      </c>
      <c r="Z31" s="41" t="s">
        <v>86</v>
      </c>
      <c r="AA31" s="36">
        <v>500</v>
      </c>
      <c r="AB31" s="87" t="s">
        <v>124</v>
      </c>
    </row>
    <row r="32" spans="1:30" ht="15" thickBot="1" x14ac:dyDescent="0.35">
      <c r="G32" s="18" t="s">
        <v>84</v>
      </c>
      <c r="H32" s="10" t="s">
        <v>83</v>
      </c>
      <c r="I32">
        <v>60</v>
      </c>
      <c r="K32" s="18" t="s">
        <v>84</v>
      </c>
      <c r="L32" s="10" t="s">
        <v>83</v>
      </c>
      <c r="M32">
        <v>60</v>
      </c>
      <c r="O32" s="18" t="s">
        <v>84</v>
      </c>
      <c r="P32" s="10" t="s">
        <v>83</v>
      </c>
      <c r="Q32">
        <v>60</v>
      </c>
      <c r="T32" s="18" t="s">
        <v>84</v>
      </c>
      <c r="U32" s="10" t="s">
        <v>83</v>
      </c>
      <c r="V32">
        <v>60</v>
      </c>
      <c r="Y32" s="37" t="s">
        <v>91</v>
      </c>
      <c r="Z32" s="38" t="s">
        <v>86</v>
      </c>
      <c r="AA32" s="32">
        <v>500</v>
      </c>
      <c r="AB32" s="88"/>
    </row>
    <row r="33" spans="7:28" ht="15" thickBot="1" x14ac:dyDescent="0.35">
      <c r="G33" s="19" t="s">
        <v>80</v>
      </c>
      <c r="H33" s="10" t="s">
        <v>77</v>
      </c>
      <c r="I33">
        <v>650</v>
      </c>
      <c r="K33" s="19" t="s">
        <v>80</v>
      </c>
      <c r="L33" s="10" t="s">
        <v>78</v>
      </c>
      <c r="M33">
        <v>500</v>
      </c>
      <c r="O33" s="19" t="s">
        <v>80</v>
      </c>
      <c r="P33" s="10" t="s">
        <v>56</v>
      </c>
      <c r="Q33">
        <v>750</v>
      </c>
      <c r="T33" s="19" t="s">
        <v>80</v>
      </c>
      <c r="U33" s="10" t="s">
        <v>56</v>
      </c>
      <c r="V33">
        <v>750</v>
      </c>
      <c r="Y33" s="18" t="s">
        <v>84</v>
      </c>
      <c r="Z33" s="42" t="s">
        <v>83</v>
      </c>
      <c r="AA33">
        <v>60</v>
      </c>
    </row>
    <row r="34" spans="7:28" x14ac:dyDescent="0.3">
      <c r="G34" s="13" t="s">
        <v>73</v>
      </c>
      <c r="H34" s="10" t="s">
        <v>72</v>
      </c>
      <c r="I34">
        <v>150</v>
      </c>
      <c r="K34" s="13" t="s">
        <v>73</v>
      </c>
      <c r="L34" s="10" t="s">
        <v>72</v>
      </c>
      <c r="M34">
        <v>150</v>
      </c>
      <c r="O34" s="13" t="s">
        <v>73</v>
      </c>
      <c r="P34" s="10" t="s">
        <v>72</v>
      </c>
      <c r="Q34">
        <v>150</v>
      </c>
      <c r="T34" s="13" t="s">
        <v>73</v>
      </c>
      <c r="U34" s="10" t="s">
        <v>72</v>
      </c>
      <c r="V34">
        <v>150</v>
      </c>
      <c r="Y34" s="34" t="s">
        <v>80</v>
      </c>
      <c r="Z34" s="41" t="s">
        <v>56</v>
      </c>
      <c r="AA34" s="36">
        <v>750</v>
      </c>
      <c r="AB34" s="87" t="s">
        <v>124</v>
      </c>
    </row>
    <row r="35" spans="7:28" ht="15" thickBot="1" x14ac:dyDescent="0.35">
      <c r="G35" s="13" t="s">
        <v>67</v>
      </c>
      <c r="H35" s="10" t="s">
        <v>66</v>
      </c>
      <c r="I35">
        <v>150</v>
      </c>
      <c r="K35" s="13" t="s">
        <v>67</v>
      </c>
      <c r="L35" s="10" t="s">
        <v>66</v>
      </c>
      <c r="M35">
        <v>150</v>
      </c>
      <c r="O35" s="13" t="s">
        <v>67</v>
      </c>
      <c r="P35" s="10" t="s">
        <v>66</v>
      </c>
      <c r="Q35">
        <v>150</v>
      </c>
      <c r="T35" s="13" t="s">
        <v>67</v>
      </c>
      <c r="U35" s="10" t="s">
        <v>66</v>
      </c>
      <c r="V35">
        <v>150</v>
      </c>
      <c r="Y35" s="37" t="s">
        <v>80</v>
      </c>
      <c r="Z35" s="38" t="s">
        <v>56</v>
      </c>
      <c r="AA35" s="32">
        <v>750</v>
      </c>
      <c r="AB35" s="88"/>
    </row>
    <row r="36" spans="7:28" ht="15" thickBot="1" x14ac:dyDescent="0.35">
      <c r="G36" s="19" t="s">
        <v>8</v>
      </c>
      <c r="H36" s="25" t="s">
        <v>59</v>
      </c>
      <c r="I36">
        <v>400</v>
      </c>
      <c r="K36" s="19" t="s">
        <v>8</v>
      </c>
      <c r="L36" s="25" t="s">
        <v>62</v>
      </c>
      <c r="M36">
        <v>300</v>
      </c>
      <c r="O36" s="19" t="s">
        <v>8</v>
      </c>
      <c r="P36" s="25" t="s">
        <v>56</v>
      </c>
      <c r="Q36">
        <v>750</v>
      </c>
      <c r="T36" s="19" t="s">
        <v>8</v>
      </c>
      <c r="U36" s="10" t="s">
        <v>60</v>
      </c>
      <c r="V36">
        <v>500</v>
      </c>
      <c r="Y36" s="39" t="s">
        <v>73</v>
      </c>
      <c r="Z36" s="40" t="s">
        <v>72</v>
      </c>
      <c r="AA36">
        <v>150</v>
      </c>
    </row>
    <row r="37" spans="7:28" ht="15" thickBot="1" x14ac:dyDescent="0.35">
      <c r="G37" s="26"/>
      <c r="H37" s="27"/>
      <c r="I37" s="28">
        <f>SUM(I31:I36)</f>
        <v>1710</v>
      </c>
      <c r="K37" s="26"/>
      <c r="L37" s="27"/>
      <c r="M37" s="28">
        <f>SUM(M31:M36)</f>
        <v>1460</v>
      </c>
      <c r="O37" s="26"/>
      <c r="P37" s="27"/>
      <c r="Q37" s="28">
        <f>SUM(Q31:Q36)</f>
        <v>2360</v>
      </c>
      <c r="T37" s="26"/>
      <c r="U37" s="27"/>
      <c r="V37" s="28">
        <f>SUM(V31:V36)</f>
        <v>2110</v>
      </c>
      <c r="Y37" s="21" t="s">
        <v>67</v>
      </c>
      <c r="Z37" s="25" t="s">
        <v>66</v>
      </c>
      <c r="AA37">
        <v>150</v>
      </c>
    </row>
    <row r="38" spans="7:28" x14ac:dyDescent="0.3">
      <c r="O38" s="29" t="s">
        <v>117</v>
      </c>
      <c r="Q38" s="30">
        <f>2720-2360</f>
        <v>360</v>
      </c>
      <c r="T38" s="29" t="s">
        <v>117</v>
      </c>
      <c r="V38" s="30">
        <f>V27-V37</f>
        <v>85</v>
      </c>
      <c r="Y38" s="34" t="s">
        <v>8</v>
      </c>
      <c r="Z38" s="35" t="s">
        <v>56</v>
      </c>
      <c r="AA38" s="36">
        <v>750</v>
      </c>
      <c r="AB38" s="87" t="s">
        <v>124</v>
      </c>
    </row>
    <row r="39" spans="7:28" ht="15" thickBot="1" x14ac:dyDescent="0.35">
      <c r="I39">
        <v>1286</v>
      </c>
      <c r="M39" s="30">
        <v>1000</v>
      </c>
      <c r="O39" s="29" t="s">
        <v>120</v>
      </c>
      <c r="Q39">
        <f>'Packages Details'!K6</f>
        <v>350</v>
      </c>
      <c r="T39" s="29" t="s">
        <v>121</v>
      </c>
      <c r="V39">
        <v>70</v>
      </c>
      <c r="Y39" s="37" t="s">
        <v>8</v>
      </c>
      <c r="Z39" s="38" t="s">
        <v>56</v>
      </c>
      <c r="AA39" s="32">
        <v>750</v>
      </c>
      <c r="AB39" s="88"/>
    </row>
    <row r="40" spans="7:28" ht="15" thickBot="1" x14ac:dyDescent="0.35">
      <c r="G40" t="s">
        <v>127</v>
      </c>
      <c r="K40" t="s">
        <v>128</v>
      </c>
      <c r="O40" s="29" t="s">
        <v>121</v>
      </c>
      <c r="Y40" s="31"/>
      <c r="Z40" s="32"/>
      <c r="AA40" s="33">
        <f>SUM(AA31:AA39)</f>
        <v>4360</v>
      </c>
    </row>
    <row r="41" spans="7:28" x14ac:dyDescent="0.3">
      <c r="Y41" s="29" t="s">
        <v>117</v>
      </c>
      <c r="AA41">
        <f>AA27-AA40</f>
        <v>-53</v>
      </c>
    </row>
    <row r="42" spans="7:28" x14ac:dyDescent="0.3">
      <c r="G42" s="19" t="s">
        <v>91</v>
      </c>
      <c r="H42" s="10" t="s">
        <v>90</v>
      </c>
      <c r="I42">
        <v>300</v>
      </c>
      <c r="K42" s="19" t="s">
        <v>91</v>
      </c>
      <c r="L42" s="10" t="s">
        <v>94</v>
      </c>
      <c r="M42">
        <v>200</v>
      </c>
      <c r="Y42" s="29" t="s">
        <v>121</v>
      </c>
      <c r="AA42">
        <f>'Packages Details'!U6</f>
        <v>0</v>
      </c>
    </row>
    <row r="43" spans="7:28" x14ac:dyDescent="0.3">
      <c r="G43" s="18" t="s">
        <v>84</v>
      </c>
      <c r="H43" s="10" t="s">
        <v>83</v>
      </c>
      <c r="I43">
        <v>60</v>
      </c>
      <c r="K43" s="18" t="s">
        <v>84</v>
      </c>
      <c r="L43" s="10" t="s">
        <v>83</v>
      </c>
      <c r="M43">
        <v>60</v>
      </c>
    </row>
    <row r="44" spans="7:28" x14ac:dyDescent="0.3">
      <c r="G44" s="19" t="s">
        <v>80</v>
      </c>
      <c r="H44" s="10" t="s">
        <v>79</v>
      </c>
      <c r="I44">
        <v>300</v>
      </c>
      <c r="K44" s="19" t="s">
        <v>80</v>
      </c>
      <c r="L44" s="10" t="s">
        <v>79</v>
      </c>
      <c r="M44">
        <v>300</v>
      </c>
    </row>
    <row r="45" spans="7:28" x14ac:dyDescent="0.3">
      <c r="G45" s="13" t="s">
        <v>73</v>
      </c>
      <c r="H45" s="10" t="s">
        <v>72</v>
      </c>
      <c r="I45">
        <v>150</v>
      </c>
      <c r="K45" s="13" t="s">
        <v>73</v>
      </c>
      <c r="L45" s="10" t="s">
        <v>72</v>
      </c>
      <c r="M45">
        <v>150</v>
      </c>
    </row>
    <row r="46" spans="7:28" x14ac:dyDescent="0.3">
      <c r="G46" s="13" t="s">
        <v>67</v>
      </c>
      <c r="H46" s="10" t="s">
        <v>66</v>
      </c>
      <c r="I46">
        <v>150</v>
      </c>
      <c r="K46" s="13" t="s">
        <v>67</v>
      </c>
      <c r="L46" s="10" t="s">
        <v>66</v>
      </c>
      <c r="M46">
        <v>150</v>
      </c>
    </row>
    <row r="47" spans="7:28" ht="15" thickBot="1" x14ac:dyDescent="0.35">
      <c r="G47" s="19" t="s">
        <v>8</v>
      </c>
      <c r="H47" s="25" t="s">
        <v>62</v>
      </c>
      <c r="I47">
        <v>300</v>
      </c>
      <c r="K47" s="19" t="s">
        <v>8</v>
      </c>
      <c r="L47" s="25" t="s">
        <v>62</v>
      </c>
      <c r="M47">
        <v>300</v>
      </c>
    </row>
    <row r="48" spans="7:28" ht="15" thickBot="1" x14ac:dyDescent="0.35">
      <c r="G48" s="26"/>
      <c r="H48" s="27"/>
      <c r="I48" s="28">
        <f>SUM(I42:I47)</f>
        <v>1260</v>
      </c>
      <c r="K48" s="26"/>
      <c r="L48" s="27"/>
      <c r="M48" s="43">
        <f>SUM(M42:M47)</f>
        <v>1160</v>
      </c>
    </row>
    <row r="50" spans="12:12" x14ac:dyDescent="0.3">
      <c r="L50" t="s">
        <v>129</v>
      </c>
    </row>
  </sheetData>
  <mergeCells count="3">
    <mergeCell ref="AB31:AB32"/>
    <mergeCell ref="AB34:AB35"/>
    <mergeCell ref="AB38:AB39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1FACF-E485-4D77-96AE-93275A1AE52D}">
  <dimension ref="A1:X28"/>
  <sheetViews>
    <sheetView topLeftCell="D1" workbookViewId="0">
      <selection activeCell="O14" sqref="O14:Q14"/>
    </sheetView>
  </sheetViews>
  <sheetFormatPr defaultRowHeight="14.4" x14ac:dyDescent="0.3"/>
  <cols>
    <col min="3" max="3" width="25.77734375" customWidth="1"/>
    <col min="9" max="10" width="11.5546875" customWidth="1"/>
    <col min="14" max="14" width="17.5546875" customWidth="1"/>
    <col min="15" max="15" width="8.44140625" customWidth="1"/>
    <col min="16" max="16" width="9.33203125" customWidth="1"/>
    <col min="17" max="17" width="8.88671875" customWidth="1"/>
    <col min="18" max="18" width="9.5546875" customWidth="1"/>
  </cols>
  <sheetData>
    <row r="1" spans="1:24" x14ac:dyDescent="0.3">
      <c r="A1" t="s">
        <v>151</v>
      </c>
      <c r="N1" s="56" t="s">
        <v>179</v>
      </c>
      <c r="O1" s="57" t="s">
        <v>197</v>
      </c>
      <c r="P1" s="57" t="s">
        <v>198</v>
      </c>
      <c r="Q1" s="57" t="s">
        <v>199</v>
      </c>
      <c r="R1" s="57" t="s">
        <v>6</v>
      </c>
      <c r="S1" s="57" t="s">
        <v>192</v>
      </c>
      <c r="T1" s="57" t="s">
        <v>108</v>
      </c>
      <c r="U1" s="57" t="s">
        <v>103</v>
      </c>
      <c r="V1" s="58" t="s">
        <v>193</v>
      </c>
      <c r="W1" s="58" t="s">
        <v>194</v>
      </c>
      <c r="X1" s="58" t="s">
        <v>195</v>
      </c>
    </row>
    <row r="2" spans="1:24" ht="28.8" x14ac:dyDescent="0.3">
      <c r="A2" t="s">
        <v>143</v>
      </c>
      <c r="C2" t="s">
        <v>145</v>
      </c>
      <c r="D2" t="s">
        <v>144</v>
      </c>
      <c r="G2" s="53" t="s">
        <v>159</v>
      </c>
      <c r="H2" s="53" t="s">
        <v>160</v>
      </c>
      <c r="I2" s="53" t="s">
        <v>161</v>
      </c>
      <c r="J2" s="53" t="s">
        <v>162</v>
      </c>
      <c r="L2" s="55"/>
      <c r="N2" s="59" t="s">
        <v>143</v>
      </c>
      <c r="O2" s="57">
        <v>1</v>
      </c>
      <c r="P2" s="57">
        <v>2</v>
      </c>
      <c r="Q2" s="57">
        <v>0.5</v>
      </c>
      <c r="R2" s="60">
        <f>O2*80+P2*60+Q2*45</f>
        <v>222.5</v>
      </c>
      <c r="S2" s="60">
        <f>O2*15</f>
        <v>15</v>
      </c>
      <c r="T2" s="60">
        <f>P2*7</f>
        <v>14</v>
      </c>
      <c r="U2" s="60">
        <f>Q2*5+P2*3</f>
        <v>8.5</v>
      </c>
      <c r="V2" s="61">
        <f>S2/SUM($S$2:$U$2)</f>
        <v>0.4</v>
      </c>
      <c r="W2" s="61">
        <f t="shared" ref="W2:X2" si="0">T2/SUM($S$2:$U$2)</f>
        <v>0.37333333333333335</v>
      </c>
      <c r="X2" s="61">
        <f t="shared" si="0"/>
        <v>0.22666666666666666</v>
      </c>
    </row>
    <row r="3" spans="1:24" x14ac:dyDescent="0.3">
      <c r="A3" t="s">
        <v>7</v>
      </c>
      <c r="C3" t="s">
        <v>148</v>
      </c>
      <c r="D3" t="s">
        <v>149</v>
      </c>
      <c r="G3" s="54" t="s">
        <v>151</v>
      </c>
      <c r="H3" s="54" t="s">
        <v>91</v>
      </c>
      <c r="I3" s="54">
        <v>0.67</v>
      </c>
      <c r="J3" s="54">
        <v>0.75</v>
      </c>
      <c r="N3" s="59" t="s">
        <v>7</v>
      </c>
      <c r="O3" s="57">
        <v>1.5</v>
      </c>
      <c r="P3" s="57">
        <v>3</v>
      </c>
      <c r="Q3" s="57">
        <v>0.5</v>
      </c>
      <c r="R3" s="60">
        <f t="shared" ref="R3:R14" si="1">O3*80+P3*60+Q3*45</f>
        <v>322.5</v>
      </c>
      <c r="S3" s="60">
        <f t="shared" ref="S3:S14" si="2">O3*15</f>
        <v>22.5</v>
      </c>
      <c r="T3" s="60">
        <f t="shared" ref="T3:T14" si="3">P3*7</f>
        <v>21</v>
      </c>
      <c r="U3" s="60">
        <f t="shared" ref="U3:U14" si="4">Q3*5+P3*3</f>
        <v>11.5</v>
      </c>
      <c r="V3" s="61">
        <f>S3/SUM($S$3:$U$3)</f>
        <v>0.40909090909090912</v>
      </c>
      <c r="W3" s="61">
        <f t="shared" ref="W3:X3" si="5">T3/SUM($S$3:$U$3)</f>
        <v>0.38181818181818183</v>
      </c>
      <c r="X3" s="61">
        <f t="shared" si="5"/>
        <v>0.20909090909090908</v>
      </c>
    </row>
    <row r="4" spans="1:24" x14ac:dyDescent="0.3">
      <c r="A4" t="s">
        <v>8</v>
      </c>
      <c r="C4" t="s">
        <v>146</v>
      </c>
      <c r="D4" t="s">
        <v>150</v>
      </c>
      <c r="G4" s="54"/>
      <c r="H4" s="54" t="s">
        <v>7</v>
      </c>
      <c r="I4" s="54">
        <v>0.5</v>
      </c>
      <c r="J4" s="54">
        <v>0.75</v>
      </c>
      <c r="N4" s="59" t="s">
        <v>8</v>
      </c>
      <c r="O4" s="57">
        <v>1</v>
      </c>
      <c r="P4" s="57">
        <v>2</v>
      </c>
      <c r="Q4" s="57">
        <v>0.5</v>
      </c>
      <c r="R4" s="60">
        <f t="shared" si="1"/>
        <v>222.5</v>
      </c>
      <c r="S4" s="60">
        <f t="shared" si="2"/>
        <v>15</v>
      </c>
      <c r="T4" s="60">
        <f t="shared" si="3"/>
        <v>14</v>
      </c>
      <c r="U4" s="60">
        <f t="shared" si="4"/>
        <v>8.5</v>
      </c>
      <c r="V4" s="61">
        <f>S4/SUM($S$4:$U$4)</f>
        <v>0.4</v>
      </c>
      <c r="W4" s="61">
        <f t="shared" ref="W4:X4" si="6">T4/SUM($S$4:$U$4)</f>
        <v>0.37333333333333335</v>
      </c>
      <c r="X4" s="61">
        <f t="shared" si="6"/>
        <v>0.22666666666666666</v>
      </c>
    </row>
    <row r="5" spans="1:24" x14ac:dyDescent="0.3">
      <c r="G5" s="54"/>
      <c r="H5" s="54" t="s">
        <v>8</v>
      </c>
      <c r="I5" s="54">
        <v>0.67</v>
      </c>
      <c r="J5" s="54">
        <v>0.67</v>
      </c>
      <c r="N5" s="59"/>
      <c r="O5" s="57"/>
      <c r="P5" s="57"/>
      <c r="Q5" s="57"/>
      <c r="R5" s="60"/>
      <c r="S5" s="60"/>
      <c r="T5" s="60"/>
      <c r="U5" s="60"/>
      <c r="V5" s="61"/>
      <c r="W5" s="61"/>
      <c r="X5" s="61"/>
    </row>
    <row r="6" spans="1:24" ht="28.8" x14ac:dyDescent="0.3">
      <c r="A6" t="s">
        <v>152</v>
      </c>
      <c r="G6" s="54" t="s">
        <v>163</v>
      </c>
      <c r="H6" s="54" t="s">
        <v>164</v>
      </c>
      <c r="I6" s="54">
        <v>1</v>
      </c>
      <c r="J6" s="54">
        <v>1</v>
      </c>
      <c r="N6" s="59" t="s">
        <v>152</v>
      </c>
      <c r="O6" s="57"/>
      <c r="P6" s="57"/>
      <c r="Q6" s="57"/>
      <c r="R6" s="60"/>
      <c r="S6" s="60"/>
      <c r="T6" s="60"/>
      <c r="U6" s="60"/>
      <c r="V6" s="61"/>
      <c r="W6" s="61"/>
      <c r="X6" s="61"/>
    </row>
    <row r="7" spans="1:24" x14ac:dyDescent="0.3">
      <c r="A7" t="s">
        <v>143</v>
      </c>
      <c r="C7" t="s">
        <v>148</v>
      </c>
      <c r="D7" t="s">
        <v>150</v>
      </c>
      <c r="G7" s="54" t="s">
        <v>153</v>
      </c>
      <c r="H7" s="54" t="s">
        <v>91</v>
      </c>
      <c r="I7" s="54">
        <v>1.33</v>
      </c>
      <c r="J7" s="54">
        <v>1.25</v>
      </c>
      <c r="N7" s="59" t="s">
        <v>143</v>
      </c>
      <c r="O7" s="57">
        <v>1.5</v>
      </c>
      <c r="P7" s="57">
        <v>2</v>
      </c>
      <c r="Q7" s="57">
        <v>1</v>
      </c>
      <c r="R7" s="60">
        <f t="shared" si="1"/>
        <v>285</v>
      </c>
      <c r="S7" s="60">
        <f t="shared" si="2"/>
        <v>22.5</v>
      </c>
      <c r="T7" s="60">
        <f t="shared" si="3"/>
        <v>14</v>
      </c>
      <c r="U7" s="60">
        <f t="shared" si="4"/>
        <v>11</v>
      </c>
      <c r="V7" s="61">
        <f>S7/SUM($S$7:$U$7)</f>
        <v>0.47368421052631576</v>
      </c>
      <c r="W7" s="61">
        <f t="shared" ref="W7:X7" si="7">T7/SUM($S$7:$U$7)</f>
        <v>0.29473684210526313</v>
      </c>
      <c r="X7" s="61">
        <f t="shared" si="7"/>
        <v>0.23157894736842105</v>
      </c>
    </row>
    <row r="8" spans="1:24" x14ac:dyDescent="0.3">
      <c r="A8" t="s">
        <v>7</v>
      </c>
      <c r="C8" t="s">
        <v>147</v>
      </c>
      <c r="D8" t="s">
        <v>154</v>
      </c>
      <c r="G8" s="54"/>
      <c r="H8" s="54" t="s">
        <v>7</v>
      </c>
      <c r="I8" s="54">
        <v>1.67</v>
      </c>
      <c r="J8" s="54">
        <v>1.25</v>
      </c>
      <c r="N8" s="59" t="s">
        <v>7</v>
      </c>
      <c r="O8" s="57">
        <v>3</v>
      </c>
      <c r="P8" s="57">
        <v>4</v>
      </c>
      <c r="Q8" s="57">
        <v>1</v>
      </c>
      <c r="R8" s="60">
        <f t="shared" si="1"/>
        <v>525</v>
      </c>
      <c r="S8" s="60">
        <f t="shared" si="2"/>
        <v>45</v>
      </c>
      <c r="T8" s="60">
        <f t="shared" si="3"/>
        <v>28</v>
      </c>
      <c r="U8" s="60">
        <f t="shared" si="4"/>
        <v>17</v>
      </c>
      <c r="V8" s="61">
        <f>S8/SUM($S$8:$U$8)</f>
        <v>0.5</v>
      </c>
      <c r="W8" s="61">
        <f t="shared" ref="W8:X8" si="8">T8/SUM($S$8:$U$8)</f>
        <v>0.31111111111111112</v>
      </c>
      <c r="X8" s="61">
        <f t="shared" si="8"/>
        <v>0.18888888888888888</v>
      </c>
    </row>
    <row r="9" spans="1:24" x14ac:dyDescent="0.3">
      <c r="A9" t="s">
        <v>8</v>
      </c>
      <c r="C9" t="s">
        <v>147</v>
      </c>
      <c r="D9" t="s">
        <v>149</v>
      </c>
      <c r="G9" s="54"/>
      <c r="H9" s="54" t="s">
        <v>8</v>
      </c>
      <c r="I9" s="54">
        <v>1.5</v>
      </c>
      <c r="J9" s="54">
        <v>1.33</v>
      </c>
      <c r="N9" s="59" t="s">
        <v>8</v>
      </c>
      <c r="O9" s="57">
        <v>3</v>
      </c>
      <c r="P9" s="57">
        <v>3</v>
      </c>
      <c r="Q9" s="57">
        <v>1</v>
      </c>
      <c r="R9" s="60">
        <f t="shared" si="1"/>
        <v>465</v>
      </c>
      <c r="S9" s="60">
        <f t="shared" si="2"/>
        <v>45</v>
      </c>
      <c r="T9" s="60">
        <f t="shared" si="3"/>
        <v>21</v>
      </c>
      <c r="U9" s="60">
        <f t="shared" si="4"/>
        <v>14</v>
      </c>
      <c r="V9" s="61">
        <f>S9/SUM($S$9:$U$9)</f>
        <v>0.5625</v>
      </c>
      <c r="W9" s="61">
        <f t="shared" ref="W9:X9" si="9">T9/SUM($S$9:$U$9)</f>
        <v>0.26250000000000001</v>
      </c>
      <c r="X9" s="61">
        <f t="shared" si="9"/>
        <v>0.17499999999999999</v>
      </c>
    </row>
    <row r="10" spans="1:24" x14ac:dyDescent="0.3">
      <c r="N10" s="59"/>
      <c r="O10" s="57"/>
      <c r="P10" s="57"/>
      <c r="Q10" s="57"/>
      <c r="R10" s="60"/>
      <c r="S10" s="60"/>
      <c r="T10" s="60"/>
      <c r="U10" s="60"/>
      <c r="V10" s="61"/>
      <c r="W10" s="61"/>
      <c r="X10" s="61"/>
    </row>
    <row r="11" spans="1:24" x14ac:dyDescent="0.3">
      <c r="A11" t="s">
        <v>153</v>
      </c>
      <c r="N11" s="59" t="s">
        <v>153</v>
      </c>
      <c r="O11" s="57"/>
      <c r="P11" s="57"/>
      <c r="Q11" s="57"/>
      <c r="R11" s="60"/>
      <c r="S11" s="60"/>
      <c r="T11" s="60"/>
      <c r="U11" s="60"/>
      <c r="V11" s="61"/>
      <c r="W11" s="61"/>
      <c r="X11" s="61"/>
    </row>
    <row r="12" spans="1:24" x14ac:dyDescent="0.3">
      <c r="A12" t="s">
        <v>143</v>
      </c>
      <c r="C12" t="s">
        <v>146</v>
      </c>
      <c r="D12" t="s">
        <v>155</v>
      </c>
      <c r="N12" s="59" t="s">
        <v>143</v>
      </c>
      <c r="O12" s="57">
        <v>2</v>
      </c>
      <c r="P12" s="57">
        <v>2.5</v>
      </c>
      <c r="Q12" s="57">
        <v>1.5</v>
      </c>
      <c r="R12" s="60">
        <f t="shared" si="1"/>
        <v>377.5</v>
      </c>
      <c r="S12" s="60">
        <f t="shared" si="2"/>
        <v>30</v>
      </c>
      <c r="T12" s="60">
        <f t="shared" si="3"/>
        <v>17.5</v>
      </c>
      <c r="U12" s="60">
        <f t="shared" si="4"/>
        <v>15</v>
      </c>
      <c r="V12" s="61">
        <f>S12/SUM($S$12:$U$12)</f>
        <v>0.48</v>
      </c>
      <c r="W12" s="61">
        <f t="shared" ref="W12:X12" si="10">T12/SUM($S$12:$U$12)</f>
        <v>0.28000000000000003</v>
      </c>
      <c r="X12" s="61">
        <f t="shared" si="10"/>
        <v>0.24</v>
      </c>
    </row>
    <row r="13" spans="1:24" x14ac:dyDescent="0.3">
      <c r="A13" t="s">
        <v>7</v>
      </c>
      <c r="C13" t="s">
        <v>156</v>
      </c>
      <c r="D13" t="s">
        <v>157</v>
      </c>
      <c r="N13" s="59" t="s">
        <v>7</v>
      </c>
      <c r="O13" s="57">
        <v>5</v>
      </c>
      <c r="P13" s="57">
        <v>5</v>
      </c>
      <c r="Q13" s="57">
        <v>1.5</v>
      </c>
      <c r="R13" s="60">
        <f t="shared" si="1"/>
        <v>767.5</v>
      </c>
      <c r="S13" s="60">
        <f t="shared" si="2"/>
        <v>75</v>
      </c>
      <c r="T13" s="60">
        <f t="shared" si="3"/>
        <v>35</v>
      </c>
      <c r="U13" s="60">
        <f t="shared" si="4"/>
        <v>22.5</v>
      </c>
      <c r="V13" s="61">
        <f>S13/SUM($S$13:$U$13)</f>
        <v>0.56603773584905659</v>
      </c>
      <c r="W13" s="61">
        <f t="shared" ref="W13:X13" si="11">T13/SUM($S$13:$U$13)</f>
        <v>0.26415094339622641</v>
      </c>
      <c r="X13" s="61">
        <f t="shared" si="11"/>
        <v>0.16981132075471697</v>
      </c>
    </row>
    <row r="14" spans="1:24" x14ac:dyDescent="0.3">
      <c r="A14" t="s">
        <v>8</v>
      </c>
      <c r="C14" t="s">
        <v>158</v>
      </c>
      <c r="D14" t="s">
        <v>154</v>
      </c>
      <c r="N14" s="59" t="s">
        <v>8</v>
      </c>
      <c r="O14" s="57">
        <v>4.5</v>
      </c>
      <c r="P14" s="57">
        <v>4</v>
      </c>
      <c r="Q14" s="57">
        <v>1.5</v>
      </c>
      <c r="R14" s="60">
        <f t="shared" si="1"/>
        <v>667.5</v>
      </c>
      <c r="S14" s="60">
        <f t="shared" si="2"/>
        <v>67.5</v>
      </c>
      <c r="T14" s="60">
        <f t="shared" si="3"/>
        <v>28</v>
      </c>
      <c r="U14" s="60">
        <f t="shared" si="4"/>
        <v>19.5</v>
      </c>
      <c r="V14" s="61">
        <f>S14/SUM($S$14:$U$14)</f>
        <v>0.58695652173913049</v>
      </c>
      <c r="W14" s="61">
        <f t="shared" ref="W14:X14" si="12">T14/SUM($S$14:$U$14)</f>
        <v>0.24347826086956523</v>
      </c>
      <c r="X14" s="61">
        <f t="shared" si="12"/>
        <v>0.16956521739130434</v>
      </c>
    </row>
    <row r="15" spans="1:24" x14ac:dyDescent="0.3"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</row>
    <row r="16" spans="1:24" x14ac:dyDescent="0.3"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</row>
    <row r="17" spans="1:24" x14ac:dyDescent="0.3">
      <c r="N17" s="49" t="s">
        <v>180</v>
      </c>
      <c r="O17" s="49" t="s">
        <v>181</v>
      </c>
      <c r="P17" s="49" t="s">
        <v>182</v>
      </c>
      <c r="Q17" s="49" t="s">
        <v>183</v>
      </c>
      <c r="R17" s="49"/>
      <c r="S17" s="49"/>
      <c r="T17" s="49"/>
      <c r="U17" s="49"/>
      <c r="V17" s="49"/>
      <c r="W17" s="49"/>
      <c r="X17" s="49"/>
    </row>
    <row r="18" spans="1:24" x14ac:dyDescent="0.3">
      <c r="A18" t="s">
        <v>12</v>
      </c>
      <c r="N18" s="49" t="s">
        <v>184</v>
      </c>
      <c r="O18" s="49" t="s">
        <v>185</v>
      </c>
      <c r="P18" s="49" t="s">
        <v>186</v>
      </c>
      <c r="Q18" s="49" t="s">
        <v>187</v>
      </c>
      <c r="R18" s="49" t="s">
        <v>190</v>
      </c>
      <c r="S18" s="49"/>
      <c r="T18" s="49"/>
      <c r="U18" s="49"/>
      <c r="V18" s="49"/>
      <c r="W18" s="49"/>
      <c r="X18" s="49"/>
    </row>
    <row r="19" spans="1:24" ht="28.8" x14ac:dyDescent="0.3">
      <c r="A19" s="68" t="s">
        <v>93</v>
      </c>
      <c r="B19" s="19" t="s">
        <v>176</v>
      </c>
      <c r="C19" s="10" t="s">
        <v>92</v>
      </c>
      <c r="G19" s="50" t="s">
        <v>159</v>
      </c>
      <c r="H19" s="50" t="s">
        <v>160</v>
      </c>
      <c r="I19" s="51" t="s">
        <v>161</v>
      </c>
      <c r="J19" s="51" t="s">
        <v>162</v>
      </c>
      <c r="M19" s="52"/>
      <c r="N19" s="62" t="s">
        <v>188</v>
      </c>
      <c r="O19" s="62" t="s">
        <v>189</v>
      </c>
      <c r="P19" s="63" t="s">
        <v>191</v>
      </c>
      <c r="Q19" s="63"/>
      <c r="R19" s="49"/>
      <c r="S19" s="49"/>
      <c r="T19" s="49"/>
      <c r="U19" s="49"/>
      <c r="V19" s="49"/>
      <c r="W19" s="49"/>
      <c r="X19" s="49"/>
    </row>
    <row r="20" spans="1:24" x14ac:dyDescent="0.3">
      <c r="A20" s="70"/>
      <c r="B20" s="18" t="s">
        <v>177</v>
      </c>
      <c r="C20" s="10" t="s">
        <v>89</v>
      </c>
      <c r="G20" s="10" t="s">
        <v>151</v>
      </c>
      <c r="H20" s="10" t="s">
        <v>91</v>
      </c>
      <c r="I20" s="10">
        <v>0.67</v>
      </c>
      <c r="J20" s="10">
        <v>0.67</v>
      </c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</row>
    <row r="21" spans="1:24" ht="43.2" x14ac:dyDescent="0.3">
      <c r="A21" s="69"/>
      <c r="B21" s="17" t="s">
        <v>178</v>
      </c>
      <c r="C21" s="10" t="s">
        <v>86</v>
      </c>
      <c r="G21" s="10" t="s">
        <v>151</v>
      </c>
      <c r="H21" s="10" t="s">
        <v>7</v>
      </c>
      <c r="I21" s="10">
        <v>0.5</v>
      </c>
      <c r="J21" s="10">
        <v>0.83</v>
      </c>
      <c r="N21" s="64" t="s">
        <v>159</v>
      </c>
      <c r="O21" s="64" t="s">
        <v>160</v>
      </c>
      <c r="P21" s="64" t="s">
        <v>161</v>
      </c>
      <c r="Q21" s="64" t="s">
        <v>162</v>
      </c>
      <c r="R21" s="64" t="s">
        <v>196</v>
      </c>
      <c r="S21" s="49"/>
      <c r="T21" s="49"/>
      <c r="U21" s="49"/>
      <c r="V21" s="49"/>
      <c r="W21" s="49"/>
      <c r="X21" s="49"/>
    </row>
    <row r="22" spans="1:24" ht="28.8" x14ac:dyDescent="0.3">
      <c r="A22" s="68" t="s">
        <v>7</v>
      </c>
      <c r="B22" s="19" t="s">
        <v>176</v>
      </c>
      <c r="C22" s="10" t="s">
        <v>60</v>
      </c>
      <c r="G22" s="10" t="s">
        <v>151</v>
      </c>
      <c r="H22" s="10" t="s">
        <v>8</v>
      </c>
      <c r="I22" s="10">
        <v>0.5</v>
      </c>
      <c r="J22" s="10">
        <v>0.83</v>
      </c>
      <c r="N22" s="65" t="s">
        <v>151</v>
      </c>
      <c r="O22" s="65" t="s">
        <v>91</v>
      </c>
      <c r="P22" s="66">
        <f>O2/O7</f>
        <v>0.66666666666666663</v>
      </c>
      <c r="Q22" s="67">
        <f>P2/P7</f>
        <v>1</v>
      </c>
      <c r="R22" s="67">
        <f>Q2/Q7</f>
        <v>0.5</v>
      </c>
      <c r="S22" s="49"/>
      <c r="T22" s="49"/>
      <c r="U22" s="49"/>
      <c r="V22" s="49"/>
      <c r="W22" s="49"/>
      <c r="X22" s="49"/>
    </row>
    <row r="23" spans="1:24" x14ac:dyDescent="0.3">
      <c r="A23" s="70"/>
      <c r="B23" s="18" t="s">
        <v>177</v>
      </c>
      <c r="C23" s="10" t="s">
        <v>58</v>
      </c>
      <c r="G23" s="10" t="s">
        <v>163</v>
      </c>
      <c r="H23" s="10" t="s">
        <v>164</v>
      </c>
      <c r="I23" s="10">
        <v>1</v>
      </c>
      <c r="J23" s="10">
        <v>1</v>
      </c>
      <c r="N23" s="65"/>
      <c r="O23" s="65" t="s">
        <v>7</v>
      </c>
      <c r="P23" s="66">
        <f t="shared" ref="P23:Q24" si="13">O3/O8</f>
        <v>0.5</v>
      </c>
      <c r="Q23" s="67">
        <f t="shared" si="13"/>
        <v>0.75</v>
      </c>
      <c r="R23" s="67">
        <f t="shared" ref="R23" si="14">Q3/Q8</f>
        <v>0.5</v>
      </c>
      <c r="S23" s="49"/>
      <c r="T23" s="49"/>
      <c r="U23" s="49"/>
      <c r="V23" s="49"/>
      <c r="W23" s="49"/>
      <c r="X23" s="49"/>
    </row>
    <row r="24" spans="1:24" x14ac:dyDescent="0.3">
      <c r="A24" s="69"/>
      <c r="B24" s="17" t="s">
        <v>178</v>
      </c>
      <c r="C24" s="10" t="s">
        <v>56</v>
      </c>
      <c r="G24" s="10" t="s">
        <v>153</v>
      </c>
      <c r="H24" s="10" t="s">
        <v>91</v>
      </c>
      <c r="I24" s="10">
        <v>1.33</v>
      </c>
      <c r="J24" s="10">
        <v>1.33</v>
      </c>
      <c r="N24" s="65"/>
      <c r="O24" s="65" t="s">
        <v>8</v>
      </c>
      <c r="P24" s="66">
        <f t="shared" si="13"/>
        <v>0.33333333333333331</v>
      </c>
      <c r="Q24" s="67">
        <f t="shared" si="13"/>
        <v>0.66666666666666663</v>
      </c>
      <c r="R24" s="67">
        <f t="shared" ref="R24" si="15">Q4/Q9</f>
        <v>0.5</v>
      </c>
      <c r="S24" s="49"/>
      <c r="T24" s="49"/>
      <c r="U24" s="49"/>
      <c r="V24" s="49"/>
      <c r="W24" s="49"/>
      <c r="X24" s="49"/>
    </row>
    <row r="25" spans="1:24" x14ac:dyDescent="0.3">
      <c r="A25" s="68" t="s">
        <v>8</v>
      </c>
      <c r="B25" s="19" t="s">
        <v>176</v>
      </c>
      <c r="C25" s="10" t="s">
        <v>60</v>
      </c>
      <c r="G25" s="10" t="s">
        <v>153</v>
      </c>
      <c r="H25" s="10" t="s">
        <v>7</v>
      </c>
      <c r="I25" s="10">
        <v>1</v>
      </c>
      <c r="J25" s="10">
        <v>1.17</v>
      </c>
      <c r="N25" s="65" t="s">
        <v>163</v>
      </c>
      <c r="O25" s="65" t="s">
        <v>164</v>
      </c>
      <c r="P25" s="66">
        <v>1</v>
      </c>
      <c r="Q25" s="67">
        <v>1</v>
      </c>
      <c r="R25" s="67">
        <v>1</v>
      </c>
      <c r="S25" s="49"/>
      <c r="T25" s="49"/>
      <c r="U25" s="49"/>
      <c r="V25" s="49"/>
      <c r="W25" s="49"/>
      <c r="X25" s="49"/>
    </row>
    <row r="26" spans="1:24" ht="28.8" x14ac:dyDescent="0.3">
      <c r="A26" s="70"/>
      <c r="B26" s="18" t="s">
        <v>177</v>
      </c>
      <c r="C26" s="10" t="s">
        <v>58</v>
      </c>
      <c r="G26" s="10" t="s">
        <v>153</v>
      </c>
      <c r="H26" s="10" t="s">
        <v>8</v>
      </c>
      <c r="I26" s="10">
        <v>1</v>
      </c>
      <c r="J26" s="10">
        <v>1.17</v>
      </c>
      <c r="N26" s="65" t="s">
        <v>153</v>
      </c>
      <c r="O26" s="65" t="s">
        <v>91</v>
      </c>
      <c r="P26" s="66">
        <f>O12/O7</f>
        <v>1.3333333333333333</v>
      </c>
      <c r="Q26" s="67">
        <f>P12/P7</f>
        <v>1.25</v>
      </c>
      <c r="R26" s="67">
        <f>Q12/Q7</f>
        <v>1.5</v>
      </c>
      <c r="S26" s="49"/>
      <c r="T26" s="49"/>
      <c r="U26" s="49"/>
      <c r="V26" s="49"/>
      <c r="W26" s="49"/>
      <c r="X26" s="49"/>
    </row>
    <row r="27" spans="1:24" x14ac:dyDescent="0.3">
      <c r="A27" s="69"/>
      <c r="B27" s="17" t="s">
        <v>178</v>
      </c>
      <c r="C27" s="10" t="s">
        <v>56</v>
      </c>
      <c r="N27" s="65"/>
      <c r="O27" s="65" t="s">
        <v>7</v>
      </c>
      <c r="P27" s="66">
        <f t="shared" ref="P27:Q28" si="16">O13/O8</f>
        <v>1.6666666666666667</v>
      </c>
      <c r="Q27" s="67">
        <f t="shared" si="16"/>
        <v>1.25</v>
      </c>
      <c r="R27" s="67">
        <f t="shared" ref="R27" si="17">Q13/Q8</f>
        <v>1.5</v>
      </c>
      <c r="S27" s="49"/>
      <c r="T27" s="49"/>
      <c r="U27" s="49"/>
      <c r="V27" s="49"/>
      <c r="W27" s="49"/>
      <c r="X27" s="49"/>
    </row>
    <row r="28" spans="1:24" x14ac:dyDescent="0.3">
      <c r="N28" s="65"/>
      <c r="O28" s="65" t="s">
        <v>8</v>
      </c>
      <c r="P28" s="66">
        <f t="shared" si="16"/>
        <v>1.5</v>
      </c>
      <c r="Q28" s="67">
        <f t="shared" si="16"/>
        <v>1.3333333333333333</v>
      </c>
      <c r="R28" s="67">
        <f t="shared" ref="R28" si="18">Q14/Q9</f>
        <v>1.5</v>
      </c>
      <c r="S28" s="49"/>
      <c r="T28" s="49"/>
      <c r="U28" s="49"/>
      <c r="V28" s="49"/>
      <c r="W28" s="49"/>
      <c r="X28" s="49"/>
    </row>
  </sheetData>
  <mergeCells count="3">
    <mergeCell ref="A19:A21"/>
    <mergeCell ref="A22:A24"/>
    <mergeCell ref="A25:A27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FA1B2-504B-474F-A335-50EB987A41C4}">
  <dimension ref="A1:O43"/>
  <sheetViews>
    <sheetView tabSelected="1" topLeftCell="A26" workbookViewId="0">
      <selection activeCell="H43" sqref="H43"/>
    </sheetView>
  </sheetViews>
  <sheetFormatPr defaultRowHeight="14.4" x14ac:dyDescent="0.3"/>
  <sheetData>
    <row r="1" spans="1:15" x14ac:dyDescent="0.3">
      <c r="A1" t="s">
        <v>228</v>
      </c>
    </row>
    <row r="2" spans="1:15" x14ac:dyDescent="0.3">
      <c r="A2" t="s">
        <v>229</v>
      </c>
    </row>
    <row r="4" spans="1:15" x14ac:dyDescent="0.3">
      <c r="A4" t="s">
        <v>230</v>
      </c>
    </row>
    <row r="5" spans="1:15" x14ac:dyDescent="0.3">
      <c r="A5" t="s">
        <v>231</v>
      </c>
      <c r="B5" s="93">
        <v>0.5</v>
      </c>
    </row>
    <row r="6" spans="1:15" x14ac:dyDescent="0.3">
      <c r="A6" t="s">
        <v>232</v>
      </c>
      <c r="B6" s="93">
        <v>0.3</v>
      </c>
    </row>
    <row r="7" spans="1:15" x14ac:dyDescent="0.3">
      <c r="A7" t="s">
        <v>233</v>
      </c>
      <c r="B7" s="93">
        <v>0.2</v>
      </c>
    </row>
    <row r="8" spans="1:15" x14ac:dyDescent="0.3">
      <c r="A8" t="s">
        <v>242</v>
      </c>
      <c r="B8" s="93"/>
    </row>
    <row r="9" spans="1:15" ht="28.8" x14ac:dyDescent="0.3">
      <c r="C9" s="94" t="s">
        <v>238</v>
      </c>
      <c r="D9" s="94" t="s">
        <v>102</v>
      </c>
      <c r="E9" s="94" t="s">
        <v>239</v>
      </c>
      <c r="F9" s="96" t="s">
        <v>241</v>
      </c>
      <c r="G9" s="96" t="s">
        <v>244</v>
      </c>
      <c r="H9" s="57" t="s">
        <v>6</v>
      </c>
      <c r="I9" s="57" t="s">
        <v>192</v>
      </c>
      <c r="J9" s="57" t="s">
        <v>108</v>
      </c>
      <c r="K9" s="57" t="s">
        <v>103</v>
      </c>
      <c r="L9" s="58" t="s">
        <v>193</v>
      </c>
      <c r="M9" s="58" t="s">
        <v>194</v>
      </c>
      <c r="N9" s="58" t="s">
        <v>195</v>
      </c>
    </row>
    <row r="10" spans="1:15" x14ac:dyDescent="0.3">
      <c r="A10" t="s">
        <v>234</v>
      </c>
      <c r="B10" t="s">
        <v>176</v>
      </c>
      <c r="C10" s="57">
        <v>1</v>
      </c>
      <c r="D10" s="57">
        <v>2</v>
      </c>
      <c r="E10" s="57">
        <v>0.5</v>
      </c>
      <c r="F10" s="57"/>
      <c r="G10" s="57"/>
      <c r="H10" s="60">
        <f>C10*80+D10*60+E10*45</f>
        <v>222.5</v>
      </c>
      <c r="I10" s="60">
        <f>C10*15</f>
        <v>15</v>
      </c>
      <c r="J10" s="60">
        <f>D10*7</f>
        <v>14</v>
      </c>
      <c r="K10" s="60">
        <f>E10*5+D10*3</f>
        <v>8.5</v>
      </c>
      <c r="L10" s="61">
        <f>I10/SUM($I$10:$K$10)</f>
        <v>0.4</v>
      </c>
      <c r="M10" s="61">
        <f t="shared" ref="M10:N10" si="0">J10/SUM($I$10:$K$10)</f>
        <v>0.37333333333333335</v>
      </c>
      <c r="N10" s="61">
        <f t="shared" si="0"/>
        <v>0.22666666666666666</v>
      </c>
      <c r="O10" s="93">
        <f>SUM(L10:N10)</f>
        <v>1</v>
      </c>
    </row>
    <row r="11" spans="1:15" x14ac:dyDescent="0.3">
      <c r="A11" t="s">
        <v>235</v>
      </c>
      <c r="B11" t="s">
        <v>248</v>
      </c>
      <c r="H11">
        <v>60</v>
      </c>
      <c r="I11">
        <v>25</v>
      </c>
      <c r="J11">
        <v>0</v>
      </c>
      <c r="K11">
        <v>0</v>
      </c>
      <c r="O11" s="93"/>
    </row>
    <row r="12" spans="1:15" x14ac:dyDescent="0.3">
      <c r="A12" t="s">
        <v>7</v>
      </c>
      <c r="B12" t="s">
        <v>178</v>
      </c>
      <c r="C12" s="57">
        <v>5</v>
      </c>
      <c r="D12" s="57">
        <v>5</v>
      </c>
      <c r="E12" s="57">
        <v>1.5</v>
      </c>
      <c r="F12" s="57"/>
      <c r="G12" s="57"/>
      <c r="H12" s="60">
        <f t="shared" ref="H12" si="1">C12*80+D12*60+E12*45</f>
        <v>767.5</v>
      </c>
      <c r="I12" s="60">
        <f t="shared" ref="I12" si="2">C12*15</f>
        <v>75</v>
      </c>
      <c r="J12" s="60">
        <f t="shared" ref="J12" si="3">D12*7</f>
        <v>35</v>
      </c>
      <c r="K12" s="60">
        <f t="shared" ref="K12" si="4">E12*5+D12*3</f>
        <v>22.5</v>
      </c>
      <c r="L12" s="61">
        <f>I12/SUM($I$12:$K$12)</f>
        <v>0.56603773584905659</v>
      </c>
      <c r="M12" s="61">
        <f>J12/SUM($I$12:$K$12)</f>
        <v>0.26415094339622641</v>
      </c>
      <c r="N12" s="61">
        <f>K12/SUM($I$12:$K$12)</f>
        <v>0.16981132075471697</v>
      </c>
      <c r="O12" s="93">
        <f t="shared" ref="O12:O16" si="5">SUM(L12:N12)</f>
        <v>1</v>
      </c>
    </row>
    <row r="13" spans="1:15" x14ac:dyDescent="0.3">
      <c r="A13" t="s">
        <v>236</v>
      </c>
      <c r="B13" t="s">
        <v>246</v>
      </c>
      <c r="H13">
        <v>150</v>
      </c>
      <c r="I13">
        <v>10</v>
      </c>
      <c r="J13">
        <v>3</v>
      </c>
      <c r="K13">
        <v>10</v>
      </c>
      <c r="O13" s="93"/>
    </row>
    <row r="14" spans="1:15" x14ac:dyDescent="0.3">
      <c r="A14" t="s">
        <v>237</v>
      </c>
      <c r="B14" t="s">
        <v>247</v>
      </c>
      <c r="H14">
        <v>150</v>
      </c>
      <c r="I14">
        <v>30</v>
      </c>
      <c r="J14">
        <v>3</v>
      </c>
      <c r="K14">
        <v>3</v>
      </c>
      <c r="O14" s="93"/>
    </row>
    <row r="15" spans="1:15" x14ac:dyDescent="0.3">
      <c r="A15" t="s">
        <v>8</v>
      </c>
      <c r="B15" t="s">
        <v>240</v>
      </c>
      <c r="C15" s="57">
        <v>3</v>
      </c>
      <c r="D15" s="57">
        <v>3</v>
      </c>
      <c r="E15" s="57">
        <v>1</v>
      </c>
      <c r="F15" s="57"/>
      <c r="G15" s="57"/>
      <c r="H15" s="60">
        <f t="shared" ref="H15" si="6">C15*80+D15*60+E15*45</f>
        <v>465</v>
      </c>
      <c r="I15" s="60">
        <f t="shared" ref="I15" si="7">C15*15</f>
        <v>45</v>
      </c>
      <c r="J15" s="60">
        <f t="shared" ref="J15" si="8">D15*7</f>
        <v>21</v>
      </c>
      <c r="K15" s="60">
        <f t="shared" ref="K15" si="9">E15*5+D15*3</f>
        <v>14</v>
      </c>
      <c r="L15" s="61">
        <f>I15/SUM($I$15:$K$15)</f>
        <v>0.5625</v>
      </c>
      <c r="M15" s="61">
        <f t="shared" ref="M15:N15" si="10">J15/SUM($I$15:$K$15)</f>
        <v>0.26250000000000001</v>
      </c>
      <c r="N15" s="61">
        <f t="shared" si="10"/>
        <v>0.17499999999999999</v>
      </c>
      <c r="O15" s="93">
        <f t="shared" si="5"/>
        <v>1</v>
      </c>
    </row>
    <row r="16" spans="1:15" x14ac:dyDescent="0.3">
      <c r="H16" s="95">
        <f>SUM(H10:H15)</f>
        <v>1815</v>
      </c>
      <c r="I16" s="95">
        <f t="shared" ref="I16:K16" si="11">SUM(I10:I15)</f>
        <v>200</v>
      </c>
      <c r="J16" s="95">
        <f t="shared" si="11"/>
        <v>76</v>
      </c>
      <c r="K16" s="95">
        <f t="shared" si="11"/>
        <v>58</v>
      </c>
      <c r="L16" s="61">
        <f>I16/SUM($I$16:$K$16)</f>
        <v>0.59880239520958078</v>
      </c>
      <c r="M16" s="61">
        <f t="shared" ref="M16:N16" si="12">J16/SUM($I$16:$K$16)</f>
        <v>0.22754491017964071</v>
      </c>
      <c r="N16" s="61">
        <f t="shared" si="12"/>
        <v>0.17365269461077845</v>
      </c>
      <c r="O16" s="93">
        <f t="shared" si="5"/>
        <v>1</v>
      </c>
    </row>
    <row r="20" spans="1:15" x14ac:dyDescent="0.3">
      <c r="A20" t="s">
        <v>243</v>
      </c>
      <c r="B20" s="93"/>
    </row>
    <row r="21" spans="1:15" ht="28.8" x14ac:dyDescent="0.3">
      <c r="C21" s="94" t="s">
        <v>238</v>
      </c>
      <c r="D21" s="94" t="s">
        <v>102</v>
      </c>
      <c r="E21" s="94" t="s">
        <v>239</v>
      </c>
      <c r="F21" s="96" t="s">
        <v>241</v>
      </c>
      <c r="G21" s="96" t="s">
        <v>244</v>
      </c>
      <c r="H21" s="57" t="s">
        <v>6</v>
      </c>
      <c r="I21" s="57" t="s">
        <v>192</v>
      </c>
      <c r="J21" s="57" t="s">
        <v>108</v>
      </c>
      <c r="K21" s="57" t="s">
        <v>103</v>
      </c>
      <c r="L21" s="58" t="s">
        <v>193</v>
      </c>
      <c r="M21" s="58" t="s">
        <v>194</v>
      </c>
      <c r="N21" s="58" t="s">
        <v>195</v>
      </c>
      <c r="O21" s="93"/>
    </row>
    <row r="22" spans="1:15" x14ac:dyDescent="0.3">
      <c r="A22" t="s">
        <v>234</v>
      </c>
      <c r="B22" t="s">
        <v>176</v>
      </c>
      <c r="C22" s="57">
        <v>1</v>
      </c>
      <c r="D22" s="57">
        <v>2</v>
      </c>
      <c r="E22" s="57">
        <v>0.5</v>
      </c>
      <c r="F22" s="57"/>
      <c r="G22" s="57"/>
      <c r="H22" s="60">
        <f>C22*80+D22*60+E22*45+F22*60</f>
        <v>222.5</v>
      </c>
      <c r="I22" s="60">
        <f>C22*15</f>
        <v>15</v>
      </c>
      <c r="J22" s="60">
        <f>D22*7+F22*7</f>
        <v>14</v>
      </c>
      <c r="K22" s="60">
        <f>E22*5+D22*3+F22*3</f>
        <v>8.5</v>
      </c>
      <c r="L22" s="61">
        <f>I22/SUM($I$10:$K$10)</f>
        <v>0.4</v>
      </c>
      <c r="M22" s="61">
        <f t="shared" ref="M22" si="13">J22/SUM($I$10:$K$10)</f>
        <v>0.37333333333333335</v>
      </c>
      <c r="N22" s="61">
        <f t="shared" ref="N22" si="14">K22/SUM($I$10:$K$10)</f>
        <v>0.22666666666666666</v>
      </c>
      <c r="O22" s="93">
        <f t="shared" ref="O22:O39" si="15">SUM(L22:N22)</f>
        <v>1</v>
      </c>
    </row>
    <row r="23" spans="1:15" x14ac:dyDescent="0.3">
      <c r="A23" t="s">
        <v>235</v>
      </c>
      <c r="B23" t="s">
        <v>248</v>
      </c>
      <c r="H23">
        <v>60</v>
      </c>
      <c r="I23">
        <v>25</v>
      </c>
      <c r="J23">
        <v>0</v>
      </c>
      <c r="K23">
        <v>0</v>
      </c>
      <c r="O23" s="93"/>
    </row>
    <row r="24" spans="1:15" x14ac:dyDescent="0.3">
      <c r="A24" t="s">
        <v>7</v>
      </c>
      <c r="B24" t="s">
        <v>178</v>
      </c>
      <c r="C24" s="57">
        <v>5</v>
      </c>
      <c r="D24" s="57">
        <v>5</v>
      </c>
      <c r="E24" s="57">
        <v>1.5</v>
      </c>
      <c r="F24" s="57">
        <v>2</v>
      </c>
      <c r="G24" s="57"/>
      <c r="H24" s="60">
        <f>C24*80+D24*60+E24*45+F24*60</f>
        <v>887.5</v>
      </c>
      <c r="I24" s="60">
        <f t="shared" ref="I24" si="16">C24*15</f>
        <v>75</v>
      </c>
      <c r="J24" s="60">
        <f>D24*7+F24*7</f>
        <v>49</v>
      </c>
      <c r="K24" s="60">
        <f>E24*5+D24*3+F24*3</f>
        <v>28.5</v>
      </c>
      <c r="L24" s="61">
        <f>I24/SUM($I$24:$K$24)</f>
        <v>0.49180327868852458</v>
      </c>
      <c r="M24" s="61">
        <f t="shared" ref="M24:N24" si="17">J24/SUM($I$24:$K$24)</f>
        <v>0.32131147540983607</v>
      </c>
      <c r="N24" s="61">
        <f t="shared" si="17"/>
        <v>0.18688524590163935</v>
      </c>
      <c r="O24" s="93">
        <f t="shared" si="15"/>
        <v>1</v>
      </c>
    </row>
    <row r="25" spans="1:15" x14ac:dyDescent="0.3">
      <c r="A25" t="s">
        <v>236</v>
      </c>
      <c r="B25" t="s">
        <v>246</v>
      </c>
      <c r="H25">
        <v>150</v>
      </c>
      <c r="I25">
        <v>10</v>
      </c>
      <c r="J25">
        <v>3</v>
      </c>
      <c r="K25">
        <v>10</v>
      </c>
      <c r="O25" s="93"/>
    </row>
    <row r="26" spans="1:15" x14ac:dyDescent="0.3">
      <c r="A26" t="s">
        <v>237</v>
      </c>
      <c r="B26" t="s">
        <v>247</v>
      </c>
      <c r="H26">
        <v>150</v>
      </c>
      <c r="I26">
        <v>30</v>
      </c>
      <c r="J26">
        <v>3</v>
      </c>
      <c r="K26">
        <v>3</v>
      </c>
      <c r="O26" s="93"/>
    </row>
    <row r="27" spans="1:15" x14ac:dyDescent="0.3">
      <c r="A27" t="s">
        <v>8</v>
      </c>
      <c r="B27" t="s">
        <v>240</v>
      </c>
      <c r="C27" s="57">
        <v>3</v>
      </c>
      <c r="D27" s="57">
        <v>3</v>
      </c>
      <c r="E27" s="57">
        <v>1</v>
      </c>
      <c r="F27" s="57">
        <v>2</v>
      </c>
      <c r="G27" s="57"/>
      <c r="H27" s="60">
        <f>C27*80+D27*60+E27*45+F27*60</f>
        <v>585</v>
      </c>
      <c r="I27" s="60">
        <f t="shared" ref="I27" si="18">C27*15</f>
        <v>45</v>
      </c>
      <c r="J27" s="60">
        <f>D27*7+F27*7</f>
        <v>35</v>
      </c>
      <c r="K27" s="60">
        <f>E27*5+D27*3+F27*3</f>
        <v>20</v>
      </c>
      <c r="L27" s="61">
        <f>I27/SUM($I$27:$K$27)</f>
        <v>0.45</v>
      </c>
      <c r="M27" s="61">
        <f t="shared" ref="M27:N27" si="19">J27/SUM($I$27:$K$27)</f>
        <v>0.35</v>
      </c>
      <c r="N27" s="61">
        <f t="shared" si="19"/>
        <v>0.2</v>
      </c>
      <c r="O27" s="93">
        <f t="shared" si="15"/>
        <v>1</v>
      </c>
    </row>
    <row r="28" spans="1:15" x14ac:dyDescent="0.3">
      <c r="C28" s="95">
        <f t="shared" ref="C28:F28" si="20">SUM(C22:C27)</f>
        <v>9</v>
      </c>
      <c r="D28" s="95">
        <f t="shared" si="20"/>
        <v>10</v>
      </c>
      <c r="E28" s="95">
        <f t="shared" si="20"/>
        <v>3</v>
      </c>
      <c r="F28" s="95">
        <f t="shared" si="20"/>
        <v>4</v>
      </c>
      <c r="G28" s="95"/>
      <c r="H28" s="95">
        <f>SUM(H22:H27)</f>
        <v>2055</v>
      </c>
      <c r="I28" s="95">
        <f>SUM(I22:I27)</f>
        <v>200</v>
      </c>
      <c r="J28" s="95">
        <f t="shared" ref="J28" si="21">SUM(J22:J27)</f>
        <v>104</v>
      </c>
      <c r="K28" s="95">
        <f t="shared" ref="K28" si="22">SUM(K22:K27)</f>
        <v>70</v>
      </c>
      <c r="L28" s="61">
        <f>I28/SUM($I$28:$K$28)</f>
        <v>0.53475935828877008</v>
      </c>
      <c r="M28" s="61">
        <f t="shared" ref="M28:N28" si="23">J28/SUM($I$28:$K$28)</f>
        <v>0.27807486631016043</v>
      </c>
      <c r="N28" s="61">
        <f t="shared" si="23"/>
        <v>0.18716577540106952</v>
      </c>
      <c r="O28" s="93">
        <f t="shared" si="15"/>
        <v>1</v>
      </c>
    </row>
    <row r="29" spans="1:15" x14ac:dyDescent="0.3">
      <c r="O29" s="93"/>
    </row>
    <row r="30" spans="1:15" x14ac:dyDescent="0.3">
      <c r="O30" s="93"/>
    </row>
    <row r="31" spans="1:15" x14ac:dyDescent="0.3">
      <c r="A31" t="s">
        <v>245</v>
      </c>
      <c r="B31" s="93"/>
      <c r="O31" s="93"/>
    </row>
    <row r="32" spans="1:15" ht="28.8" x14ac:dyDescent="0.3">
      <c r="C32" s="94" t="s">
        <v>238</v>
      </c>
      <c r="D32" s="94" t="s">
        <v>102</v>
      </c>
      <c r="E32" s="94" t="s">
        <v>239</v>
      </c>
      <c r="F32" s="96" t="s">
        <v>241</v>
      </c>
      <c r="G32" s="96" t="s">
        <v>244</v>
      </c>
      <c r="H32" s="57" t="s">
        <v>6</v>
      </c>
      <c r="I32" s="57" t="s">
        <v>192</v>
      </c>
      <c r="J32" s="57" t="s">
        <v>108</v>
      </c>
      <c r="K32" s="57" t="s">
        <v>103</v>
      </c>
      <c r="L32" s="58" t="s">
        <v>193</v>
      </c>
      <c r="M32" s="58" t="s">
        <v>194</v>
      </c>
      <c r="N32" s="58" t="s">
        <v>195</v>
      </c>
      <c r="O32" s="93"/>
    </row>
    <row r="33" spans="1:15" x14ac:dyDescent="0.3">
      <c r="A33" t="s">
        <v>234</v>
      </c>
      <c r="B33" t="s">
        <v>176</v>
      </c>
      <c r="C33" s="57">
        <v>1</v>
      </c>
      <c r="D33" s="57">
        <v>2</v>
      </c>
      <c r="E33" s="57">
        <v>0.5</v>
      </c>
      <c r="F33" s="57"/>
      <c r="G33" s="57">
        <f>1</f>
        <v>1</v>
      </c>
      <c r="H33" s="60">
        <f>(C33*80+D33*60+E33*45+F33*60)*(1+G33)</f>
        <v>445</v>
      </c>
      <c r="I33" s="60">
        <f>(C33*15)*(1+G33)</f>
        <v>30</v>
      </c>
      <c r="J33" s="60">
        <f>(D33*15)*(1+G33)</f>
        <v>60</v>
      </c>
      <c r="K33" s="60">
        <f>(E33*15)*(1+G33)</f>
        <v>15</v>
      </c>
      <c r="L33" s="61">
        <f>I33/SUM($I$33:$K$33)</f>
        <v>0.2857142857142857</v>
      </c>
      <c r="M33" s="61">
        <f t="shared" ref="M33:N33" si="24">J33/SUM($I$33:$K$33)</f>
        <v>0.5714285714285714</v>
      </c>
      <c r="N33" s="61">
        <f t="shared" si="24"/>
        <v>0.14285714285714285</v>
      </c>
      <c r="O33" s="93">
        <f t="shared" si="15"/>
        <v>1</v>
      </c>
    </row>
    <row r="34" spans="1:15" x14ac:dyDescent="0.3">
      <c r="A34" t="s">
        <v>235</v>
      </c>
      <c r="B34" t="s">
        <v>248</v>
      </c>
      <c r="H34">
        <v>60</v>
      </c>
      <c r="I34">
        <v>25</v>
      </c>
      <c r="J34">
        <v>0</v>
      </c>
      <c r="K34">
        <v>0</v>
      </c>
      <c r="L34" s="61">
        <f>I34/SUM($I$34:$K$34)</f>
        <v>1</v>
      </c>
      <c r="M34" s="61">
        <f>J34/SUM($I$33:$K$33)</f>
        <v>0</v>
      </c>
      <c r="N34" s="61">
        <f>K34/SUM($I$33:$K$33)</f>
        <v>0</v>
      </c>
      <c r="O34" s="93">
        <f t="shared" si="15"/>
        <v>1</v>
      </c>
    </row>
    <row r="35" spans="1:15" x14ac:dyDescent="0.3">
      <c r="A35" t="s">
        <v>7</v>
      </c>
      <c r="B35" t="s">
        <v>178</v>
      </c>
      <c r="C35" s="57">
        <v>5</v>
      </c>
      <c r="D35" s="57">
        <v>5</v>
      </c>
      <c r="E35" s="57">
        <v>1.5</v>
      </c>
      <c r="F35" s="57">
        <v>0</v>
      </c>
      <c r="G35" s="57">
        <v>1</v>
      </c>
      <c r="H35" s="60">
        <f>(C35*80+D35*60+E35*45+F35*60)*(1+G35)</f>
        <v>1535</v>
      </c>
      <c r="I35" s="60">
        <f>(C35*15)*(1+G35)</f>
        <v>150</v>
      </c>
      <c r="J35" s="60">
        <f>(D35*15)*(1+G35)</f>
        <v>150</v>
      </c>
      <c r="K35" s="60">
        <f>(E35*15)*(1+G35)</f>
        <v>45</v>
      </c>
      <c r="L35" s="61">
        <f>I35/SUM($I$35:$K$35)</f>
        <v>0.43478260869565216</v>
      </c>
      <c r="M35" s="61">
        <f t="shared" ref="M35:N35" si="25">J35/SUM($I$35:$K$35)</f>
        <v>0.43478260869565216</v>
      </c>
      <c r="N35" s="61">
        <f t="shared" si="25"/>
        <v>0.13043478260869565</v>
      </c>
      <c r="O35" s="93">
        <f t="shared" si="15"/>
        <v>1</v>
      </c>
    </row>
    <row r="36" spans="1:15" x14ac:dyDescent="0.3">
      <c r="A36" t="s">
        <v>236</v>
      </c>
      <c r="B36" t="s">
        <v>246</v>
      </c>
      <c r="H36">
        <v>150</v>
      </c>
      <c r="I36">
        <v>10</v>
      </c>
      <c r="J36">
        <v>3</v>
      </c>
      <c r="K36">
        <v>10</v>
      </c>
      <c r="L36" s="61">
        <f>I36/SUM($I$36:$K$36)</f>
        <v>0.43478260869565216</v>
      </c>
      <c r="M36" s="61">
        <f t="shared" ref="M36:N36" si="26">J36/SUM($I$36:$K$36)</f>
        <v>0.13043478260869565</v>
      </c>
      <c r="N36" s="61">
        <f t="shared" si="26"/>
        <v>0.43478260869565216</v>
      </c>
      <c r="O36" s="93">
        <f t="shared" si="15"/>
        <v>1</v>
      </c>
    </row>
    <row r="37" spans="1:15" x14ac:dyDescent="0.3">
      <c r="A37" t="s">
        <v>237</v>
      </c>
      <c r="B37" t="s">
        <v>247</v>
      </c>
      <c r="H37">
        <v>150</v>
      </c>
      <c r="I37">
        <v>30</v>
      </c>
      <c r="J37">
        <v>3</v>
      </c>
      <c r="K37">
        <v>3</v>
      </c>
      <c r="L37" s="61">
        <f>I37/SUM($I$37:$K$37)</f>
        <v>0.83333333333333337</v>
      </c>
      <c r="M37" s="61">
        <f t="shared" ref="M37:N37" si="27">J37/SUM($I$37:$K$37)</f>
        <v>8.3333333333333329E-2</v>
      </c>
      <c r="N37" s="61">
        <f t="shared" si="27"/>
        <v>8.3333333333333329E-2</v>
      </c>
      <c r="O37" s="93">
        <f t="shared" si="15"/>
        <v>1</v>
      </c>
    </row>
    <row r="38" spans="1:15" x14ac:dyDescent="0.3">
      <c r="A38" t="s">
        <v>8</v>
      </c>
      <c r="B38" t="s">
        <v>153</v>
      </c>
      <c r="C38" s="57">
        <v>4.5</v>
      </c>
      <c r="D38" s="57">
        <v>4</v>
      </c>
      <c r="E38" s="57">
        <v>1.5</v>
      </c>
      <c r="F38" s="57">
        <v>2</v>
      </c>
      <c r="G38" s="57"/>
      <c r="H38" s="60">
        <f>(C38*80+D38*60+E38*45+F38*60)*(1+G38)</f>
        <v>787.5</v>
      </c>
      <c r="I38" s="60">
        <f>(C38*15)*(1+G38)</f>
        <v>67.5</v>
      </c>
      <c r="J38" s="60">
        <f>(D38*15)*(1+G38)</f>
        <v>60</v>
      </c>
      <c r="K38" s="60">
        <f>(E38*15)*(1+G38)</f>
        <v>22.5</v>
      </c>
      <c r="L38" s="61">
        <f>I38/SUM($I$38:$K$38)</f>
        <v>0.45</v>
      </c>
      <c r="M38" s="61">
        <f t="shared" ref="M38:N38" si="28">J38/SUM($I$38:$K$38)</f>
        <v>0.4</v>
      </c>
      <c r="N38" s="61">
        <f t="shared" si="28"/>
        <v>0.15</v>
      </c>
      <c r="O38" s="93">
        <f t="shared" si="15"/>
        <v>1</v>
      </c>
    </row>
    <row r="39" spans="1:15" x14ac:dyDescent="0.3">
      <c r="C39" s="95">
        <f t="shared" ref="C39" si="29">SUM(C33:C38)</f>
        <v>10.5</v>
      </c>
      <c r="D39" s="95">
        <f t="shared" ref="D39" si="30">SUM(D33:D38)</f>
        <v>11</v>
      </c>
      <c r="E39" s="95">
        <f t="shared" ref="E39" si="31">SUM(E33:E38)</f>
        <v>3.5</v>
      </c>
      <c r="F39" s="95">
        <f t="shared" ref="F39" si="32">SUM(F33:F38)</f>
        <v>2</v>
      </c>
      <c r="G39" s="95">
        <f t="shared" ref="G39" si="33">SUM(G33:G38)</f>
        <v>2</v>
      </c>
      <c r="H39" s="95">
        <f>SUM(H33:H38)</f>
        <v>3127.5</v>
      </c>
      <c r="I39" s="95">
        <f>SUM(I33:I38)</f>
        <v>312.5</v>
      </c>
      <c r="J39" s="95">
        <f>SUM(J33:J38)</f>
        <v>276</v>
      </c>
      <c r="K39" s="95">
        <f t="shared" ref="K39" si="34">SUM(K33:K38)</f>
        <v>95.5</v>
      </c>
      <c r="L39" s="61">
        <f>I39/SUM($I$39:$K$39)</f>
        <v>0.45687134502923976</v>
      </c>
      <c r="M39" s="61">
        <f t="shared" ref="M39:N39" si="35">J39/SUM($I$39:$K$39)</f>
        <v>0.40350877192982454</v>
      </c>
      <c r="N39" s="61">
        <f t="shared" si="35"/>
        <v>0.13961988304093567</v>
      </c>
      <c r="O39" s="93">
        <f t="shared" si="15"/>
        <v>1</v>
      </c>
    </row>
    <row r="40" spans="1:15" x14ac:dyDescent="0.3">
      <c r="A40" t="s">
        <v>249</v>
      </c>
      <c r="D40" s="95">
        <f>D39-9</f>
        <v>2</v>
      </c>
    </row>
    <row r="41" spans="1:15" x14ac:dyDescent="0.3">
      <c r="A41" t="s">
        <v>250</v>
      </c>
      <c r="D41">
        <v>1</v>
      </c>
    </row>
    <row r="42" spans="1:15" x14ac:dyDescent="0.3">
      <c r="A42" t="s">
        <v>251</v>
      </c>
      <c r="D42">
        <v>1</v>
      </c>
    </row>
    <row r="43" spans="1:15" x14ac:dyDescent="0.3">
      <c r="A43" t="s">
        <v>43</v>
      </c>
      <c r="D4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Packages Details</vt:lpstr>
      <vt:lpstr>Sheet1</vt:lpstr>
      <vt:lpstr>ditribution</vt:lpstr>
      <vt:lpstr>ex</vt:lpstr>
      <vt:lpstr>Scenario Meal prescription</vt:lpstr>
      <vt:lpstr>'Packages Details'!Print_Area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Senthuran Kanthasamy</dc:creator>
  <cp:lastModifiedBy>Senthuran Kanthasamy</cp:lastModifiedBy>
  <cp:lastPrinted>2025-04-23T10:13:07Z</cp:lastPrinted>
  <dcterms:created xsi:type="dcterms:W3CDTF">2025-02-11T07:10:26Z</dcterms:created>
  <dcterms:modified xsi:type="dcterms:W3CDTF">2025-04-24T17:04:33Z</dcterms:modified>
</cp:coreProperties>
</file>