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homas\Documents\SMU\MSDS6371 - Stats\Unit10\"/>
    </mc:Choice>
  </mc:AlternateContent>
  <bookViews>
    <workbookView xWindow="930" yWindow="0" windowWidth="9855" windowHeight="5760"/>
  </bookViews>
  <sheets>
    <sheet name="Male_Display_Data_Se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82" i="1" l="1"/>
  <c r="G69" i="1"/>
  <c r="H69" i="1"/>
  <c r="H82" i="1"/>
  <c r="E85" i="1"/>
  <c r="M3" i="1"/>
  <c r="K2" i="1"/>
  <c r="H5" i="1" s="1"/>
  <c r="J2" i="1"/>
  <c r="G5" i="1" s="1"/>
  <c r="G19" i="1" l="1"/>
  <c r="G11" i="1"/>
  <c r="G3" i="1"/>
  <c r="H20" i="1"/>
  <c r="H12" i="1"/>
  <c r="H4" i="1"/>
  <c r="I21" i="1"/>
  <c r="H18" i="1"/>
  <c r="H10" i="1"/>
  <c r="I13" i="1"/>
  <c r="H16" i="1"/>
  <c r="H8" i="1"/>
  <c r="I5" i="1"/>
  <c r="H22" i="1"/>
  <c r="H14" i="1"/>
  <c r="H6" i="1"/>
  <c r="I19" i="1"/>
  <c r="I11" i="1"/>
  <c r="G17" i="1"/>
  <c r="G9" i="1"/>
  <c r="I2" i="1"/>
  <c r="I15" i="1"/>
  <c r="I7" i="1"/>
  <c r="G21" i="1"/>
  <c r="G13" i="1"/>
  <c r="G4" i="1"/>
  <c r="G8" i="1"/>
  <c r="G12" i="1"/>
  <c r="G16" i="1"/>
  <c r="G20" i="1"/>
  <c r="I6" i="1"/>
  <c r="I10" i="1"/>
  <c r="I14" i="1"/>
  <c r="I18" i="1"/>
  <c r="I22" i="1"/>
  <c r="G6" i="1"/>
  <c r="G10" i="1"/>
  <c r="G14" i="1"/>
  <c r="G18" i="1"/>
  <c r="G22" i="1"/>
  <c r="I4" i="1"/>
  <c r="I8" i="1"/>
  <c r="I12" i="1"/>
  <c r="I16" i="1"/>
  <c r="I20" i="1"/>
  <c r="I3" i="1"/>
  <c r="I17" i="1"/>
  <c r="I9" i="1"/>
  <c r="G2" i="1"/>
  <c r="G15" i="1"/>
  <c r="G7" i="1"/>
  <c r="H2" i="1"/>
  <c r="H19" i="1"/>
  <c r="H15" i="1"/>
  <c r="H11" i="1"/>
  <c r="H7" i="1"/>
  <c r="H3" i="1"/>
  <c r="H21" i="1"/>
  <c r="H17" i="1"/>
  <c r="H13" i="1"/>
  <c r="H9" i="1"/>
  <c r="G23" i="1" l="1"/>
  <c r="I23" i="1"/>
  <c r="K21" i="1" l="1"/>
  <c r="K23" i="1" l="1"/>
  <c r="E73" i="1" l="1"/>
  <c r="E74" i="1"/>
  <c r="E45" i="1"/>
  <c r="E47" i="1"/>
  <c r="E77" i="1"/>
  <c r="E75" i="1"/>
  <c r="E46" i="1"/>
  <c r="E76" i="1"/>
  <c r="E72" i="1"/>
  <c r="E28" i="1"/>
  <c r="E29" i="1"/>
  <c r="E30" i="1"/>
  <c r="E57" i="1"/>
  <c r="E55" i="1"/>
  <c r="E56" i="1"/>
  <c r="E40" i="1"/>
  <c r="E39" i="1"/>
  <c r="E38" i="1"/>
  <c r="E53" i="1"/>
  <c r="E49" i="1"/>
  <c r="E34" i="1"/>
  <c r="E31" i="1"/>
  <c r="N7" i="1"/>
  <c r="O7" i="1" s="1"/>
  <c r="P7" i="1" s="1"/>
  <c r="N11" i="1"/>
  <c r="O11" i="1" s="1"/>
  <c r="P11" i="1" s="1"/>
  <c r="N15" i="1"/>
  <c r="O15" i="1" s="1"/>
  <c r="P15" i="1" s="1"/>
  <c r="N19" i="1"/>
  <c r="O19" i="1" s="1"/>
  <c r="P19" i="1" s="1"/>
  <c r="N3" i="1"/>
  <c r="O3" i="1" s="1"/>
  <c r="P3" i="1" s="1"/>
  <c r="E51" i="1"/>
  <c r="E32" i="1"/>
  <c r="E36" i="1"/>
  <c r="N5" i="1"/>
  <c r="O5" i="1" s="1"/>
  <c r="P5" i="1" s="1"/>
  <c r="N9" i="1"/>
  <c r="O9" i="1" s="1"/>
  <c r="P9" i="1" s="1"/>
  <c r="N13" i="1"/>
  <c r="O13" i="1" s="1"/>
  <c r="P13" i="1" s="1"/>
  <c r="N17" i="1"/>
  <c r="O17" i="1" s="1"/>
  <c r="P17" i="1" s="1"/>
  <c r="N21" i="1"/>
  <c r="O21" i="1" s="1"/>
  <c r="P21" i="1" s="1"/>
  <c r="E54" i="1"/>
  <c r="E50" i="1"/>
  <c r="E33" i="1"/>
  <c r="E37" i="1"/>
  <c r="N6" i="1"/>
  <c r="O6" i="1" s="1"/>
  <c r="P6" i="1" s="1"/>
  <c r="N10" i="1"/>
  <c r="O10" i="1" s="1"/>
  <c r="P10" i="1" s="1"/>
  <c r="N14" i="1"/>
  <c r="O14" i="1" s="1"/>
  <c r="P14" i="1" s="1"/>
  <c r="N18" i="1"/>
  <c r="O18" i="1" s="1"/>
  <c r="P18" i="1" s="1"/>
  <c r="N22" i="1"/>
  <c r="O22" i="1" s="1"/>
  <c r="P22" i="1" s="1"/>
  <c r="N12" i="1"/>
  <c r="O12" i="1" s="1"/>
  <c r="P12" i="1" s="1"/>
  <c r="E52" i="1"/>
  <c r="N16" i="1"/>
  <c r="O16" i="1" s="1"/>
  <c r="P16" i="1" s="1"/>
  <c r="N8" i="1"/>
  <c r="O8" i="1" s="1"/>
  <c r="P8" i="1" s="1"/>
  <c r="E48" i="1"/>
  <c r="E35" i="1"/>
  <c r="N4" i="1"/>
  <c r="O4" i="1" s="1"/>
  <c r="P4" i="1" s="1"/>
  <c r="N20" i="1"/>
  <c r="O20" i="1" s="1"/>
  <c r="P20" i="1" s="1"/>
  <c r="P23" i="1" l="1"/>
  <c r="Q3" i="1" s="1"/>
  <c r="F85" i="1" s="1"/>
  <c r="F82" i="1" l="1"/>
  <c r="G85" i="1"/>
  <c r="H85" i="1"/>
  <c r="F74" i="1"/>
  <c r="F73" i="1"/>
  <c r="F76" i="1"/>
  <c r="F45" i="1"/>
  <c r="F46" i="1"/>
  <c r="F47" i="1"/>
  <c r="F75" i="1"/>
  <c r="F72" i="1"/>
  <c r="F77" i="1"/>
  <c r="F30" i="1"/>
  <c r="F29" i="1"/>
  <c r="F28" i="1"/>
  <c r="F56" i="1"/>
  <c r="F40" i="1"/>
  <c r="F39" i="1"/>
  <c r="F38" i="1"/>
  <c r="F57" i="1"/>
  <c r="F55" i="1"/>
  <c r="F34" i="1"/>
  <c r="H34" i="1" s="1"/>
  <c r="F50" i="1"/>
  <c r="F54" i="1"/>
  <c r="F33" i="1"/>
  <c r="F37" i="1"/>
  <c r="F52" i="1"/>
  <c r="F35" i="1"/>
  <c r="F49" i="1"/>
  <c r="F53" i="1"/>
  <c r="F32" i="1"/>
  <c r="F36" i="1"/>
  <c r="S3" i="1"/>
  <c r="S6" i="1" s="1"/>
  <c r="F31" i="1"/>
  <c r="F48" i="1"/>
  <c r="T3" i="1"/>
  <c r="T6" i="1" s="1"/>
  <c r="F51" i="1"/>
  <c r="H75" i="1" l="1"/>
  <c r="G75" i="1"/>
  <c r="G76" i="1"/>
  <c r="H76" i="1"/>
  <c r="G47" i="1"/>
  <c r="H47" i="1"/>
  <c r="H73" i="1"/>
  <c r="G73" i="1"/>
  <c r="G72" i="1"/>
  <c r="H72" i="1"/>
  <c r="G45" i="1"/>
  <c r="H45" i="1"/>
  <c r="F69" i="1"/>
  <c r="G77" i="1"/>
  <c r="H77" i="1"/>
  <c r="G46" i="1"/>
  <c r="H46" i="1"/>
  <c r="G74" i="1"/>
  <c r="H74" i="1"/>
  <c r="H28" i="1"/>
  <c r="G28" i="1"/>
  <c r="G29" i="1"/>
  <c r="H29" i="1"/>
  <c r="H30" i="1"/>
  <c r="G30" i="1"/>
  <c r="G38" i="1"/>
  <c r="H38" i="1"/>
  <c r="H39" i="1"/>
  <c r="G39" i="1"/>
  <c r="G55" i="1"/>
  <c r="H55" i="1"/>
  <c r="H40" i="1"/>
  <c r="G40" i="1"/>
  <c r="H57" i="1"/>
  <c r="G57" i="1"/>
  <c r="H56" i="1"/>
  <c r="G56" i="1"/>
  <c r="G48" i="1"/>
  <c r="H48" i="1"/>
  <c r="F66" i="1"/>
  <c r="G36" i="1"/>
  <c r="H36" i="1"/>
  <c r="G54" i="1"/>
  <c r="H54" i="1"/>
  <c r="F61" i="1"/>
  <c r="G31" i="1"/>
  <c r="H31" i="1"/>
  <c r="F62" i="1"/>
  <c r="G32" i="1"/>
  <c r="H32" i="1"/>
  <c r="H50" i="1"/>
  <c r="G50" i="1"/>
  <c r="F64" i="1"/>
  <c r="G34" i="1"/>
  <c r="G49" i="1"/>
  <c r="H49" i="1"/>
  <c r="F63" i="1"/>
  <c r="H33" i="1"/>
  <c r="G33" i="1"/>
  <c r="F65" i="1"/>
  <c r="G35" i="1"/>
  <c r="H35" i="1"/>
  <c r="H52" i="1"/>
  <c r="G52" i="1"/>
  <c r="G51" i="1"/>
  <c r="H51" i="1"/>
  <c r="G53" i="1"/>
  <c r="H53" i="1"/>
  <c r="H37" i="1"/>
  <c r="G37" i="1"/>
  <c r="G66" i="1" l="1"/>
  <c r="H66" i="1"/>
  <c r="G63" i="1"/>
  <c r="H63" i="1"/>
  <c r="G65" i="1"/>
  <c r="H65" i="1"/>
  <c r="G64" i="1"/>
  <c r="H64" i="1"/>
  <c r="H61" i="1"/>
  <c r="G61" i="1"/>
  <c r="G62" i="1"/>
  <c r="H62" i="1"/>
</calcChain>
</file>

<file path=xl/sharedStrings.xml><?xml version="1.0" encoding="utf-8"?>
<sst xmlns="http://schemas.openxmlformats.org/spreadsheetml/2006/main" count="62" uniqueCount="30">
  <si>
    <t>Mass</t>
  </si>
  <si>
    <t>Tcell</t>
  </si>
  <si>
    <t>X</t>
  </si>
  <si>
    <t>Y</t>
  </si>
  <si>
    <t>(x-xbar)^2</t>
  </si>
  <si>
    <t>(y - ybar)^2</t>
  </si>
  <si>
    <t>(x-xbar)*(y-ybar)</t>
  </si>
  <si>
    <t>Mean x</t>
  </si>
  <si>
    <t>Mean y</t>
  </si>
  <si>
    <t>Beta 1</t>
  </si>
  <si>
    <t>Beta 0</t>
  </si>
  <si>
    <t>Hypothesis Tests</t>
  </si>
  <si>
    <t>sample sd of x</t>
  </si>
  <si>
    <t>Estimated Value</t>
  </si>
  <si>
    <t>Residual</t>
  </si>
  <si>
    <t>Resid^2</t>
  </si>
  <si>
    <t>RMSE</t>
  </si>
  <si>
    <t>SE Beta1</t>
  </si>
  <si>
    <t>SE Beta 0</t>
  </si>
  <si>
    <t>t Beta 1</t>
  </si>
  <si>
    <t>t Beta 0</t>
  </si>
  <si>
    <t>Confidence Intervals</t>
  </si>
  <si>
    <t>Est Value</t>
  </si>
  <si>
    <t>SE Est Value</t>
  </si>
  <si>
    <t>Lower Lim</t>
  </si>
  <si>
    <t>Upper Lim</t>
  </si>
  <si>
    <t>Prediction Intervals</t>
  </si>
  <si>
    <t>Calibration Interval (For Mean of Gross)</t>
  </si>
  <si>
    <t>TCell</t>
  </si>
  <si>
    <t>Calibration Interval (For Individual Gross)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</si>
</sst>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"/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Fon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Font="1"/>
    <xf numFmtId="169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T-Cell Count vs Mass of Stone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Estimated Value</c:v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Male_Display_Data_Set!$D$28:$D$40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Male_Display_Data_Set!$E$28:$E$40</c:f>
              <c:numCache>
                <c:formatCode>0.0000</c:formatCode>
                <c:ptCount val="13"/>
                <c:pt idx="0">
                  <c:v>8.7496983787901078E-2</c:v>
                </c:pt>
                <c:pt idx="1">
                  <c:v>0.12031847457020048</c:v>
                </c:pt>
                <c:pt idx="2">
                  <c:v>0.15313996535249991</c:v>
                </c:pt>
                <c:pt idx="3">
                  <c:v>0.18596145613479931</c:v>
                </c:pt>
                <c:pt idx="4">
                  <c:v>0.21878294691709871</c:v>
                </c:pt>
                <c:pt idx="5">
                  <c:v>0.25160443769939811</c:v>
                </c:pt>
                <c:pt idx="6">
                  <c:v>0.28442592848169757</c:v>
                </c:pt>
                <c:pt idx="7">
                  <c:v>0.31724741926399691</c:v>
                </c:pt>
                <c:pt idx="8">
                  <c:v>0.35006891004629637</c:v>
                </c:pt>
                <c:pt idx="9">
                  <c:v>0.38289040082859571</c:v>
                </c:pt>
                <c:pt idx="10">
                  <c:v>0.41571189161089517</c:v>
                </c:pt>
                <c:pt idx="11">
                  <c:v>0.44853338239319451</c:v>
                </c:pt>
                <c:pt idx="12">
                  <c:v>0.48135487317549397</c:v>
                </c:pt>
              </c:numCache>
            </c:numRef>
          </c:yVal>
          <c:smooth val="0"/>
        </c:ser>
        <c:ser>
          <c:idx val="2"/>
          <c:order val="1"/>
          <c:tx>
            <c:v>95% Confidence Upper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Male_Display_Data_Set!$D$28:$D$40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Male_Display_Data_Set!$H$28:$H$40</c:f>
              <c:numCache>
                <c:formatCode>0.0000</c:formatCode>
                <c:ptCount val="13"/>
                <c:pt idx="0">
                  <c:v>0.31257686525801698</c:v>
                </c:pt>
                <c:pt idx="1">
                  <c:v>0.31585323513405617</c:v>
                </c:pt>
                <c:pt idx="2">
                  <c:v>0.31945394270829414</c:v>
                </c:pt>
                <c:pt idx="3">
                  <c:v>0.32358573621654663</c:v>
                </c:pt>
                <c:pt idx="4">
                  <c:v>0.32866539684023777</c:v>
                </c:pt>
                <c:pt idx="5">
                  <c:v>0.3356369912913213</c:v>
                </c:pt>
                <c:pt idx="6">
                  <c:v>0.34689507489994198</c:v>
                </c:pt>
                <c:pt idx="7">
                  <c:v>0.36820745629542978</c:v>
                </c:pt>
                <c:pt idx="8">
                  <c:v>0.40614977508279787</c:v>
                </c:pt>
                <c:pt idx="9">
                  <c:v>0.45736729926842018</c:v>
                </c:pt>
                <c:pt idx="10">
                  <c:v>0.51471775157971666</c:v>
                </c:pt>
                <c:pt idx="11">
                  <c:v>0.57467266709107201</c:v>
                </c:pt>
                <c:pt idx="12">
                  <c:v>0.6358659889859587</c:v>
                </c:pt>
              </c:numCache>
            </c:numRef>
          </c:yVal>
          <c:smooth val="0"/>
        </c:ser>
        <c:ser>
          <c:idx val="3"/>
          <c:order val="2"/>
          <c:tx>
            <c:v>95% Confidence Lower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Male_Display_Data_Set!$D$28:$D$40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Male_Display_Data_Set!$G$28:$G$40</c:f>
              <c:numCache>
                <c:formatCode>0.0000</c:formatCode>
                <c:ptCount val="13"/>
                <c:pt idx="0">
                  <c:v>-0.13758289768221485</c:v>
                </c:pt>
                <c:pt idx="1">
                  <c:v>-7.521628599365518E-2</c:v>
                </c:pt>
                <c:pt idx="2">
                  <c:v>-1.3174012003294322E-2</c:v>
                </c:pt>
                <c:pt idx="3">
                  <c:v>4.8337176053051961E-2</c:v>
                </c:pt>
                <c:pt idx="4">
                  <c:v>0.10890049699395964</c:v>
                </c:pt>
                <c:pt idx="5">
                  <c:v>0.16757188410747492</c:v>
                </c:pt>
                <c:pt idx="6">
                  <c:v>0.22195678206345318</c:v>
                </c:pt>
                <c:pt idx="7">
                  <c:v>0.26628738223256404</c:v>
                </c:pt>
                <c:pt idx="8">
                  <c:v>0.29398804500979486</c:v>
                </c:pt>
                <c:pt idx="9">
                  <c:v>0.30841350238877124</c:v>
                </c:pt>
                <c:pt idx="10">
                  <c:v>0.31670603164207367</c:v>
                </c:pt>
                <c:pt idx="11">
                  <c:v>0.32239409769531702</c:v>
                </c:pt>
                <c:pt idx="12">
                  <c:v>0.32684375736502924</c:v>
                </c:pt>
              </c:numCache>
            </c:numRef>
          </c:yVal>
          <c:smooth val="0"/>
        </c:ser>
        <c:ser>
          <c:idx val="4"/>
          <c:order val="3"/>
          <c:tx>
            <c:v>Prediciton Upper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Male_Display_Data_Set!$D$28:$D$40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Male_Display_Data_Set!$H$45:$H$57</c:f>
              <c:numCache>
                <c:formatCode>0.0000</c:formatCode>
                <c:ptCount val="13"/>
                <c:pt idx="0">
                  <c:v>0.41058234183669706</c:v>
                </c:pt>
                <c:pt idx="1">
                  <c:v>0.42356266351976901</c:v>
                </c:pt>
                <c:pt idx="2">
                  <c:v>0.43841796066027144</c:v>
                </c:pt>
                <c:pt idx="3">
                  <c:v>0.45552339337916714</c:v>
                </c:pt>
                <c:pt idx="4">
                  <c:v>0.47529288501702577</c:v>
                </c:pt>
                <c:pt idx="5">
                  <c:v>0.49814990126767533</c:v>
                </c:pt>
                <c:pt idx="6">
                  <c:v>0.52447923463918689</c:v>
                </c:pt>
                <c:pt idx="7">
                  <c:v>0.55456602560821566</c:v>
                </c:pt>
                <c:pt idx="8">
                  <c:v>0.58853957693461534</c:v>
                </c:pt>
                <c:pt idx="9">
                  <c:v>0.62634471675693004</c:v>
                </c:pt>
                <c:pt idx="10">
                  <c:v>0.66775426076950151</c:v>
                </c:pt>
                <c:pt idx="11">
                  <c:v>0.71241652828737523</c:v>
                </c:pt>
                <c:pt idx="12">
                  <c:v>0.7599170394003999</c:v>
                </c:pt>
              </c:numCache>
            </c:numRef>
          </c:yVal>
          <c:smooth val="0"/>
        </c:ser>
        <c:ser>
          <c:idx val="5"/>
          <c:order val="4"/>
          <c:tx>
            <c:v>Prediciton Lower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Male_Display_Data_Set!$D$28:$D$40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Male_Display_Data_Set!$G$45:$G$57</c:f>
              <c:numCache>
                <c:formatCode>0.0000</c:formatCode>
                <c:ptCount val="13"/>
                <c:pt idx="0">
                  <c:v>-0.23558837426089488</c:v>
                </c:pt>
                <c:pt idx="1">
                  <c:v>-0.18292571437936808</c:v>
                </c:pt>
                <c:pt idx="2">
                  <c:v>-0.13213802995527163</c:v>
                </c:pt>
                <c:pt idx="3">
                  <c:v>-8.3600481109568525E-2</c:v>
                </c:pt>
                <c:pt idx="4">
                  <c:v>-3.7726991182828351E-2</c:v>
                </c:pt>
                <c:pt idx="5">
                  <c:v>5.0589741311208858E-3</c:v>
                </c:pt>
                <c:pt idx="6">
                  <c:v>4.4372622324208189E-2</c:v>
                </c:pt>
                <c:pt idx="7">
                  <c:v>7.9928812919778131E-2</c:v>
                </c:pt>
                <c:pt idx="8">
                  <c:v>0.11159824315797745</c:v>
                </c:pt>
                <c:pt idx="9">
                  <c:v>0.13943608490026144</c:v>
                </c:pt>
                <c:pt idx="10">
                  <c:v>0.16366952245228888</c:v>
                </c:pt>
                <c:pt idx="11">
                  <c:v>0.1846502364990138</c:v>
                </c:pt>
                <c:pt idx="12">
                  <c:v>0.20279270695058804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73984"/>
        <c:axId val="528485168"/>
      </c:scatterChart>
      <c:valAx>
        <c:axId val="5062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Stone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85168"/>
        <c:crosses val="autoZero"/>
        <c:crossBetween val="midCat"/>
      </c:valAx>
      <c:valAx>
        <c:axId val="5284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T-Cell -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Male_Display_Data_Set!$E$2:$E$22</c:f>
              <c:numCache>
                <c:formatCode>General</c:formatCode>
                <c:ptCount val="21"/>
                <c:pt idx="0">
                  <c:v>3.33</c:v>
                </c:pt>
                <c:pt idx="1">
                  <c:v>4.62</c:v>
                </c:pt>
                <c:pt idx="2">
                  <c:v>5.43</c:v>
                </c:pt>
                <c:pt idx="3">
                  <c:v>5.73</c:v>
                </c:pt>
                <c:pt idx="4">
                  <c:v>6.12</c:v>
                </c:pt>
                <c:pt idx="5">
                  <c:v>6.29</c:v>
                </c:pt>
                <c:pt idx="6">
                  <c:v>6.45</c:v>
                </c:pt>
                <c:pt idx="7">
                  <c:v>6.51</c:v>
                </c:pt>
                <c:pt idx="8">
                  <c:v>6.65</c:v>
                </c:pt>
                <c:pt idx="9">
                  <c:v>6.75</c:v>
                </c:pt>
                <c:pt idx="10">
                  <c:v>6.81</c:v>
                </c:pt>
                <c:pt idx="11">
                  <c:v>7.56</c:v>
                </c:pt>
                <c:pt idx="12">
                  <c:v>7.83</c:v>
                </c:pt>
                <c:pt idx="13">
                  <c:v>8.02</c:v>
                </c:pt>
                <c:pt idx="14">
                  <c:v>8.06</c:v>
                </c:pt>
                <c:pt idx="15">
                  <c:v>8.18</c:v>
                </c:pt>
                <c:pt idx="16">
                  <c:v>9.08</c:v>
                </c:pt>
                <c:pt idx="17">
                  <c:v>9.15</c:v>
                </c:pt>
                <c:pt idx="18">
                  <c:v>9.35</c:v>
                </c:pt>
                <c:pt idx="19">
                  <c:v>9.42</c:v>
                </c:pt>
                <c:pt idx="20">
                  <c:v>9.9499999999999993</c:v>
                </c:pt>
              </c:numCache>
            </c:numRef>
          </c:xVal>
          <c:yVal>
            <c:numRef>
              <c:f>Male_Display_Data_Set!$F$2:$F$22</c:f>
              <c:numCache>
                <c:formatCode>General</c:formatCode>
                <c:ptCount val="21"/>
                <c:pt idx="0">
                  <c:v>0.252</c:v>
                </c:pt>
                <c:pt idx="1">
                  <c:v>0.26300000000000001</c:v>
                </c:pt>
                <c:pt idx="2">
                  <c:v>0.251</c:v>
                </c:pt>
                <c:pt idx="3">
                  <c:v>0.251</c:v>
                </c:pt>
                <c:pt idx="4">
                  <c:v>0.183</c:v>
                </c:pt>
                <c:pt idx="5">
                  <c:v>0.21299999999999999</c:v>
                </c:pt>
                <c:pt idx="6">
                  <c:v>0.33200000000000002</c:v>
                </c:pt>
                <c:pt idx="7">
                  <c:v>0.20300000000000001</c:v>
                </c:pt>
                <c:pt idx="8">
                  <c:v>0.252</c:v>
                </c:pt>
                <c:pt idx="9">
                  <c:v>0.34200000000000003</c:v>
                </c:pt>
                <c:pt idx="10">
                  <c:v>0.47099999999999997</c:v>
                </c:pt>
                <c:pt idx="11">
                  <c:v>0.43099999999999999</c:v>
                </c:pt>
                <c:pt idx="12">
                  <c:v>0.312</c:v>
                </c:pt>
                <c:pt idx="13">
                  <c:v>0.30399999999999999</c:v>
                </c:pt>
                <c:pt idx="14">
                  <c:v>0.37</c:v>
                </c:pt>
                <c:pt idx="15">
                  <c:v>0.38100000000000001</c:v>
                </c:pt>
                <c:pt idx="16">
                  <c:v>0.43</c:v>
                </c:pt>
                <c:pt idx="17">
                  <c:v>0.43</c:v>
                </c:pt>
                <c:pt idx="18">
                  <c:v>0.21299999999999999</c:v>
                </c:pt>
                <c:pt idx="19">
                  <c:v>0.50800000000000001</c:v>
                </c:pt>
                <c:pt idx="20">
                  <c:v>0.41099999999999998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36448"/>
        <c:axId val="536523136"/>
      </c:scatterChart>
      <c:valAx>
        <c:axId val="5056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3136"/>
        <c:crosses val="autoZero"/>
        <c:crossBetween val="midCat"/>
      </c:valAx>
      <c:valAx>
        <c:axId val="5365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35</xdr:row>
      <xdr:rowOff>142874</xdr:rowOff>
    </xdr:from>
    <xdr:to>
      <xdr:col>19</xdr:col>
      <xdr:colOff>323850</xdr:colOff>
      <xdr:row>67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11</xdr:row>
      <xdr:rowOff>38100</xdr:rowOff>
    </xdr:from>
    <xdr:to>
      <xdr:col>16</xdr:col>
      <xdr:colOff>561975</xdr:colOff>
      <xdr:row>25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cture%2015%20and%2016%20Correlation%20and%20Regression%20Movi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D16">
            <v>35</v>
          </cell>
          <cell r="E16">
            <v>-42.619777045775393</v>
          </cell>
          <cell r="G16">
            <v>-140.93750096194674</v>
          </cell>
          <cell r="H16">
            <v>55.697946870395967</v>
          </cell>
        </row>
        <row r="17">
          <cell r="D17">
            <v>65</v>
          </cell>
          <cell r="E17">
            <v>61.542927612896932</v>
          </cell>
          <cell r="G17">
            <v>-12.541632740527021</v>
          </cell>
          <cell r="H17">
            <v>135.62748796632087</v>
          </cell>
        </row>
        <row r="18">
          <cell r="D18">
            <v>95</v>
          </cell>
          <cell r="E18">
            <v>165.70563227156927</v>
          </cell>
          <cell r="G18">
            <v>98.787813108856852</v>
          </cell>
          <cell r="H18">
            <v>232.62345143428169</v>
          </cell>
        </row>
        <row r="19">
          <cell r="D19">
            <v>125</v>
          </cell>
          <cell r="E19">
            <v>269.86833693024164</v>
          </cell>
          <cell r="G19">
            <v>188.414103447527</v>
          </cell>
          <cell r="H19">
            <v>351.32257041295628</v>
          </cell>
        </row>
        <row r="20">
          <cell r="D20">
            <v>155</v>
          </cell>
          <cell r="E20">
            <v>374.03104158891392</v>
          </cell>
          <cell r="G20">
            <v>264.67421749892191</v>
          </cell>
          <cell r="H20">
            <v>483.38786567890594</v>
          </cell>
        </row>
        <row r="21">
          <cell r="D21">
            <v>185</v>
          </cell>
          <cell r="E21">
            <v>478.1937462475862</v>
          </cell>
          <cell r="G21">
            <v>335.18898062814242</v>
          </cell>
          <cell r="H21">
            <v>621.19851186702999</v>
          </cell>
        </row>
        <row r="22">
          <cell r="D22">
            <v>200</v>
          </cell>
          <cell r="E22">
            <v>530.27509857692246</v>
          </cell>
          <cell r="G22">
            <v>369.39056251364968</v>
          </cell>
          <cell r="H22">
            <v>691.15963464019524</v>
          </cell>
        </row>
        <row r="26">
          <cell r="G26">
            <v>-290.23880972034004</v>
          </cell>
          <cell r="H26">
            <v>204.99925562878929</v>
          </cell>
        </row>
        <row r="27">
          <cell r="G27">
            <v>-173.00630524900828</v>
          </cell>
          <cell r="H27">
            <v>296.09216047480214</v>
          </cell>
        </row>
        <row r="28">
          <cell r="G28">
            <v>-65.571409849985258</v>
          </cell>
          <cell r="H28">
            <v>396.98267439312383</v>
          </cell>
        </row>
        <row r="29">
          <cell r="G29">
            <v>31.661770958922716</v>
          </cell>
          <cell r="H29">
            <v>508.07490290156056</v>
          </cell>
        </row>
        <row r="30">
          <cell r="G30">
            <v>119.52517483105848</v>
          </cell>
          <cell r="H30">
            <v>628.53690834676934</v>
          </cell>
        </row>
        <row r="31">
          <cell r="G31">
            <v>199.65887475130091</v>
          </cell>
          <cell r="H31">
            <v>756.7286177438715</v>
          </cell>
        </row>
        <row r="32">
          <cell r="G32">
            <v>237.39716716486322</v>
          </cell>
          <cell r="H32">
            <v>823.15302998898164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K13" sqref="K13"/>
    </sheetView>
  </sheetViews>
  <sheetFormatPr defaultRowHeight="15" x14ac:dyDescent="0.25"/>
  <cols>
    <col min="4" max="5" width="9.5703125" bestFit="1" customWidth="1"/>
    <col min="6" max="6" width="11.7109375" bestFit="1" customWidth="1"/>
    <col min="7" max="8" width="12.140625" bestFit="1" customWidth="1"/>
    <col min="9" max="9" width="16.140625" bestFit="1" customWidth="1"/>
    <col min="10" max="11" width="7.42578125" bestFit="1" customWidth="1"/>
    <col min="13" max="14" width="16" bestFit="1" customWidth="1"/>
    <col min="15" max="15" width="13.42578125" bestFit="1" customWidth="1"/>
    <col min="16" max="17" width="12.5703125" bestFit="1" customWidth="1"/>
  </cols>
  <sheetData>
    <row r="1" spans="1:20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11</v>
      </c>
    </row>
    <row r="2" spans="1:20" x14ac:dyDescent="0.25">
      <c r="A2">
        <v>3.33</v>
      </c>
      <c r="B2">
        <v>0.252</v>
      </c>
      <c r="E2">
        <v>3.33</v>
      </c>
      <c r="F2">
        <v>0.252</v>
      </c>
      <c r="G2" s="4">
        <f>(E2 - $J$2)^2</f>
        <v>15.010089795918363</v>
      </c>
      <c r="H2" s="4">
        <f>(F2 - $K$2)^2</f>
        <v>5.1771451247165506E-3</v>
      </c>
      <c r="I2" s="4">
        <f>(E2-$J$2)*(F2 - $K$2)</f>
        <v>0.27876408163265293</v>
      </c>
      <c r="J2">
        <f>AVERAGE(E2:E22)</f>
        <v>7.2042857142857137</v>
      </c>
      <c r="K2">
        <f>AVERAGE(F2:F22)</f>
        <v>0.32395238095238094</v>
      </c>
      <c r="M2" t="s">
        <v>12</v>
      </c>
      <c r="N2" t="s">
        <v>13</v>
      </c>
      <c r="O2" t="s">
        <v>14</v>
      </c>
      <c r="P2" t="s">
        <v>15</v>
      </c>
      <c r="Q2" s="3" t="s">
        <v>16</v>
      </c>
      <c r="S2" s="2" t="s">
        <v>17</v>
      </c>
      <c r="T2" s="2" t="s">
        <v>18</v>
      </c>
    </row>
    <row r="3" spans="1:20" x14ac:dyDescent="0.25">
      <c r="A3">
        <v>4.62</v>
      </c>
      <c r="B3">
        <v>0.26300000000000001</v>
      </c>
      <c r="E3">
        <v>4.62</v>
      </c>
      <c r="F3">
        <v>0.26300000000000001</v>
      </c>
      <c r="G3" s="4">
        <f t="shared" ref="G3:G22" si="0">(E3 - $J$2)^2</f>
        <v>6.6785326530612208</v>
      </c>
      <c r="H3" s="4">
        <f t="shared" ref="H3:H22" si="1">(F3 - $K$2)^2</f>
        <v>3.7151927437641692E-3</v>
      </c>
      <c r="I3" s="4">
        <f t="shared" ref="I3:I22" si="2">(E3-$J$2)*(F3 - $K$2)</f>
        <v>0.15751836734693866</v>
      </c>
      <c r="M3">
        <f>_xlfn.STDEV.S(E2:E22)</f>
        <v>1.7024411044983967</v>
      </c>
      <c r="N3" s="4">
        <f>$K$23 +$K$21 * E2</f>
        <v>0.1967925480929581</v>
      </c>
      <c r="O3" s="4">
        <f>F2 - N3</f>
        <v>5.5207451907041905E-2</v>
      </c>
      <c r="P3" s="4">
        <f>O3^2</f>
        <v>3.0478627460683448E-3</v>
      </c>
      <c r="Q3" s="6">
        <f>SQRT(P23/19)</f>
        <v>8.1016408650504107E-2</v>
      </c>
      <c r="S3" s="7">
        <f>Q3*SQRT(1/(20*M3^2))</f>
        <v>1.0641084531896638E-2</v>
      </c>
      <c r="T3" s="7">
        <f>Q3*SQRT(1/21+J2^2/(20*M3^2))</f>
        <v>7.8673549881738997E-2</v>
      </c>
    </row>
    <row r="4" spans="1:20" x14ac:dyDescent="0.25">
      <c r="A4">
        <v>5.43</v>
      </c>
      <c r="B4">
        <v>0.251</v>
      </c>
      <c r="E4">
        <v>5.43</v>
      </c>
      <c r="F4">
        <v>0.251</v>
      </c>
      <c r="G4" s="4">
        <f t="shared" si="0"/>
        <v>3.1480897959183665</v>
      </c>
      <c r="H4" s="4">
        <f t="shared" si="1"/>
        <v>5.3220498866213125E-3</v>
      </c>
      <c r="I4" s="4">
        <f t="shared" si="2"/>
        <v>0.12943836734693873</v>
      </c>
      <c r="N4" s="4">
        <f t="shared" ref="N4:N22" si="3">$K$23 +$K$21 * E3</f>
        <v>0.23913227120212435</v>
      </c>
      <c r="O4" s="4">
        <f t="shared" ref="O4:O22" si="4">F3 - N4</f>
        <v>2.3867728797875659E-2</v>
      </c>
      <c r="P4" s="4">
        <f t="shared" ref="P4:P22" si="5">O4^2</f>
        <v>5.6966847796894302E-4</v>
      </c>
      <c r="Q4" s="6"/>
    </row>
    <row r="5" spans="1:20" x14ac:dyDescent="0.25">
      <c r="A5">
        <v>5.73</v>
      </c>
      <c r="B5">
        <v>0.251</v>
      </c>
      <c r="E5">
        <v>5.73</v>
      </c>
      <c r="F5">
        <v>0.251</v>
      </c>
      <c r="G5" s="4">
        <f t="shared" si="0"/>
        <v>2.173518367346936</v>
      </c>
      <c r="H5" s="4">
        <f t="shared" si="1"/>
        <v>5.3220498866213125E-3</v>
      </c>
      <c r="I5" s="4">
        <f t="shared" si="2"/>
        <v>0.1075526530612244</v>
      </c>
      <c r="N5" s="4">
        <f t="shared" si="3"/>
        <v>0.26571767873578689</v>
      </c>
      <c r="O5" s="4">
        <f t="shared" si="4"/>
        <v>-1.4717678735786888E-2</v>
      </c>
      <c r="P5" s="4">
        <f t="shared" si="5"/>
        <v>2.1661006736983351E-4</v>
      </c>
      <c r="Q5" s="4"/>
      <c r="S5" s="2" t="s">
        <v>19</v>
      </c>
      <c r="T5" s="2" t="s">
        <v>20</v>
      </c>
    </row>
    <row r="6" spans="1:20" x14ac:dyDescent="0.25">
      <c r="A6">
        <v>6.12</v>
      </c>
      <c r="B6">
        <v>0.183</v>
      </c>
      <c r="E6">
        <v>6.12</v>
      </c>
      <c r="F6">
        <v>0.183</v>
      </c>
      <c r="G6" s="4">
        <f t="shared" si="0"/>
        <v>1.1756755102040801</v>
      </c>
      <c r="H6" s="4">
        <f t="shared" si="1"/>
        <v>1.986757369614512E-2</v>
      </c>
      <c r="I6" s="4">
        <f t="shared" si="2"/>
        <v>0.15283265306122437</v>
      </c>
      <c r="N6" s="4">
        <f t="shared" si="3"/>
        <v>0.27556412597047669</v>
      </c>
      <c r="O6" s="4">
        <f t="shared" si="4"/>
        <v>-2.4564125970476691E-2</v>
      </c>
      <c r="P6" s="4">
        <f t="shared" si="5"/>
        <v>6.0339628469344749E-4</v>
      </c>
      <c r="Q6" s="4"/>
      <c r="S6" s="7">
        <f>(K21-0)/S3</f>
        <v>3.084412184107459</v>
      </c>
      <c r="T6" s="7">
        <f>(K23-0)/T3</f>
        <v>1.112152482243719</v>
      </c>
    </row>
    <row r="7" spans="1:20" x14ac:dyDescent="0.25">
      <c r="A7">
        <v>6.29</v>
      </c>
      <c r="B7">
        <v>0.21299999999999999</v>
      </c>
      <c r="E7">
        <v>6.29</v>
      </c>
      <c r="F7">
        <v>0.21299999999999999</v>
      </c>
      <c r="G7" s="4">
        <f t="shared" si="0"/>
        <v>0.8359183673469377</v>
      </c>
      <c r="H7" s="4">
        <f t="shared" si="1"/>
        <v>1.2310430839002266E-2</v>
      </c>
      <c r="I7" s="4">
        <f t="shared" si="2"/>
        <v>0.10144217687074822</v>
      </c>
      <c r="N7" s="4">
        <f t="shared" si="3"/>
        <v>0.28836450737557345</v>
      </c>
      <c r="O7" s="4">
        <f t="shared" si="4"/>
        <v>-0.10536450737557346</v>
      </c>
      <c r="P7" s="4">
        <f t="shared" si="5"/>
        <v>1.1101679414497273E-2</v>
      </c>
      <c r="Q7" s="4"/>
    </row>
    <row r="8" spans="1:20" x14ac:dyDescent="0.25">
      <c r="A8">
        <v>6.45</v>
      </c>
      <c r="B8">
        <v>0.33200000000000002</v>
      </c>
      <c r="E8">
        <v>6.45</v>
      </c>
      <c r="F8">
        <v>0.33200000000000002</v>
      </c>
      <c r="G8" s="4">
        <f t="shared" si="0"/>
        <v>0.56894693877550906</v>
      </c>
      <c r="H8" s="4">
        <f t="shared" si="1"/>
        <v>6.4764172335601443E-5</v>
      </c>
      <c r="I8" s="4">
        <f t="shared" si="2"/>
        <v>-6.0702040816326729E-3</v>
      </c>
      <c r="N8" s="4">
        <f t="shared" si="3"/>
        <v>0.29394416080856434</v>
      </c>
      <c r="O8" s="4">
        <f t="shared" si="4"/>
        <v>-8.0944160808564342E-2</v>
      </c>
      <c r="P8" s="4">
        <f t="shared" si="5"/>
        <v>6.5519571690027239E-3</v>
      </c>
      <c r="Q8" s="4"/>
    </row>
    <row r="9" spans="1:20" x14ac:dyDescent="0.25">
      <c r="A9">
        <v>6.51</v>
      </c>
      <c r="B9">
        <v>0.20300000000000001</v>
      </c>
      <c r="E9">
        <v>6.51</v>
      </c>
      <c r="F9">
        <v>0.20300000000000001</v>
      </c>
      <c r="G9" s="4">
        <f t="shared" si="0"/>
        <v>0.482032653061224</v>
      </c>
      <c r="H9" s="4">
        <f t="shared" si="1"/>
        <v>1.4629478458049879E-2</v>
      </c>
      <c r="I9" s="4">
        <f t="shared" si="2"/>
        <v>8.3975510204081574E-2</v>
      </c>
      <c r="N9" s="4">
        <f t="shared" si="3"/>
        <v>0.2991955993337323</v>
      </c>
      <c r="O9" s="4">
        <f t="shared" si="4"/>
        <v>3.2804400666267719E-2</v>
      </c>
      <c r="P9" s="4">
        <f t="shared" si="5"/>
        <v>1.076128703073026E-3</v>
      </c>
      <c r="Q9" s="4"/>
    </row>
    <row r="10" spans="1:20" x14ac:dyDescent="0.25">
      <c r="A10">
        <v>6.65</v>
      </c>
      <c r="B10">
        <v>0.252</v>
      </c>
      <c r="E10">
        <v>6.65</v>
      </c>
      <c r="F10">
        <v>0.252</v>
      </c>
      <c r="G10" s="4">
        <f t="shared" si="0"/>
        <v>0.30723265306122349</v>
      </c>
      <c r="H10" s="4">
        <f t="shared" si="1"/>
        <v>5.1771451247165506E-3</v>
      </c>
      <c r="I10" s="4">
        <f t="shared" si="2"/>
        <v>3.9882176870748222E-2</v>
      </c>
      <c r="N10" s="4">
        <f t="shared" si="3"/>
        <v>0.30116488878067021</v>
      </c>
      <c r="O10" s="4">
        <f t="shared" si="4"/>
        <v>-9.8164888780670201E-2</v>
      </c>
      <c r="P10" s="4">
        <f t="shared" si="5"/>
        <v>9.6363453893213505E-3</v>
      </c>
      <c r="Q10" s="4"/>
    </row>
    <row r="11" spans="1:20" x14ac:dyDescent="0.25">
      <c r="A11">
        <v>6.75</v>
      </c>
      <c r="B11">
        <v>0.34200000000000003</v>
      </c>
      <c r="E11">
        <v>6.75</v>
      </c>
      <c r="F11">
        <v>0.34200000000000003</v>
      </c>
      <c r="G11" s="4">
        <f t="shared" si="0"/>
        <v>0.20637551020408113</v>
      </c>
      <c r="H11" s="4">
        <f t="shared" si="1"/>
        <v>3.2571655328798339E-4</v>
      </c>
      <c r="I11" s="4">
        <f t="shared" si="2"/>
        <v>-8.1987755102040909E-3</v>
      </c>
      <c r="N11" s="4">
        <f t="shared" si="3"/>
        <v>0.30575989749019217</v>
      </c>
      <c r="O11" s="4">
        <f t="shared" si="4"/>
        <v>-5.3759897490192166E-2</v>
      </c>
      <c r="P11" s="4">
        <f t="shared" si="5"/>
        <v>2.89012657815597E-3</v>
      </c>
      <c r="Q11" s="4"/>
    </row>
    <row r="12" spans="1:20" x14ac:dyDescent="0.25">
      <c r="A12">
        <v>6.81</v>
      </c>
      <c r="B12">
        <v>0.47099999999999997</v>
      </c>
      <c r="E12">
        <v>6.81</v>
      </c>
      <c r="F12">
        <v>0.47099999999999997</v>
      </c>
      <c r="G12" s="4">
        <f t="shared" si="0"/>
        <v>0.1554612244897958</v>
      </c>
      <c r="H12" s="4">
        <f t="shared" si="1"/>
        <v>2.1623002267573695E-2</v>
      </c>
      <c r="I12" s="4">
        <f t="shared" si="2"/>
        <v>-5.7978775510204056E-2</v>
      </c>
      <c r="N12" s="4">
        <f t="shared" si="3"/>
        <v>0.30904204656842205</v>
      </c>
      <c r="O12" s="4">
        <f t="shared" si="4"/>
        <v>3.295795343157798E-2</v>
      </c>
      <c r="P12" s="4">
        <f t="shared" si="5"/>
        <v>1.0862266943980627E-3</v>
      </c>
      <c r="Q12" s="4"/>
    </row>
    <row r="13" spans="1:20" x14ac:dyDescent="0.25">
      <c r="A13">
        <v>7.56</v>
      </c>
      <c r="B13">
        <v>0.43099999999999999</v>
      </c>
      <c r="E13">
        <v>7.56</v>
      </c>
      <c r="F13">
        <v>0.43099999999999999</v>
      </c>
      <c r="G13" s="4">
        <f t="shared" si="0"/>
        <v>0.1265326530612246</v>
      </c>
      <c r="H13" s="4">
        <f t="shared" si="1"/>
        <v>1.1459192743764175E-2</v>
      </c>
      <c r="I13" s="4">
        <f t="shared" si="2"/>
        <v>3.8078367346938799E-2</v>
      </c>
      <c r="N13" s="4">
        <f t="shared" si="3"/>
        <v>0.31101133601536002</v>
      </c>
      <c r="O13" s="4">
        <f t="shared" si="4"/>
        <v>0.15998866398463996</v>
      </c>
      <c r="P13" s="4">
        <f t="shared" si="5"/>
        <v>2.5596372603590031E-2</v>
      </c>
      <c r="Q13" s="4"/>
    </row>
    <row r="14" spans="1:20" x14ac:dyDescent="0.25">
      <c r="A14">
        <v>7.83</v>
      </c>
      <c r="B14">
        <v>0.312</v>
      </c>
      <c r="E14">
        <v>7.83</v>
      </c>
      <c r="F14">
        <v>0.312</v>
      </c>
      <c r="G14" s="4">
        <f t="shared" si="0"/>
        <v>0.39151836734693957</v>
      </c>
      <c r="H14" s="4">
        <f t="shared" si="1"/>
        <v>1.4285941043083863E-4</v>
      </c>
      <c r="I14" s="4">
        <f t="shared" si="2"/>
        <v>-7.4787755102040795E-3</v>
      </c>
      <c r="N14" s="4">
        <f t="shared" si="3"/>
        <v>0.33562745410208461</v>
      </c>
      <c r="O14" s="4">
        <f t="shared" si="4"/>
        <v>9.5372545897915384E-2</v>
      </c>
      <c r="P14" s="4">
        <f t="shared" si="5"/>
        <v>9.095922511049976E-3</v>
      </c>
      <c r="Q14" s="4"/>
    </row>
    <row r="15" spans="1:20" x14ac:dyDescent="0.25">
      <c r="A15">
        <v>8.02</v>
      </c>
      <c r="B15">
        <v>0.30399999999999999</v>
      </c>
      <c r="E15">
        <v>8.02</v>
      </c>
      <c r="F15">
        <v>0.30399999999999999</v>
      </c>
      <c r="G15" s="4">
        <f t="shared" si="0"/>
        <v>0.66538979591836755</v>
      </c>
      <c r="H15" s="4">
        <f t="shared" si="1"/>
        <v>3.980975056689339E-4</v>
      </c>
      <c r="I15" s="4">
        <f t="shared" si="2"/>
        <v>-1.6275442176870745E-2</v>
      </c>
      <c r="N15" s="4">
        <f t="shared" si="3"/>
        <v>0.34448925661330543</v>
      </c>
      <c r="O15" s="4">
        <f t="shared" si="4"/>
        <v>-3.2489256613305428E-2</v>
      </c>
      <c r="P15" s="4">
        <f t="shared" si="5"/>
        <v>1.0555517952852106E-3</v>
      </c>
      <c r="Q15" s="4"/>
    </row>
    <row r="16" spans="1:20" x14ac:dyDescent="0.25">
      <c r="A16">
        <v>8.06</v>
      </c>
      <c r="B16">
        <v>0.37</v>
      </c>
      <c r="E16">
        <v>8.06</v>
      </c>
      <c r="F16">
        <v>0.37</v>
      </c>
      <c r="G16" s="4">
        <f t="shared" si="0"/>
        <v>0.73224693877551195</v>
      </c>
      <c r="H16" s="4">
        <f t="shared" si="1"/>
        <v>2.1203832199546495E-3</v>
      </c>
      <c r="I16" s="4">
        <f t="shared" si="2"/>
        <v>3.9403605442176928E-2</v>
      </c>
      <c r="N16" s="4">
        <f t="shared" si="3"/>
        <v>0.35072533986194232</v>
      </c>
      <c r="O16" s="4">
        <f t="shared" si="4"/>
        <v>-4.6725339861942328E-2</v>
      </c>
      <c r="P16" s="4">
        <f t="shared" si="5"/>
        <v>2.1832573852140166E-3</v>
      </c>
      <c r="Q16" s="4"/>
    </row>
    <row r="17" spans="1:17" x14ac:dyDescent="0.25">
      <c r="A17">
        <v>8.18</v>
      </c>
      <c r="B17">
        <v>0.38100000000000001</v>
      </c>
      <c r="E17">
        <v>8.18</v>
      </c>
      <c r="F17">
        <v>0.38100000000000001</v>
      </c>
      <c r="G17" s="4">
        <f t="shared" si="0"/>
        <v>0.95201836734693934</v>
      </c>
      <c r="H17" s="4">
        <f t="shared" si="1"/>
        <v>3.25443083900227E-3</v>
      </c>
      <c r="I17" s="4">
        <f t="shared" si="2"/>
        <v>5.5662176870748335E-2</v>
      </c>
      <c r="N17" s="4">
        <f t="shared" si="3"/>
        <v>0.35203819949323434</v>
      </c>
      <c r="O17" s="4">
        <f t="shared" si="4"/>
        <v>1.7961800506765657E-2</v>
      </c>
      <c r="P17" s="4">
        <f t="shared" si="5"/>
        <v>3.22626277444847E-4</v>
      </c>
      <c r="Q17" s="4"/>
    </row>
    <row r="18" spans="1:17" x14ac:dyDescent="0.25">
      <c r="A18">
        <v>9.08</v>
      </c>
      <c r="B18">
        <v>0.43</v>
      </c>
      <c r="E18">
        <v>9.08</v>
      </c>
      <c r="F18">
        <v>0.43</v>
      </c>
      <c r="G18" s="4">
        <f t="shared" si="0"/>
        <v>3.5183040816326554</v>
      </c>
      <c r="H18" s="4">
        <f t="shared" si="1"/>
        <v>1.1246097505668936E-2</v>
      </c>
      <c r="I18" s="4">
        <f t="shared" si="2"/>
        <v>0.19891503401360552</v>
      </c>
      <c r="N18" s="4">
        <f t="shared" si="3"/>
        <v>0.35597677838711017</v>
      </c>
      <c r="O18" s="4">
        <f t="shared" si="4"/>
        <v>2.5023221612889834E-2</v>
      </c>
      <c r="P18" s="4">
        <f t="shared" si="5"/>
        <v>6.2616161988779688E-4</v>
      </c>
      <c r="Q18" s="4"/>
    </row>
    <row r="19" spans="1:17" x14ac:dyDescent="0.25">
      <c r="A19">
        <v>9.15</v>
      </c>
      <c r="B19">
        <v>0.43</v>
      </c>
      <c r="E19">
        <v>9.15</v>
      </c>
      <c r="F19">
        <v>0.43</v>
      </c>
      <c r="G19" s="4">
        <f t="shared" si="0"/>
        <v>3.7858040816326564</v>
      </c>
      <c r="H19" s="4">
        <f t="shared" si="1"/>
        <v>1.1246097505668936E-2</v>
      </c>
      <c r="I19" s="4">
        <f t="shared" si="2"/>
        <v>0.20633836734693889</v>
      </c>
      <c r="N19" s="4">
        <f t="shared" si="3"/>
        <v>0.38551612009117975</v>
      </c>
      <c r="O19" s="4">
        <f t="shared" si="4"/>
        <v>4.4483879908820245E-2</v>
      </c>
      <c r="P19" s="4">
        <f t="shared" si="5"/>
        <v>1.9788155717423415E-3</v>
      </c>
      <c r="Q19" s="4"/>
    </row>
    <row r="20" spans="1:17" x14ac:dyDescent="0.25">
      <c r="A20">
        <v>9.35</v>
      </c>
      <c r="B20">
        <v>0.21299999999999999</v>
      </c>
      <c r="E20">
        <v>9.35</v>
      </c>
      <c r="F20">
        <v>0.21299999999999999</v>
      </c>
      <c r="G20" s="4">
        <f t="shared" si="0"/>
        <v>4.6040897959183678</v>
      </c>
      <c r="H20" s="4">
        <f t="shared" si="1"/>
        <v>1.2310430839002266E-2</v>
      </c>
      <c r="I20" s="4">
        <f t="shared" si="2"/>
        <v>-0.23807210884353741</v>
      </c>
      <c r="K20" s="2" t="s">
        <v>9</v>
      </c>
      <c r="N20" s="4">
        <f t="shared" si="3"/>
        <v>0.3878136244459407</v>
      </c>
      <c r="O20" s="4">
        <f t="shared" si="4"/>
        <v>4.2186375554059297E-2</v>
      </c>
      <c r="P20" s="4">
        <f t="shared" si="5"/>
        <v>1.7796902823881318E-3</v>
      </c>
      <c r="Q20" s="4"/>
    </row>
    <row r="21" spans="1:17" x14ac:dyDescent="0.25">
      <c r="A21">
        <v>9.42</v>
      </c>
      <c r="B21">
        <v>0.50800000000000001</v>
      </c>
      <c r="E21">
        <v>9.42</v>
      </c>
      <c r="F21">
        <v>0.50800000000000001</v>
      </c>
      <c r="G21" s="4">
        <f t="shared" si="0"/>
        <v>4.9093897959183694</v>
      </c>
      <c r="H21" s="4">
        <f t="shared" si="1"/>
        <v>3.3873526077097517E-2</v>
      </c>
      <c r="I21" s="4">
        <f t="shared" si="2"/>
        <v>0.40779693877551032</v>
      </c>
      <c r="K21" s="2">
        <f>I23/G23</f>
        <v>3.2821490782299408E-2</v>
      </c>
      <c r="N21" s="4">
        <f t="shared" si="3"/>
        <v>0.39437792260240057</v>
      </c>
      <c r="O21" s="4">
        <f t="shared" si="4"/>
        <v>-0.18137792260240057</v>
      </c>
      <c r="P21" s="4">
        <f t="shared" si="5"/>
        <v>3.2897950807562415E-2</v>
      </c>
      <c r="Q21" s="4"/>
    </row>
    <row r="22" spans="1:17" x14ac:dyDescent="0.25">
      <c r="A22">
        <v>9.9499999999999993</v>
      </c>
      <c r="B22">
        <v>0.41099999999999998</v>
      </c>
      <c r="E22">
        <v>9.9499999999999993</v>
      </c>
      <c r="F22">
        <v>0.41099999999999998</v>
      </c>
      <c r="G22" s="4">
        <f t="shared" si="0"/>
        <v>7.538946938775509</v>
      </c>
      <c r="H22" s="4">
        <f t="shared" si="1"/>
        <v>7.5772879818594091E-3</v>
      </c>
      <c r="I22" s="4">
        <f t="shared" si="2"/>
        <v>0.23900789115646254</v>
      </c>
      <c r="K22" s="2" t="s">
        <v>10</v>
      </c>
      <c r="N22" s="4">
        <f t="shared" si="3"/>
        <v>0.39667542695716151</v>
      </c>
      <c r="O22" s="4">
        <f t="shared" si="4"/>
        <v>0.11132457304283849</v>
      </c>
      <c r="P22" s="4">
        <f t="shared" si="5"/>
        <v>1.2393160563170283E-2</v>
      </c>
      <c r="Q22" s="4"/>
    </row>
    <row r="23" spans="1:17" ht="15.75" x14ac:dyDescent="0.25">
      <c r="G23" s="4">
        <f>SUM(G2:G22)</f>
        <v>57.966114285714283</v>
      </c>
      <c r="H23" s="4"/>
      <c r="I23" s="4">
        <f>SUM(I2:I22)</f>
        <v>1.9025342857142855</v>
      </c>
      <c r="K23" s="1">
        <f>AVERAGE(F2:F22) - K21*AVERAGE(E2:E22)</f>
        <v>8.7496983787901078E-2</v>
      </c>
      <c r="N23" s="4"/>
      <c r="O23" s="4"/>
      <c r="P23" s="4">
        <f>SUM(P3:P22)</f>
        <v>0.12470951094188404</v>
      </c>
      <c r="Q23" s="4"/>
    </row>
    <row r="26" spans="1:17" x14ac:dyDescent="0.25">
      <c r="D26" s="2" t="s">
        <v>21</v>
      </c>
      <c r="G26" s="2"/>
      <c r="H26" s="2"/>
    </row>
    <row r="27" spans="1:17" x14ac:dyDescent="0.25">
      <c r="D27" s="2" t="s">
        <v>0</v>
      </c>
      <c r="E27" s="2" t="s">
        <v>22</v>
      </c>
      <c r="F27" s="2" t="s">
        <v>23</v>
      </c>
      <c r="G27" s="2" t="s">
        <v>24</v>
      </c>
      <c r="H27" s="2" t="s">
        <v>25</v>
      </c>
    </row>
    <row r="28" spans="1:17" x14ac:dyDescent="0.25">
      <c r="D28" s="3">
        <v>0</v>
      </c>
      <c r="E28" s="4">
        <f t="shared" ref="E28:E30" si="6">$K$23 +$K$21 *D28</f>
        <v>8.7496983787901078E-2</v>
      </c>
      <c r="F28" s="4">
        <f t="shared" ref="F28:F30" si="7">$Q$3 * SQRT(1/21+(D28-$J$2)^2/(20*$M$3^2))</f>
        <v>7.8673549881738997E-2</v>
      </c>
      <c r="G28" s="4">
        <f t="shared" ref="G28:G30" si="8">E28+_xlfn.T.INV(0.005,19)*F28</f>
        <v>-0.13758289768221485</v>
      </c>
      <c r="H28" s="4">
        <f t="shared" ref="H28:H30" si="9">E28-_xlfn.T.INV(0.005,19)*F28</f>
        <v>0.31257686525801698</v>
      </c>
    </row>
    <row r="29" spans="1:17" x14ac:dyDescent="0.25">
      <c r="D29" s="3">
        <v>1</v>
      </c>
      <c r="E29" s="4">
        <f t="shared" si="6"/>
        <v>0.12031847457020048</v>
      </c>
      <c r="F29" s="4">
        <f t="shared" si="7"/>
        <v>6.8346462768494307E-2</v>
      </c>
      <c r="G29" s="4">
        <f t="shared" si="8"/>
        <v>-7.521628599365518E-2</v>
      </c>
      <c r="H29" s="4">
        <f t="shared" si="9"/>
        <v>0.31585323513405617</v>
      </c>
    </row>
    <row r="30" spans="1:17" x14ac:dyDescent="0.25">
      <c r="D30" s="3">
        <v>2</v>
      </c>
      <c r="E30" s="4">
        <f t="shared" si="6"/>
        <v>0.15313996535249991</v>
      </c>
      <c r="F30" s="4">
        <f t="shared" si="7"/>
        <v>5.8132743397897736E-2</v>
      </c>
      <c r="G30" s="4">
        <f t="shared" si="8"/>
        <v>-1.3174012003294322E-2</v>
      </c>
      <c r="H30" s="4">
        <f t="shared" si="9"/>
        <v>0.31945394270829414</v>
      </c>
    </row>
    <row r="31" spans="1:17" x14ac:dyDescent="0.25">
      <c r="D31">
        <v>3</v>
      </c>
      <c r="E31" s="4">
        <f>$K$23 +$K$21 *D31</f>
        <v>0.18596145613479931</v>
      </c>
      <c r="F31" s="4">
        <f>$Q$3 * SQRT(1/21+(D31-$J$2)^2/(20*$M$3^2))</f>
        <v>4.8104657747419913E-2</v>
      </c>
      <c r="G31" s="4">
        <f>E31+_xlfn.T.INV(0.005,19)*F31</f>
        <v>4.8337176053051961E-2</v>
      </c>
      <c r="H31" s="4">
        <f>E31-_xlfn.T.INV(0.005,19)*F31</f>
        <v>0.32358573621654663</v>
      </c>
    </row>
    <row r="32" spans="1:17" x14ac:dyDescent="0.25">
      <c r="D32">
        <v>4</v>
      </c>
      <c r="E32" s="4">
        <f t="shared" ref="E32:E40" si="10">$K$23 +$K$21 *D32</f>
        <v>0.21878294691709871</v>
      </c>
      <c r="F32" s="4">
        <f t="shared" ref="F32:F40" si="11">$Q$3 * SQRT(1/21+(D32-$J$2)^2/(20*$M$3^2))</f>
        <v>3.8407885896739082E-2</v>
      </c>
      <c r="G32" s="4">
        <f t="shared" ref="G32:G40" si="12">E32+_xlfn.T.INV(0.005,19)*F32</f>
        <v>0.10890049699395964</v>
      </c>
      <c r="H32" s="4">
        <f t="shared" ref="H32:H40" si="13">E32-_xlfn.T.INV(0.005,19)*F32</f>
        <v>0.32866539684023777</v>
      </c>
    </row>
    <row r="33" spans="4:8" x14ac:dyDescent="0.25">
      <c r="D33">
        <v>5</v>
      </c>
      <c r="E33" s="4">
        <f t="shared" si="10"/>
        <v>0.25160443769939811</v>
      </c>
      <c r="F33" s="4">
        <f t="shared" si="11"/>
        <v>2.9372413267339678E-2</v>
      </c>
      <c r="G33" s="4">
        <f t="shared" si="12"/>
        <v>0.16757188410747492</v>
      </c>
      <c r="H33" s="4">
        <f t="shared" si="13"/>
        <v>0.3356369912913213</v>
      </c>
    </row>
    <row r="34" spans="4:8" x14ac:dyDescent="0.25">
      <c r="D34">
        <v>6</v>
      </c>
      <c r="E34" s="4">
        <f t="shared" si="10"/>
        <v>0.28442592848169757</v>
      </c>
      <c r="F34" s="4">
        <f t="shared" si="11"/>
        <v>2.1835223453580559E-2</v>
      </c>
      <c r="G34" s="4">
        <f t="shared" si="12"/>
        <v>0.22195678206345318</v>
      </c>
      <c r="H34" s="4">
        <f t="shared" si="13"/>
        <v>0.34689507489994198</v>
      </c>
    </row>
    <row r="35" spans="4:8" x14ac:dyDescent="0.25">
      <c r="D35">
        <v>7</v>
      </c>
      <c r="E35" s="4">
        <f t="shared" si="10"/>
        <v>0.31724741926399691</v>
      </c>
      <c r="F35" s="4">
        <f t="shared" si="11"/>
        <v>1.7812373941115688E-2</v>
      </c>
      <c r="G35" s="4">
        <f t="shared" si="12"/>
        <v>0.26628738223256404</v>
      </c>
      <c r="H35" s="4">
        <f t="shared" si="13"/>
        <v>0.36820745629542978</v>
      </c>
    </row>
    <row r="36" spans="4:8" x14ac:dyDescent="0.25">
      <c r="D36">
        <v>8</v>
      </c>
      <c r="E36" s="4">
        <f t="shared" si="10"/>
        <v>0.35006891004629637</v>
      </c>
      <c r="F36" s="4">
        <f t="shared" si="11"/>
        <v>1.9602288325560858E-2</v>
      </c>
      <c r="G36" s="4">
        <f t="shared" si="12"/>
        <v>0.29398804500979486</v>
      </c>
      <c r="H36" s="4">
        <f t="shared" si="13"/>
        <v>0.40614977508279787</v>
      </c>
    </row>
    <row r="37" spans="4:8" x14ac:dyDescent="0.25">
      <c r="D37">
        <v>9</v>
      </c>
      <c r="E37" s="4">
        <f t="shared" si="10"/>
        <v>0.38289040082859571</v>
      </c>
      <c r="F37" s="4">
        <f t="shared" si="11"/>
        <v>2.6032366581020667E-2</v>
      </c>
      <c r="G37" s="4">
        <f t="shared" si="12"/>
        <v>0.30841350238877124</v>
      </c>
      <c r="H37" s="4">
        <f t="shared" si="13"/>
        <v>0.45736729926842018</v>
      </c>
    </row>
    <row r="38" spans="4:8" x14ac:dyDescent="0.25">
      <c r="D38">
        <v>10</v>
      </c>
      <c r="E38" s="4">
        <f t="shared" si="10"/>
        <v>0.41571189161089517</v>
      </c>
      <c r="F38" s="4">
        <f t="shared" si="11"/>
        <v>3.4606124776530578E-2</v>
      </c>
      <c r="G38" s="4">
        <f t="shared" si="12"/>
        <v>0.31670603164207367</v>
      </c>
      <c r="H38" s="4">
        <f t="shared" si="13"/>
        <v>0.51471775157971666</v>
      </c>
    </row>
    <row r="39" spans="4:8" x14ac:dyDescent="0.25">
      <c r="D39">
        <v>11</v>
      </c>
      <c r="E39" s="4">
        <f t="shared" si="10"/>
        <v>0.44853338239319451</v>
      </c>
      <c r="F39" s="4">
        <f t="shared" si="11"/>
        <v>4.4090236950133366E-2</v>
      </c>
      <c r="G39" s="4">
        <f t="shared" si="12"/>
        <v>0.32239409769531702</v>
      </c>
      <c r="H39" s="4">
        <f t="shared" si="13"/>
        <v>0.57467266709107201</v>
      </c>
    </row>
    <row r="40" spans="4:8" x14ac:dyDescent="0.25">
      <c r="D40">
        <v>12</v>
      </c>
      <c r="E40" s="4">
        <f t="shared" si="10"/>
        <v>0.48135487317549397</v>
      </c>
      <c r="F40" s="4">
        <f t="shared" si="11"/>
        <v>5.4007216893846209E-2</v>
      </c>
      <c r="G40" s="4">
        <f t="shared" si="12"/>
        <v>0.32684375736502924</v>
      </c>
      <c r="H40" s="4">
        <f t="shared" si="13"/>
        <v>0.6358659889859587</v>
      </c>
    </row>
    <row r="41" spans="4:8" x14ac:dyDescent="0.25">
      <c r="E41" s="4"/>
      <c r="F41" s="4"/>
      <c r="G41" s="4"/>
      <c r="H41" s="4"/>
    </row>
    <row r="42" spans="4:8" x14ac:dyDescent="0.25">
      <c r="E42" s="4"/>
      <c r="F42" s="4"/>
      <c r="G42" s="4"/>
      <c r="H42" s="4"/>
    </row>
    <row r="43" spans="4:8" x14ac:dyDescent="0.25">
      <c r="D43" s="2" t="s">
        <v>26</v>
      </c>
    </row>
    <row r="44" spans="4:8" x14ac:dyDescent="0.25">
      <c r="D44" s="2" t="s">
        <v>0</v>
      </c>
      <c r="E44" s="2" t="s">
        <v>22</v>
      </c>
      <c r="F44" s="2" t="s">
        <v>23</v>
      </c>
      <c r="G44" s="2" t="s">
        <v>24</v>
      </c>
      <c r="H44" s="2" t="s">
        <v>25</v>
      </c>
    </row>
    <row r="45" spans="4:8" x14ac:dyDescent="0.25">
      <c r="D45" s="3">
        <v>0</v>
      </c>
      <c r="E45" s="4">
        <f t="shared" ref="E45:E47" si="14">$K$23 +$K$21 *D45</f>
        <v>8.7496983787901078E-2</v>
      </c>
      <c r="F45" s="4">
        <f t="shared" ref="F45:F47" si="15">$Q$3 * SQRT(1+1/21+(D45-$J$2)^2/(20*$M$3^2))</f>
        <v>0.11293000452324417</v>
      </c>
      <c r="G45" s="4">
        <f t="shared" ref="G45:G47" si="16">E45+_xlfn.T.INV(0.005,19)*F45</f>
        <v>-0.23558837426089488</v>
      </c>
      <c r="H45" s="4">
        <f t="shared" ref="H45:H47" si="17">E45-_xlfn.T.INV(0.005,19)*F45</f>
        <v>0.41058234183669706</v>
      </c>
    </row>
    <row r="46" spans="4:8" x14ac:dyDescent="0.25">
      <c r="D46" s="3">
        <v>1</v>
      </c>
      <c r="E46" s="4">
        <f t="shared" si="14"/>
        <v>0.12031847457020048</v>
      </c>
      <c r="F46" s="4">
        <f t="shared" si="15"/>
        <v>0.10599479913463045</v>
      </c>
      <c r="G46" s="4">
        <f t="shared" si="16"/>
        <v>-0.18292571437936808</v>
      </c>
      <c r="H46" s="4">
        <f t="shared" si="17"/>
        <v>0.42356266351976901</v>
      </c>
    </row>
    <row r="47" spans="4:8" x14ac:dyDescent="0.25">
      <c r="D47" s="3">
        <v>2</v>
      </c>
      <c r="E47" s="4">
        <f t="shared" si="14"/>
        <v>0.15313996535249991</v>
      </c>
      <c r="F47" s="4">
        <f t="shared" si="15"/>
        <v>9.9714965404352929E-2</v>
      </c>
      <c r="G47" s="4">
        <f t="shared" si="16"/>
        <v>-0.13213802995527163</v>
      </c>
      <c r="H47" s="4">
        <f t="shared" si="17"/>
        <v>0.43841796066027144</v>
      </c>
    </row>
    <row r="48" spans="4:8" x14ac:dyDescent="0.25">
      <c r="D48">
        <v>3</v>
      </c>
      <c r="E48" s="4">
        <f>$K$23 +$K$21 *D48</f>
        <v>0.18596145613479931</v>
      </c>
      <c r="F48" s="4">
        <f>$Q$3 * SQRT(1+1/21+(D48-$J$2)^2/(20*$M$3^2))</f>
        <v>9.4221635347842933E-2</v>
      </c>
      <c r="G48" s="4">
        <f>E48+_xlfn.T.INV(0.005,19)*F48</f>
        <v>-8.3600481109568525E-2</v>
      </c>
      <c r="H48" s="4">
        <f>E48-_xlfn.T.INV(0.005,19)*F48</f>
        <v>0.45552339337916714</v>
      </c>
    </row>
    <row r="49" spans="4:8" x14ac:dyDescent="0.25">
      <c r="D49">
        <v>4</v>
      </c>
      <c r="E49" s="4">
        <f t="shared" ref="E49:E58" si="18">$K$23 +$K$21 *D49</f>
        <v>0.21878294691709871</v>
      </c>
      <c r="F49" s="4">
        <f t="shared" ref="F49:F58" si="19">$Q$3 * SQRT(1+1/21+(D49-$J$2)^2/(20*$M$3^2))</f>
        <v>8.9659490126156774E-2</v>
      </c>
      <c r="G49" s="4">
        <f t="shared" ref="G49:G58" si="20">E49+_xlfn.T.INV(0.005,19)*F49</f>
        <v>-3.7726991182828351E-2</v>
      </c>
      <c r="H49" s="4">
        <f t="shared" ref="H49:H58" si="21">E49-_xlfn.T.INV(0.005,19)*F49</f>
        <v>0.47529288501702577</v>
      </c>
    </row>
    <row r="50" spans="4:8" x14ac:dyDescent="0.25">
      <c r="D50">
        <v>5</v>
      </c>
      <c r="E50" s="4">
        <f t="shared" si="18"/>
        <v>0.25160443769939811</v>
      </c>
      <c r="F50" s="4">
        <f t="shared" si="19"/>
        <v>8.6176546297544718E-2</v>
      </c>
      <c r="G50" s="4">
        <f t="shared" si="20"/>
        <v>5.0589741311208858E-3</v>
      </c>
      <c r="H50" s="4">
        <f t="shared" si="21"/>
        <v>0.49814990126767533</v>
      </c>
    </row>
    <row r="51" spans="4:8" x14ac:dyDescent="0.25">
      <c r="D51">
        <v>6</v>
      </c>
      <c r="E51" s="4">
        <f t="shared" si="18"/>
        <v>0.28442592848169757</v>
      </c>
      <c r="F51" s="4">
        <f t="shared" si="19"/>
        <v>8.3907302744715084E-2</v>
      </c>
      <c r="G51" s="4">
        <f t="shared" si="20"/>
        <v>4.4372622324208189E-2</v>
      </c>
      <c r="H51" s="4">
        <f t="shared" si="21"/>
        <v>0.52447923463918689</v>
      </c>
    </row>
    <row r="52" spans="4:8" x14ac:dyDescent="0.25">
      <c r="D52">
        <v>7</v>
      </c>
      <c r="E52" s="4">
        <f t="shared" si="18"/>
        <v>0.31724741926399691</v>
      </c>
      <c r="F52" s="4">
        <f t="shared" si="19"/>
        <v>8.2951426365335118E-2</v>
      </c>
      <c r="G52" s="4">
        <f t="shared" si="20"/>
        <v>7.9928812919778131E-2</v>
      </c>
      <c r="H52" s="4">
        <f t="shared" si="21"/>
        <v>0.55456602560821566</v>
      </c>
    </row>
    <row r="53" spans="4:8" x14ac:dyDescent="0.25">
      <c r="D53">
        <v>8</v>
      </c>
      <c r="E53" s="4">
        <f t="shared" si="18"/>
        <v>0.35006891004629637</v>
      </c>
      <c r="F53" s="4">
        <f t="shared" si="19"/>
        <v>8.3354113145206549E-2</v>
      </c>
      <c r="G53" s="4">
        <f t="shared" si="20"/>
        <v>0.11159824315797745</v>
      </c>
      <c r="H53" s="4">
        <f t="shared" si="21"/>
        <v>0.58853957693461534</v>
      </c>
    </row>
    <row r="54" spans="4:8" x14ac:dyDescent="0.25">
      <c r="D54">
        <v>9</v>
      </c>
      <c r="E54" s="4">
        <f t="shared" si="18"/>
        <v>0.38289040082859571</v>
      </c>
      <c r="F54" s="4">
        <f t="shared" si="19"/>
        <v>8.5096078525594337E-2</v>
      </c>
      <c r="G54" s="4">
        <f t="shared" si="20"/>
        <v>0.13943608490026144</v>
      </c>
      <c r="H54" s="4">
        <f t="shared" si="21"/>
        <v>0.62634471675693004</v>
      </c>
    </row>
    <row r="55" spans="4:8" x14ac:dyDescent="0.25">
      <c r="D55">
        <v>10</v>
      </c>
      <c r="E55" s="4">
        <f t="shared" si="18"/>
        <v>0.41571189161089517</v>
      </c>
      <c r="F55" s="4">
        <f t="shared" si="19"/>
        <v>8.809791338433777E-2</v>
      </c>
      <c r="G55" s="4">
        <f t="shared" si="20"/>
        <v>0.16366952245228888</v>
      </c>
      <c r="H55" s="4">
        <f t="shared" si="21"/>
        <v>0.66775426076950151</v>
      </c>
    </row>
    <row r="56" spans="4:8" x14ac:dyDescent="0.25">
      <c r="D56">
        <v>11</v>
      </c>
      <c r="E56" s="4">
        <f t="shared" si="18"/>
        <v>0.44853338239319451</v>
      </c>
      <c r="F56" s="4">
        <f t="shared" si="19"/>
        <v>9.2236692617116228E-2</v>
      </c>
      <c r="G56" s="4">
        <f t="shared" si="20"/>
        <v>0.1846502364990138</v>
      </c>
      <c r="H56" s="4">
        <f t="shared" si="21"/>
        <v>0.71241652828737523</v>
      </c>
    </row>
    <row r="57" spans="4:8" x14ac:dyDescent="0.25">
      <c r="D57">
        <v>12</v>
      </c>
      <c r="E57" s="4">
        <f t="shared" si="18"/>
        <v>0.48135487317549397</v>
      </c>
      <c r="F57" s="4">
        <f t="shared" si="19"/>
        <v>9.7367540521697604E-2</v>
      </c>
      <c r="G57" s="4">
        <f t="shared" si="20"/>
        <v>0.20279270695058804</v>
      </c>
      <c r="H57" s="4">
        <f t="shared" si="21"/>
        <v>0.7599170394003999</v>
      </c>
    </row>
    <row r="59" spans="4:8" x14ac:dyDescent="0.25">
      <c r="D59" s="2" t="s">
        <v>27</v>
      </c>
    </row>
    <row r="60" spans="4:8" x14ac:dyDescent="0.25">
      <c r="D60" s="2" t="s">
        <v>28</v>
      </c>
      <c r="E60" s="2" t="s">
        <v>0</v>
      </c>
      <c r="F60" s="2" t="s">
        <v>23</v>
      </c>
      <c r="G60" s="2" t="s">
        <v>24</v>
      </c>
      <c r="H60" s="2" t="s">
        <v>25</v>
      </c>
    </row>
    <row r="61" spans="4:8" x14ac:dyDescent="0.25">
      <c r="D61" s="4">
        <v>0.18596145613479931</v>
      </c>
      <c r="E61">
        <v>3</v>
      </c>
      <c r="F61">
        <f>F31/ABS($K$21)</f>
        <v>1.4656451185137118</v>
      </c>
      <c r="G61" s="4">
        <f>E61+_xlfn.T.INV(0.005,19)*F61</f>
        <v>-1.1931148403523446</v>
      </c>
      <c r="H61" s="4">
        <f>E61-_xlfn.T.INV(0.005,19)*F61</f>
        <v>7.1931148403523446</v>
      </c>
    </row>
    <row r="62" spans="4:8" x14ac:dyDescent="0.25">
      <c r="D62" s="4">
        <v>0.21878294691709871</v>
      </c>
      <c r="E62">
        <v>4</v>
      </c>
      <c r="F62">
        <f t="shared" ref="F62:F66" si="22">F32/ABS($K$21)</f>
        <v>1.1702054044861487</v>
      </c>
      <c r="G62" s="4">
        <f>E62+_xlfn.T.INV(0.005,19)*F62</f>
        <v>0.65211886163322763</v>
      </c>
      <c r="H62" s="4">
        <f>E62-_xlfn.T.INV(0.005,19)*F62</f>
        <v>7.3478811383667724</v>
      </c>
    </row>
    <row r="63" spans="4:8" x14ac:dyDescent="0.25">
      <c r="D63" s="4">
        <v>0.25160443769939811</v>
      </c>
      <c r="E63">
        <v>5</v>
      </c>
      <c r="F63">
        <f t="shared" si="22"/>
        <v>0.89491405074080876</v>
      </c>
      <c r="G63" s="4">
        <f>E63+_xlfn.T.INV(0.005,19)*F63</f>
        <v>2.4397094224238631</v>
      </c>
      <c r="H63" s="4">
        <f>E63-_xlfn.T.INV(0.005,19)*F63</f>
        <v>7.5602905775761364</v>
      </c>
    </row>
    <row r="64" spans="4:8" x14ac:dyDescent="0.25">
      <c r="D64" s="4">
        <v>0.28442592848169757</v>
      </c>
      <c r="E64">
        <v>6</v>
      </c>
      <c r="F64">
        <f t="shared" si="22"/>
        <v>0.66527214130554579</v>
      </c>
      <c r="G64" s="4">
        <f>E64+_xlfn.T.INV(0.005,19)*F64</f>
        <v>4.096699908221904</v>
      </c>
      <c r="H64" s="4">
        <f>E64-_xlfn.T.INV(0.005,19)*F64</f>
        <v>7.903300091778096</v>
      </c>
    </row>
    <row r="65" spans="4:8" x14ac:dyDescent="0.25">
      <c r="D65" s="4">
        <v>0.31724741926399691</v>
      </c>
      <c r="E65">
        <v>7</v>
      </c>
      <c r="F65">
        <f t="shared" si="22"/>
        <v>0.54270459740122101</v>
      </c>
      <c r="G65" s="4">
        <f>E65+_xlfn.T.INV(0.005,19)*F65</f>
        <v>5.4473576362072027</v>
      </c>
      <c r="H65" s="4">
        <f>E65-_xlfn.T.INV(0.005,19)*F65</f>
        <v>8.5526423637927973</v>
      </c>
    </row>
    <row r="66" spans="4:8" x14ac:dyDescent="0.25">
      <c r="D66" s="4">
        <v>0.35006891004629637</v>
      </c>
      <c r="E66">
        <v>8</v>
      </c>
      <c r="F66">
        <f t="shared" si="22"/>
        <v>0.59723942631308968</v>
      </c>
      <c r="G66" s="4">
        <f>E66+_xlfn.T.INV(0.005,19)*F66</f>
        <v>6.2913370569155909</v>
      </c>
      <c r="H66" s="4">
        <f>E66-_xlfn.T.INV(0.005,19)*F66</f>
        <v>9.7086629430844091</v>
      </c>
    </row>
    <row r="67" spans="4:8" x14ac:dyDescent="0.25">
      <c r="D67" s="2" t="s">
        <v>27</v>
      </c>
      <c r="G67" s="4"/>
      <c r="H67" s="4"/>
    </row>
    <row r="68" spans="4:8" x14ac:dyDescent="0.25">
      <c r="D68" s="2" t="s">
        <v>28</v>
      </c>
      <c r="E68" s="2" t="s">
        <v>0</v>
      </c>
      <c r="F68" s="2" t="s">
        <v>23</v>
      </c>
      <c r="G68" s="2" t="s">
        <v>24</v>
      </c>
      <c r="H68" s="2" t="s">
        <v>25</v>
      </c>
    </row>
    <row r="69" spans="4:8" x14ac:dyDescent="0.25">
      <c r="D69" s="5">
        <v>0.30083667387284724</v>
      </c>
      <c r="E69" s="5">
        <v>6.5</v>
      </c>
      <c r="F69" s="5">
        <f>F77/ABS($K$21)</f>
        <v>0.5850465594603923</v>
      </c>
      <c r="G69" s="5">
        <f>E69+_xlfn.T.INV(0.005,19)*F69</f>
        <v>4.8262200516464926</v>
      </c>
      <c r="H69" s="5">
        <f>E69-_xlfn.T.INV(0.005,19)*F69</f>
        <v>8.1737799483535074</v>
      </c>
    </row>
    <row r="71" spans="4:8" x14ac:dyDescent="0.25">
      <c r="D71" s="2" t="s">
        <v>0</v>
      </c>
      <c r="E71" s="2" t="s">
        <v>22</v>
      </c>
      <c r="F71" s="2" t="s">
        <v>23</v>
      </c>
      <c r="G71" s="2" t="s">
        <v>24</v>
      </c>
      <c r="H71" s="2" t="s">
        <v>25</v>
      </c>
    </row>
    <row r="72" spans="4:8" x14ac:dyDescent="0.25">
      <c r="D72">
        <v>6</v>
      </c>
      <c r="E72" s="4">
        <f t="shared" ref="E72:E77" si="23">$K$23 +$K$21 *D72</f>
        <v>0.28442592848169757</v>
      </c>
      <c r="F72" s="4">
        <f t="shared" ref="F72" si="24">$Q$3 * SQRT(1/21+(D72-$J$2)^2/(20*$M$3^2))</f>
        <v>2.1835223453580559E-2</v>
      </c>
      <c r="G72" s="4">
        <f t="shared" ref="G72" si="25">E72+_xlfn.T.INV(0.005,19)*F72</f>
        <v>0.22195678206345318</v>
      </c>
      <c r="H72" s="4">
        <f t="shared" ref="H72" si="26">E72-_xlfn.T.INV(0.005,19)*F72</f>
        <v>0.34689507489994198</v>
      </c>
    </row>
    <row r="73" spans="4:8" x14ac:dyDescent="0.25">
      <c r="D73">
        <v>6.1</v>
      </c>
      <c r="E73" s="4">
        <f t="shared" si="23"/>
        <v>0.28770807755992744</v>
      </c>
      <c r="F73" s="4">
        <f t="shared" ref="F73:F77" si="27">$Q$3 * SQRT(1/21+(D73-$J$2)^2/(20*$M$3^2))</f>
        <v>2.1228198469994616E-2</v>
      </c>
      <c r="G73" s="4">
        <f t="shared" ref="G73:G77" si="28">E73+_xlfn.T.INV(0.005,19)*F73</f>
        <v>0.22697558992421291</v>
      </c>
      <c r="H73" s="4">
        <f t="shared" ref="H73:H77" si="29">E73-_xlfn.T.INV(0.005,19)*F73</f>
        <v>0.34844056519564198</v>
      </c>
    </row>
    <row r="74" spans="4:8" x14ac:dyDescent="0.25">
      <c r="D74">
        <v>6.2</v>
      </c>
      <c r="E74" s="4">
        <f t="shared" si="23"/>
        <v>0.29099022663815743</v>
      </c>
      <c r="F74" s="4">
        <f t="shared" si="27"/>
        <v>2.0658182177903939E-2</v>
      </c>
      <c r="G74" s="4">
        <f t="shared" si="28"/>
        <v>0.23188851833873397</v>
      </c>
      <c r="H74" s="4">
        <f t="shared" si="29"/>
        <v>0.3500919349375809</v>
      </c>
    </row>
    <row r="75" spans="4:8" x14ac:dyDescent="0.25">
      <c r="D75">
        <v>6.3</v>
      </c>
      <c r="E75" s="4">
        <f t="shared" si="23"/>
        <v>0.29427237571638731</v>
      </c>
      <c r="F75" s="4">
        <f t="shared" si="27"/>
        <v>2.0128318983704371E-2</v>
      </c>
      <c r="G75" s="4">
        <f t="shared" si="28"/>
        <v>0.23668657136594146</v>
      </c>
      <c r="H75" s="4">
        <f t="shared" si="29"/>
        <v>0.35185818006683317</v>
      </c>
    </row>
    <row r="76" spans="4:8" x14ac:dyDescent="0.25">
      <c r="D76">
        <v>6.4</v>
      </c>
      <c r="E76" s="4">
        <f t="shared" si="23"/>
        <v>0.2975545247946173</v>
      </c>
      <c r="F76" s="4">
        <f t="shared" si="27"/>
        <v>1.9641858693217881E-2</v>
      </c>
      <c r="G76" s="4">
        <f t="shared" si="28"/>
        <v>0.24136045152389526</v>
      </c>
      <c r="H76" s="4">
        <f t="shared" si="29"/>
        <v>0.35374859806533931</v>
      </c>
    </row>
    <row r="77" spans="4:8" x14ac:dyDescent="0.25">
      <c r="D77">
        <v>6.5</v>
      </c>
      <c r="E77" s="4">
        <f t="shared" si="23"/>
        <v>0.30083667387284724</v>
      </c>
      <c r="F77" s="4">
        <f t="shared" si="27"/>
        <v>1.9202100258545247E-2</v>
      </c>
      <c r="G77" s="4">
        <f t="shared" si="28"/>
        <v>0.24590072072636499</v>
      </c>
      <c r="H77" s="4">
        <f t="shared" si="29"/>
        <v>0.35577262701932949</v>
      </c>
    </row>
    <row r="80" spans="4:8" x14ac:dyDescent="0.25">
      <c r="D80" s="2" t="s">
        <v>29</v>
      </c>
    </row>
    <row r="81" spans="4:8" x14ac:dyDescent="0.25">
      <c r="D81" s="2" t="s">
        <v>28</v>
      </c>
      <c r="E81" s="2" t="s">
        <v>0</v>
      </c>
      <c r="F81" s="2" t="s">
        <v>23</v>
      </c>
      <c r="G81" s="2" t="s">
        <v>24</v>
      </c>
      <c r="H81" s="2" t="s">
        <v>25</v>
      </c>
    </row>
    <row r="82" spans="4:8" x14ac:dyDescent="0.25">
      <c r="D82" s="5">
        <v>0.30083667387284724</v>
      </c>
      <c r="E82" s="5">
        <v>6.5</v>
      </c>
      <c r="F82">
        <f>F85/ABS($K$21)</f>
        <v>2.5367802607697154</v>
      </c>
      <c r="G82">
        <f>E82+_xlfn.T.INV(0.005,19)*F82</f>
        <v>-0.75756243703333492</v>
      </c>
      <c r="H82">
        <f>E82-_xlfn.T.INV(0.005,19)*F82</f>
        <v>13.757562437033336</v>
      </c>
    </row>
    <row r="83" spans="4:8" x14ac:dyDescent="0.25">
      <c r="D83" s="2" t="s">
        <v>26</v>
      </c>
    </row>
    <row r="84" spans="4:8" x14ac:dyDescent="0.25">
      <c r="D84" s="2" t="s">
        <v>0</v>
      </c>
      <c r="E84" s="2" t="s">
        <v>22</v>
      </c>
      <c r="F84" s="2" t="s">
        <v>23</v>
      </c>
      <c r="G84" s="2" t="s">
        <v>24</v>
      </c>
      <c r="H84" s="2" t="s">
        <v>25</v>
      </c>
    </row>
    <row r="85" spans="4:8" x14ac:dyDescent="0.25">
      <c r="D85">
        <v>6.5</v>
      </c>
      <c r="E85" s="4">
        <f>$K$23 +$K$21 *D85</f>
        <v>0.30083667387284724</v>
      </c>
      <c r="F85" s="4">
        <f>$Q$3 * SQRT(1+1/21+(D85-$J$2)^2/(20*$M$3^2))</f>
        <v>8.3260909945572295E-2</v>
      </c>
      <c r="G85" s="4">
        <f>E85+_xlfn.T.INV(0.005,19)*F85</f>
        <v>6.2632655243795243E-2</v>
      </c>
      <c r="H85" s="4">
        <f>E85-_xlfn.T.INV(0.005,19)*F85</f>
        <v>0.53904069250189923</v>
      </c>
    </row>
    <row r="86" spans="4:8" x14ac:dyDescent="0.25">
      <c r="D86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Male_Display_Data_Set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Kyle</dc:creator>
  <cp:lastModifiedBy>Thomas, Kyle</cp:lastModifiedBy>
  <dcterms:created xsi:type="dcterms:W3CDTF">2017-11-04T20:43:49Z</dcterms:created>
  <dcterms:modified xsi:type="dcterms:W3CDTF">2017-11-04T20:43:49Z</dcterms:modified>
</cp:coreProperties>
</file>