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drawings/drawing4.xml" ContentType="application/vnd.openxmlformats-officedocument.drawing+xml"/>
  <Override PartName="/xl/ctrlProps/ctrlProp4.xml" ContentType="application/vnd.ms-excel.controlpropertie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omments4.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defaultThemeVersion="124226"/>
  <xr:revisionPtr revIDLastSave="0" documentId="13_ncr:1_{C490DBE5-E085-44D4-AC26-95FB5C59F226}" xr6:coauthVersionLast="47" xr6:coauthVersionMax="47" xr10:uidLastSave="{00000000-0000-0000-0000-000000000000}"/>
  <bookViews>
    <workbookView xWindow="-108" yWindow="-108" windowWidth="23256" windowHeight="13176" tabRatio="1000" xr2:uid="{00000000-000D-0000-FFFF-FFFF00000000}"/>
  </bookViews>
  <sheets>
    <sheet name="Input Sheet" sheetId="25" r:id="rId1"/>
    <sheet name="ControlSheet " sheetId="13" r:id="rId2"/>
    <sheet name="Schedules" sheetId="8" r:id="rId3"/>
    <sheet name="3StatementModel" sheetId="14" r:id="rId4"/>
    <sheet name="CommonSizeStatement" sheetId="26" r:id="rId5"/>
    <sheet name="Ratios" sheetId="16" r:id="rId6"/>
    <sheet name="Option value" sheetId="29" r:id="rId7"/>
    <sheet name="DCF &gt;" sheetId="18" r:id="rId8"/>
    <sheet name="WACC" sheetId="28" r:id="rId9"/>
    <sheet name="DCF Val" sheetId="19" r:id="rId10"/>
    <sheet name="Relative &gt;" sheetId="30" r:id="rId11"/>
    <sheet name="Comps Description" sheetId="33" r:id="rId12"/>
    <sheet name="Relative_Val" sheetId="32" r:id="rId13"/>
    <sheet name="Benchmarking" sheetId="31" r:id="rId14"/>
    <sheet name="Client Data -&gt;" sheetId="3" r:id="rId15"/>
    <sheet name="Income Stmt" sheetId="20" r:id="rId16"/>
    <sheet name="Balance Sheet" sheetId="21" r:id="rId17"/>
    <sheet name="Cash Flow" sheetId="22" r:id="rId18"/>
    <sheet name="Damodaran Data" sheetId="27" r:id="rId19"/>
    <sheet name="Work &gt;&gt;" sheetId="35" r:id="rId20"/>
    <sheet name="Report" sheetId="34" r:id="rId21"/>
    <sheet name="Assumptions Working" sheetId="7" r:id="rId22"/>
    <sheet name="Growth Drivers" sheetId="23" r:id="rId23"/>
  </sheets>
  <definedNames>
    <definedName name="_xlnm._FilterDatabase" localSheetId="22" hidden="1">'Growth Drivers'!$H$23:$L$23</definedName>
    <definedName name="_xlnm._FilterDatabase" localSheetId="20" hidden="1">Report!$T$15:$U$15</definedName>
    <definedName name="CIQWBGuid" hidden="1">"9bd8df8b-044c-4dd6-a0df-b0c3f83b8dd9"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"06/08/2021 20:37:46"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6" i="13" l="1"/>
  <c r="D72" i="14" l="1"/>
  <c r="H272" i="34" l="1"/>
  <c r="H275" i="34" s="1"/>
  <c r="G272" i="34"/>
  <c r="G275" i="34" s="1"/>
  <c r="F272" i="34"/>
  <c r="F274" i="34" s="1"/>
  <c r="E272" i="34"/>
  <c r="E274" i="34" s="1"/>
  <c r="D272" i="34"/>
  <c r="D275" i="34" s="1"/>
  <c r="C272" i="34"/>
  <c r="C275" i="34" s="1"/>
  <c r="B272" i="34"/>
  <c r="B275" i="34" s="1"/>
  <c r="D98" i="14"/>
  <c r="H261" i="34"/>
  <c r="I261" i="34" s="1"/>
  <c r="J261" i="34" s="1"/>
  <c r="K261" i="34" s="1"/>
  <c r="L261" i="34" s="1"/>
  <c r="L161" i="8"/>
  <c r="H251" i="34"/>
  <c r="I251" i="34" s="1"/>
  <c r="J251" i="34" s="1"/>
  <c r="K251" i="34" s="1"/>
  <c r="L251" i="34" s="1"/>
  <c r="E275" i="34" l="1"/>
  <c r="F275" i="34"/>
  <c r="C274" i="34"/>
  <c r="G274" i="34"/>
  <c r="H274" i="34"/>
  <c r="B274" i="34"/>
  <c r="D274" i="34"/>
  <c r="D241" i="34"/>
  <c r="E241" i="34" s="1"/>
  <c r="F241" i="34" s="1"/>
  <c r="G241" i="34" s="1"/>
  <c r="H241" i="34" s="1"/>
  <c r="I241" i="34" s="1"/>
  <c r="D222" i="34"/>
  <c r="E222" i="34" s="1"/>
  <c r="F222" i="34" s="1"/>
  <c r="G222" i="34" s="1"/>
  <c r="H222" i="34" s="1"/>
  <c r="I222" i="34" s="1"/>
  <c r="J222" i="34" s="1"/>
  <c r="K222" i="34" s="1"/>
  <c r="L222" i="34" s="1"/>
  <c r="L214" i="34" l="1"/>
  <c r="K214" i="34"/>
  <c r="J214" i="34"/>
  <c r="I214" i="34"/>
  <c r="H214" i="34"/>
  <c r="G214" i="34"/>
  <c r="F214" i="34"/>
  <c r="E214" i="34"/>
  <c r="D214" i="34"/>
  <c r="H200" i="34"/>
  <c r="N161" i="34" l="1"/>
  <c r="M161" i="34"/>
  <c r="L161" i="34"/>
  <c r="K161" i="34"/>
  <c r="J161" i="34"/>
  <c r="I161" i="34"/>
  <c r="H161" i="34"/>
  <c r="I125" i="34"/>
  <c r="I126" i="34" s="1"/>
  <c r="I127" i="34" s="1"/>
  <c r="I128" i="34" s="1"/>
  <c r="I129" i="34" s="1"/>
  <c r="I130" i="34" s="1"/>
  <c r="I131" i="34" s="1"/>
  <c r="I132" i="34" s="1"/>
  <c r="I133" i="34" s="1"/>
  <c r="I134" i="34" s="1"/>
  <c r="I135" i="34" s="1"/>
  <c r="B81" i="34" l="1"/>
  <c r="B82" i="34" s="1"/>
  <c r="B83" i="34" s="1"/>
  <c r="B84" i="34" s="1"/>
  <c r="B85" i="34" s="1"/>
  <c r="B86" i="34" s="1"/>
  <c r="D45" i="34" l="1"/>
  <c r="D35" i="34"/>
  <c r="B34" i="32" l="1"/>
  <c r="B33" i="32"/>
  <c r="B32" i="32"/>
  <c r="B31" i="32"/>
  <c r="B30" i="32"/>
  <c r="B29" i="32"/>
  <c r="B27" i="32"/>
  <c r="B26" i="32"/>
  <c r="AF5" i="32" l="1"/>
  <c r="AG5" i="32" s="1"/>
  <c r="AC5" i="32"/>
  <c r="AD5" i="32" s="1"/>
  <c r="L4" i="32"/>
  <c r="W11" i="32" l="1"/>
  <c r="V11" i="32"/>
  <c r="W10" i="32"/>
  <c r="V10" i="32"/>
  <c r="W9" i="32"/>
  <c r="Z9" i="32" s="1"/>
  <c r="V9" i="32"/>
  <c r="U11" i="32"/>
  <c r="U10" i="32"/>
  <c r="U9" i="32"/>
  <c r="Q11" i="32"/>
  <c r="P11" i="32"/>
  <c r="Q10" i="32"/>
  <c r="T10" i="32" s="1"/>
  <c r="P10" i="32"/>
  <c r="Q9" i="32"/>
  <c r="P9" i="32"/>
  <c r="S9" i="32" s="1"/>
  <c r="O11" i="32"/>
  <c r="O10" i="32"/>
  <c r="O9" i="32"/>
  <c r="K11" i="32"/>
  <c r="J11" i="32"/>
  <c r="M11" i="32" s="1"/>
  <c r="K10" i="32"/>
  <c r="J10" i="32"/>
  <c r="K9" i="32"/>
  <c r="J9" i="32"/>
  <c r="M9" i="32" s="1"/>
  <c r="I11" i="32"/>
  <c r="I10" i="32"/>
  <c r="I9" i="32"/>
  <c r="G11" i="32"/>
  <c r="G10" i="32"/>
  <c r="G9" i="32"/>
  <c r="H11" i="32"/>
  <c r="H10" i="32"/>
  <c r="H9" i="32"/>
  <c r="F11" i="32"/>
  <c r="F10" i="32"/>
  <c r="F9" i="32"/>
  <c r="E11" i="32"/>
  <c r="E10" i="32"/>
  <c r="E9" i="32"/>
  <c r="D11" i="32"/>
  <c r="D10" i="32"/>
  <c r="D9" i="32"/>
  <c r="U4" i="32"/>
  <c r="O4" i="32"/>
  <c r="R4" i="32" s="1"/>
  <c r="X4" i="32" l="1"/>
  <c r="AB4" i="32"/>
  <c r="AE4" i="32" s="1"/>
  <c r="AH4" i="32" s="1"/>
  <c r="Z11" i="32"/>
  <c r="AJ9" i="32"/>
  <c r="AH9" i="32"/>
  <c r="AI9" i="32"/>
  <c r="Y10" i="32"/>
  <c r="AJ10" i="32"/>
  <c r="AI10" i="32"/>
  <c r="AH10" i="32"/>
  <c r="AF11" i="32"/>
  <c r="AD11" i="32"/>
  <c r="AG11" i="32"/>
  <c r="AE11" i="32"/>
  <c r="AC11" i="32"/>
  <c r="AB11" i="32"/>
  <c r="S11" i="32"/>
  <c r="Z10" i="32"/>
  <c r="AH11" i="32"/>
  <c r="AJ11" i="32"/>
  <c r="AI11" i="32"/>
  <c r="T9" i="32"/>
  <c r="T11" i="32"/>
  <c r="Y9" i="32"/>
  <c r="Y11" i="32"/>
  <c r="AE10" i="32"/>
  <c r="AC10" i="32"/>
  <c r="AB10" i="32"/>
  <c r="AG10" i="32"/>
  <c r="AF10" i="32"/>
  <c r="AD10" i="32"/>
  <c r="AB9" i="32"/>
  <c r="AF9" i="32"/>
  <c r="AD9" i="32"/>
  <c r="AE9" i="32"/>
  <c r="AG9" i="32"/>
  <c r="AC9" i="32"/>
  <c r="S10" i="32"/>
  <c r="N9" i="32"/>
  <c r="N11" i="32"/>
  <c r="M10" i="32"/>
  <c r="N10" i="32"/>
  <c r="J4" i="32"/>
  <c r="C10" i="31"/>
  <c r="B14" i="31"/>
  <c r="B13" i="31"/>
  <c r="B12" i="31"/>
  <c r="B11" i="31"/>
  <c r="B10" i="31"/>
  <c r="C4" i="31"/>
  <c r="B8" i="31"/>
  <c r="B7" i="31"/>
  <c r="B6" i="31"/>
  <c r="B5" i="31"/>
  <c r="B4" i="31"/>
  <c r="D3" i="31"/>
  <c r="E3" i="31" s="1"/>
  <c r="F3" i="31" s="1"/>
  <c r="G3" i="31" s="1"/>
  <c r="H3" i="31" s="1"/>
  <c r="I3" i="31" s="1"/>
  <c r="V4" i="32" l="1"/>
  <c r="M4" i="32"/>
  <c r="AE18" i="32"/>
  <c r="AE17" i="32"/>
  <c r="AE16" i="32"/>
  <c r="D26" i="32" s="1"/>
  <c r="AE15" i="32"/>
  <c r="AE14" i="32"/>
  <c r="AE13" i="32"/>
  <c r="AD18" i="32"/>
  <c r="AD13" i="32"/>
  <c r="AD17" i="32"/>
  <c r="AD16" i="32"/>
  <c r="AD15" i="32"/>
  <c r="AD14" i="32"/>
  <c r="AI18" i="32"/>
  <c r="AI17" i="32"/>
  <c r="AI16" i="32"/>
  <c r="AI15" i="32"/>
  <c r="AI14" i="32"/>
  <c r="AI13" i="32"/>
  <c r="AC18" i="32"/>
  <c r="AC17" i="32"/>
  <c r="AC16" i="32"/>
  <c r="AC15" i="32"/>
  <c r="AC14" i="32"/>
  <c r="AC13" i="32"/>
  <c r="AH16" i="32"/>
  <c r="AH15" i="32"/>
  <c r="AH14" i="32"/>
  <c r="AH18" i="32"/>
  <c r="AH17" i="32"/>
  <c r="AH13" i="32"/>
  <c r="AF18" i="32"/>
  <c r="AF17" i="32"/>
  <c r="AF16" i="32"/>
  <c r="AF15" i="32"/>
  <c r="AF14" i="32"/>
  <c r="AF13" i="32"/>
  <c r="AG14" i="32"/>
  <c r="AG13" i="32"/>
  <c r="AG18" i="32"/>
  <c r="AG17" i="32"/>
  <c r="AG16" i="32"/>
  <c r="AG15" i="32"/>
  <c r="AB17" i="32"/>
  <c r="AB14" i="32"/>
  <c r="AB15" i="32"/>
  <c r="AB18" i="32"/>
  <c r="AB13" i="32"/>
  <c r="AB16" i="32"/>
  <c r="AJ18" i="32"/>
  <c r="AJ17" i="32"/>
  <c r="AJ16" i="32"/>
  <c r="AJ15" i="32"/>
  <c r="AJ14" i="32"/>
  <c r="AJ13" i="32"/>
  <c r="K4" i="32"/>
  <c r="N4" i="32" s="1"/>
  <c r="P4" i="32"/>
  <c r="S4" i="32" s="1"/>
  <c r="L43" i="31"/>
  <c r="R46" i="31"/>
  <c r="Q46" i="31"/>
  <c r="P46" i="31"/>
  <c r="O46" i="31"/>
  <c r="N46" i="31"/>
  <c r="M46" i="31"/>
  <c r="L46" i="31"/>
  <c r="R49" i="31"/>
  <c r="Q49" i="31"/>
  <c r="P49" i="31"/>
  <c r="O49" i="31"/>
  <c r="N49" i="31"/>
  <c r="M49" i="31"/>
  <c r="L49" i="31"/>
  <c r="I64" i="31"/>
  <c r="H64" i="31"/>
  <c r="G64" i="31"/>
  <c r="F64" i="31"/>
  <c r="E64" i="31"/>
  <c r="D64" i="31"/>
  <c r="I67" i="31"/>
  <c r="H67" i="31"/>
  <c r="G67" i="31"/>
  <c r="F67" i="31"/>
  <c r="E67" i="31"/>
  <c r="D67" i="31"/>
  <c r="I70" i="31"/>
  <c r="H70" i="31"/>
  <c r="G70" i="31"/>
  <c r="F70" i="31"/>
  <c r="E70" i="31"/>
  <c r="D70" i="31"/>
  <c r="I73" i="31"/>
  <c r="H73" i="31"/>
  <c r="G73" i="31"/>
  <c r="F73" i="31"/>
  <c r="E73" i="31"/>
  <c r="D73" i="31"/>
  <c r="I76" i="31"/>
  <c r="H76" i="31"/>
  <c r="G76" i="31"/>
  <c r="F76" i="31"/>
  <c r="E76" i="31"/>
  <c r="D76" i="31"/>
  <c r="C76" i="31"/>
  <c r="C73" i="31"/>
  <c r="C70" i="31"/>
  <c r="C67" i="31"/>
  <c r="C64" i="31"/>
  <c r="I43" i="31"/>
  <c r="H43" i="31"/>
  <c r="G43" i="31"/>
  <c r="F43" i="31"/>
  <c r="E43" i="31"/>
  <c r="D43" i="31"/>
  <c r="I46" i="31"/>
  <c r="H46" i="31"/>
  <c r="G46" i="31"/>
  <c r="R11" i="32" s="1"/>
  <c r="F46" i="31"/>
  <c r="E46" i="31"/>
  <c r="D46" i="31"/>
  <c r="I49" i="31"/>
  <c r="H49" i="31"/>
  <c r="G49" i="31"/>
  <c r="R9" i="32" s="1"/>
  <c r="F49" i="31"/>
  <c r="E49" i="31"/>
  <c r="D49" i="31"/>
  <c r="I52" i="31"/>
  <c r="H52" i="31"/>
  <c r="G52" i="31"/>
  <c r="F52" i="31"/>
  <c r="E52" i="31"/>
  <c r="D52" i="31"/>
  <c r="I55" i="31"/>
  <c r="H55" i="31"/>
  <c r="G55" i="31"/>
  <c r="R10" i="32" s="1"/>
  <c r="F55" i="31"/>
  <c r="E55" i="31"/>
  <c r="D55" i="31"/>
  <c r="C55" i="31"/>
  <c r="C52" i="31"/>
  <c r="C49" i="31"/>
  <c r="C46" i="31"/>
  <c r="C43" i="31"/>
  <c r="R34" i="31"/>
  <c r="Q34" i="31"/>
  <c r="P34" i="31"/>
  <c r="X10" i="32" s="1"/>
  <c r="O34" i="31"/>
  <c r="N34" i="31"/>
  <c r="M34" i="31"/>
  <c r="L34" i="31"/>
  <c r="R22" i="31"/>
  <c r="Q22" i="31"/>
  <c r="P22" i="31"/>
  <c r="O22" i="31"/>
  <c r="N22" i="31"/>
  <c r="M22" i="31"/>
  <c r="L22" i="31"/>
  <c r="R25" i="31"/>
  <c r="Q25" i="31"/>
  <c r="P25" i="31"/>
  <c r="X11" i="32" s="1"/>
  <c r="O25" i="31"/>
  <c r="N25" i="31"/>
  <c r="M25" i="31"/>
  <c r="L25" i="31"/>
  <c r="R28" i="31"/>
  <c r="Q28" i="31"/>
  <c r="P28" i="31"/>
  <c r="X9" i="32" s="1"/>
  <c r="O28" i="31"/>
  <c r="N28" i="31"/>
  <c r="M28" i="31"/>
  <c r="L28" i="31"/>
  <c r="R31" i="31"/>
  <c r="Q31" i="31"/>
  <c r="P31" i="31"/>
  <c r="O31" i="31"/>
  <c r="N31" i="31"/>
  <c r="M31" i="31"/>
  <c r="L31" i="31"/>
  <c r="R52" i="31"/>
  <c r="Q52" i="31"/>
  <c r="P52" i="31"/>
  <c r="O52" i="31"/>
  <c r="N52" i="31"/>
  <c r="M52" i="31"/>
  <c r="L52" i="31"/>
  <c r="R55" i="31"/>
  <c r="Q55" i="31"/>
  <c r="P55" i="31"/>
  <c r="O55" i="31"/>
  <c r="N55" i="31"/>
  <c r="M55" i="31"/>
  <c r="L55" i="31"/>
  <c r="P36" i="31"/>
  <c r="G7" i="31" s="1"/>
  <c r="D61" i="31"/>
  <c r="E61" i="31" s="1"/>
  <c r="F61" i="31" s="1"/>
  <c r="G61" i="31" s="1"/>
  <c r="H61" i="31" s="1"/>
  <c r="I61" i="31" s="1"/>
  <c r="C79" i="31"/>
  <c r="C12" i="31" s="1"/>
  <c r="C78" i="31"/>
  <c r="C6" i="31" s="1"/>
  <c r="I79" i="31"/>
  <c r="I12" i="31" s="1"/>
  <c r="H79" i="31"/>
  <c r="H12" i="31" s="1"/>
  <c r="E79" i="31"/>
  <c r="E12" i="31" s="1"/>
  <c r="I78" i="31"/>
  <c r="I6" i="31" s="1"/>
  <c r="H78" i="31"/>
  <c r="H6" i="31" s="1"/>
  <c r="E78" i="31"/>
  <c r="E6" i="31" s="1"/>
  <c r="C57" i="31"/>
  <c r="C5" i="31" s="1"/>
  <c r="I58" i="31"/>
  <c r="I11" i="31" s="1"/>
  <c r="H58" i="31"/>
  <c r="H11" i="31" s="1"/>
  <c r="E58" i="31"/>
  <c r="E11" i="31" s="1"/>
  <c r="I57" i="31"/>
  <c r="I5" i="31" s="1"/>
  <c r="H57" i="31"/>
  <c r="H5" i="31" s="1"/>
  <c r="E57" i="31"/>
  <c r="E5" i="31" s="1"/>
  <c r="L58" i="31"/>
  <c r="C14" i="31" s="1"/>
  <c r="L57" i="31"/>
  <c r="C8" i="31" s="1"/>
  <c r="R37" i="31"/>
  <c r="I13" i="31" s="1"/>
  <c r="Q37" i="31"/>
  <c r="H13" i="31" s="1"/>
  <c r="N37" i="31"/>
  <c r="E13" i="31" s="1"/>
  <c r="R36" i="31"/>
  <c r="I7" i="31" s="1"/>
  <c r="Q36" i="31"/>
  <c r="H7" i="31" s="1"/>
  <c r="N36" i="31"/>
  <c r="E7" i="31" s="1"/>
  <c r="R43" i="31"/>
  <c r="R58" i="31" s="1"/>
  <c r="I14" i="31" s="1"/>
  <c r="Q43" i="31"/>
  <c r="Q58" i="31" s="1"/>
  <c r="H14" i="31" s="1"/>
  <c r="P43" i="31"/>
  <c r="O43" i="31"/>
  <c r="N43" i="31"/>
  <c r="N57" i="31" s="1"/>
  <c r="E8" i="31" s="1"/>
  <c r="M43" i="31"/>
  <c r="Q57" i="31" l="1"/>
  <c r="H8" i="31" s="1"/>
  <c r="C58" i="31"/>
  <c r="C11" i="31" s="1"/>
  <c r="Y4" i="32"/>
  <c r="AC4" i="32"/>
  <c r="AF4" i="32" s="1"/>
  <c r="AI4" i="32" s="1"/>
  <c r="Q4" i="32"/>
  <c r="T4" i="32" s="1"/>
  <c r="W4" i="32"/>
  <c r="L37" i="31"/>
  <c r="C13" i="31" s="1"/>
  <c r="R57" i="31"/>
  <c r="I8" i="31" s="1"/>
  <c r="N58" i="31"/>
  <c r="E14" i="31" s="1"/>
  <c r="G58" i="31"/>
  <c r="G11" i="31" s="1"/>
  <c r="P58" i="31"/>
  <c r="G14" i="31" s="1"/>
  <c r="G78" i="31"/>
  <c r="G6" i="31" s="1"/>
  <c r="F78" i="31"/>
  <c r="F6" i="31" s="1"/>
  <c r="G79" i="31"/>
  <c r="G12" i="31" s="1"/>
  <c r="F79" i="31"/>
  <c r="F12" i="31" s="1"/>
  <c r="F58" i="31"/>
  <c r="F11" i="31" s="1"/>
  <c r="G57" i="31"/>
  <c r="G5" i="31" s="1"/>
  <c r="F57" i="31"/>
  <c r="F5" i="31" s="1"/>
  <c r="L36" i="31"/>
  <c r="C7" i="31" s="1"/>
  <c r="O58" i="31"/>
  <c r="F14" i="31" s="1"/>
  <c r="P57" i="31"/>
  <c r="G8" i="31" s="1"/>
  <c r="O57" i="31"/>
  <c r="F8" i="31" s="1"/>
  <c r="P37" i="31"/>
  <c r="G13" i="31" s="1"/>
  <c r="O37" i="31"/>
  <c r="F13" i="31" s="1"/>
  <c r="O36" i="31"/>
  <c r="F7" i="31" s="1"/>
  <c r="D40" i="31"/>
  <c r="E40" i="31" s="1"/>
  <c r="F40" i="31" s="1"/>
  <c r="G40" i="31" s="1"/>
  <c r="H40" i="31" s="1"/>
  <c r="I40" i="31" s="1"/>
  <c r="M40" i="31"/>
  <c r="N40" i="31" s="1"/>
  <c r="O40" i="31" s="1"/>
  <c r="P40" i="31" s="1"/>
  <c r="Q40" i="31" s="1"/>
  <c r="R40" i="31" s="1"/>
  <c r="M19" i="31"/>
  <c r="N19" i="31" s="1"/>
  <c r="O19" i="31" s="1"/>
  <c r="P19" i="31" s="1"/>
  <c r="Q19" i="31" s="1"/>
  <c r="R19" i="31" s="1"/>
  <c r="I34" i="31"/>
  <c r="H34" i="31"/>
  <c r="G34" i="31"/>
  <c r="L10" i="32" s="1"/>
  <c r="F34" i="31"/>
  <c r="E34" i="31"/>
  <c r="D34" i="31"/>
  <c r="I31" i="31"/>
  <c r="H31" i="31"/>
  <c r="G31" i="31"/>
  <c r="F31" i="31"/>
  <c r="E31" i="31"/>
  <c r="D31" i="31"/>
  <c r="I28" i="31"/>
  <c r="H28" i="31"/>
  <c r="G28" i="31"/>
  <c r="L9" i="32" s="1"/>
  <c r="F28" i="31"/>
  <c r="E28" i="31"/>
  <c r="D28" i="31"/>
  <c r="I25" i="31"/>
  <c r="H25" i="31"/>
  <c r="G25" i="31"/>
  <c r="L11" i="32" s="1"/>
  <c r="F25" i="31"/>
  <c r="E25" i="31"/>
  <c r="D25" i="31"/>
  <c r="I22" i="31"/>
  <c r="H22" i="31"/>
  <c r="G22" i="31"/>
  <c r="F22" i="31"/>
  <c r="E22" i="31"/>
  <c r="D22" i="31"/>
  <c r="D19" i="31"/>
  <c r="E19" i="31" s="1"/>
  <c r="F19" i="31" s="1"/>
  <c r="G19" i="31" s="1"/>
  <c r="H19" i="31" s="1"/>
  <c r="I19" i="31" s="1"/>
  <c r="AD4" i="32" l="1"/>
  <c r="AG4" i="32" s="1"/>
  <c r="AJ4" i="32" s="1"/>
  <c r="Z4" i="32"/>
  <c r="E36" i="31"/>
  <c r="E4" i="31" s="1"/>
  <c r="E37" i="31"/>
  <c r="E10" i="31" s="1"/>
  <c r="F37" i="31"/>
  <c r="F10" i="31" s="1"/>
  <c r="F36" i="31"/>
  <c r="F4" i="31" s="1"/>
  <c r="H37" i="31"/>
  <c r="H10" i="31" s="1"/>
  <c r="H36" i="31"/>
  <c r="H4" i="31" s="1"/>
  <c r="I36" i="31"/>
  <c r="I4" i="31" s="1"/>
  <c r="I37" i="31"/>
  <c r="I10" i="31" s="1"/>
  <c r="G37" i="31"/>
  <c r="G10" i="31" s="1"/>
  <c r="G36" i="31"/>
  <c r="G4" i="31" s="1"/>
  <c r="M57" i="31"/>
  <c r="D8" i="31" s="1"/>
  <c r="M58" i="31"/>
  <c r="D14" i="31" s="1"/>
  <c r="D36" i="31"/>
  <c r="D4" i="31" s="1"/>
  <c r="D37" i="31"/>
  <c r="D10" i="31" s="1"/>
  <c r="D79" i="31"/>
  <c r="D12" i="31" s="1"/>
  <c r="D58" i="31"/>
  <c r="D11" i="31" s="1"/>
  <c r="M37" i="31"/>
  <c r="D13" i="31" s="1"/>
  <c r="M36" i="31"/>
  <c r="D7" i="31" s="1"/>
  <c r="D78" i="31"/>
  <c r="D6" i="31" s="1"/>
  <c r="D57" i="31"/>
  <c r="D5" i="31" s="1"/>
  <c r="R56" i="14" l="1"/>
  <c r="Q56" i="14"/>
  <c r="P56" i="14"/>
  <c r="O56" i="14"/>
  <c r="N56" i="14"/>
  <c r="S181" i="8"/>
  <c r="R181" i="8"/>
  <c r="O181" i="8"/>
  <c r="S175" i="8"/>
  <c r="R175" i="8"/>
  <c r="O175" i="8"/>
  <c r="S227" i="13"/>
  <c r="S190" i="8" s="1"/>
  <c r="R227" i="13"/>
  <c r="R190" i="8" s="1"/>
  <c r="Q227" i="13"/>
  <c r="Q190" i="8" s="1"/>
  <c r="P227" i="13"/>
  <c r="P190" i="8" s="1"/>
  <c r="O227" i="13"/>
  <c r="O190" i="8" s="1"/>
  <c r="S219" i="13"/>
  <c r="S194" i="8" s="1"/>
  <c r="R219" i="13"/>
  <c r="R194" i="8" s="1"/>
  <c r="Q219" i="13"/>
  <c r="Q194" i="8" s="1"/>
  <c r="P219" i="13"/>
  <c r="P194" i="8" s="1"/>
  <c r="O219" i="13"/>
  <c r="O194" i="8" s="1"/>
  <c r="S211" i="13"/>
  <c r="S202" i="8" s="1"/>
  <c r="R211" i="13"/>
  <c r="R202" i="8" s="1"/>
  <c r="Q211" i="13"/>
  <c r="Q202" i="8" s="1"/>
  <c r="P211" i="13"/>
  <c r="P202" i="8" s="1"/>
  <c r="O211" i="13"/>
  <c r="O202" i="8" s="1"/>
  <c r="S203" i="13"/>
  <c r="S198" i="8" s="1"/>
  <c r="R203" i="13"/>
  <c r="R198" i="8" s="1"/>
  <c r="Q203" i="13"/>
  <c r="Q198" i="8" s="1"/>
  <c r="P203" i="13"/>
  <c r="P198" i="8" s="1"/>
  <c r="O203" i="13"/>
  <c r="O198" i="8" s="1"/>
  <c r="S195" i="13"/>
  <c r="S172" i="8" s="1"/>
  <c r="R195" i="13"/>
  <c r="R172" i="8" s="1"/>
  <c r="Q195" i="13"/>
  <c r="Q172" i="8" s="1"/>
  <c r="P195" i="13"/>
  <c r="P172" i="8" s="1"/>
  <c r="O195" i="13"/>
  <c r="O172" i="8" s="1"/>
  <c r="S187" i="13"/>
  <c r="S251" i="8" s="1"/>
  <c r="R187" i="13"/>
  <c r="R251" i="8" s="1"/>
  <c r="Q187" i="13"/>
  <c r="Q251" i="8" s="1"/>
  <c r="P187" i="13"/>
  <c r="P251" i="8" s="1"/>
  <c r="O187" i="13"/>
  <c r="O251" i="8" s="1"/>
  <c r="S179" i="13"/>
  <c r="S154" i="8" s="1"/>
  <c r="R179" i="13"/>
  <c r="R154" i="8" s="1"/>
  <c r="Q179" i="13"/>
  <c r="Q154" i="8" s="1"/>
  <c r="P179" i="13"/>
  <c r="P154" i="8" s="1"/>
  <c r="O179" i="13"/>
  <c r="O154" i="8" s="1"/>
  <c r="S163" i="13"/>
  <c r="S186" i="8" s="1"/>
  <c r="R163" i="13"/>
  <c r="R186" i="8" s="1"/>
  <c r="Q163" i="13"/>
  <c r="Q186" i="8" s="1"/>
  <c r="P163" i="13"/>
  <c r="P186" i="8" s="1"/>
  <c r="O163" i="13"/>
  <c r="O186" i="8" s="1"/>
  <c r="S155" i="13"/>
  <c r="S182" i="8" s="1"/>
  <c r="R155" i="13"/>
  <c r="R182" i="8" s="1"/>
  <c r="Q155" i="13"/>
  <c r="Q182" i="8" s="1"/>
  <c r="P155" i="13"/>
  <c r="P182" i="8" s="1"/>
  <c r="O155" i="13"/>
  <c r="O182" i="8" s="1"/>
  <c r="S147" i="13"/>
  <c r="S235" i="8" s="1"/>
  <c r="R147" i="13"/>
  <c r="R235" i="8" s="1"/>
  <c r="Q147" i="13"/>
  <c r="Q235" i="8" s="1"/>
  <c r="P147" i="13"/>
  <c r="P235" i="8" s="1"/>
  <c r="O147" i="13"/>
  <c r="O235" i="8" s="1"/>
  <c r="S139" i="13"/>
  <c r="S145" i="8" s="1"/>
  <c r="R139" i="13"/>
  <c r="R145" i="8" s="1"/>
  <c r="Q139" i="13"/>
  <c r="Q145" i="8" s="1"/>
  <c r="P139" i="13"/>
  <c r="P145" i="8" s="1"/>
  <c r="O139" i="13"/>
  <c r="O145" i="8" s="1"/>
  <c r="S130" i="13"/>
  <c r="S113" i="8" s="1"/>
  <c r="R130" i="13"/>
  <c r="R113" i="8" s="1"/>
  <c r="Q130" i="13"/>
  <c r="Q113" i="8" s="1"/>
  <c r="P130" i="13"/>
  <c r="P113" i="8" s="1"/>
  <c r="O130" i="13"/>
  <c r="O113" i="8" s="1"/>
  <c r="S124" i="13"/>
  <c r="S109" i="8" s="1"/>
  <c r="R124" i="13"/>
  <c r="R109" i="8" s="1"/>
  <c r="Q124" i="13"/>
  <c r="Q109" i="8" s="1"/>
  <c r="P124" i="13"/>
  <c r="P109" i="8" s="1"/>
  <c r="O124" i="13"/>
  <c r="O109" i="8" s="1"/>
  <c r="S118" i="13"/>
  <c r="S105" i="8" s="1"/>
  <c r="R118" i="13"/>
  <c r="R105" i="8" s="1"/>
  <c r="Q118" i="13"/>
  <c r="Q105" i="8" s="1"/>
  <c r="P118" i="13"/>
  <c r="P105" i="8" s="1"/>
  <c r="O118" i="13"/>
  <c r="O105" i="8" s="1"/>
  <c r="S112" i="13"/>
  <c r="S101" i="8" s="1"/>
  <c r="R112" i="13"/>
  <c r="R101" i="8" s="1"/>
  <c r="Q112" i="13"/>
  <c r="Q101" i="8" s="1"/>
  <c r="P112" i="13"/>
  <c r="P101" i="8" s="1"/>
  <c r="O112" i="13"/>
  <c r="O101" i="8" s="1"/>
  <c r="S106" i="13"/>
  <c r="S97" i="8" s="1"/>
  <c r="R106" i="13"/>
  <c r="R97" i="8" s="1"/>
  <c r="Q106" i="13"/>
  <c r="Q97" i="8" s="1"/>
  <c r="P106" i="13"/>
  <c r="P97" i="8" s="1"/>
  <c r="O106" i="13"/>
  <c r="O97" i="8" s="1"/>
  <c r="S100" i="13"/>
  <c r="S93" i="8" s="1"/>
  <c r="R100" i="13"/>
  <c r="R93" i="8" s="1"/>
  <c r="Q100" i="13"/>
  <c r="Q93" i="8" s="1"/>
  <c r="P100" i="13"/>
  <c r="P93" i="8" s="1"/>
  <c r="O100" i="13"/>
  <c r="O93" i="8" s="1"/>
  <c r="S94" i="13"/>
  <c r="S89" i="8" s="1"/>
  <c r="R94" i="13"/>
  <c r="R89" i="8" s="1"/>
  <c r="Q94" i="13"/>
  <c r="Q89" i="8" s="1"/>
  <c r="P94" i="13"/>
  <c r="P89" i="8" s="1"/>
  <c r="O94" i="13"/>
  <c r="O89" i="8" s="1"/>
  <c r="S88" i="13"/>
  <c r="S85" i="8" s="1"/>
  <c r="R88" i="13"/>
  <c r="R85" i="8" s="1"/>
  <c r="Q88" i="13"/>
  <c r="Q83" i="8" s="1"/>
  <c r="P88" i="13"/>
  <c r="P85" i="8" s="1"/>
  <c r="O88" i="13"/>
  <c r="O85" i="8" s="1"/>
  <c r="S80" i="13"/>
  <c r="S76" i="8" s="1"/>
  <c r="R80" i="13"/>
  <c r="R76" i="8" s="1"/>
  <c r="Q80" i="13"/>
  <c r="Q76" i="8" s="1"/>
  <c r="P80" i="13"/>
  <c r="P76" i="8" s="1"/>
  <c r="O80" i="13"/>
  <c r="O76" i="8" s="1"/>
  <c r="S74" i="13"/>
  <c r="S72" i="8" s="1"/>
  <c r="R74" i="13"/>
  <c r="R72" i="8" s="1"/>
  <c r="Q74" i="13"/>
  <c r="Q72" i="8" s="1"/>
  <c r="P74" i="13"/>
  <c r="P72" i="8" s="1"/>
  <c r="O74" i="13"/>
  <c r="O72" i="8" s="1"/>
  <c r="S64" i="13"/>
  <c r="R64" i="13"/>
  <c r="Q64" i="13"/>
  <c r="P64" i="13"/>
  <c r="O64" i="13"/>
  <c r="S62" i="13"/>
  <c r="S49" i="8" s="1"/>
  <c r="R62" i="13"/>
  <c r="R49" i="8" s="1"/>
  <c r="Q62" i="13"/>
  <c r="Q49" i="8" s="1"/>
  <c r="P62" i="13"/>
  <c r="P49" i="8" s="1"/>
  <c r="O62" i="13"/>
  <c r="O49" i="8" s="1"/>
  <c r="S56" i="13"/>
  <c r="S44" i="8" s="1"/>
  <c r="R56" i="13"/>
  <c r="R44" i="8" s="1"/>
  <c r="Q56" i="13"/>
  <c r="Q44" i="8" s="1"/>
  <c r="P56" i="13"/>
  <c r="P44" i="8" s="1"/>
  <c r="O56" i="13"/>
  <c r="O44" i="8" s="1"/>
  <c r="S50" i="13"/>
  <c r="S39" i="8" s="1"/>
  <c r="R50" i="13"/>
  <c r="R39" i="8" s="1"/>
  <c r="Q50" i="13"/>
  <c r="Q39" i="8" s="1"/>
  <c r="P50" i="13"/>
  <c r="P39" i="8" s="1"/>
  <c r="O50" i="13"/>
  <c r="O39" i="8" s="1"/>
  <c r="S44" i="13"/>
  <c r="S34" i="8" s="1"/>
  <c r="R44" i="13"/>
  <c r="R34" i="8" s="1"/>
  <c r="Q44" i="13"/>
  <c r="Q34" i="8" s="1"/>
  <c r="P44" i="13"/>
  <c r="P34" i="8" s="1"/>
  <c r="O44" i="13"/>
  <c r="O34" i="8" s="1"/>
  <c r="S38" i="13"/>
  <c r="S29" i="8" s="1"/>
  <c r="R38" i="13"/>
  <c r="R29" i="8" s="1"/>
  <c r="Q38" i="13"/>
  <c r="Q29" i="8" s="1"/>
  <c r="P38" i="13"/>
  <c r="P29" i="8" s="1"/>
  <c r="O38" i="13"/>
  <c r="O29" i="8" s="1"/>
  <c r="S27" i="13"/>
  <c r="S29" i="13" s="1"/>
  <c r="S22" i="8" s="1"/>
  <c r="R27" i="13"/>
  <c r="R29" i="13" s="1"/>
  <c r="R22" i="8" s="1"/>
  <c r="Q27" i="13"/>
  <c r="Q29" i="13" s="1"/>
  <c r="Q22" i="8" s="1"/>
  <c r="P27" i="13"/>
  <c r="P29" i="13" s="1"/>
  <c r="P22" i="8" s="1"/>
  <c r="O27" i="13"/>
  <c r="O29" i="13" s="1"/>
  <c r="O22" i="8" s="1"/>
  <c r="S19" i="13"/>
  <c r="S15" i="8" s="1"/>
  <c r="R19" i="13"/>
  <c r="R15" i="8" s="1"/>
  <c r="Q19" i="13"/>
  <c r="Q15" i="8" s="1"/>
  <c r="P19" i="13"/>
  <c r="P15" i="8" s="1"/>
  <c r="O19" i="13"/>
  <c r="O15" i="8" s="1"/>
  <c r="O129" i="14" l="1"/>
  <c r="Q129" i="14"/>
  <c r="R129" i="14"/>
  <c r="P129" i="14"/>
  <c r="O180" i="8"/>
  <c r="R83" i="8"/>
  <c r="Q85" i="8"/>
  <c r="S180" i="8"/>
  <c r="O83" i="8"/>
  <c r="S83" i="8"/>
  <c r="P83" i="8"/>
  <c r="R180" i="8"/>
  <c r="B66" i="19"/>
  <c r="B65" i="19"/>
  <c r="B63" i="19"/>
  <c r="B62" i="19"/>
  <c r="I75" i="28"/>
  <c r="I74" i="28"/>
  <c r="I73" i="28"/>
  <c r="I72" i="28"/>
  <c r="I71" i="28"/>
  <c r="M75" i="28"/>
  <c r="M74" i="28"/>
  <c r="M73" i="28"/>
  <c r="M72" i="28"/>
  <c r="M71" i="28"/>
  <c r="M59" i="28"/>
  <c r="M58" i="28"/>
  <c r="M57" i="28"/>
  <c r="M56" i="28"/>
  <c r="M55" i="28"/>
  <c r="M42" i="28"/>
  <c r="M41" i="28"/>
  <c r="M40" i="28"/>
  <c r="M39" i="28"/>
  <c r="M38" i="28"/>
  <c r="S237" i="8" l="1"/>
  <c r="R99" i="14"/>
  <c r="O237" i="8"/>
  <c r="N99" i="14"/>
  <c r="S221" i="8"/>
  <c r="Q99" i="14"/>
  <c r="R237" i="8"/>
  <c r="Q23" i="29"/>
  <c r="P23" i="29"/>
  <c r="O23" i="29"/>
  <c r="N23" i="29"/>
  <c r="K8" i="29"/>
  <c r="K9" i="29" s="1"/>
  <c r="K10" i="29" s="1"/>
  <c r="K11" i="29" s="1"/>
  <c r="K12" i="29" s="1"/>
  <c r="K13" i="29" s="1"/>
  <c r="K14" i="29" s="1"/>
  <c r="K15" i="29" s="1"/>
  <c r="K16" i="29" s="1"/>
  <c r="K17" i="29" s="1"/>
  <c r="K18" i="29" s="1"/>
  <c r="K19" i="29" s="1"/>
  <c r="K20" i="29" s="1"/>
  <c r="K21" i="29" s="1"/>
  <c r="K22" i="29" s="1"/>
  <c r="D14" i="29"/>
  <c r="G14" i="29"/>
  <c r="D15" i="29"/>
  <c r="D17" i="29" s="1"/>
  <c r="G15" i="29"/>
  <c r="G17" i="29"/>
  <c r="D18" i="29"/>
  <c r="G18" i="29"/>
  <c r="R136" i="14" l="1"/>
  <c r="AI832" i="7" l="1"/>
  <c r="AH832" i="7"/>
  <c r="AG832" i="7"/>
  <c r="AF832" i="7"/>
  <c r="AE832" i="7"/>
  <c r="AI840" i="7"/>
  <c r="AH840" i="7"/>
  <c r="AG840" i="7"/>
  <c r="AF840" i="7"/>
  <c r="AE840" i="7"/>
  <c r="AB848" i="7"/>
  <c r="AA848" i="7"/>
  <c r="Z848" i="7"/>
  <c r="Y848" i="7"/>
  <c r="X848" i="7"/>
  <c r="AB840" i="7"/>
  <c r="AA840" i="7"/>
  <c r="Z840" i="7"/>
  <c r="Y840" i="7"/>
  <c r="X840" i="7"/>
  <c r="AB832" i="7"/>
  <c r="Z832" i="7"/>
  <c r="Y832" i="7"/>
  <c r="X832" i="7"/>
  <c r="AG839" i="7"/>
  <c r="AF839" i="7"/>
  <c r="AE839" i="7"/>
  <c r="AF836" i="7"/>
  <c r="AG836" i="7" s="1"/>
  <c r="AI831" i="7"/>
  <c r="AG831" i="7"/>
  <c r="AF831" i="7"/>
  <c r="AE831" i="7"/>
  <c r="AH831" i="7"/>
  <c r="AF828" i="7"/>
  <c r="AG828" i="7" s="1"/>
  <c r="Z847" i="7"/>
  <c r="Y847" i="7"/>
  <c r="X847" i="7"/>
  <c r="Y844" i="7"/>
  <c r="Z844" i="7" s="1"/>
  <c r="Z839" i="7"/>
  <c r="Y839" i="7"/>
  <c r="X839" i="7"/>
  <c r="Y836" i="7"/>
  <c r="Z836" i="7" s="1"/>
  <c r="Z831" i="7"/>
  <c r="Y831" i="7"/>
  <c r="X831" i="7"/>
  <c r="Y828" i="7"/>
  <c r="Z828" i="7" s="1"/>
  <c r="AB831" i="7"/>
  <c r="AA829" i="7"/>
  <c r="AA831" i="7" s="1"/>
  <c r="AA841" i="7" l="1"/>
  <c r="J56" i="28" s="1"/>
  <c r="J72" i="28" s="1"/>
  <c r="Z841" i="7"/>
  <c r="H56" i="28" s="1"/>
  <c r="H72" i="28" s="1"/>
  <c r="AA832" i="7"/>
  <c r="AA833" i="7" s="1"/>
  <c r="J55" i="28" s="1"/>
  <c r="J71" i="28" s="1"/>
  <c r="AA849" i="7"/>
  <c r="J57" i="28" s="1"/>
  <c r="J73" i="28" s="1"/>
  <c r="AH841" i="7"/>
  <c r="J59" i="28" s="1"/>
  <c r="J75" i="28" s="1"/>
  <c r="AH833" i="7"/>
  <c r="J58" i="28" s="1"/>
  <c r="J74" i="28" s="1"/>
  <c r="Z833" i="7"/>
  <c r="H55" i="28" s="1"/>
  <c r="H71" i="28" s="1"/>
  <c r="Z849" i="7"/>
  <c r="H57" i="28" s="1"/>
  <c r="H73" i="28" s="1"/>
  <c r="AG841" i="7"/>
  <c r="H59" i="28" s="1"/>
  <c r="H75" i="28" s="1"/>
  <c r="AG833" i="7"/>
  <c r="H58" i="28" s="1"/>
  <c r="H74" i="28" s="1"/>
  <c r="Z821" i="7"/>
  <c r="Z820" i="7"/>
  <c r="Z819" i="7"/>
  <c r="Z818" i="7"/>
  <c r="Z817" i="7"/>
  <c r="Y821" i="7"/>
  <c r="Y820" i="7"/>
  <c r="Y819" i="7"/>
  <c r="Y818" i="7"/>
  <c r="Y817" i="7"/>
  <c r="X821" i="7"/>
  <c r="X820" i="7"/>
  <c r="X819" i="7"/>
  <c r="X818" i="7"/>
  <c r="W821" i="7"/>
  <c r="AA821" i="7" s="1"/>
  <c r="W820" i="7"/>
  <c r="AA820" i="7" s="1"/>
  <c r="W819" i="7"/>
  <c r="W818" i="7"/>
  <c r="V821" i="7"/>
  <c r="V820" i="7"/>
  <c r="V819" i="7"/>
  <c r="V818" i="7"/>
  <c r="V817" i="7"/>
  <c r="Q812" i="7"/>
  <c r="V812" i="7"/>
  <c r="U812" i="7"/>
  <c r="V806" i="7"/>
  <c r="U806" i="7"/>
  <c r="R818" i="7"/>
  <c r="Q818" i="7"/>
  <c r="R812" i="7"/>
  <c r="R806" i="7"/>
  <c r="Q804" i="7"/>
  <c r="X817" i="7" s="1"/>
  <c r="B80" i="28"/>
  <c r="I77" i="28"/>
  <c r="I62" i="28"/>
  <c r="I61" i="28"/>
  <c r="AA818" i="7" l="1"/>
  <c r="AB818" i="7"/>
  <c r="AA819" i="7"/>
  <c r="H61" i="28"/>
  <c r="AB820" i="7"/>
  <c r="H41" i="28"/>
  <c r="H40" i="28"/>
  <c r="H42" i="28"/>
  <c r="AB817" i="7"/>
  <c r="AB821" i="7"/>
  <c r="AC821" i="7" s="1"/>
  <c r="J42" i="28" s="1"/>
  <c r="H39" i="28"/>
  <c r="H77" i="28"/>
  <c r="AC820" i="7"/>
  <c r="J41" i="28" s="1"/>
  <c r="AB819" i="7"/>
  <c r="W817" i="7"/>
  <c r="AA817" i="7" s="1"/>
  <c r="H62" i="28"/>
  <c r="H78" i="28"/>
  <c r="Q806" i="7"/>
  <c r="H38" i="28" s="1"/>
  <c r="I78" i="28"/>
  <c r="J78" i="28"/>
  <c r="J77" i="28"/>
  <c r="J62" i="28"/>
  <c r="J61" i="28"/>
  <c r="AC818" i="7" l="1"/>
  <c r="J39" i="28" s="1"/>
  <c r="AC819" i="7"/>
  <c r="J40" i="28" s="1"/>
  <c r="AC817" i="7"/>
  <c r="J38" i="28" s="1"/>
  <c r="H45" i="28"/>
  <c r="H44" i="28"/>
  <c r="J44" i="28" l="1"/>
  <c r="I45" i="28"/>
  <c r="I44" i="28"/>
  <c r="J45" i="28" l="1"/>
  <c r="D19" i="28"/>
  <c r="D15" i="28"/>
  <c r="E15" i="28" s="1"/>
  <c r="E14" i="28"/>
  <c r="B2" i="28"/>
  <c r="F15" i="28" l="1"/>
  <c r="B33" i="28"/>
  <c r="B50" i="28"/>
  <c r="G58" i="28"/>
  <c r="G55" i="28"/>
  <c r="G73" i="28"/>
  <c r="G56" i="28"/>
  <c r="G74" i="28"/>
  <c r="G57" i="28"/>
  <c r="G75" i="28"/>
  <c r="G59" i="28"/>
  <c r="G71" i="28"/>
  <c r="G72" i="28"/>
  <c r="G39" i="28"/>
  <c r="G38" i="28"/>
  <c r="G42" i="28"/>
  <c r="G41" i="28"/>
  <c r="G40" i="28"/>
  <c r="E19" i="28"/>
  <c r="F19" i="28" s="1"/>
  <c r="F14" i="28"/>
  <c r="C11" i="25"/>
  <c r="C10" i="25"/>
  <c r="B10" i="25"/>
  <c r="G61" i="28" l="1"/>
  <c r="G77" i="28"/>
  <c r="G78" i="28"/>
  <c r="G62" i="28"/>
  <c r="G44" i="28"/>
  <c r="G45" i="28"/>
  <c r="D8" i="28"/>
  <c r="E8" i="28" s="1"/>
  <c r="H21" i="28" s="1"/>
  <c r="D7" i="28"/>
  <c r="C903" i="7"/>
  <c r="D9" i="26"/>
  <c r="B2" i="26"/>
  <c r="K113" i="14"/>
  <c r="K23" i="16" s="1"/>
  <c r="D114" i="14"/>
  <c r="D25" i="16" s="1"/>
  <c r="D113" i="14"/>
  <c r="D23" i="16" s="1"/>
  <c r="D112" i="14"/>
  <c r="D24" i="16" s="1"/>
  <c r="C13" i="25" l="1"/>
  <c r="E9" i="28" s="1"/>
  <c r="F9" i="28" s="1"/>
  <c r="F8" i="28"/>
  <c r="E7" i="28"/>
  <c r="J227" i="13"/>
  <c r="J190" i="8" s="1"/>
  <c r="K227" i="13"/>
  <c r="K190" i="8" s="1"/>
  <c r="L227" i="13"/>
  <c r="L190" i="8" s="1"/>
  <c r="M227" i="13"/>
  <c r="M190" i="8" s="1"/>
  <c r="N227" i="13"/>
  <c r="N190" i="8" s="1"/>
  <c r="B227" i="13"/>
  <c r="N219" i="13"/>
  <c r="N194" i="8" s="1"/>
  <c r="M219" i="13"/>
  <c r="M194" i="8" s="1"/>
  <c r="L219" i="13"/>
  <c r="L194" i="8" s="1"/>
  <c r="K219" i="13"/>
  <c r="K194" i="8" s="1"/>
  <c r="J219" i="13"/>
  <c r="J194" i="8" s="1"/>
  <c r="B219" i="13"/>
  <c r="N211" i="13"/>
  <c r="N202" i="8" s="1"/>
  <c r="M211" i="13"/>
  <c r="M202" i="8" s="1"/>
  <c r="L211" i="13"/>
  <c r="L202" i="8" s="1"/>
  <c r="K211" i="13"/>
  <c r="K202" i="8" s="1"/>
  <c r="J211" i="13"/>
  <c r="J202" i="8" s="1"/>
  <c r="B211" i="13"/>
  <c r="N203" i="13"/>
  <c r="N198" i="8" s="1"/>
  <c r="M203" i="13"/>
  <c r="M198" i="8" s="1"/>
  <c r="L203" i="13"/>
  <c r="L198" i="8" s="1"/>
  <c r="K203" i="13"/>
  <c r="K198" i="8" s="1"/>
  <c r="J203" i="13"/>
  <c r="J198" i="8" s="1"/>
  <c r="B203" i="13"/>
  <c r="N163" i="13"/>
  <c r="N186" i="8" s="1"/>
  <c r="M163" i="13"/>
  <c r="M186" i="8" s="1"/>
  <c r="L163" i="13"/>
  <c r="L186" i="8" s="1"/>
  <c r="K163" i="13"/>
  <c r="K186" i="8" s="1"/>
  <c r="J163" i="13"/>
  <c r="J186" i="8" s="1"/>
  <c r="B163" i="13"/>
  <c r="J177" i="8"/>
  <c r="I114" i="14" s="1"/>
  <c r="I25" i="16" s="1"/>
  <c r="N100" i="13"/>
  <c r="N93" i="8" s="1"/>
  <c r="M100" i="13"/>
  <c r="M93" i="8" s="1"/>
  <c r="L100" i="13"/>
  <c r="L93" i="8" s="1"/>
  <c r="K100" i="13"/>
  <c r="K93" i="8" s="1"/>
  <c r="J100" i="13"/>
  <c r="J93" i="8" s="1"/>
  <c r="B100" i="13"/>
  <c r="C33" i="19" l="1"/>
  <c r="D9" i="28"/>
  <c r="H14" i="28" s="1"/>
  <c r="F7" i="28"/>
  <c r="E8" i="29"/>
  <c r="G16" i="29" s="1"/>
  <c r="G19" i="29" s="1"/>
  <c r="B2" i="19"/>
  <c r="B2" i="16"/>
  <c r="B2" i="14"/>
  <c r="B2" i="8"/>
  <c r="B2" i="13"/>
  <c r="J147" i="13"/>
  <c r="I903" i="7"/>
  <c r="H903" i="7"/>
  <c r="G903" i="7"/>
  <c r="F903" i="7"/>
  <c r="E903" i="7"/>
  <c r="D903" i="7"/>
  <c r="I902" i="7"/>
  <c r="H902" i="7"/>
  <c r="G902" i="7"/>
  <c r="F902" i="7"/>
  <c r="E902" i="7"/>
  <c r="D902" i="7"/>
  <c r="C902" i="7"/>
  <c r="J901" i="7"/>
  <c r="K901" i="7" s="1"/>
  <c r="L901" i="7" s="1"/>
  <c r="M901" i="7" s="1"/>
  <c r="N901" i="7" s="1"/>
  <c r="D905" i="7" l="1"/>
  <c r="D912" i="7" s="1"/>
  <c r="D914" i="7" s="1"/>
  <c r="D916" i="7" s="1"/>
  <c r="H905" i="7"/>
  <c r="H912" i="7" s="1"/>
  <c r="H914" i="7" s="1"/>
  <c r="H916" i="7" s="1"/>
  <c r="E905" i="7"/>
  <c r="E912" i="7" s="1"/>
  <c r="E914" i="7" s="1"/>
  <c r="E916" i="7" s="1"/>
  <c r="I905" i="7"/>
  <c r="I912" i="7" s="1"/>
  <c r="I914" i="7" s="1"/>
  <c r="I916" i="7" s="1"/>
  <c r="F905" i="7"/>
  <c r="F912" i="7" s="1"/>
  <c r="F914" i="7" s="1"/>
  <c r="F916" i="7" s="1"/>
  <c r="C905" i="7"/>
  <c r="C912" i="7" s="1"/>
  <c r="C914" i="7" s="1"/>
  <c r="C916" i="7" s="1"/>
  <c r="G905" i="7"/>
  <c r="G912" i="7" s="1"/>
  <c r="G914" i="7" s="1"/>
  <c r="G916" i="7" s="1"/>
  <c r="K912" i="7"/>
  <c r="L912" i="7" l="1"/>
  <c r="M912" i="7" l="1"/>
  <c r="M56" i="14"/>
  <c r="N129" i="14" s="1"/>
  <c r="L56" i="14"/>
  <c r="K56" i="14"/>
  <c r="J56" i="14"/>
  <c r="I56" i="14"/>
  <c r="L129" i="14" l="1"/>
  <c r="M129" i="14"/>
  <c r="K129" i="14"/>
  <c r="N912" i="7"/>
  <c r="J129" i="14"/>
  <c r="K80" i="8"/>
  <c r="L80" i="8" s="1"/>
  <c r="M80" i="8" s="1"/>
  <c r="N80" i="8" s="1"/>
  <c r="O80" i="8" s="1"/>
  <c r="P80" i="8" s="1"/>
  <c r="Q80" i="8" s="1"/>
  <c r="R80" i="8" s="1"/>
  <c r="S80" i="8" s="1"/>
  <c r="H59" i="21" l="1"/>
  <c r="G59" i="21"/>
  <c r="H68" i="14"/>
  <c r="I141" i="14" s="1"/>
  <c r="G68" i="14"/>
  <c r="F68" i="14"/>
  <c r="E68" i="14"/>
  <c r="D68" i="14"/>
  <c r="H138" i="14"/>
  <c r="H39" i="14" l="1"/>
  <c r="G39" i="14"/>
  <c r="F39" i="14"/>
  <c r="E39" i="14"/>
  <c r="D39" i="14"/>
  <c r="H36" i="14"/>
  <c r="G36" i="14"/>
  <c r="F36" i="14"/>
  <c r="E36" i="14"/>
  <c r="D36" i="14"/>
  <c r="H34" i="14"/>
  <c r="H89" i="16" s="1"/>
  <c r="G34" i="14"/>
  <c r="G89" i="16" s="1"/>
  <c r="F34" i="14"/>
  <c r="F89" i="16" s="1"/>
  <c r="E34" i="14"/>
  <c r="E89" i="16" s="1"/>
  <c r="D34" i="14"/>
  <c r="H16" i="19" l="1"/>
  <c r="E16" i="19"/>
  <c r="I142" i="8"/>
  <c r="I16" i="19"/>
  <c r="F16" i="19"/>
  <c r="G16" i="19"/>
  <c r="H104" i="14"/>
  <c r="H120" i="14"/>
  <c r="I104" i="14" l="1"/>
  <c r="J104" i="14" s="1"/>
  <c r="K104" i="14" s="1"/>
  <c r="L104" i="14" s="1"/>
  <c r="M104" i="14" s="1"/>
  <c r="N104" i="14" s="1"/>
  <c r="F896" i="7"/>
  <c r="E896" i="7"/>
  <c r="D896" i="7"/>
  <c r="C896" i="7"/>
  <c r="H894" i="7"/>
  <c r="M894" i="7"/>
  <c r="I256" i="8" s="1"/>
  <c r="L894" i="7"/>
  <c r="H256" i="8" s="1"/>
  <c r="K894" i="7"/>
  <c r="G256" i="8" s="1"/>
  <c r="J894" i="7"/>
  <c r="F256" i="8" s="1"/>
  <c r="I894" i="7"/>
  <c r="E256" i="8" s="1"/>
  <c r="G894" i="7"/>
  <c r="D893" i="7"/>
  <c r="E893" i="7" s="1"/>
  <c r="F893" i="7" s="1"/>
  <c r="G893" i="7" s="1"/>
  <c r="H893" i="7" s="1"/>
  <c r="I893" i="7" s="1"/>
  <c r="J893" i="7" s="1"/>
  <c r="K893" i="7" s="1"/>
  <c r="L893" i="7" s="1"/>
  <c r="M893" i="7" s="1"/>
  <c r="O104" i="14" l="1"/>
  <c r="M895" i="7"/>
  <c r="L895" i="7"/>
  <c r="K895" i="7"/>
  <c r="J895" i="7"/>
  <c r="I895" i="7"/>
  <c r="H895" i="7"/>
  <c r="H896" i="7" s="1"/>
  <c r="G895" i="7"/>
  <c r="G896" i="7" s="1"/>
  <c r="C876" i="7"/>
  <c r="H123" i="14"/>
  <c r="P104" i="14" l="1"/>
  <c r="H257" i="8"/>
  <c r="H258" i="8" s="1"/>
  <c r="L896" i="7"/>
  <c r="E257" i="8"/>
  <c r="E258" i="8" s="1"/>
  <c r="I896" i="7"/>
  <c r="I257" i="8"/>
  <c r="I258" i="8" s="1"/>
  <c r="M896" i="7"/>
  <c r="F257" i="8"/>
  <c r="F258" i="8" s="1"/>
  <c r="J896" i="7"/>
  <c r="K896" i="7"/>
  <c r="G257" i="8"/>
  <c r="G258" i="8" s="1"/>
  <c r="B201" i="8"/>
  <c r="B197" i="8"/>
  <c r="B193" i="8"/>
  <c r="B189" i="8"/>
  <c r="B185" i="8"/>
  <c r="O896" i="7" l="1"/>
  <c r="J258" i="8" s="1"/>
  <c r="K258" i="8" s="1"/>
  <c r="L258" i="8" s="1"/>
  <c r="M258" i="8" s="1"/>
  <c r="N258" i="8" s="1"/>
  <c r="O258" i="8" s="1"/>
  <c r="P258" i="8" s="1"/>
  <c r="Q258" i="8" s="1"/>
  <c r="R258" i="8" s="1"/>
  <c r="S258" i="8" s="1"/>
  <c r="Q104" i="14"/>
  <c r="P896" i="7"/>
  <c r="I885" i="7"/>
  <c r="I888" i="7" s="1"/>
  <c r="H885" i="7"/>
  <c r="H888" i="7" s="1"/>
  <c r="G885" i="7"/>
  <c r="G888" i="7" s="1"/>
  <c r="F885" i="7"/>
  <c r="F888" i="7" s="1"/>
  <c r="E885" i="7"/>
  <c r="E888" i="7" s="1"/>
  <c r="D885" i="7"/>
  <c r="D888" i="7" s="1"/>
  <c r="C885" i="7"/>
  <c r="C888" i="7" s="1"/>
  <c r="R104" i="14" l="1"/>
  <c r="I252" i="8"/>
  <c r="H252" i="8"/>
  <c r="G252" i="8"/>
  <c r="F252" i="8"/>
  <c r="E252" i="8"/>
  <c r="I877" i="7"/>
  <c r="H877" i="7"/>
  <c r="G877" i="7"/>
  <c r="F877" i="7"/>
  <c r="E877" i="7"/>
  <c r="D877" i="7"/>
  <c r="C877" i="7"/>
  <c r="C879" i="7" s="1"/>
  <c r="I876" i="7"/>
  <c r="H876" i="7"/>
  <c r="G876" i="7"/>
  <c r="F876" i="7"/>
  <c r="E876" i="7"/>
  <c r="D876" i="7"/>
  <c r="E879" i="7" l="1"/>
  <c r="I879" i="7"/>
  <c r="F879" i="7"/>
  <c r="D879" i="7"/>
  <c r="H879" i="7"/>
  <c r="G879" i="7"/>
  <c r="C872" i="7"/>
  <c r="J168" i="13" s="1"/>
  <c r="K168" i="13" s="1"/>
  <c r="L168" i="13" s="1"/>
  <c r="L879" i="7" l="1"/>
  <c r="K169" i="13"/>
  <c r="K170" i="13" s="1"/>
  <c r="J169" i="13"/>
  <c r="J170" i="13" s="1"/>
  <c r="M168" i="13"/>
  <c r="L169" i="13"/>
  <c r="L170" i="13" s="1"/>
  <c r="I861" i="7"/>
  <c r="I862" i="7" s="1"/>
  <c r="H861" i="7"/>
  <c r="H862" i="7" s="1"/>
  <c r="G861" i="7"/>
  <c r="G862" i="7" s="1"/>
  <c r="F861" i="7"/>
  <c r="F862" i="7" s="1"/>
  <c r="E861" i="7"/>
  <c r="E862" i="7" s="1"/>
  <c r="D861" i="7"/>
  <c r="D862" i="7" s="1"/>
  <c r="C861" i="7"/>
  <c r="C862" i="7" s="1"/>
  <c r="D135" i="14"/>
  <c r="E135" i="14"/>
  <c r="F135" i="14"/>
  <c r="G135" i="14"/>
  <c r="H135" i="14"/>
  <c r="N168" i="13" l="1"/>
  <c r="M169" i="13"/>
  <c r="M170" i="13" s="1"/>
  <c r="M843" i="7"/>
  <c r="N155" i="13"/>
  <c r="N182" i="8" s="1"/>
  <c r="M155" i="13"/>
  <c r="M182" i="8" s="1"/>
  <c r="L155" i="13"/>
  <c r="L182" i="8" s="1"/>
  <c r="K155" i="13"/>
  <c r="K182" i="8" s="1"/>
  <c r="J155" i="13"/>
  <c r="J182" i="8" s="1"/>
  <c r="B155" i="13"/>
  <c r="N169" i="13" l="1"/>
  <c r="N170" i="13" s="1"/>
  <c r="O168" i="13"/>
  <c r="O171" i="13" s="1"/>
  <c r="O244" i="8" s="1"/>
  <c r="N843" i="7"/>
  <c r="O169" i="13" l="1"/>
  <c r="O170" i="13" s="1"/>
  <c r="P168" i="13"/>
  <c r="P171" i="13" s="1"/>
  <c r="P244" i="8" s="1"/>
  <c r="S843" i="7"/>
  <c r="R843" i="7"/>
  <c r="M832" i="7"/>
  <c r="M831" i="7" s="1"/>
  <c r="L831" i="7"/>
  <c r="P169" i="13" l="1"/>
  <c r="P170" i="13" s="1"/>
  <c r="Q168" i="13"/>
  <c r="Q171" i="13" s="1"/>
  <c r="Q244" i="8" s="1"/>
  <c r="M833" i="7"/>
  <c r="N832" i="7"/>
  <c r="N831" i="7" s="1"/>
  <c r="N833" i="7" s="1"/>
  <c r="N195" i="13"/>
  <c r="N172" i="8" s="1"/>
  <c r="M195" i="13"/>
  <c r="M172" i="8" s="1"/>
  <c r="L195" i="13"/>
  <c r="L172" i="8" s="1"/>
  <c r="K195" i="13"/>
  <c r="K172" i="8" s="1"/>
  <c r="J195" i="13"/>
  <c r="J172" i="8" s="1"/>
  <c r="B195" i="13"/>
  <c r="Q169" i="13" l="1"/>
  <c r="Q170" i="13" s="1"/>
  <c r="R168" i="13"/>
  <c r="R171" i="13" s="1"/>
  <c r="R244" i="8" s="1"/>
  <c r="I229" i="8"/>
  <c r="H229" i="8"/>
  <c r="G229" i="8"/>
  <c r="F229" i="8"/>
  <c r="E229" i="8"/>
  <c r="K177" i="8"/>
  <c r="I176" i="8"/>
  <c r="H176" i="8"/>
  <c r="G176" i="8"/>
  <c r="F176" i="8"/>
  <c r="E176" i="8"/>
  <c r="R169" i="13" l="1"/>
  <c r="R170" i="13" s="1"/>
  <c r="S168" i="13"/>
  <c r="J114" i="14"/>
  <c r="J25" i="16" s="1"/>
  <c r="L177" i="8"/>
  <c r="I804" i="7"/>
  <c r="H804" i="7"/>
  <c r="G804" i="7"/>
  <c r="F804" i="7"/>
  <c r="E804" i="7"/>
  <c r="D804" i="7"/>
  <c r="C804" i="7"/>
  <c r="I802" i="7"/>
  <c r="K831" i="7" s="1"/>
  <c r="H802" i="7"/>
  <c r="J831" i="7" s="1"/>
  <c r="G802" i="7"/>
  <c r="F802" i="7"/>
  <c r="E802" i="7"/>
  <c r="D802" i="7"/>
  <c r="C802" i="7"/>
  <c r="B804" i="7"/>
  <c r="B802" i="7"/>
  <c r="D800" i="7"/>
  <c r="E800" i="7" s="1"/>
  <c r="F800" i="7" s="1"/>
  <c r="G800" i="7" s="1"/>
  <c r="H800" i="7" s="1"/>
  <c r="I800" i="7" s="1"/>
  <c r="F806" i="7" l="1"/>
  <c r="F810" i="7" s="1"/>
  <c r="C806" i="7"/>
  <c r="C810" i="7" s="1"/>
  <c r="S169" i="13"/>
  <c r="S170" i="13" s="1"/>
  <c r="S171" i="13"/>
  <c r="S244" i="8" s="1"/>
  <c r="G805" i="7"/>
  <c r="D805" i="7"/>
  <c r="H805" i="7"/>
  <c r="E806" i="7"/>
  <c r="E810" i="7" s="1"/>
  <c r="G806" i="7"/>
  <c r="G807" i="7" s="1"/>
  <c r="M177" i="8"/>
  <c r="K114" i="14"/>
  <c r="K25" i="16" s="1"/>
  <c r="G803" i="7"/>
  <c r="G810" i="7"/>
  <c r="K833" i="7"/>
  <c r="K832" i="7"/>
  <c r="L833" i="7"/>
  <c r="F803" i="7"/>
  <c r="I805" i="7"/>
  <c r="D806" i="7"/>
  <c r="D809" i="7" s="1"/>
  <c r="J833" i="7"/>
  <c r="J832" i="7"/>
  <c r="E803" i="7"/>
  <c r="I803" i="7"/>
  <c r="E805" i="7"/>
  <c r="H806" i="7"/>
  <c r="J842" i="7" s="1"/>
  <c r="J844" i="7" s="1"/>
  <c r="F805" i="7"/>
  <c r="D803" i="7"/>
  <c r="H803" i="7"/>
  <c r="I806" i="7"/>
  <c r="K842" i="7" s="1"/>
  <c r="M778" i="7"/>
  <c r="L778" i="7"/>
  <c r="K778" i="7"/>
  <c r="J778" i="7"/>
  <c r="I778" i="7"/>
  <c r="H778" i="7"/>
  <c r="G778" i="7"/>
  <c r="F778" i="7"/>
  <c r="E778" i="7"/>
  <c r="D778" i="7"/>
  <c r="M777" i="7"/>
  <c r="L777" i="7"/>
  <c r="K777" i="7"/>
  <c r="J777" i="7"/>
  <c r="I777" i="7"/>
  <c r="H777" i="7"/>
  <c r="G777" i="7"/>
  <c r="F777" i="7"/>
  <c r="E777" i="7"/>
  <c r="D777" i="7"/>
  <c r="C778" i="7"/>
  <c r="C777" i="7"/>
  <c r="D771" i="7"/>
  <c r="E771" i="7" s="1"/>
  <c r="F771" i="7" s="1"/>
  <c r="G771" i="7" s="1"/>
  <c r="H771" i="7" s="1"/>
  <c r="I771" i="7" s="1"/>
  <c r="J771" i="7" s="1"/>
  <c r="K771" i="7" s="1"/>
  <c r="L771" i="7" s="1"/>
  <c r="M771" i="7" s="1"/>
  <c r="M767" i="7"/>
  <c r="L767" i="7"/>
  <c r="K767" i="7"/>
  <c r="J767" i="7"/>
  <c r="I767" i="7"/>
  <c r="H767" i="7"/>
  <c r="G767" i="7"/>
  <c r="F767" i="7"/>
  <c r="E767" i="7"/>
  <c r="D767" i="7"/>
  <c r="C767" i="7"/>
  <c r="M757" i="7"/>
  <c r="M759" i="7" s="1"/>
  <c r="M761" i="7" s="1"/>
  <c r="M772" i="7" s="1"/>
  <c r="L757" i="7"/>
  <c r="L759" i="7" s="1"/>
  <c r="L761" i="7" s="1"/>
  <c r="L772" i="7" s="1"/>
  <c r="K757" i="7"/>
  <c r="K759" i="7" s="1"/>
  <c r="K761" i="7" s="1"/>
  <c r="K772" i="7" s="1"/>
  <c r="J757" i="7"/>
  <c r="J759" i="7" s="1"/>
  <c r="J761" i="7" s="1"/>
  <c r="J772" i="7" s="1"/>
  <c r="I757" i="7"/>
  <c r="I759" i="7" s="1"/>
  <c r="I761" i="7" s="1"/>
  <c r="I772" i="7" s="1"/>
  <c r="H757" i="7"/>
  <c r="H759" i="7" s="1"/>
  <c r="H761" i="7" s="1"/>
  <c r="H772" i="7" s="1"/>
  <c r="G757" i="7"/>
  <c r="G759" i="7" s="1"/>
  <c r="G761" i="7" s="1"/>
  <c r="G772" i="7" s="1"/>
  <c r="F757" i="7"/>
  <c r="F759" i="7" s="1"/>
  <c r="F761" i="7" s="1"/>
  <c r="F772" i="7" s="1"/>
  <c r="E757" i="7"/>
  <c r="E759" i="7" s="1"/>
  <c r="E761" i="7" s="1"/>
  <c r="E772" i="7" s="1"/>
  <c r="D757" i="7"/>
  <c r="D759" i="7" s="1"/>
  <c r="D761" i="7" s="1"/>
  <c r="C757" i="7"/>
  <c r="C759" i="7" s="1"/>
  <c r="C761" i="7" s="1"/>
  <c r="M755" i="7"/>
  <c r="L755" i="7"/>
  <c r="K755" i="7"/>
  <c r="J755" i="7"/>
  <c r="I755" i="7"/>
  <c r="H755" i="7"/>
  <c r="G755" i="7"/>
  <c r="F755" i="7"/>
  <c r="E755" i="7"/>
  <c r="D755" i="7"/>
  <c r="F809" i="7" l="1"/>
  <c r="C809" i="7"/>
  <c r="F807" i="7"/>
  <c r="G809" i="7"/>
  <c r="H809" i="7"/>
  <c r="K844" i="7"/>
  <c r="E809" i="7"/>
  <c r="I807" i="7"/>
  <c r="C772" i="7"/>
  <c r="O761" i="7"/>
  <c r="D772" i="7"/>
  <c r="P761" i="7"/>
  <c r="I809" i="7"/>
  <c r="N177" i="8"/>
  <c r="L114" i="14"/>
  <c r="L25" i="16" s="1"/>
  <c r="L803" i="7"/>
  <c r="K803" i="7"/>
  <c r="H810" i="7"/>
  <c r="I810" i="7"/>
  <c r="D810" i="7"/>
  <c r="E807" i="7"/>
  <c r="L805" i="7"/>
  <c r="K805" i="7"/>
  <c r="H807" i="7"/>
  <c r="D807" i="7"/>
  <c r="D753" i="7"/>
  <c r="E753" i="7" s="1"/>
  <c r="F753" i="7" s="1"/>
  <c r="G753" i="7" s="1"/>
  <c r="H753" i="7" s="1"/>
  <c r="I753" i="7" s="1"/>
  <c r="J753" i="7" s="1"/>
  <c r="K753" i="7" s="1"/>
  <c r="L753" i="7" s="1"/>
  <c r="M753" i="7" s="1"/>
  <c r="L809" i="7" l="1"/>
  <c r="L810" i="7"/>
  <c r="K810" i="7"/>
  <c r="K809" i="7"/>
  <c r="M114" i="14"/>
  <c r="M25" i="16" s="1"/>
  <c r="O177" i="8"/>
  <c r="N114" i="14" s="1"/>
  <c r="L807" i="7"/>
  <c r="K807" i="7"/>
  <c r="F138" i="14"/>
  <c r="E138" i="14"/>
  <c r="D138" i="14"/>
  <c r="G138" i="14"/>
  <c r="H125" i="14"/>
  <c r="G125" i="14"/>
  <c r="F125" i="14"/>
  <c r="E125" i="14"/>
  <c r="H124" i="14"/>
  <c r="I21" i="19" s="1"/>
  <c r="G124" i="14"/>
  <c r="H21" i="19" s="1"/>
  <c r="F124" i="14"/>
  <c r="G21" i="19" s="1"/>
  <c r="E124" i="14"/>
  <c r="F21" i="19" s="1"/>
  <c r="G123" i="14"/>
  <c r="F123" i="14"/>
  <c r="E123" i="14"/>
  <c r="H122" i="14"/>
  <c r="H94" i="16" s="1"/>
  <c r="G122" i="14"/>
  <c r="G94" i="16" s="1"/>
  <c r="F122" i="14"/>
  <c r="F94" i="16" s="1"/>
  <c r="E122" i="14"/>
  <c r="E94" i="16" s="1"/>
  <c r="D123" i="14"/>
  <c r="P177" i="8" l="1"/>
  <c r="O176" i="8"/>
  <c r="N98" i="14" s="1"/>
  <c r="D71" i="22"/>
  <c r="F64" i="22"/>
  <c r="E64" i="22"/>
  <c r="E34" i="22"/>
  <c r="I64" i="22"/>
  <c r="I26" i="22"/>
  <c r="H29" i="14"/>
  <c r="Q177" i="8" l="1"/>
  <c r="O114" i="14"/>
  <c r="E67" i="22"/>
  <c r="D141" i="14"/>
  <c r="H121" i="14"/>
  <c r="H126" i="14" s="1"/>
  <c r="I18" i="19"/>
  <c r="I14" i="19"/>
  <c r="I138" i="8"/>
  <c r="H136" i="14"/>
  <c r="G136" i="14"/>
  <c r="F136" i="14"/>
  <c r="E136" i="14"/>
  <c r="H134" i="14"/>
  <c r="G134" i="14"/>
  <c r="F134" i="14"/>
  <c r="E134" i="14"/>
  <c r="D134" i="14"/>
  <c r="D136" i="14"/>
  <c r="H131" i="14"/>
  <c r="G131" i="14"/>
  <c r="F131" i="14"/>
  <c r="E131" i="14"/>
  <c r="H130" i="14"/>
  <c r="G130" i="14"/>
  <c r="F130" i="14"/>
  <c r="E130" i="14"/>
  <c r="H128" i="14"/>
  <c r="I22" i="19" s="1"/>
  <c r="G128" i="14"/>
  <c r="F128" i="14"/>
  <c r="G22" i="19" s="1"/>
  <c r="E128" i="14"/>
  <c r="D130" i="14"/>
  <c r="D131" i="14"/>
  <c r="D128" i="14"/>
  <c r="E22" i="19" s="1"/>
  <c r="D125" i="14"/>
  <c r="D124" i="14"/>
  <c r="E21" i="19" s="1"/>
  <c r="R177" i="8" l="1"/>
  <c r="P114" i="14"/>
  <c r="G132" i="14"/>
  <c r="H22" i="19"/>
  <c r="E132" i="14"/>
  <c r="F22" i="19"/>
  <c r="H132" i="14"/>
  <c r="F139" i="14"/>
  <c r="E139" i="14"/>
  <c r="D139" i="14"/>
  <c r="H139" i="14"/>
  <c r="G139" i="14"/>
  <c r="F132" i="14"/>
  <c r="D132" i="14"/>
  <c r="D122" i="14"/>
  <c r="D94" i="16" s="1"/>
  <c r="G104" i="14"/>
  <c r="F104" i="14"/>
  <c r="E104" i="14"/>
  <c r="D104" i="14"/>
  <c r="H103" i="14"/>
  <c r="G103" i="14"/>
  <c r="F103" i="14"/>
  <c r="E103" i="14"/>
  <c r="D103" i="14"/>
  <c r="H102" i="14"/>
  <c r="G102" i="14"/>
  <c r="F102" i="14"/>
  <c r="E102" i="14"/>
  <c r="D102" i="14"/>
  <c r="H101" i="14"/>
  <c r="G101" i="14"/>
  <c r="F101" i="14"/>
  <c r="E101" i="14"/>
  <c r="D101" i="14"/>
  <c r="H100" i="14"/>
  <c r="G100" i="14"/>
  <c r="F100" i="14"/>
  <c r="E100" i="14"/>
  <c r="D100" i="14"/>
  <c r="H99" i="14"/>
  <c r="H30" i="16" s="1"/>
  <c r="G99" i="14"/>
  <c r="F99" i="14"/>
  <c r="E99" i="14"/>
  <c r="D99" i="14"/>
  <c r="D30" i="16" s="1"/>
  <c r="H98" i="14"/>
  <c r="G98" i="14"/>
  <c r="F98" i="14"/>
  <c r="E98" i="14"/>
  <c r="I67" i="21"/>
  <c r="H67" i="21"/>
  <c r="G67" i="21"/>
  <c r="F67" i="21"/>
  <c r="E67" i="21"/>
  <c r="H94" i="14"/>
  <c r="G94" i="14"/>
  <c r="F94" i="14"/>
  <c r="E94" i="14"/>
  <c r="D94" i="14"/>
  <c r="H93" i="14"/>
  <c r="G93" i="14"/>
  <c r="F93" i="14"/>
  <c r="E93" i="14"/>
  <c r="D93" i="14"/>
  <c r="H92" i="14"/>
  <c r="G92" i="14"/>
  <c r="F92" i="14"/>
  <c r="E92" i="14"/>
  <c r="D92" i="14"/>
  <c r="H91" i="14"/>
  <c r="G91" i="14"/>
  <c r="F91" i="14"/>
  <c r="E91" i="14"/>
  <c r="D91" i="14"/>
  <c r="H90" i="14"/>
  <c r="G90" i="14"/>
  <c r="F90" i="14"/>
  <c r="E90" i="14"/>
  <c r="D90" i="14"/>
  <c r="H84" i="14"/>
  <c r="G84" i="14"/>
  <c r="F84" i="14"/>
  <c r="E84" i="14"/>
  <c r="D84" i="14"/>
  <c r="H82" i="14"/>
  <c r="G82" i="14"/>
  <c r="F82" i="14"/>
  <c r="E82" i="14"/>
  <c r="D82" i="14"/>
  <c r="H81" i="14"/>
  <c r="G81" i="14"/>
  <c r="F81" i="14"/>
  <c r="E81" i="14"/>
  <c r="D81" i="14"/>
  <c r="H72" i="14"/>
  <c r="G72" i="14"/>
  <c r="F72" i="14"/>
  <c r="E72" i="14"/>
  <c r="H71" i="14"/>
  <c r="G71" i="14"/>
  <c r="F71" i="14"/>
  <c r="E71" i="14"/>
  <c r="D71" i="14"/>
  <c r="H70" i="14"/>
  <c r="H18" i="16" s="1"/>
  <c r="H79" i="16" s="1"/>
  <c r="G70" i="14"/>
  <c r="G18" i="16" s="1"/>
  <c r="G79" i="16" s="1"/>
  <c r="F70" i="14"/>
  <c r="F18" i="16" s="1"/>
  <c r="F79" i="16" s="1"/>
  <c r="E70" i="14"/>
  <c r="E18" i="16" s="1"/>
  <c r="E79" i="16" s="1"/>
  <c r="D70" i="14"/>
  <c r="H69" i="14"/>
  <c r="G69" i="14"/>
  <c r="F69" i="14"/>
  <c r="E69" i="14"/>
  <c r="D69" i="14"/>
  <c r="H64" i="14"/>
  <c r="G64" i="14"/>
  <c r="F64" i="14"/>
  <c r="E64" i="14"/>
  <c r="H63" i="14"/>
  <c r="G63" i="14"/>
  <c r="F63" i="14"/>
  <c r="E63" i="14"/>
  <c r="H62" i="14"/>
  <c r="G62" i="14"/>
  <c r="F62" i="14"/>
  <c r="E62" i="14"/>
  <c r="H61" i="14"/>
  <c r="G61" i="14"/>
  <c r="F61" i="14"/>
  <c r="E61" i="14"/>
  <c r="H60" i="14"/>
  <c r="G60" i="14"/>
  <c r="F60" i="14"/>
  <c r="E60" i="14"/>
  <c r="H58" i="14"/>
  <c r="G58" i="14"/>
  <c r="F58" i="14"/>
  <c r="E58" i="14"/>
  <c r="H57" i="14"/>
  <c r="G57" i="14"/>
  <c r="F57" i="14"/>
  <c r="E57" i="14"/>
  <c r="H56" i="14"/>
  <c r="G56" i="14"/>
  <c r="F56" i="14"/>
  <c r="E56" i="14"/>
  <c r="H55" i="14"/>
  <c r="G55" i="14"/>
  <c r="F55" i="14"/>
  <c r="E55" i="14"/>
  <c r="H54" i="14"/>
  <c r="G54" i="14"/>
  <c r="F54" i="14"/>
  <c r="E54" i="14"/>
  <c r="D64" i="14"/>
  <c r="D63" i="14"/>
  <c r="D62" i="14"/>
  <c r="D61" i="14"/>
  <c r="D60" i="14"/>
  <c r="D58" i="14"/>
  <c r="D57" i="14"/>
  <c r="D56" i="14"/>
  <c r="D55" i="14"/>
  <c r="D54" i="14"/>
  <c r="H35" i="14"/>
  <c r="G35" i="14"/>
  <c r="F35" i="14"/>
  <c r="E35" i="14"/>
  <c r="D35" i="14"/>
  <c r="B187" i="13"/>
  <c r="B179" i="13"/>
  <c r="B171" i="13"/>
  <c r="B147" i="13"/>
  <c r="B139" i="13"/>
  <c r="N187" i="13"/>
  <c r="N251" i="8" s="1"/>
  <c r="M187" i="13"/>
  <c r="M251" i="8" s="1"/>
  <c r="L187" i="13"/>
  <c r="L251" i="8" s="1"/>
  <c r="K187" i="13"/>
  <c r="K251" i="8" s="1"/>
  <c r="J187" i="13"/>
  <c r="J251" i="8" s="1"/>
  <c r="I140" i="8"/>
  <c r="D29" i="14"/>
  <c r="E29" i="14"/>
  <c r="F29" i="14"/>
  <c r="G29" i="14"/>
  <c r="E30" i="16" l="1"/>
  <c r="F30" i="16"/>
  <c r="H84" i="16"/>
  <c r="H34" i="16"/>
  <c r="G30" i="16"/>
  <c r="H142" i="14"/>
  <c r="Q114" i="14"/>
  <c r="S177" i="8"/>
  <c r="R176" i="8"/>
  <c r="Q98" i="14" s="1"/>
  <c r="I234" i="8"/>
  <c r="C41" i="19"/>
  <c r="D28" i="32" s="1"/>
  <c r="F180" i="8"/>
  <c r="F237" i="8" s="1"/>
  <c r="I185" i="8"/>
  <c r="I100" i="14"/>
  <c r="J100" i="14" s="1"/>
  <c r="K100" i="14" s="1"/>
  <c r="L100" i="14" s="1"/>
  <c r="M100" i="14" s="1"/>
  <c r="N100" i="14" s="1"/>
  <c r="D121" i="14"/>
  <c r="E14" i="19"/>
  <c r="E18" i="19"/>
  <c r="I81" i="14"/>
  <c r="J81" i="14" s="1"/>
  <c r="K81" i="14" s="1"/>
  <c r="L81" i="14" s="1"/>
  <c r="M81" i="14" s="1"/>
  <c r="N81" i="14" s="1"/>
  <c r="O81" i="14" s="1"/>
  <c r="P81" i="14" s="1"/>
  <c r="Q81" i="14" s="1"/>
  <c r="F234" i="8"/>
  <c r="F185" i="8"/>
  <c r="G121" i="14"/>
  <c r="H18" i="19"/>
  <c r="H14" i="19"/>
  <c r="J149" i="8"/>
  <c r="G234" i="8"/>
  <c r="I92" i="14"/>
  <c r="J92" i="14" s="1"/>
  <c r="K92" i="14" s="1"/>
  <c r="L92" i="14" s="1"/>
  <c r="M92" i="14" s="1"/>
  <c r="N92" i="14" s="1"/>
  <c r="O92" i="14" s="1"/>
  <c r="P92" i="14" s="1"/>
  <c r="Q92" i="14" s="1"/>
  <c r="R92" i="14" s="1"/>
  <c r="H180" i="8"/>
  <c r="H237" i="8" s="1"/>
  <c r="G185" i="8"/>
  <c r="F189" i="8"/>
  <c r="E197" i="8"/>
  <c r="I102" i="14"/>
  <c r="J102" i="14" s="1"/>
  <c r="K102" i="14" s="1"/>
  <c r="L102" i="14" s="1"/>
  <c r="M102" i="14" s="1"/>
  <c r="N102" i="14" s="1"/>
  <c r="O102" i="14" s="1"/>
  <c r="P102" i="14" s="1"/>
  <c r="Q102" i="14" s="1"/>
  <c r="R102" i="14" s="1"/>
  <c r="E121" i="14"/>
  <c r="F18" i="19"/>
  <c r="F14" i="19"/>
  <c r="E234" i="8"/>
  <c r="I94" i="14"/>
  <c r="J94" i="14" s="1"/>
  <c r="K94" i="14" s="1"/>
  <c r="L94" i="14" s="1"/>
  <c r="M94" i="14" s="1"/>
  <c r="N94" i="14" s="1"/>
  <c r="O94" i="14" s="1"/>
  <c r="P94" i="14" s="1"/>
  <c r="Q94" i="14" s="1"/>
  <c r="R94" i="14" s="1"/>
  <c r="E185" i="8"/>
  <c r="H189" i="8"/>
  <c r="G197" i="8"/>
  <c r="I69" i="14"/>
  <c r="J69" i="14" s="1"/>
  <c r="K69" i="14" s="1"/>
  <c r="L69" i="14" s="1"/>
  <c r="M69" i="14" s="1"/>
  <c r="N69" i="14" s="1"/>
  <c r="O69" i="14" s="1"/>
  <c r="P69" i="14" s="1"/>
  <c r="Q69" i="14" s="1"/>
  <c r="R69" i="14" s="1"/>
  <c r="C42" i="19"/>
  <c r="D29" i="32" s="1"/>
  <c r="I91" i="14"/>
  <c r="J91" i="14" s="1"/>
  <c r="K91" i="14" s="1"/>
  <c r="L91" i="14" s="1"/>
  <c r="M91" i="14" s="1"/>
  <c r="N91" i="14" s="1"/>
  <c r="O91" i="14" s="1"/>
  <c r="P91" i="14" s="1"/>
  <c r="Q91" i="14" s="1"/>
  <c r="R91" i="14" s="1"/>
  <c r="G180" i="8"/>
  <c r="G237" i="8" s="1"/>
  <c r="E189" i="8"/>
  <c r="I101" i="14"/>
  <c r="J101" i="14" s="1"/>
  <c r="K101" i="14" s="1"/>
  <c r="L101" i="14" s="1"/>
  <c r="M101" i="14" s="1"/>
  <c r="N101" i="14" s="1"/>
  <c r="O101" i="14" s="1"/>
  <c r="P101" i="14" s="1"/>
  <c r="Q101" i="14" s="1"/>
  <c r="R101" i="14" s="1"/>
  <c r="H197" i="8"/>
  <c r="F121" i="14"/>
  <c r="G18" i="19"/>
  <c r="G14" i="19"/>
  <c r="I84" i="14"/>
  <c r="J84" i="14" s="1"/>
  <c r="K84" i="14" s="1"/>
  <c r="L84" i="14" s="1"/>
  <c r="M84" i="14" s="1"/>
  <c r="N84" i="14" s="1"/>
  <c r="O84" i="14" s="1"/>
  <c r="P84" i="14" s="1"/>
  <c r="Q84" i="14" s="1"/>
  <c r="R84" i="14" s="1"/>
  <c r="C43" i="19"/>
  <c r="H234" i="8"/>
  <c r="I93" i="14"/>
  <c r="J93" i="14" s="1"/>
  <c r="K93" i="14" s="1"/>
  <c r="L93" i="14" s="1"/>
  <c r="M93" i="14" s="1"/>
  <c r="N93" i="14" s="1"/>
  <c r="O93" i="14" s="1"/>
  <c r="P93" i="14" s="1"/>
  <c r="Q93" i="14" s="1"/>
  <c r="R93" i="14" s="1"/>
  <c r="E180" i="8"/>
  <c r="E237" i="8" s="1"/>
  <c r="I180" i="8"/>
  <c r="I237" i="8" s="1"/>
  <c r="H185" i="8"/>
  <c r="G189" i="8"/>
  <c r="F197" i="8"/>
  <c r="I103" i="14"/>
  <c r="J103" i="14" s="1"/>
  <c r="K103" i="14" s="1"/>
  <c r="L103" i="14" s="1"/>
  <c r="M103" i="14" s="1"/>
  <c r="N103" i="14" s="1"/>
  <c r="O103" i="14" s="1"/>
  <c r="P103" i="14" s="1"/>
  <c r="Q103" i="14" s="1"/>
  <c r="R103" i="14" s="1"/>
  <c r="I129" i="14"/>
  <c r="I189" i="8"/>
  <c r="I197" i="8"/>
  <c r="I201" i="8"/>
  <c r="I193" i="8"/>
  <c r="F201" i="8"/>
  <c r="F193" i="8"/>
  <c r="F235" i="8"/>
  <c r="G201" i="8"/>
  <c r="G193" i="8"/>
  <c r="E201" i="8"/>
  <c r="E193" i="8"/>
  <c r="H201" i="8"/>
  <c r="H193" i="8"/>
  <c r="F105" i="14"/>
  <c r="F83" i="14"/>
  <c r="F14" i="16" s="1"/>
  <c r="G105" i="14"/>
  <c r="H105" i="14"/>
  <c r="F95" i="14"/>
  <c r="D105" i="14"/>
  <c r="E105" i="14"/>
  <c r="G95" i="14"/>
  <c r="E95" i="14"/>
  <c r="D95" i="14"/>
  <c r="H95" i="14"/>
  <c r="D83" i="14"/>
  <c r="H83" i="14"/>
  <c r="H14" i="16" s="1"/>
  <c r="F85" i="14"/>
  <c r="F31" i="16" s="1"/>
  <c r="E83" i="14"/>
  <c r="E14" i="16" s="1"/>
  <c r="G83" i="14"/>
  <c r="G14" i="16" s="1"/>
  <c r="I366" i="7"/>
  <c r="H366" i="7"/>
  <c r="G366" i="7"/>
  <c r="F366" i="7"/>
  <c r="E366" i="7"/>
  <c r="D366" i="7"/>
  <c r="C366" i="7"/>
  <c r="I363" i="7"/>
  <c r="H363" i="7"/>
  <c r="G363" i="7"/>
  <c r="F363" i="7"/>
  <c r="E363" i="7"/>
  <c r="D363" i="7"/>
  <c r="C363" i="7"/>
  <c r="I360" i="7"/>
  <c r="H360" i="7"/>
  <c r="G360" i="7"/>
  <c r="F360" i="7"/>
  <c r="E360" i="7"/>
  <c r="D360" i="7"/>
  <c r="C360" i="7"/>
  <c r="I357" i="7"/>
  <c r="H357" i="7"/>
  <c r="G357" i="7"/>
  <c r="F357" i="7"/>
  <c r="E357" i="7"/>
  <c r="D357" i="7"/>
  <c r="C357" i="7"/>
  <c r="I354" i="7"/>
  <c r="H354" i="7"/>
  <c r="G354" i="7"/>
  <c r="F354" i="7"/>
  <c r="E354" i="7"/>
  <c r="D354" i="7"/>
  <c r="C354" i="7"/>
  <c r="I81" i="8"/>
  <c r="J81" i="8" s="1"/>
  <c r="K81" i="8" s="1"/>
  <c r="I68" i="8"/>
  <c r="F65" i="16" l="1"/>
  <c r="F38" i="16"/>
  <c r="C62" i="19"/>
  <c r="D30" i="32"/>
  <c r="G84" i="16"/>
  <c r="G34" i="16"/>
  <c r="F32" i="16"/>
  <c r="F34" i="16"/>
  <c r="F84" i="16"/>
  <c r="E84" i="16"/>
  <c r="E34" i="16"/>
  <c r="H238" i="8"/>
  <c r="H240" i="8" s="1"/>
  <c r="F238" i="8"/>
  <c r="F240" i="8" s="1"/>
  <c r="H235" i="8"/>
  <c r="G235" i="8"/>
  <c r="O100" i="14"/>
  <c r="P100" i="14" s="1"/>
  <c r="Q100" i="14" s="1"/>
  <c r="R100" i="14" s="1"/>
  <c r="N105" i="14"/>
  <c r="R81" i="14"/>
  <c r="S176" i="8"/>
  <c r="R114" i="14"/>
  <c r="I238" i="8"/>
  <c r="I239" i="8" s="1"/>
  <c r="E238" i="8"/>
  <c r="E240" i="8" s="1"/>
  <c r="G238" i="8"/>
  <c r="G240" i="8" s="1"/>
  <c r="I235" i="8"/>
  <c r="E85" i="14"/>
  <c r="H85" i="14"/>
  <c r="G85" i="14"/>
  <c r="D85" i="14"/>
  <c r="F107" i="14"/>
  <c r="F95" i="26" s="1"/>
  <c r="I61" i="8"/>
  <c r="J59" i="8"/>
  <c r="F686" i="7"/>
  <c r="G686" i="7" s="1"/>
  <c r="J687" i="7"/>
  <c r="E107" i="14" l="1"/>
  <c r="E83" i="26" s="1"/>
  <c r="E31" i="16"/>
  <c r="H90" i="16"/>
  <c r="D107" i="14"/>
  <c r="D31" i="16"/>
  <c r="G107" i="14"/>
  <c r="G95" i="26" s="1"/>
  <c r="G31" i="16"/>
  <c r="G90" i="16"/>
  <c r="H107" i="14"/>
  <c r="H31" i="16"/>
  <c r="F90" i="16"/>
  <c r="F239" i="8"/>
  <c r="H239" i="8"/>
  <c r="E239" i="8"/>
  <c r="Q105" i="14"/>
  <c r="R98" i="14"/>
  <c r="R105" i="14" s="1"/>
  <c r="S220" i="8"/>
  <c r="G239" i="8"/>
  <c r="F83" i="26"/>
  <c r="I240" i="8"/>
  <c r="D107" i="26"/>
  <c r="D104" i="26"/>
  <c r="D99" i="26"/>
  <c r="D93" i="26"/>
  <c r="D102" i="26"/>
  <c r="D92" i="26"/>
  <c r="D90" i="26"/>
  <c r="D81" i="26"/>
  <c r="D103" i="26"/>
  <c r="D100" i="26"/>
  <c r="D91" i="26"/>
  <c r="D82" i="26"/>
  <c r="D98" i="26"/>
  <c r="D101" i="26"/>
  <c r="D84" i="26"/>
  <c r="D94" i="26"/>
  <c r="D83" i="26"/>
  <c r="D95" i="26"/>
  <c r="D105" i="26"/>
  <c r="H107" i="26"/>
  <c r="H104" i="26"/>
  <c r="H100" i="26"/>
  <c r="H81" i="26"/>
  <c r="H82" i="26"/>
  <c r="H102" i="26"/>
  <c r="H93" i="26"/>
  <c r="H92" i="26"/>
  <c r="H90" i="26"/>
  <c r="H94" i="26"/>
  <c r="H91" i="26"/>
  <c r="H84" i="26"/>
  <c r="H99" i="26"/>
  <c r="H103" i="26"/>
  <c r="H101" i="26"/>
  <c r="H98" i="26"/>
  <c r="H95" i="26"/>
  <c r="E95" i="26"/>
  <c r="H83" i="26"/>
  <c r="F107" i="26"/>
  <c r="F98" i="26"/>
  <c r="F104" i="26"/>
  <c r="F99" i="26"/>
  <c r="F81" i="26"/>
  <c r="F91" i="26"/>
  <c r="F101" i="26"/>
  <c r="F102" i="26"/>
  <c r="F84" i="26"/>
  <c r="F103" i="26"/>
  <c r="F94" i="26"/>
  <c r="F90" i="26"/>
  <c r="F100" i="26"/>
  <c r="F82" i="26"/>
  <c r="F92" i="26"/>
  <c r="F93" i="26"/>
  <c r="G83" i="26"/>
  <c r="H85" i="26"/>
  <c r="E107" i="26"/>
  <c r="E100" i="26"/>
  <c r="E91" i="26"/>
  <c r="E104" i="26"/>
  <c r="E102" i="26"/>
  <c r="E93" i="26"/>
  <c r="E94" i="26"/>
  <c r="E81" i="26"/>
  <c r="E101" i="26"/>
  <c r="E82" i="26"/>
  <c r="E92" i="26"/>
  <c r="E84" i="26"/>
  <c r="E99" i="26"/>
  <c r="E103" i="26"/>
  <c r="E98" i="26"/>
  <c r="E90" i="26"/>
  <c r="E105" i="26"/>
  <c r="H105" i="26"/>
  <c r="D85" i="26"/>
  <c r="G107" i="26"/>
  <c r="G92" i="26"/>
  <c r="G93" i="26"/>
  <c r="G100" i="26"/>
  <c r="G104" i="26"/>
  <c r="G81" i="26"/>
  <c r="G84" i="26"/>
  <c r="G99" i="26"/>
  <c r="G101" i="26"/>
  <c r="G94" i="26"/>
  <c r="G90" i="26"/>
  <c r="G98" i="26"/>
  <c r="G103" i="26"/>
  <c r="G91" i="26"/>
  <c r="G82" i="26"/>
  <c r="G102" i="26"/>
  <c r="F85" i="26"/>
  <c r="G85" i="26"/>
  <c r="G105" i="26"/>
  <c r="E85" i="26"/>
  <c r="F105" i="26"/>
  <c r="I125" i="8"/>
  <c r="J125" i="8" s="1"/>
  <c r="K125" i="8" s="1"/>
  <c r="L125" i="8" s="1"/>
  <c r="M125" i="8" s="1"/>
  <c r="N125" i="8" s="1"/>
  <c r="O125" i="8" s="1"/>
  <c r="P125" i="8" s="1"/>
  <c r="Q125" i="8" s="1"/>
  <c r="R125" i="8" s="1"/>
  <c r="S125" i="8" s="1"/>
  <c r="K684" i="7"/>
  <c r="K685" i="7" s="1"/>
  <c r="D685" i="7" s="1"/>
  <c r="J684" i="7"/>
  <c r="J685" i="7" s="1"/>
  <c r="C685" i="7" s="1"/>
  <c r="J60" i="8" s="1"/>
  <c r="J61" i="8" s="1"/>
  <c r="D684" i="7"/>
  <c r="E684" i="7" s="1"/>
  <c r="F684" i="7" s="1"/>
  <c r="G684" i="7" s="1"/>
  <c r="H65" i="16" l="1"/>
  <c r="H38" i="16"/>
  <c r="H32" i="16"/>
  <c r="G65" i="16"/>
  <c r="G38" i="16"/>
  <c r="G32" i="16"/>
  <c r="E65" i="16"/>
  <c r="E38" i="16"/>
  <c r="E32" i="16"/>
  <c r="J62" i="8"/>
  <c r="K59" i="8" s="1"/>
  <c r="I128" i="14"/>
  <c r="J22" i="19" s="1"/>
  <c r="J688" i="7"/>
  <c r="J690" i="7" s="1"/>
  <c r="K60" i="8"/>
  <c r="J128" i="14" s="1"/>
  <c r="K22" i="19" s="1"/>
  <c r="M741" i="7"/>
  <c r="L741" i="7"/>
  <c r="K741" i="7"/>
  <c r="J741" i="7"/>
  <c r="I741" i="7"/>
  <c r="H741" i="7"/>
  <c r="G741" i="7"/>
  <c r="F741" i="7"/>
  <c r="E741" i="7"/>
  <c r="D741" i="7"/>
  <c r="C741" i="7"/>
  <c r="F732" i="7"/>
  <c r="E732" i="7"/>
  <c r="D732" i="7"/>
  <c r="C732" i="7"/>
  <c r="I54" i="14" l="1"/>
  <c r="J63" i="8"/>
  <c r="K61" i="8"/>
  <c r="K62" i="8" s="1"/>
  <c r="P741" i="7"/>
  <c r="O741" i="7"/>
  <c r="L59" i="8" l="1"/>
  <c r="J54" i="14"/>
  <c r="K63" i="8"/>
  <c r="L731" i="7"/>
  <c r="L733" i="7" s="1"/>
  <c r="K731" i="7"/>
  <c r="K733" i="7" s="1"/>
  <c r="J731" i="7"/>
  <c r="J733" i="7" s="1"/>
  <c r="I731" i="7"/>
  <c r="I733" i="7" s="1"/>
  <c r="H731" i="7"/>
  <c r="H733" i="7" s="1"/>
  <c r="G731" i="7"/>
  <c r="G733" i="7" s="1"/>
  <c r="F731" i="7"/>
  <c r="F733" i="7" s="1"/>
  <c r="E731" i="7"/>
  <c r="E733" i="7" s="1"/>
  <c r="D731" i="7"/>
  <c r="D733" i="7" s="1"/>
  <c r="C731" i="7"/>
  <c r="C733" i="7" s="1"/>
  <c r="M731" i="7"/>
  <c r="M733" i="7" s="1"/>
  <c r="K742" i="7" l="1"/>
  <c r="K740" i="7"/>
  <c r="K746" i="7" s="1"/>
  <c r="K735" i="7"/>
  <c r="K744" i="7" s="1"/>
  <c r="M740" i="7"/>
  <c r="M746" i="7" s="1"/>
  <c r="M742" i="7"/>
  <c r="M735" i="7"/>
  <c r="M744" i="7" s="1"/>
  <c r="J742" i="7"/>
  <c r="J735" i="7"/>
  <c r="J744" i="7" s="1"/>
  <c r="J740" i="7"/>
  <c r="J746" i="7" s="1"/>
  <c r="D735" i="7"/>
  <c r="D744" i="7" s="1"/>
  <c r="D740" i="7"/>
  <c r="D746" i="7" s="1"/>
  <c r="D742" i="7"/>
  <c r="H735" i="7"/>
  <c r="H744" i="7" s="1"/>
  <c r="H740" i="7"/>
  <c r="H746" i="7" s="1"/>
  <c r="H742" i="7"/>
  <c r="L735" i="7"/>
  <c r="L744" i="7" s="1"/>
  <c r="L740" i="7"/>
  <c r="L746" i="7" s="1"/>
  <c r="L742" i="7"/>
  <c r="F742" i="7"/>
  <c r="F735" i="7"/>
  <c r="F744" i="7" s="1"/>
  <c r="F740" i="7"/>
  <c r="F746" i="7" s="1"/>
  <c r="C742" i="7"/>
  <c r="C740" i="7"/>
  <c r="C735" i="7"/>
  <c r="C744" i="7" s="1"/>
  <c r="G742" i="7"/>
  <c r="G735" i="7"/>
  <c r="G744" i="7" s="1"/>
  <c r="G740" i="7"/>
  <c r="G746" i="7" s="1"/>
  <c r="E740" i="7"/>
  <c r="E746" i="7" s="1"/>
  <c r="E742" i="7"/>
  <c r="E735" i="7"/>
  <c r="E744" i="7" s="1"/>
  <c r="I740" i="7"/>
  <c r="I746" i="7" s="1"/>
  <c r="I742" i="7"/>
  <c r="I735" i="7"/>
  <c r="I744" i="7" s="1"/>
  <c r="D729" i="7"/>
  <c r="E729" i="7" s="1"/>
  <c r="F729" i="7" s="1"/>
  <c r="G729" i="7" s="1"/>
  <c r="H729" i="7" s="1"/>
  <c r="I729" i="7" s="1"/>
  <c r="J729" i="7" s="1"/>
  <c r="K729" i="7" s="1"/>
  <c r="L729" i="7" s="1"/>
  <c r="M729" i="7" s="1"/>
  <c r="F717" i="7"/>
  <c r="F716" i="7"/>
  <c r="D715" i="7"/>
  <c r="M705" i="7"/>
  <c r="L705" i="7"/>
  <c r="K705" i="7"/>
  <c r="J705" i="7"/>
  <c r="I705" i="7"/>
  <c r="H705" i="7"/>
  <c r="G705" i="7"/>
  <c r="F705" i="7"/>
  <c r="E705" i="7"/>
  <c r="D705" i="7"/>
  <c r="C705" i="7"/>
  <c r="P740" i="7" l="1"/>
  <c r="C746" i="7"/>
  <c r="O746" i="7" s="1"/>
  <c r="O740" i="7"/>
  <c r="O744" i="7"/>
  <c r="P744" i="7"/>
  <c r="P742" i="7"/>
  <c r="O742" i="7"/>
  <c r="C707" i="7"/>
  <c r="C708" i="7"/>
  <c r="I698" i="7"/>
  <c r="I108" i="8"/>
  <c r="H108" i="8"/>
  <c r="G108" i="8"/>
  <c r="F108" i="8"/>
  <c r="I112" i="8"/>
  <c r="H112" i="8"/>
  <c r="G112" i="8"/>
  <c r="F112" i="8"/>
  <c r="E112" i="8"/>
  <c r="E108" i="8"/>
  <c r="B112" i="8"/>
  <c r="B108" i="8"/>
  <c r="N130" i="13"/>
  <c r="N113" i="8" s="1"/>
  <c r="M130" i="13"/>
  <c r="M113" i="8" s="1"/>
  <c r="L130" i="13"/>
  <c r="L113" i="8" s="1"/>
  <c r="K130" i="13"/>
  <c r="K113" i="8" s="1"/>
  <c r="J130" i="13"/>
  <c r="J113" i="8" s="1"/>
  <c r="B130" i="13"/>
  <c r="N124" i="13"/>
  <c r="N109" i="8" s="1"/>
  <c r="M124" i="13"/>
  <c r="M109" i="8" s="1"/>
  <c r="L124" i="13"/>
  <c r="L109" i="8" s="1"/>
  <c r="K124" i="13"/>
  <c r="K109" i="8" s="1"/>
  <c r="J124" i="13"/>
  <c r="J109" i="8" s="1"/>
  <c r="B124" i="13"/>
  <c r="P746" i="7" l="1"/>
  <c r="H113" i="8"/>
  <c r="G113" i="8"/>
  <c r="F109" i="8"/>
  <c r="I113" i="8"/>
  <c r="G109" i="8"/>
  <c r="F113" i="8"/>
  <c r="J112" i="8"/>
  <c r="H109" i="8"/>
  <c r="I109" i="8"/>
  <c r="J108" i="8"/>
  <c r="N112" i="13"/>
  <c r="N101" i="8" s="1"/>
  <c r="M112" i="13"/>
  <c r="M101" i="8" s="1"/>
  <c r="L112" i="13"/>
  <c r="L101" i="8" s="1"/>
  <c r="K112" i="13"/>
  <c r="K101" i="8" s="1"/>
  <c r="J112" i="13"/>
  <c r="J101" i="8" s="1"/>
  <c r="B112" i="13"/>
  <c r="I104" i="8"/>
  <c r="H104" i="8"/>
  <c r="G104" i="8"/>
  <c r="F104" i="8"/>
  <c r="E104" i="8"/>
  <c r="I100" i="8"/>
  <c r="H100" i="8"/>
  <c r="G100" i="8"/>
  <c r="F100" i="8"/>
  <c r="E100" i="8"/>
  <c r="B100" i="8"/>
  <c r="I96" i="8"/>
  <c r="H96" i="8"/>
  <c r="G96" i="8"/>
  <c r="F96" i="8"/>
  <c r="E96" i="8"/>
  <c r="B92" i="8"/>
  <c r="B104" i="8"/>
  <c r="B96" i="8"/>
  <c r="H698" i="7"/>
  <c r="G698" i="7"/>
  <c r="F698" i="7"/>
  <c r="E698" i="7"/>
  <c r="D698" i="7"/>
  <c r="C698" i="7"/>
  <c r="B698" i="7"/>
  <c r="D694" i="7"/>
  <c r="E694" i="7" s="1"/>
  <c r="F694" i="7" s="1"/>
  <c r="G694" i="7" s="1"/>
  <c r="H694" i="7" s="1"/>
  <c r="I694" i="7" s="1"/>
  <c r="N118" i="13"/>
  <c r="N105" i="8" s="1"/>
  <c r="M118" i="13"/>
  <c r="M105" i="8" s="1"/>
  <c r="L118" i="13"/>
  <c r="L105" i="8" s="1"/>
  <c r="K118" i="13"/>
  <c r="K105" i="8" s="1"/>
  <c r="J118" i="13"/>
  <c r="J105" i="8" s="1"/>
  <c r="B118" i="13"/>
  <c r="N106" i="13"/>
  <c r="N97" i="8" s="1"/>
  <c r="M106" i="13"/>
  <c r="M97" i="8" s="1"/>
  <c r="L106" i="13"/>
  <c r="L97" i="8" s="1"/>
  <c r="K106" i="13"/>
  <c r="K97" i="8" s="1"/>
  <c r="J106" i="13"/>
  <c r="J97" i="8" s="1"/>
  <c r="B106" i="13"/>
  <c r="E88" i="8"/>
  <c r="I88" i="8"/>
  <c r="H88" i="8"/>
  <c r="G88" i="8"/>
  <c r="F88" i="8"/>
  <c r="I79" i="8"/>
  <c r="J79" i="8" s="1"/>
  <c r="H79" i="8"/>
  <c r="G79" i="8"/>
  <c r="F79" i="8"/>
  <c r="E79" i="8"/>
  <c r="I75" i="8"/>
  <c r="H75" i="8"/>
  <c r="G75" i="8"/>
  <c r="F75" i="8"/>
  <c r="E75" i="8"/>
  <c r="I66" i="8"/>
  <c r="H66" i="8"/>
  <c r="G66" i="8"/>
  <c r="F66" i="8"/>
  <c r="E66" i="8"/>
  <c r="B88" i="8"/>
  <c r="B79" i="8"/>
  <c r="B75" i="8"/>
  <c r="B66" i="8"/>
  <c r="N80" i="13"/>
  <c r="N76" i="8" s="1"/>
  <c r="M80" i="13"/>
  <c r="M76" i="8" s="1"/>
  <c r="L80" i="13"/>
  <c r="L76" i="8" s="1"/>
  <c r="K80" i="13"/>
  <c r="K76" i="8" s="1"/>
  <c r="J80" i="13"/>
  <c r="J76" i="8" s="1"/>
  <c r="B80" i="13"/>
  <c r="N94" i="13"/>
  <c r="N89" i="8" s="1"/>
  <c r="M94" i="13"/>
  <c r="M89" i="8" s="1"/>
  <c r="L94" i="13"/>
  <c r="L89" i="8" s="1"/>
  <c r="K94" i="13"/>
  <c r="K89" i="8" s="1"/>
  <c r="J94" i="13"/>
  <c r="J89" i="8" s="1"/>
  <c r="B94" i="13"/>
  <c r="B88" i="13"/>
  <c r="B74" i="13"/>
  <c r="N74" i="13"/>
  <c r="N72" i="8" s="1"/>
  <c r="M74" i="13"/>
  <c r="M72" i="8" s="1"/>
  <c r="L74" i="13"/>
  <c r="L72" i="8" s="1"/>
  <c r="K74" i="13"/>
  <c r="K72" i="8" s="1"/>
  <c r="J74" i="13"/>
  <c r="J72" i="8" l="1"/>
  <c r="J66" i="8" s="1"/>
  <c r="K67" i="8" s="1"/>
  <c r="J70" i="8"/>
  <c r="J96" i="8"/>
  <c r="K96" i="8" s="1"/>
  <c r="L96" i="8" s="1"/>
  <c r="M96" i="8" s="1"/>
  <c r="N96" i="8" s="1"/>
  <c r="O96" i="8" s="1"/>
  <c r="F89" i="8"/>
  <c r="K108" i="8"/>
  <c r="I63" i="14"/>
  <c r="K112" i="8"/>
  <c r="I64" i="14"/>
  <c r="I101" i="8"/>
  <c r="G101" i="8"/>
  <c r="H101" i="8"/>
  <c r="F101" i="8"/>
  <c r="J100" i="8"/>
  <c r="F105" i="8"/>
  <c r="H105" i="8"/>
  <c r="I105" i="8"/>
  <c r="G105" i="8"/>
  <c r="J104" i="8"/>
  <c r="H89" i="8"/>
  <c r="I89" i="8"/>
  <c r="H72" i="8"/>
  <c r="J88" i="8"/>
  <c r="I57" i="14" s="1"/>
  <c r="G72" i="8"/>
  <c r="I85" i="8"/>
  <c r="F85" i="8"/>
  <c r="G85" i="8"/>
  <c r="G89" i="8"/>
  <c r="I72" i="8"/>
  <c r="H85" i="8"/>
  <c r="I681" i="7"/>
  <c r="J681" i="7" s="1"/>
  <c r="H681" i="7"/>
  <c r="G681" i="7"/>
  <c r="F681" i="7"/>
  <c r="E681" i="7"/>
  <c r="D681" i="7"/>
  <c r="C681" i="7"/>
  <c r="P96" i="8" l="1"/>
  <c r="N60" i="14"/>
  <c r="J67" i="8"/>
  <c r="J68" i="8" s="1"/>
  <c r="J119" i="8" s="1"/>
  <c r="I29" i="14" s="1"/>
  <c r="J18" i="19" s="1"/>
  <c r="L108" i="8"/>
  <c r="J63" i="14"/>
  <c r="L112" i="8"/>
  <c r="J64" i="14"/>
  <c r="I62" i="14"/>
  <c r="K100" i="8"/>
  <c r="K104" i="8"/>
  <c r="I61" i="14"/>
  <c r="K681" i="7"/>
  <c r="K88" i="8"/>
  <c r="Q96" i="8" l="1"/>
  <c r="O60" i="14"/>
  <c r="I121" i="14"/>
  <c r="J69" i="8"/>
  <c r="I55" i="14" s="1"/>
  <c r="K68" i="8"/>
  <c r="J138" i="8"/>
  <c r="J14" i="19"/>
  <c r="J126" i="8"/>
  <c r="K126" i="8" s="1"/>
  <c r="L126" i="8" s="1"/>
  <c r="M126" i="8" s="1"/>
  <c r="N126" i="8" s="1"/>
  <c r="O126" i="8" s="1"/>
  <c r="P126" i="8" s="1"/>
  <c r="Q126" i="8" s="1"/>
  <c r="R126" i="8" s="1"/>
  <c r="S126" i="8" s="1"/>
  <c r="M112" i="8"/>
  <c r="K64" i="14"/>
  <c r="M108" i="8"/>
  <c r="K63" i="14"/>
  <c r="L100" i="8"/>
  <c r="J62" i="14"/>
  <c r="L104" i="8"/>
  <c r="J61" i="14"/>
  <c r="L88" i="8"/>
  <c r="J57" i="14"/>
  <c r="D585" i="7"/>
  <c r="E585" i="7" s="1"/>
  <c r="F585" i="7" s="1"/>
  <c r="G585" i="7" s="1"/>
  <c r="H585" i="7" s="1"/>
  <c r="I585" i="7" s="1"/>
  <c r="J585" i="7" s="1"/>
  <c r="K585" i="7" s="1"/>
  <c r="L585" i="7" s="1"/>
  <c r="M585" i="7" s="1"/>
  <c r="M551" i="7"/>
  <c r="L551" i="7"/>
  <c r="K551" i="7"/>
  <c r="J551" i="7"/>
  <c r="I551" i="7"/>
  <c r="H551" i="7"/>
  <c r="G551" i="7"/>
  <c r="F551" i="7"/>
  <c r="E551" i="7"/>
  <c r="D551" i="7"/>
  <c r="C551" i="7"/>
  <c r="M545" i="7"/>
  <c r="L545" i="7"/>
  <c r="K545" i="7"/>
  <c r="J545" i="7"/>
  <c r="I545" i="7"/>
  <c r="H545" i="7"/>
  <c r="G545" i="7"/>
  <c r="F545" i="7"/>
  <c r="E545" i="7"/>
  <c r="D545" i="7"/>
  <c r="M582" i="7"/>
  <c r="L582" i="7"/>
  <c r="K582" i="7"/>
  <c r="J582" i="7"/>
  <c r="I582" i="7"/>
  <c r="H582" i="7"/>
  <c r="G582" i="7"/>
  <c r="F582" i="7"/>
  <c r="E582" i="7"/>
  <c r="D582" i="7"/>
  <c r="C582" i="7"/>
  <c r="K66" i="8" l="1"/>
  <c r="L67" i="8" s="1"/>
  <c r="R96" i="8"/>
  <c r="P60" i="14"/>
  <c r="N108" i="8"/>
  <c r="L63" i="14"/>
  <c r="N112" i="8"/>
  <c r="L64" i="14"/>
  <c r="M104" i="8"/>
  <c r="K61" i="14"/>
  <c r="M100" i="8"/>
  <c r="K62" i="14"/>
  <c r="O551" i="7"/>
  <c r="M88" i="8"/>
  <c r="K57" i="14"/>
  <c r="P551" i="7"/>
  <c r="P545" i="7"/>
  <c r="O545" i="7"/>
  <c r="M579" i="7"/>
  <c r="M583" i="7" s="1"/>
  <c r="L579" i="7"/>
  <c r="L583" i="7" s="1"/>
  <c r="K579" i="7"/>
  <c r="K583" i="7" s="1"/>
  <c r="J579" i="7"/>
  <c r="J583" i="7" s="1"/>
  <c r="I579" i="7"/>
  <c r="I583" i="7" s="1"/>
  <c r="H579" i="7"/>
  <c r="H583" i="7" s="1"/>
  <c r="G579" i="7"/>
  <c r="G583" i="7" s="1"/>
  <c r="F579" i="7"/>
  <c r="F583" i="7" s="1"/>
  <c r="E579" i="7"/>
  <c r="E583" i="7" s="1"/>
  <c r="D579" i="7"/>
  <c r="D583" i="7" s="1"/>
  <c r="C579" i="7"/>
  <c r="C583" i="7" s="1"/>
  <c r="B579" i="7"/>
  <c r="D577" i="7"/>
  <c r="E577" i="7" s="1"/>
  <c r="F577" i="7" s="1"/>
  <c r="G577" i="7" s="1"/>
  <c r="H577" i="7" s="1"/>
  <c r="I577" i="7" s="1"/>
  <c r="J577" i="7" s="1"/>
  <c r="K577" i="7" s="1"/>
  <c r="L577" i="7" s="1"/>
  <c r="M577" i="7" s="1"/>
  <c r="M550" i="7"/>
  <c r="L550" i="7"/>
  <c r="K550" i="7"/>
  <c r="J550" i="7"/>
  <c r="I550" i="7"/>
  <c r="H550" i="7"/>
  <c r="G550" i="7"/>
  <c r="F550" i="7"/>
  <c r="E550" i="7"/>
  <c r="D550" i="7"/>
  <c r="M541" i="7"/>
  <c r="L541" i="7"/>
  <c r="K541" i="7"/>
  <c r="J541" i="7"/>
  <c r="I541" i="7"/>
  <c r="H541" i="7"/>
  <c r="G541" i="7"/>
  <c r="F541" i="7"/>
  <c r="E541" i="7"/>
  <c r="D541" i="7"/>
  <c r="M534" i="7"/>
  <c r="L534" i="7"/>
  <c r="K534" i="7"/>
  <c r="J534" i="7"/>
  <c r="I534" i="7"/>
  <c r="H534" i="7"/>
  <c r="G534" i="7"/>
  <c r="F534" i="7"/>
  <c r="E534" i="7"/>
  <c r="D534" i="7"/>
  <c r="C532" i="7"/>
  <c r="K69" i="8" l="1"/>
  <c r="K70" i="8" s="1"/>
  <c r="S96" i="8"/>
  <c r="R60" i="14" s="1"/>
  <c r="Q60" i="14"/>
  <c r="M63" i="14"/>
  <c r="O108" i="8"/>
  <c r="M64" i="14"/>
  <c r="O112" i="8"/>
  <c r="N100" i="8"/>
  <c r="L62" i="14"/>
  <c r="N104" i="8"/>
  <c r="L61" i="14"/>
  <c r="N88" i="8"/>
  <c r="L57" i="14"/>
  <c r="P550" i="7"/>
  <c r="O550" i="7"/>
  <c r="D565" i="7"/>
  <c r="E565" i="7" s="1"/>
  <c r="F565" i="7" s="1"/>
  <c r="G565" i="7" s="1"/>
  <c r="H565" i="7" s="1"/>
  <c r="I565" i="7" s="1"/>
  <c r="J565" i="7" s="1"/>
  <c r="K565" i="7" s="1"/>
  <c r="L565" i="7" s="1"/>
  <c r="M565" i="7" s="1"/>
  <c r="M563" i="7"/>
  <c r="M575" i="7" s="1"/>
  <c r="L563" i="7"/>
  <c r="L573" i="7" s="1"/>
  <c r="K563" i="7"/>
  <c r="K574" i="7" s="1"/>
  <c r="J563" i="7"/>
  <c r="J574" i="7" s="1"/>
  <c r="I563" i="7"/>
  <c r="I575" i="7" s="1"/>
  <c r="H563" i="7"/>
  <c r="H575" i="7" s="1"/>
  <c r="D553" i="7"/>
  <c r="E553" i="7" s="1"/>
  <c r="F553" i="7" s="1"/>
  <c r="G553" i="7" s="1"/>
  <c r="H553" i="7" s="1"/>
  <c r="I553" i="7" s="1"/>
  <c r="J553" i="7" s="1"/>
  <c r="K553" i="7" s="1"/>
  <c r="L553" i="7" s="1"/>
  <c r="M553" i="7" s="1"/>
  <c r="L66" i="8" l="1"/>
  <c r="J55" i="14"/>
  <c r="P108" i="8"/>
  <c r="N63" i="14"/>
  <c r="P112" i="8"/>
  <c r="N64" i="14"/>
  <c r="M57" i="14"/>
  <c r="O88" i="8"/>
  <c r="M62" i="14"/>
  <c r="O100" i="8"/>
  <c r="M61" i="14"/>
  <c r="O104" i="8"/>
  <c r="M67" i="8"/>
  <c r="K567" i="7"/>
  <c r="K571" i="7"/>
  <c r="J573" i="7"/>
  <c r="K569" i="7"/>
  <c r="K573" i="7"/>
  <c r="J569" i="7"/>
  <c r="J567" i="7"/>
  <c r="J571" i="7"/>
  <c r="J575" i="7"/>
  <c r="K575" i="7"/>
  <c r="L575" i="7"/>
  <c r="H566" i="7"/>
  <c r="L566" i="7"/>
  <c r="H568" i="7"/>
  <c r="L568" i="7"/>
  <c r="H570" i="7"/>
  <c r="L570" i="7"/>
  <c r="H572" i="7"/>
  <c r="L572" i="7"/>
  <c r="H574" i="7"/>
  <c r="L574" i="7"/>
  <c r="I566" i="7"/>
  <c r="M566" i="7"/>
  <c r="I568" i="7"/>
  <c r="M568" i="7"/>
  <c r="I570" i="7"/>
  <c r="M570" i="7"/>
  <c r="I572" i="7"/>
  <c r="M572" i="7"/>
  <c r="I574" i="7"/>
  <c r="M574" i="7"/>
  <c r="J566" i="7"/>
  <c r="H567" i="7"/>
  <c r="L567" i="7"/>
  <c r="J568" i="7"/>
  <c r="H569" i="7"/>
  <c r="L569" i="7"/>
  <c r="J570" i="7"/>
  <c r="H571" i="7"/>
  <c r="L571" i="7"/>
  <c r="J572" i="7"/>
  <c r="H573" i="7"/>
  <c r="K566" i="7"/>
  <c r="I567" i="7"/>
  <c r="M567" i="7"/>
  <c r="K568" i="7"/>
  <c r="I569" i="7"/>
  <c r="M569" i="7"/>
  <c r="K570" i="7"/>
  <c r="I571" i="7"/>
  <c r="M571" i="7"/>
  <c r="K572" i="7"/>
  <c r="I573" i="7"/>
  <c r="M573" i="7"/>
  <c r="D528" i="7"/>
  <c r="E528" i="7" s="1"/>
  <c r="F528" i="7" s="1"/>
  <c r="G528" i="7" s="1"/>
  <c r="H528" i="7" s="1"/>
  <c r="I528" i="7" s="1"/>
  <c r="J528" i="7" s="1"/>
  <c r="K528" i="7" s="1"/>
  <c r="L528" i="7" s="1"/>
  <c r="M528" i="7" s="1"/>
  <c r="M532" i="7"/>
  <c r="M538" i="7" s="1"/>
  <c r="L532" i="7"/>
  <c r="L543" i="7" s="1"/>
  <c r="K532" i="7"/>
  <c r="K538" i="7" s="1"/>
  <c r="J532" i="7"/>
  <c r="J543" i="7" s="1"/>
  <c r="I532" i="7"/>
  <c r="I543" i="7" s="1"/>
  <c r="H532" i="7"/>
  <c r="H538" i="7" s="1"/>
  <c r="G532" i="7"/>
  <c r="G543" i="7" s="1"/>
  <c r="F532" i="7"/>
  <c r="F538" i="7" s="1"/>
  <c r="E532" i="7"/>
  <c r="E543" i="7" s="1"/>
  <c r="D532" i="7"/>
  <c r="D543" i="7" s="1"/>
  <c r="C538" i="7"/>
  <c r="P100" i="8" l="1"/>
  <c r="N62" i="14"/>
  <c r="Q112" i="8"/>
  <c r="O64" i="14"/>
  <c r="P104" i="8"/>
  <c r="N61" i="14"/>
  <c r="P88" i="8"/>
  <c r="N57" i="14"/>
  <c r="Q108" i="8"/>
  <c r="O63" i="14"/>
  <c r="E538" i="7"/>
  <c r="G538" i="7"/>
  <c r="D538" i="7"/>
  <c r="F543" i="7"/>
  <c r="L538" i="7"/>
  <c r="C543" i="7"/>
  <c r="H543" i="7"/>
  <c r="I538" i="7"/>
  <c r="J538" i="7"/>
  <c r="K543" i="7"/>
  <c r="M543" i="7"/>
  <c r="R112" i="8" l="1"/>
  <c r="P64" i="14"/>
  <c r="Q88" i="8"/>
  <c r="O57" i="14"/>
  <c r="R108" i="8"/>
  <c r="P63" i="14"/>
  <c r="Q104" i="8"/>
  <c r="O61" i="14"/>
  <c r="Q100" i="8"/>
  <c r="O62" i="14"/>
  <c r="O538" i="7"/>
  <c r="P538" i="7"/>
  <c r="P543" i="7"/>
  <c r="O543" i="7"/>
  <c r="M519" i="7"/>
  <c r="L519" i="7"/>
  <c r="K519" i="7"/>
  <c r="J519" i="7"/>
  <c r="I519" i="7"/>
  <c r="H519" i="7"/>
  <c r="G519" i="7"/>
  <c r="F519" i="7"/>
  <c r="E519" i="7"/>
  <c r="D519" i="7"/>
  <c r="C519" i="7"/>
  <c r="D518" i="7"/>
  <c r="E518" i="7" s="1"/>
  <c r="F518" i="7" s="1"/>
  <c r="G518" i="7" s="1"/>
  <c r="H518" i="7" s="1"/>
  <c r="I518" i="7" s="1"/>
  <c r="J518" i="7" s="1"/>
  <c r="K518" i="7" s="1"/>
  <c r="L518" i="7" s="1"/>
  <c r="M518" i="7" s="1"/>
  <c r="R104" i="8" l="1"/>
  <c r="P61" i="14"/>
  <c r="R88" i="8"/>
  <c r="P57" i="14"/>
  <c r="R100" i="8"/>
  <c r="P62" i="14"/>
  <c r="S108" i="8"/>
  <c r="R63" i="14" s="1"/>
  <c r="Q63" i="14"/>
  <c r="S112" i="8"/>
  <c r="R64" i="14" s="1"/>
  <c r="Q64" i="14"/>
  <c r="C764" i="7"/>
  <c r="C766" i="7" s="1"/>
  <c r="C748" i="7"/>
  <c r="G764" i="7"/>
  <c r="G748" i="7"/>
  <c r="K764" i="7"/>
  <c r="K748" i="7"/>
  <c r="D764" i="7"/>
  <c r="D766" i="7" s="1"/>
  <c r="D748" i="7"/>
  <c r="H764" i="7"/>
  <c r="H748" i="7"/>
  <c r="L764" i="7"/>
  <c r="L748" i="7"/>
  <c r="F764" i="7"/>
  <c r="F766" i="7" s="1"/>
  <c r="F748" i="7"/>
  <c r="J764" i="7"/>
  <c r="J748" i="7"/>
  <c r="E764" i="7"/>
  <c r="E766" i="7" s="1"/>
  <c r="E748" i="7"/>
  <c r="I764" i="7"/>
  <c r="I748" i="7"/>
  <c r="M764" i="7"/>
  <c r="M748" i="7"/>
  <c r="S88" i="8" l="1"/>
  <c r="R57" i="14" s="1"/>
  <c r="Q57" i="14"/>
  <c r="S100" i="8"/>
  <c r="R62" i="14" s="1"/>
  <c r="Q62" i="14"/>
  <c r="S104" i="8"/>
  <c r="R61" i="14" s="1"/>
  <c r="Q61" i="14"/>
  <c r="I766" i="7"/>
  <c r="E813" i="7"/>
  <c r="J766" i="7"/>
  <c r="F813" i="7"/>
  <c r="L766" i="7"/>
  <c r="H813" i="7"/>
  <c r="G766" i="7"/>
  <c r="C813" i="7"/>
  <c r="M766" i="7"/>
  <c r="I813" i="7"/>
  <c r="H766" i="7"/>
  <c r="D813" i="7"/>
  <c r="K766" i="7"/>
  <c r="G813" i="7"/>
  <c r="P748" i="7"/>
  <c r="O748" i="7"/>
  <c r="I160" i="8"/>
  <c r="H160" i="8"/>
  <c r="G160" i="8"/>
  <c r="F160" i="8"/>
  <c r="E160" i="8"/>
  <c r="I506" i="7"/>
  <c r="H507" i="7" s="1"/>
  <c r="M483" i="7"/>
  <c r="L483" i="7"/>
  <c r="K483" i="7"/>
  <c r="J483" i="7"/>
  <c r="I483" i="7"/>
  <c r="H483" i="7"/>
  <c r="G483" i="7"/>
  <c r="F483" i="7"/>
  <c r="E483" i="7"/>
  <c r="D483" i="7"/>
  <c r="M482" i="7"/>
  <c r="L482" i="7"/>
  <c r="K482" i="7"/>
  <c r="J482" i="7"/>
  <c r="I482" i="7"/>
  <c r="H482" i="7"/>
  <c r="G482" i="7"/>
  <c r="F482" i="7"/>
  <c r="E482" i="7"/>
  <c r="D482" i="7"/>
  <c r="C483" i="7"/>
  <c r="C482" i="7"/>
  <c r="D476" i="7"/>
  <c r="E476" i="7" s="1"/>
  <c r="F476" i="7" s="1"/>
  <c r="G476" i="7" s="1"/>
  <c r="H476" i="7" s="1"/>
  <c r="I476" i="7" s="1"/>
  <c r="J476" i="7" s="1"/>
  <c r="K476" i="7" s="1"/>
  <c r="L476" i="7" s="1"/>
  <c r="M476" i="7" s="1"/>
  <c r="M471" i="7"/>
  <c r="M473" i="7" s="1"/>
  <c r="M477" i="7" s="1"/>
  <c r="L471" i="7"/>
  <c r="L473" i="7" s="1"/>
  <c r="K471" i="7"/>
  <c r="K473" i="7" s="1"/>
  <c r="K477" i="7" s="1"/>
  <c r="J471" i="7"/>
  <c r="J473" i="7" s="1"/>
  <c r="J477" i="7" s="1"/>
  <c r="I471" i="7"/>
  <c r="I473" i="7" s="1"/>
  <c r="I477" i="7" s="1"/>
  <c r="H471" i="7"/>
  <c r="H473" i="7" s="1"/>
  <c r="H477" i="7" s="1"/>
  <c r="G471" i="7"/>
  <c r="G473" i="7" s="1"/>
  <c r="G477" i="7" s="1"/>
  <c r="F471" i="7"/>
  <c r="F473" i="7" s="1"/>
  <c r="F477" i="7" s="1"/>
  <c r="E471" i="7"/>
  <c r="E473" i="7" s="1"/>
  <c r="E477" i="7" s="1"/>
  <c r="D471" i="7"/>
  <c r="D473" i="7" s="1"/>
  <c r="D477" i="7" s="1"/>
  <c r="C471" i="7"/>
  <c r="C473" i="7" s="1"/>
  <c r="C477" i="7" s="1"/>
  <c r="F815" i="7" l="1"/>
  <c r="F816" i="7"/>
  <c r="D816" i="7"/>
  <c r="D815" i="7"/>
  <c r="G815" i="7"/>
  <c r="G816" i="7"/>
  <c r="I815" i="7"/>
  <c r="I816" i="7"/>
  <c r="H816" i="7"/>
  <c r="H815" i="7"/>
  <c r="E815" i="7"/>
  <c r="E816" i="7"/>
  <c r="C815" i="7"/>
  <c r="C816" i="7"/>
  <c r="E507" i="7"/>
  <c r="I507" i="7"/>
  <c r="P471" i="7"/>
  <c r="O471" i="7"/>
  <c r="F507" i="7"/>
  <c r="P473" i="7"/>
  <c r="C507" i="7"/>
  <c r="G507" i="7"/>
  <c r="L477" i="7"/>
  <c r="P477" i="7" s="1"/>
  <c r="J161" i="8" s="1"/>
  <c r="D507" i="7"/>
  <c r="O473" i="7"/>
  <c r="M467" i="7"/>
  <c r="M469" i="7" s="1"/>
  <c r="L467" i="7"/>
  <c r="L469" i="7" s="1"/>
  <c r="K467" i="7"/>
  <c r="K469" i="7" s="1"/>
  <c r="J467" i="7"/>
  <c r="J469" i="7" s="1"/>
  <c r="I467" i="7"/>
  <c r="I469" i="7" s="1"/>
  <c r="H467" i="7"/>
  <c r="H469" i="7" s="1"/>
  <c r="G467" i="7"/>
  <c r="G469" i="7" s="1"/>
  <c r="F467" i="7"/>
  <c r="F469" i="7" s="1"/>
  <c r="E467" i="7"/>
  <c r="E469" i="7" s="1"/>
  <c r="D467" i="7"/>
  <c r="D469" i="7" s="1"/>
  <c r="M465" i="7"/>
  <c r="L465" i="7"/>
  <c r="K465" i="7"/>
  <c r="J465" i="7"/>
  <c r="I465" i="7"/>
  <c r="H465" i="7"/>
  <c r="G465" i="7"/>
  <c r="F465" i="7"/>
  <c r="E465" i="7"/>
  <c r="D465" i="7"/>
  <c r="I112" i="14" l="1"/>
  <c r="I24" i="16" s="1"/>
  <c r="K161" i="8"/>
  <c r="O477" i="7"/>
  <c r="K816" i="7"/>
  <c r="L816" i="7"/>
  <c r="L815" i="7"/>
  <c r="K815" i="7"/>
  <c r="O465" i="7"/>
  <c r="P465" i="7"/>
  <c r="P469" i="7"/>
  <c r="O469" i="7"/>
  <c r="M462" i="7"/>
  <c r="L462" i="7"/>
  <c r="K462" i="7"/>
  <c r="J462" i="7"/>
  <c r="I462" i="7"/>
  <c r="H462" i="7"/>
  <c r="G462" i="7"/>
  <c r="F462" i="7"/>
  <c r="E462" i="7"/>
  <c r="D462" i="7"/>
  <c r="D460" i="7"/>
  <c r="E460" i="7" s="1"/>
  <c r="F460" i="7" s="1"/>
  <c r="G460" i="7" s="1"/>
  <c r="H460" i="7" s="1"/>
  <c r="I460" i="7" s="1"/>
  <c r="J460" i="7" s="1"/>
  <c r="K460" i="7" s="1"/>
  <c r="L460" i="7" s="1"/>
  <c r="M460" i="7" s="1"/>
  <c r="M166" i="8"/>
  <c r="J112" i="14" l="1"/>
  <c r="J24" i="16" s="1"/>
  <c r="N166" i="8"/>
  <c r="L113" i="14"/>
  <c r="L23" i="16" s="1"/>
  <c r="P462" i="7"/>
  <c r="O462" i="7"/>
  <c r="I165" i="8"/>
  <c r="H165" i="8"/>
  <c r="G165" i="8"/>
  <c r="F165" i="8"/>
  <c r="E165" i="8"/>
  <c r="O166" i="8" l="1"/>
  <c r="M113" i="14"/>
  <c r="M23" i="16" s="1"/>
  <c r="M161" i="8"/>
  <c r="K112" i="14"/>
  <c r="K24" i="16" s="1"/>
  <c r="K26" i="16" s="1"/>
  <c r="M433" i="7"/>
  <c r="L433" i="7"/>
  <c r="K433" i="7"/>
  <c r="J433" i="7"/>
  <c r="I433" i="7"/>
  <c r="H433" i="7"/>
  <c r="G433" i="7"/>
  <c r="F433" i="7"/>
  <c r="E433" i="7"/>
  <c r="D433" i="7"/>
  <c r="M432" i="7"/>
  <c r="L432" i="7"/>
  <c r="K432" i="7"/>
  <c r="J432" i="7"/>
  <c r="I432" i="7"/>
  <c r="H432" i="7"/>
  <c r="G432" i="7"/>
  <c r="F432" i="7"/>
  <c r="E432" i="7"/>
  <c r="D432" i="7"/>
  <c r="C433" i="7"/>
  <c r="C432" i="7"/>
  <c r="D426" i="7"/>
  <c r="E426" i="7" s="1"/>
  <c r="F426" i="7" s="1"/>
  <c r="G426" i="7" s="1"/>
  <c r="H426" i="7" s="1"/>
  <c r="I426" i="7" s="1"/>
  <c r="J426" i="7" s="1"/>
  <c r="K426" i="7" s="1"/>
  <c r="L426" i="7" s="1"/>
  <c r="M426" i="7" s="1"/>
  <c r="M410" i="7"/>
  <c r="L410" i="7"/>
  <c r="K410" i="7"/>
  <c r="J410" i="7"/>
  <c r="I410" i="7"/>
  <c r="H410" i="7"/>
  <c r="G410" i="7"/>
  <c r="F410" i="7"/>
  <c r="E410" i="7"/>
  <c r="D410" i="7"/>
  <c r="C410" i="7"/>
  <c r="B410" i="7"/>
  <c r="M408" i="7"/>
  <c r="L408" i="7"/>
  <c r="K408" i="7"/>
  <c r="J408" i="7"/>
  <c r="I408" i="7"/>
  <c r="H408" i="7"/>
  <c r="G408" i="7"/>
  <c r="F408" i="7"/>
  <c r="E408" i="7"/>
  <c r="D408" i="7"/>
  <c r="P166" i="8" l="1"/>
  <c r="N113" i="14"/>
  <c r="L112" i="14"/>
  <c r="L24" i="16" s="1"/>
  <c r="L26" i="16" s="1"/>
  <c r="N161" i="8"/>
  <c r="F411" i="7"/>
  <c r="J411" i="7"/>
  <c r="K411" i="7"/>
  <c r="H411" i="7"/>
  <c r="G411" i="7"/>
  <c r="D411" i="7"/>
  <c r="L411" i="7"/>
  <c r="E411" i="7"/>
  <c r="I411" i="7"/>
  <c r="M411" i="7"/>
  <c r="P408" i="7"/>
  <c r="O408" i="7"/>
  <c r="I413" i="7"/>
  <c r="I415" i="7" s="1"/>
  <c r="D413" i="7"/>
  <c r="D420" i="7" s="1"/>
  <c r="D423" i="7" s="1"/>
  <c r="H413" i="7"/>
  <c r="H420" i="7" s="1"/>
  <c r="H423" i="7" s="1"/>
  <c r="E413" i="7"/>
  <c r="E420" i="7" s="1"/>
  <c r="E423" i="7" s="1"/>
  <c r="M413" i="7"/>
  <c r="M420" i="7" s="1"/>
  <c r="M423" i="7" s="1"/>
  <c r="L413" i="7"/>
  <c r="L420" i="7" s="1"/>
  <c r="L423" i="7" s="1"/>
  <c r="F413" i="7"/>
  <c r="F420" i="7" s="1"/>
  <c r="F423" i="7" s="1"/>
  <c r="J413" i="7"/>
  <c r="J420" i="7" s="1"/>
  <c r="J423" i="7" s="1"/>
  <c r="G413" i="7"/>
  <c r="G420" i="7" s="1"/>
  <c r="G423" i="7" s="1"/>
  <c r="K413" i="7"/>
  <c r="K420" i="7" s="1"/>
  <c r="K423" i="7" s="1"/>
  <c r="D406" i="7"/>
  <c r="E406" i="7" s="1"/>
  <c r="F406" i="7" s="1"/>
  <c r="G406" i="7" s="1"/>
  <c r="H406" i="7" s="1"/>
  <c r="I406" i="7" s="1"/>
  <c r="J406" i="7" s="1"/>
  <c r="K406" i="7" s="1"/>
  <c r="L406" i="7" s="1"/>
  <c r="M406" i="7" s="1"/>
  <c r="D396" i="7"/>
  <c r="E396" i="7" s="1"/>
  <c r="F396" i="7" s="1"/>
  <c r="G396" i="7" s="1"/>
  <c r="H396" i="7" s="1"/>
  <c r="I396" i="7" s="1"/>
  <c r="J396" i="7" s="1"/>
  <c r="K396" i="7" s="1"/>
  <c r="L396" i="7" s="1"/>
  <c r="M396" i="7" s="1"/>
  <c r="P389" i="7"/>
  <c r="Q387" i="7"/>
  <c r="Q392" i="7"/>
  <c r="P392" i="7"/>
  <c r="O392" i="7"/>
  <c r="Q389" i="7"/>
  <c r="O389" i="7"/>
  <c r="Q388" i="7"/>
  <c r="P388" i="7"/>
  <c r="O388" i="7"/>
  <c r="P387" i="7"/>
  <c r="O387" i="7"/>
  <c r="Q386" i="7"/>
  <c r="P386" i="7"/>
  <c r="O386" i="7"/>
  <c r="O385" i="7"/>
  <c r="P385" i="7"/>
  <c r="Q385" i="7"/>
  <c r="Q166" i="8" l="1"/>
  <c r="O113" i="14"/>
  <c r="M112" i="14"/>
  <c r="M24" i="16" s="1"/>
  <c r="M26" i="16" s="1"/>
  <c r="O161" i="8"/>
  <c r="P411" i="7"/>
  <c r="O411" i="7"/>
  <c r="I419" i="7"/>
  <c r="I422" i="7" s="1"/>
  <c r="I427" i="7" s="1"/>
  <c r="I420" i="7"/>
  <c r="D419" i="7"/>
  <c r="D415" i="7"/>
  <c r="F419" i="7"/>
  <c r="F422" i="7" s="1"/>
  <c r="F427" i="7" s="1"/>
  <c r="F415" i="7"/>
  <c r="K419" i="7"/>
  <c r="K422" i="7" s="1"/>
  <c r="K427" i="7" s="1"/>
  <c r="K415" i="7"/>
  <c r="J419" i="7"/>
  <c r="J422" i="7" s="1"/>
  <c r="J427" i="7" s="1"/>
  <c r="J415" i="7"/>
  <c r="G419" i="7"/>
  <c r="G422" i="7" s="1"/>
  <c r="G427" i="7" s="1"/>
  <c r="G415" i="7"/>
  <c r="E419" i="7"/>
  <c r="E422" i="7" s="1"/>
  <c r="E427" i="7" s="1"/>
  <c r="E415" i="7"/>
  <c r="H419" i="7"/>
  <c r="H422" i="7" s="1"/>
  <c r="H427" i="7" s="1"/>
  <c r="H415" i="7"/>
  <c r="L419" i="7"/>
  <c r="L422" i="7" s="1"/>
  <c r="L427" i="7" s="1"/>
  <c r="L415" i="7"/>
  <c r="M419" i="7"/>
  <c r="M422" i="7" s="1"/>
  <c r="M415" i="7"/>
  <c r="P161" i="8" l="1"/>
  <c r="N112" i="14"/>
  <c r="R166" i="8"/>
  <c r="P113" i="14"/>
  <c r="P420" i="7"/>
  <c r="I423" i="7"/>
  <c r="P415" i="7"/>
  <c r="O415" i="7"/>
  <c r="O420" i="7"/>
  <c r="D422" i="7"/>
  <c r="D427" i="7" s="1"/>
  <c r="P419" i="7"/>
  <c r="O419" i="7"/>
  <c r="M427" i="7"/>
  <c r="M390" i="7"/>
  <c r="L390" i="7"/>
  <c r="K390" i="7"/>
  <c r="J390" i="7"/>
  <c r="I390" i="7"/>
  <c r="H390" i="7"/>
  <c r="G390" i="7"/>
  <c r="F390" i="7"/>
  <c r="E390" i="7"/>
  <c r="D390" i="7"/>
  <c r="C390" i="7"/>
  <c r="D384" i="7"/>
  <c r="E384" i="7" s="1"/>
  <c r="F384" i="7" s="1"/>
  <c r="G384" i="7" s="1"/>
  <c r="H384" i="7" s="1"/>
  <c r="I384" i="7" s="1"/>
  <c r="J384" i="7" s="1"/>
  <c r="K384" i="7" s="1"/>
  <c r="L384" i="7" s="1"/>
  <c r="M384" i="7" s="1"/>
  <c r="S166" i="8" l="1"/>
  <c r="R113" i="14" s="1"/>
  <c r="Q113" i="14"/>
  <c r="Q161" i="8"/>
  <c r="O112" i="14"/>
  <c r="O423" i="7"/>
  <c r="J166" i="8" s="1"/>
  <c r="P423" i="7"/>
  <c r="P422" i="7"/>
  <c r="O422" i="7"/>
  <c r="J401" i="7"/>
  <c r="J397" i="7"/>
  <c r="J399" i="7"/>
  <c r="J400" i="7"/>
  <c r="J402" i="7"/>
  <c r="J398" i="7"/>
  <c r="O390" i="7"/>
  <c r="J394" i="7"/>
  <c r="F401" i="7"/>
  <c r="F397" i="7"/>
  <c r="F402" i="7"/>
  <c r="F398" i="7"/>
  <c r="Q390" i="7"/>
  <c r="F399" i="7"/>
  <c r="F400" i="7"/>
  <c r="F394" i="7"/>
  <c r="C402" i="7"/>
  <c r="C398" i="7"/>
  <c r="C397" i="7"/>
  <c r="C399" i="7"/>
  <c r="C400" i="7"/>
  <c r="C401" i="7"/>
  <c r="C394" i="7"/>
  <c r="G402" i="7"/>
  <c r="G398" i="7"/>
  <c r="G400" i="7"/>
  <c r="G401" i="7"/>
  <c r="G399" i="7"/>
  <c r="G397" i="7"/>
  <c r="G394" i="7"/>
  <c r="K402" i="7"/>
  <c r="K398" i="7"/>
  <c r="K397" i="7"/>
  <c r="K399" i="7"/>
  <c r="K400" i="7"/>
  <c r="K401" i="7"/>
  <c r="K394" i="7"/>
  <c r="D399" i="7"/>
  <c r="D401" i="7"/>
  <c r="D397" i="7"/>
  <c r="D400" i="7"/>
  <c r="D402" i="7"/>
  <c r="D398" i="7"/>
  <c r="D394" i="7"/>
  <c r="H399" i="7"/>
  <c r="H402" i="7"/>
  <c r="H398" i="7"/>
  <c r="H400" i="7"/>
  <c r="H401" i="7"/>
  <c r="H397" i="7"/>
  <c r="P390" i="7"/>
  <c r="H394" i="7"/>
  <c r="L399" i="7"/>
  <c r="L401" i="7"/>
  <c r="L397" i="7"/>
  <c r="L400" i="7"/>
  <c r="L402" i="7"/>
  <c r="L398" i="7"/>
  <c r="L394" i="7"/>
  <c r="E400" i="7"/>
  <c r="E402" i="7"/>
  <c r="E399" i="7"/>
  <c r="E401" i="7"/>
  <c r="E397" i="7"/>
  <c r="E398" i="7"/>
  <c r="E394" i="7"/>
  <c r="I400" i="7"/>
  <c r="I398" i="7"/>
  <c r="I401" i="7"/>
  <c r="I397" i="7"/>
  <c r="I402" i="7"/>
  <c r="I399" i="7"/>
  <c r="I394" i="7"/>
  <c r="M400" i="7"/>
  <c r="M402" i="7"/>
  <c r="M399" i="7"/>
  <c r="M401" i="7"/>
  <c r="M397" i="7"/>
  <c r="M398" i="7"/>
  <c r="M394" i="7"/>
  <c r="R161" i="8" l="1"/>
  <c r="P112" i="14"/>
  <c r="I113" i="14"/>
  <c r="I23" i="16" s="1"/>
  <c r="I26" i="16" s="1"/>
  <c r="K166" i="8"/>
  <c r="J113" i="14" s="1"/>
  <c r="J23" i="16" s="1"/>
  <c r="J26" i="16" s="1"/>
  <c r="Q394" i="7"/>
  <c r="P394" i="7"/>
  <c r="O394" i="7"/>
  <c r="B24" i="14"/>
  <c r="B23" i="14"/>
  <c r="B22" i="14"/>
  <c r="B21" i="14"/>
  <c r="B20" i="14"/>
  <c r="S161" i="8" l="1"/>
  <c r="R112" i="14" s="1"/>
  <c r="Q112" i="14"/>
  <c r="I48" i="8"/>
  <c r="H48" i="8"/>
  <c r="G48" i="8"/>
  <c r="F48" i="8"/>
  <c r="E48" i="8"/>
  <c r="I43" i="8"/>
  <c r="H23" i="14" s="1"/>
  <c r="H43" i="8"/>
  <c r="G23" i="14" s="1"/>
  <c r="G43" i="8"/>
  <c r="F23" i="14" s="1"/>
  <c r="F43" i="8"/>
  <c r="E23" i="14" s="1"/>
  <c r="E43" i="8"/>
  <c r="D23" i="14" s="1"/>
  <c r="I38" i="8"/>
  <c r="H22" i="14" s="1"/>
  <c r="H38" i="8"/>
  <c r="G22" i="14" s="1"/>
  <c r="G38" i="8"/>
  <c r="F22" i="14" s="1"/>
  <c r="F38" i="8"/>
  <c r="E22" i="14" s="1"/>
  <c r="E38" i="8"/>
  <c r="D22" i="14" s="1"/>
  <c r="I33" i="8"/>
  <c r="H21" i="14" s="1"/>
  <c r="H33" i="8"/>
  <c r="G21" i="14" s="1"/>
  <c r="G33" i="8"/>
  <c r="F21" i="14" s="1"/>
  <c r="F33" i="8"/>
  <c r="E21" i="14" s="1"/>
  <c r="E33" i="8"/>
  <c r="D21" i="14" s="1"/>
  <c r="I28" i="8"/>
  <c r="H20" i="14" s="1"/>
  <c r="H28" i="8"/>
  <c r="G20" i="14" s="1"/>
  <c r="G28" i="8"/>
  <c r="F20" i="14" s="1"/>
  <c r="F28" i="8"/>
  <c r="E20" i="14" s="1"/>
  <c r="E28" i="8"/>
  <c r="D20" i="14" s="1"/>
  <c r="B48" i="8"/>
  <c r="B49" i="8" s="1"/>
  <c r="B43" i="8"/>
  <c r="B38" i="8"/>
  <c r="B33" i="8"/>
  <c r="B28" i="8"/>
  <c r="N64" i="13"/>
  <c r="M64" i="13"/>
  <c r="L64" i="13"/>
  <c r="K64" i="13"/>
  <c r="J64" i="13"/>
  <c r="N62" i="13"/>
  <c r="N49" i="8" s="1"/>
  <c r="M62" i="13"/>
  <c r="M49" i="8" s="1"/>
  <c r="L62" i="13"/>
  <c r="L49" i="8" s="1"/>
  <c r="K62" i="13"/>
  <c r="K49" i="8" s="1"/>
  <c r="J62" i="13"/>
  <c r="J49" i="8" s="1"/>
  <c r="B62" i="13"/>
  <c r="N56" i="13"/>
  <c r="N44" i="8" s="1"/>
  <c r="M56" i="13"/>
  <c r="M44" i="8" s="1"/>
  <c r="L56" i="13"/>
  <c r="L44" i="8" s="1"/>
  <c r="K56" i="13"/>
  <c r="K44" i="8" s="1"/>
  <c r="J56" i="13"/>
  <c r="J44" i="8" s="1"/>
  <c r="B56" i="13"/>
  <c r="N50" i="13"/>
  <c r="N39" i="8" s="1"/>
  <c r="M50" i="13"/>
  <c r="M39" i="8" s="1"/>
  <c r="L50" i="13"/>
  <c r="L39" i="8" s="1"/>
  <c r="K50" i="13"/>
  <c r="K39" i="8" s="1"/>
  <c r="J50" i="13"/>
  <c r="J39" i="8" s="1"/>
  <c r="B50" i="13"/>
  <c r="N44" i="13"/>
  <c r="N34" i="8" s="1"/>
  <c r="M44" i="13"/>
  <c r="M34" i="8" s="1"/>
  <c r="L44" i="13"/>
  <c r="L34" i="8" s="1"/>
  <c r="K44" i="13"/>
  <c r="K34" i="8" s="1"/>
  <c r="J44" i="13"/>
  <c r="J34" i="8" s="1"/>
  <c r="B44" i="13"/>
  <c r="N38" i="13"/>
  <c r="N29" i="8" s="1"/>
  <c r="J38" i="13"/>
  <c r="J29" i="8" s="1"/>
  <c r="B38" i="13"/>
  <c r="L38" i="13"/>
  <c r="L29" i="8" s="1"/>
  <c r="K333" i="7"/>
  <c r="L366" i="7"/>
  <c r="K366" i="7"/>
  <c r="L363" i="7"/>
  <c r="K363" i="7"/>
  <c r="L360" i="7"/>
  <c r="K360" i="7"/>
  <c r="L357" i="7"/>
  <c r="K357" i="7"/>
  <c r="L354" i="7"/>
  <c r="K354" i="7"/>
  <c r="I367" i="7"/>
  <c r="I49" i="8" s="1"/>
  <c r="H367" i="7"/>
  <c r="H49" i="8" s="1"/>
  <c r="G367" i="7"/>
  <c r="G49" i="8" s="1"/>
  <c r="F367" i="7"/>
  <c r="F49" i="8" s="1"/>
  <c r="E367" i="7"/>
  <c r="E49" i="8" s="1"/>
  <c r="D367" i="7"/>
  <c r="C367" i="7"/>
  <c r="I364" i="7"/>
  <c r="I44" i="8" s="1"/>
  <c r="H364" i="7"/>
  <c r="H53" i="13" s="1"/>
  <c r="H54" i="13" s="1"/>
  <c r="H55" i="13" s="1"/>
  <c r="G364" i="7"/>
  <c r="G53" i="13" s="1"/>
  <c r="G54" i="13" s="1"/>
  <c r="G55" i="13" s="1"/>
  <c r="F364" i="7"/>
  <c r="F53" i="13" s="1"/>
  <c r="F54" i="13" s="1"/>
  <c r="F55" i="13" s="1"/>
  <c r="E364" i="7"/>
  <c r="E44" i="8" s="1"/>
  <c r="D364" i="7"/>
  <c r="C364" i="7"/>
  <c r="I361" i="7"/>
  <c r="I39" i="8" s="1"/>
  <c r="H361" i="7"/>
  <c r="H39" i="8" s="1"/>
  <c r="G361" i="7"/>
  <c r="G47" i="13" s="1"/>
  <c r="G48" i="13" s="1"/>
  <c r="G49" i="13" s="1"/>
  <c r="F361" i="7"/>
  <c r="F47" i="13" s="1"/>
  <c r="F48" i="13" s="1"/>
  <c r="F49" i="13" s="1"/>
  <c r="E361" i="7"/>
  <c r="E39" i="8" s="1"/>
  <c r="D361" i="7"/>
  <c r="C361" i="7"/>
  <c r="I358" i="7"/>
  <c r="I34" i="8" s="1"/>
  <c r="H358" i="7"/>
  <c r="H34" i="8" s="1"/>
  <c r="G358" i="7"/>
  <c r="G34" i="8" s="1"/>
  <c r="F358" i="7"/>
  <c r="F41" i="13" s="1"/>
  <c r="F42" i="13" s="1"/>
  <c r="F43" i="13" s="1"/>
  <c r="E358" i="7"/>
  <c r="E41" i="13" s="1"/>
  <c r="E42" i="13" s="1"/>
  <c r="E43" i="13" s="1"/>
  <c r="D358" i="7"/>
  <c r="C358" i="7"/>
  <c r="I355" i="7"/>
  <c r="I29" i="8" s="1"/>
  <c r="H355" i="7"/>
  <c r="H29" i="8" s="1"/>
  <c r="G355" i="7"/>
  <c r="G29" i="8" s="1"/>
  <c r="F355" i="7"/>
  <c r="F29" i="8" s="1"/>
  <c r="E355" i="7"/>
  <c r="E29" i="8" s="1"/>
  <c r="D355" i="7"/>
  <c r="C355" i="7"/>
  <c r="L333" i="7"/>
  <c r="F24" i="14" l="1"/>
  <c r="F19" i="14" s="1"/>
  <c r="G52" i="8"/>
  <c r="G24" i="14"/>
  <c r="G19" i="14" s="1"/>
  <c r="H52" i="8"/>
  <c r="E24" i="14"/>
  <c r="E19" i="14" s="1"/>
  <c r="F52" i="8"/>
  <c r="D24" i="14"/>
  <c r="D19" i="14" s="1"/>
  <c r="E52" i="8"/>
  <c r="H24" i="14"/>
  <c r="H19" i="14" s="1"/>
  <c r="I52" i="8"/>
  <c r="L358" i="7"/>
  <c r="K361" i="7"/>
  <c r="L355" i="7"/>
  <c r="D369" i="7"/>
  <c r="L367" i="7"/>
  <c r="L364" i="7"/>
  <c r="E34" i="8"/>
  <c r="L361" i="7"/>
  <c r="K364" i="7"/>
  <c r="F39" i="8"/>
  <c r="H369" i="7"/>
  <c r="F369" i="7"/>
  <c r="F35" i="13"/>
  <c r="F36" i="13" s="1"/>
  <c r="F37" i="13" s="1"/>
  <c r="G41" i="13"/>
  <c r="G42" i="13" s="1"/>
  <c r="G43" i="13" s="1"/>
  <c r="H47" i="13"/>
  <c r="H48" i="13" s="1"/>
  <c r="H49" i="13" s="1"/>
  <c r="E53" i="13"/>
  <c r="E54" i="13" s="1"/>
  <c r="E55" i="13" s="1"/>
  <c r="I53" i="13"/>
  <c r="I54" i="13" s="1"/>
  <c r="I55" i="13" s="1"/>
  <c r="F59" i="13"/>
  <c r="F60" i="13" s="1"/>
  <c r="F61" i="13" s="1"/>
  <c r="F34" i="8"/>
  <c r="F44" i="8"/>
  <c r="C369" i="7"/>
  <c r="G369" i="7"/>
  <c r="G35" i="13"/>
  <c r="G36" i="13" s="1"/>
  <c r="G37" i="13" s="1"/>
  <c r="H41" i="13"/>
  <c r="H42" i="13" s="1"/>
  <c r="H43" i="13" s="1"/>
  <c r="E47" i="13"/>
  <c r="E48" i="13" s="1"/>
  <c r="E49" i="13" s="1"/>
  <c r="I47" i="13"/>
  <c r="I48" i="13" s="1"/>
  <c r="I49" i="13" s="1"/>
  <c r="G59" i="13"/>
  <c r="G60" i="13" s="1"/>
  <c r="G61" i="13" s="1"/>
  <c r="G39" i="8"/>
  <c r="G44" i="8"/>
  <c r="K355" i="7"/>
  <c r="K358" i="7"/>
  <c r="K367" i="7"/>
  <c r="H35" i="13"/>
  <c r="H36" i="13" s="1"/>
  <c r="H37" i="13" s="1"/>
  <c r="I41" i="13"/>
  <c r="I42" i="13" s="1"/>
  <c r="I43" i="13" s="1"/>
  <c r="H59" i="13"/>
  <c r="H60" i="13" s="1"/>
  <c r="H61" i="13" s="1"/>
  <c r="H44" i="8"/>
  <c r="E369" i="7"/>
  <c r="I369" i="7"/>
  <c r="E35" i="13"/>
  <c r="E36" i="13" s="1"/>
  <c r="E37" i="13" s="1"/>
  <c r="I35" i="13"/>
  <c r="I36" i="13" s="1"/>
  <c r="I37" i="13" s="1"/>
  <c r="E59" i="13"/>
  <c r="E60" i="13" s="1"/>
  <c r="E61" i="13" s="1"/>
  <c r="I59" i="13"/>
  <c r="I60" i="13" s="1"/>
  <c r="I61" i="13" s="1"/>
  <c r="K38" i="13"/>
  <c r="K29" i="8" s="1"/>
  <c r="M38" i="13"/>
  <c r="M29" i="8" s="1"/>
  <c r="I349" i="7"/>
  <c r="H349" i="7"/>
  <c r="G349" i="7"/>
  <c r="F349" i="7"/>
  <c r="E349" i="7"/>
  <c r="D349" i="7"/>
  <c r="C349" i="7"/>
  <c r="I348" i="7"/>
  <c r="H348" i="7"/>
  <c r="G348" i="7"/>
  <c r="F348" i="7"/>
  <c r="E348" i="7"/>
  <c r="D348" i="7"/>
  <c r="C348" i="7"/>
  <c r="I347" i="7"/>
  <c r="H347" i="7"/>
  <c r="G347" i="7"/>
  <c r="F347" i="7"/>
  <c r="E347" i="7"/>
  <c r="D347" i="7"/>
  <c r="C347" i="7"/>
  <c r="I346" i="7"/>
  <c r="H346" i="7"/>
  <c r="G346" i="7"/>
  <c r="F346" i="7"/>
  <c r="E346" i="7"/>
  <c r="D346" i="7"/>
  <c r="C346" i="7"/>
  <c r="I345" i="7"/>
  <c r="H345" i="7"/>
  <c r="G345" i="7"/>
  <c r="F345" i="7"/>
  <c r="E345" i="7"/>
  <c r="D345" i="7"/>
  <c r="C345" i="7"/>
  <c r="I344" i="7"/>
  <c r="H344" i="7"/>
  <c r="G344" i="7"/>
  <c r="F344" i="7"/>
  <c r="E344" i="7"/>
  <c r="D344" i="7"/>
  <c r="C344" i="7"/>
  <c r="I343" i="7"/>
  <c r="H343" i="7"/>
  <c r="G343" i="7"/>
  <c r="F343" i="7"/>
  <c r="E343" i="7"/>
  <c r="D343" i="7"/>
  <c r="C343" i="7"/>
  <c r="I342" i="7"/>
  <c r="H342" i="7"/>
  <c r="G342" i="7"/>
  <c r="F342" i="7"/>
  <c r="E342" i="7"/>
  <c r="D342" i="7"/>
  <c r="C342" i="7"/>
  <c r="I341" i="7"/>
  <c r="H341" i="7"/>
  <c r="G341" i="7"/>
  <c r="F341" i="7"/>
  <c r="E341" i="7"/>
  <c r="D341" i="7"/>
  <c r="C341" i="7"/>
  <c r="I340" i="7"/>
  <c r="H340" i="7"/>
  <c r="G340" i="7"/>
  <c r="F340" i="7"/>
  <c r="E340" i="7"/>
  <c r="D340" i="7"/>
  <c r="C340" i="7"/>
  <c r="I339" i="7"/>
  <c r="H339" i="7"/>
  <c r="G339" i="7"/>
  <c r="F339" i="7"/>
  <c r="E339" i="7"/>
  <c r="D339" i="7"/>
  <c r="C339" i="7"/>
  <c r="I338" i="7"/>
  <c r="H338" i="7"/>
  <c r="G338" i="7"/>
  <c r="F338" i="7"/>
  <c r="E338" i="7"/>
  <c r="D338" i="7"/>
  <c r="C338" i="7"/>
  <c r="I337" i="7"/>
  <c r="H337" i="7"/>
  <c r="G337" i="7"/>
  <c r="F337" i="7"/>
  <c r="E337" i="7"/>
  <c r="D337" i="7"/>
  <c r="C337" i="7"/>
  <c r="I336" i="7"/>
  <c r="H336" i="7"/>
  <c r="G336" i="7"/>
  <c r="F336" i="7"/>
  <c r="E336" i="7"/>
  <c r="D336" i="7"/>
  <c r="C336" i="7"/>
  <c r="E223" i="34" l="1"/>
  <c r="D223" i="34"/>
  <c r="F223" i="34"/>
  <c r="G223" i="34"/>
  <c r="C223" i="34"/>
  <c r="J847" i="7"/>
  <c r="K847" i="7"/>
  <c r="I137" i="8"/>
  <c r="I64" i="13"/>
  <c r="H64" i="13"/>
  <c r="E64" i="13"/>
  <c r="L338" i="7"/>
  <c r="L342" i="7"/>
  <c r="L346" i="7"/>
  <c r="K347" i="7"/>
  <c r="F64" i="13"/>
  <c r="L369" i="7"/>
  <c r="K369" i="7"/>
  <c r="G64" i="13"/>
  <c r="L337" i="7"/>
  <c r="K337" i="7"/>
  <c r="L340" i="7"/>
  <c r="K341" i="7"/>
  <c r="K343" i="7"/>
  <c r="L344" i="7"/>
  <c r="L345" i="7"/>
  <c r="L348" i="7"/>
  <c r="L336" i="7"/>
  <c r="K339" i="7"/>
  <c r="L339" i="7"/>
  <c r="L343" i="7"/>
  <c r="L347" i="7"/>
  <c r="K345" i="7"/>
  <c r="L341" i="7"/>
  <c r="K336" i="7"/>
  <c r="K338" i="7"/>
  <c r="K340" i="7"/>
  <c r="K342" i="7"/>
  <c r="K344" i="7"/>
  <c r="K348" i="7"/>
  <c r="K346" i="7"/>
  <c r="L309" i="7"/>
  <c r="K309" i="7"/>
  <c r="N27" i="13" l="1"/>
  <c r="N29" i="13" s="1"/>
  <c r="N22" i="8" s="1"/>
  <c r="J27" i="13"/>
  <c r="J29" i="13" s="1"/>
  <c r="J22" i="8" s="1"/>
  <c r="B27" i="13"/>
  <c r="D288" i="7" l="1"/>
  <c r="C288" i="7"/>
  <c r="I26" i="20" l="1"/>
  <c r="H26" i="20"/>
  <c r="G26" i="20"/>
  <c r="F26" i="20"/>
  <c r="E26" i="20"/>
  <c r="D26" i="20"/>
  <c r="C26" i="20"/>
  <c r="I25" i="20"/>
  <c r="H25" i="20"/>
  <c r="G25" i="20"/>
  <c r="F25" i="20"/>
  <c r="E25" i="20"/>
  <c r="D25" i="20"/>
  <c r="C25" i="20"/>
  <c r="I24" i="20"/>
  <c r="H24" i="20"/>
  <c r="G24" i="20"/>
  <c r="F24" i="20"/>
  <c r="E24" i="20"/>
  <c r="D24" i="20"/>
  <c r="C24" i="20"/>
  <c r="C174" i="7"/>
  <c r="B174" i="7"/>
  <c r="D9" i="14" l="1"/>
  <c r="E9" i="19" s="1"/>
  <c r="I13" i="8"/>
  <c r="H13" i="8"/>
  <c r="G13" i="8"/>
  <c r="F13" i="8"/>
  <c r="E13" i="8"/>
  <c r="E9" i="8"/>
  <c r="I7" i="7"/>
  <c r="B19" i="13"/>
  <c r="N19" i="13"/>
  <c r="N15" i="8" s="1"/>
  <c r="J19" i="13"/>
  <c r="J15" i="8" s="1"/>
  <c r="F9" i="13"/>
  <c r="F9" i="8" l="1"/>
  <c r="E9" i="26"/>
  <c r="E250" i="8"/>
  <c r="E251" i="8" s="1"/>
  <c r="G250" i="8"/>
  <c r="G251" i="8" s="1"/>
  <c r="G15" i="8"/>
  <c r="I15" i="8"/>
  <c r="J13" i="8"/>
  <c r="J256" i="8" s="1"/>
  <c r="J257" i="8" s="1"/>
  <c r="I72" i="14" s="1"/>
  <c r="F250" i="8"/>
  <c r="F251" i="8" s="1"/>
  <c r="F15" i="8"/>
  <c r="H250" i="8"/>
  <c r="H251" i="8" s="1"/>
  <c r="H15" i="8"/>
  <c r="I250" i="8"/>
  <c r="I251" i="8" s="1"/>
  <c r="I205" i="8"/>
  <c r="I210" i="8"/>
  <c r="F159" i="8"/>
  <c r="F161" i="8" s="1"/>
  <c r="E112" i="14" s="1"/>
  <c r="E24" i="16" s="1"/>
  <c r="F97" i="8"/>
  <c r="I159" i="8"/>
  <c r="I161" i="8" s="1"/>
  <c r="H112" i="14" s="1"/>
  <c r="H24" i="16" s="1"/>
  <c r="I97" i="8"/>
  <c r="G159" i="8"/>
  <c r="G161" i="8" s="1"/>
  <c r="F112" i="14" s="1"/>
  <c r="F24" i="16" s="1"/>
  <c r="G97" i="8"/>
  <c r="E159" i="8"/>
  <c r="E97" i="8"/>
  <c r="H159" i="8"/>
  <c r="H161" i="8" s="1"/>
  <c r="G112" i="14" s="1"/>
  <c r="G24" i="16" s="1"/>
  <c r="H97" i="8"/>
  <c r="D13" i="14"/>
  <c r="C224" i="34" s="1"/>
  <c r="E164" i="8"/>
  <c r="E53" i="8"/>
  <c r="H13" i="14"/>
  <c r="I164" i="8"/>
  <c r="I170" i="8" s="1"/>
  <c r="I53" i="8"/>
  <c r="E13" i="14"/>
  <c r="F164" i="8"/>
  <c r="F170" i="8" s="1"/>
  <c r="F53" i="8"/>
  <c r="F13" i="14"/>
  <c r="G164" i="8"/>
  <c r="G170" i="8" s="1"/>
  <c r="G53" i="8"/>
  <c r="G13" i="14"/>
  <c r="H164" i="8"/>
  <c r="H170" i="8" s="1"/>
  <c r="H53" i="8"/>
  <c r="G9" i="13"/>
  <c r="E9" i="14"/>
  <c r="F9" i="19" s="1"/>
  <c r="C51" i="23"/>
  <c r="C52" i="23" s="1"/>
  <c r="C53" i="23" s="1"/>
  <c r="C54" i="23" s="1"/>
  <c r="F45" i="16" l="1"/>
  <c r="E224" i="34"/>
  <c r="H45" i="16"/>
  <c r="L7" i="32"/>
  <c r="I7" i="32"/>
  <c r="D22" i="32" s="1"/>
  <c r="G224" i="34"/>
  <c r="E45" i="16"/>
  <c r="D224" i="34"/>
  <c r="G45" i="16"/>
  <c r="F224" i="34"/>
  <c r="E42" i="14"/>
  <c r="E13" i="26"/>
  <c r="E34" i="26"/>
  <c r="E39" i="26"/>
  <c r="E36" i="26"/>
  <c r="E29" i="26"/>
  <c r="E116" i="14"/>
  <c r="E35" i="26"/>
  <c r="E20" i="26"/>
  <c r="E21" i="26"/>
  <c r="E22" i="26"/>
  <c r="E23" i="26"/>
  <c r="E24" i="26"/>
  <c r="G13" i="26"/>
  <c r="G42" i="14"/>
  <c r="G34" i="26"/>
  <c r="G36" i="26"/>
  <c r="G39" i="26"/>
  <c r="G29" i="26"/>
  <c r="G35" i="26"/>
  <c r="G116" i="14"/>
  <c r="G23" i="26"/>
  <c r="G22" i="26"/>
  <c r="G20" i="26"/>
  <c r="G21" i="26"/>
  <c r="G24" i="26"/>
  <c r="H13" i="26"/>
  <c r="H42" i="14"/>
  <c r="H36" i="26"/>
  <c r="H39" i="26"/>
  <c r="H34" i="26"/>
  <c r="H116" i="14"/>
  <c r="H29" i="26"/>
  <c r="H35" i="26"/>
  <c r="H20" i="26"/>
  <c r="H23" i="26"/>
  <c r="H22" i="26"/>
  <c r="H21" i="26"/>
  <c r="H24" i="26"/>
  <c r="F13" i="26"/>
  <c r="F42" i="14"/>
  <c r="F39" i="26"/>
  <c r="F36" i="26"/>
  <c r="F34" i="26"/>
  <c r="F29" i="26"/>
  <c r="F35" i="26"/>
  <c r="F116" i="14"/>
  <c r="F23" i="26"/>
  <c r="F20" i="26"/>
  <c r="F22" i="26"/>
  <c r="F21" i="26"/>
  <c r="F24" i="26"/>
  <c r="H9" i="13"/>
  <c r="G9" i="14" s="1"/>
  <c r="H9" i="19" s="1"/>
  <c r="F9" i="26"/>
  <c r="D42" i="14"/>
  <c r="D13" i="26"/>
  <c r="D36" i="26"/>
  <c r="D34" i="26"/>
  <c r="D39" i="26"/>
  <c r="D29" i="26"/>
  <c r="D35" i="26"/>
  <c r="D21" i="26"/>
  <c r="D23" i="26"/>
  <c r="D22" i="26"/>
  <c r="D20" i="26"/>
  <c r="D24" i="26"/>
  <c r="I130" i="14"/>
  <c r="I132" i="14" s="1"/>
  <c r="G181" i="8"/>
  <c r="G182" i="8" s="1"/>
  <c r="E181" i="8"/>
  <c r="E182" i="8" s="1"/>
  <c r="F181" i="8"/>
  <c r="F182" i="8" s="1"/>
  <c r="I135" i="8"/>
  <c r="J250" i="8"/>
  <c r="J252" i="8" s="1"/>
  <c r="I35" i="14" s="1"/>
  <c r="J205" i="8"/>
  <c r="J210" i="8"/>
  <c r="K834" i="7"/>
  <c r="K836" i="7" s="1"/>
  <c r="I181" i="8"/>
  <c r="I182" i="8" s="1"/>
  <c r="J834" i="7"/>
  <c r="J836" i="7" s="1"/>
  <c r="H181" i="8"/>
  <c r="H182" i="8" s="1"/>
  <c r="D116" i="14"/>
  <c r="I60" i="14"/>
  <c r="J122" i="8"/>
  <c r="E167" i="8"/>
  <c r="E170" i="8"/>
  <c r="F9" i="14"/>
  <c r="G9" i="19" s="1"/>
  <c r="G9" i="8"/>
  <c r="G166" i="8"/>
  <c r="F113" i="14" s="1"/>
  <c r="F23" i="16" s="1"/>
  <c r="G167" i="8"/>
  <c r="H166" i="8"/>
  <c r="G113" i="14" s="1"/>
  <c r="G23" i="16" s="1"/>
  <c r="H167" i="8"/>
  <c r="J164" i="8"/>
  <c r="J159" i="8"/>
  <c r="F166" i="8"/>
  <c r="E113" i="14" s="1"/>
  <c r="E23" i="16" s="1"/>
  <c r="F167" i="8"/>
  <c r="I166" i="8"/>
  <c r="H113" i="14" s="1"/>
  <c r="H23" i="16" s="1"/>
  <c r="I167" i="8"/>
  <c r="J33" i="8"/>
  <c r="I21" i="14" s="1"/>
  <c r="J48" i="8"/>
  <c r="J28" i="8"/>
  <c r="I20" i="14" s="1"/>
  <c r="J43" i="8"/>
  <c r="I23" i="14" s="1"/>
  <c r="J38" i="8"/>
  <c r="I22" i="14" s="1"/>
  <c r="J20" i="8"/>
  <c r="I14" i="14" s="1"/>
  <c r="I78" i="16" s="1"/>
  <c r="I13" i="14"/>
  <c r="K28" i="23"/>
  <c r="L28" i="23" s="1"/>
  <c r="K27" i="23"/>
  <c r="L27" i="23" s="1"/>
  <c r="K26" i="23"/>
  <c r="L26" i="23" s="1"/>
  <c r="K25" i="23"/>
  <c r="L25" i="23" s="1"/>
  <c r="K24" i="23"/>
  <c r="L24" i="23" s="1"/>
  <c r="D36" i="23"/>
  <c r="C33" i="23"/>
  <c r="C34" i="23" s="1"/>
  <c r="C35" i="23" s="1"/>
  <c r="C36" i="23" s="1"/>
  <c r="E70" i="16" l="1"/>
  <c r="E57" i="16"/>
  <c r="E53" i="16"/>
  <c r="E49" i="16"/>
  <c r="H70" i="16"/>
  <c r="H57" i="16"/>
  <c r="H53" i="16"/>
  <c r="H49" i="16"/>
  <c r="G70" i="16"/>
  <c r="G53" i="16"/>
  <c r="G49" i="16"/>
  <c r="G57" i="16"/>
  <c r="F70" i="16"/>
  <c r="F57" i="16"/>
  <c r="F53" i="16"/>
  <c r="F49" i="16"/>
  <c r="I45" i="16"/>
  <c r="M7" i="32"/>
  <c r="J7" i="32"/>
  <c r="H9" i="8"/>
  <c r="I9" i="13"/>
  <c r="G9" i="26"/>
  <c r="I23" i="26"/>
  <c r="I35" i="26"/>
  <c r="I36" i="26"/>
  <c r="I116" i="14"/>
  <c r="I42" i="14"/>
  <c r="I13" i="26"/>
  <c r="I29" i="26"/>
  <c r="I14" i="26"/>
  <c r="I20" i="26"/>
  <c r="I22" i="26"/>
  <c r="I21" i="26"/>
  <c r="J903" i="7"/>
  <c r="J914" i="7" s="1"/>
  <c r="J170" i="8"/>
  <c r="J165" i="8"/>
  <c r="I139" i="8"/>
  <c r="J139" i="8"/>
  <c r="J175" i="8"/>
  <c r="J136" i="8"/>
  <c r="J181" i="8"/>
  <c r="J180" i="8" s="1"/>
  <c r="J135" i="8"/>
  <c r="L834" i="7"/>
  <c r="L836" i="7" s="1"/>
  <c r="J60" i="14"/>
  <c r="J52" i="8"/>
  <c r="J53" i="8" s="1"/>
  <c r="J50" i="8"/>
  <c r="I24" i="14"/>
  <c r="I24" i="26" s="1"/>
  <c r="E24" i="23"/>
  <c r="C25" i="23"/>
  <c r="C26" i="23" s="1"/>
  <c r="C27" i="23" s="1"/>
  <c r="C28" i="23" s="1"/>
  <c r="F74" i="16" l="1"/>
  <c r="H74" i="16"/>
  <c r="G74" i="16"/>
  <c r="I19" i="14"/>
  <c r="H223" i="34"/>
  <c r="H224" i="34" s="1"/>
  <c r="I53" i="16"/>
  <c r="I70" i="16"/>
  <c r="I49" i="16"/>
  <c r="I57" i="16"/>
  <c r="J9" i="13"/>
  <c r="H9" i="26"/>
  <c r="I9" i="8"/>
  <c r="H9" i="14"/>
  <c r="I9" i="19" s="1"/>
  <c r="I99" i="14"/>
  <c r="J221" i="8"/>
  <c r="J137" i="8"/>
  <c r="J237" i="8"/>
  <c r="I52" i="22"/>
  <c r="I74" i="16" l="1"/>
  <c r="K9" i="13"/>
  <c r="I9" i="26"/>
  <c r="I9" i="14"/>
  <c r="J9" i="19" s="1"/>
  <c r="J9" i="8"/>
  <c r="I136" i="14"/>
  <c r="I37" i="22"/>
  <c r="I39" i="22" s="1"/>
  <c r="I68" i="22" s="1"/>
  <c r="I56" i="21"/>
  <c r="I45" i="21"/>
  <c r="I28" i="21"/>
  <c r="H73" i="14" s="1"/>
  <c r="H19" i="16" s="1"/>
  <c r="I15" i="21"/>
  <c r="I6" i="21"/>
  <c r="H115" i="14" l="1"/>
  <c r="I48" i="21"/>
  <c r="I819" i="7" s="1"/>
  <c r="C16" i="25" s="1"/>
  <c r="D22" i="28" s="1"/>
  <c r="E22" i="28" s="1"/>
  <c r="F22" i="28" s="1"/>
  <c r="I818" i="7"/>
  <c r="C15" i="25" s="1"/>
  <c r="D10" i="28" s="1"/>
  <c r="L9" i="13"/>
  <c r="J9" i="26"/>
  <c r="J9" i="14"/>
  <c r="K9" i="19" s="1"/>
  <c r="K9" i="8"/>
  <c r="I92" i="8"/>
  <c r="J92" i="8" s="1"/>
  <c r="H59" i="14"/>
  <c r="I69" i="21"/>
  <c r="I71" i="21" s="1"/>
  <c r="I36" i="21"/>
  <c r="M521" i="7"/>
  <c r="M522" i="7" s="1"/>
  <c r="I171" i="8"/>
  <c r="I23" i="21"/>
  <c r="I33" i="20"/>
  <c r="I312" i="7" s="1"/>
  <c r="I18" i="20"/>
  <c r="I9" i="20"/>
  <c r="E10" i="28" l="1"/>
  <c r="D11" i="28"/>
  <c r="D12" i="28" s="1"/>
  <c r="D16" i="28" s="1"/>
  <c r="I8" i="7"/>
  <c r="I310" i="7" s="1"/>
  <c r="I16" i="13"/>
  <c r="I17" i="13" s="1"/>
  <c r="I18" i="13" s="1"/>
  <c r="H65" i="14"/>
  <c r="I28" i="20"/>
  <c r="I35" i="20" s="1"/>
  <c r="I821" i="7" s="1"/>
  <c r="I175" i="8"/>
  <c r="I177" i="8" s="1"/>
  <c r="H114" i="14" s="1"/>
  <c r="H25" i="16" s="1"/>
  <c r="H26" i="16" s="1"/>
  <c r="I20" i="8"/>
  <c r="I23" i="20"/>
  <c r="I20" i="20"/>
  <c r="I21" i="20" s="1"/>
  <c r="M9" i="13"/>
  <c r="K9" i="26"/>
  <c r="K9" i="14"/>
  <c r="L9" i="19" s="1"/>
  <c r="L9" i="8"/>
  <c r="I59" i="14"/>
  <c r="K92" i="8"/>
  <c r="I38" i="21"/>
  <c r="I907" i="7" s="1"/>
  <c r="I909" i="7" s="1"/>
  <c r="C9" i="20"/>
  <c r="D9" i="20"/>
  <c r="E9" i="20"/>
  <c r="E16" i="13" s="1"/>
  <c r="E17" i="13" s="1"/>
  <c r="E18" i="13" s="1"/>
  <c r="F9" i="20"/>
  <c r="F16" i="13" s="1"/>
  <c r="F17" i="13" s="1"/>
  <c r="F18" i="13" s="1"/>
  <c r="G9" i="20"/>
  <c r="G16" i="13" s="1"/>
  <c r="G17" i="13" s="1"/>
  <c r="G18" i="13" s="1"/>
  <c r="H9" i="20"/>
  <c r="H16" i="13" s="1"/>
  <c r="H17" i="13" s="1"/>
  <c r="H18" i="13" s="1"/>
  <c r="C18" i="20"/>
  <c r="D18" i="20"/>
  <c r="E18" i="20"/>
  <c r="E28" i="20" s="1"/>
  <c r="F18" i="20"/>
  <c r="F28" i="20" s="1"/>
  <c r="G18" i="20"/>
  <c r="H18" i="20"/>
  <c r="C33" i="20"/>
  <c r="C312" i="7" s="1"/>
  <c r="D33" i="20"/>
  <c r="D312" i="7" s="1"/>
  <c r="E33" i="20"/>
  <c r="E312" i="7" s="1"/>
  <c r="F33" i="20"/>
  <c r="F312" i="7" s="1"/>
  <c r="G33" i="20"/>
  <c r="G312" i="7" s="1"/>
  <c r="H33" i="20"/>
  <c r="H312" i="7" s="1"/>
  <c r="G313" i="7" l="1"/>
  <c r="E313" i="7"/>
  <c r="E35" i="20"/>
  <c r="E821" i="7" s="1"/>
  <c r="I24" i="13"/>
  <c r="I25" i="13" s="1"/>
  <c r="I26" i="13" s="1"/>
  <c r="I29" i="13" s="1"/>
  <c r="I175" i="7"/>
  <c r="E175" i="8"/>
  <c r="E20" i="8"/>
  <c r="E23" i="20"/>
  <c r="E20" i="20"/>
  <c r="E21" i="20" s="1"/>
  <c r="H14" i="14"/>
  <c r="H78" i="16" s="1"/>
  <c r="H80" i="16" s="1"/>
  <c r="I22" i="8"/>
  <c r="F10" i="28"/>
  <c r="F11" i="28" s="1"/>
  <c r="F12" i="28" s="1"/>
  <c r="F16" i="28" s="1"/>
  <c r="E11" i="28"/>
  <c r="E12" i="28" s="1"/>
  <c r="H7" i="28" s="1"/>
  <c r="G28" i="20"/>
  <c r="G35" i="20" s="1"/>
  <c r="G175" i="8"/>
  <c r="G177" i="8" s="1"/>
  <c r="F114" i="14" s="1"/>
  <c r="F25" i="16" s="1"/>
  <c r="F26" i="16" s="1"/>
  <c r="G20" i="8"/>
  <c r="G23" i="20"/>
  <c r="G20" i="20"/>
  <c r="G21" i="20" s="1"/>
  <c r="C28" i="20"/>
  <c r="C35" i="20" s="1"/>
  <c r="C23" i="20"/>
  <c r="C20" i="20"/>
  <c r="C21" i="20" s="1"/>
  <c r="C175" i="7" s="1"/>
  <c r="K312" i="7"/>
  <c r="F313" i="7"/>
  <c r="F175" i="8"/>
  <c r="F177" i="8" s="1"/>
  <c r="E114" i="14" s="1"/>
  <c r="E25" i="16" s="1"/>
  <c r="E26" i="16" s="1"/>
  <c r="F23" i="20"/>
  <c r="F20" i="8"/>
  <c r="F20" i="20"/>
  <c r="F21" i="20" s="1"/>
  <c r="H313" i="7"/>
  <c r="L312" i="7"/>
  <c r="D313" i="7"/>
  <c r="H28" i="20"/>
  <c r="H35" i="20" s="1"/>
  <c r="H175" i="8"/>
  <c r="H177" i="8" s="1"/>
  <c r="G114" i="14" s="1"/>
  <c r="G25" i="16" s="1"/>
  <c r="G26" i="16" s="1"/>
  <c r="H23" i="20"/>
  <c r="H20" i="8"/>
  <c r="H20" i="20"/>
  <c r="H21" i="20" s="1"/>
  <c r="D28" i="20"/>
  <c r="D35" i="20" s="1"/>
  <c r="D23" i="20"/>
  <c r="D20" i="20"/>
  <c r="D21" i="20" s="1"/>
  <c r="D175" i="7" s="1"/>
  <c r="I38" i="20"/>
  <c r="I44" i="20" s="1"/>
  <c r="I47" i="20" s="1"/>
  <c r="I49" i="20" s="1"/>
  <c r="N9" i="13"/>
  <c r="L9" i="26"/>
  <c r="L9" i="14"/>
  <c r="M9" i="19" s="1"/>
  <c r="M9" i="8"/>
  <c r="I313" i="7"/>
  <c r="I39" i="21"/>
  <c r="I73" i="21"/>
  <c r="I820" i="7"/>
  <c r="J59" i="14"/>
  <c r="L92" i="8"/>
  <c r="F35" i="20"/>
  <c r="H8" i="7"/>
  <c r="H310" i="7" s="1"/>
  <c r="G8" i="7"/>
  <c r="G310" i="7" s="1"/>
  <c r="F8" i="7"/>
  <c r="F310" i="7" s="1"/>
  <c r="E8" i="7"/>
  <c r="E310" i="7" s="1"/>
  <c r="D8" i="7"/>
  <c r="D310" i="7" s="1"/>
  <c r="C8" i="7"/>
  <c r="C310" i="7" s="1"/>
  <c r="H7" i="7"/>
  <c r="G7" i="7"/>
  <c r="F7" i="7"/>
  <c r="K7" i="7" s="1"/>
  <c r="E7" i="7"/>
  <c r="D7" i="7"/>
  <c r="L7" i="7" s="1"/>
  <c r="C7" i="7"/>
  <c r="B7" i="7"/>
  <c r="C6" i="7"/>
  <c r="B6" i="7"/>
  <c r="C71" i="22"/>
  <c r="H64" i="22"/>
  <c r="G64" i="22"/>
  <c r="D64" i="22"/>
  <c r="C64" i="22"/>
  <c r="H52" i="22"/>
  <c r="G52" i="22"/>
  <c r="F52" i="22"/>
  <c r="E52" i="22"/>
  <c r="D52" i="22"/>
  <c r="C52" i="22"/>
  <c r="D37" i="22"/>
  <c r="D39" i="22" s="1"/>
  <c r="C37" i="22"/>
  <c r="C39" i="22" s="1"/>
  <c r="D4" i="22"/>
  <c r="E4" i="22" s="1"/>
  <c r="F4" i="22" s="1"/>
  <c r="G4" i="22" s="1"/>
  <c r="H4" i="22" s="1"/>
  <c r="I4" i="22" s="1"/>
  <c r="D67" i="21"/>
  <c r="C67" i="21"/>
  <c r="H56" i="21"/>
  <c r="G56" i="21"/>
  <c r="F56" i="21"/>
  <c r="E56" i="21"/>
  <c r="D56" i="21"/>
  <c r="C56" i="21"/>
  <c r="H45" i="21"/>
  <c r="G45" i="21"/>
  <c r="F45" i="21"/>
  <c r="E45" i="21"/>
  <c r="D45" i="21"/>
  <c r="C45" i="21"/>
  <c r="H28" i="21"/>
  <c r="G73" i="14" s="1"/>
  <c r="G19" i="16" s="1"/>
  <c r="G28" i="21"/>
  <c r="F73" i="14" s="1"/>
  <c r="F19" i="16" s="1"/>
  <c r="F28" i="21"/>
  <c r="E73" i="14" s="1"/>
  <c r="E19" i="16" s="1"/>
  <c r="E28" i="21"/>
  <c r="D73" i="14" s="1"/>
  <c r="D19" i="16" s="1"/>
  <c r="D28" i="21"/>
  <c r="C28" i="21"/>
  <c r="H15" i="21"/>
  <c r="G15" i="21"/>
  <c r="F15" i="21"/>
  <c r="E15" i="21"/>
  <c r="D15" i="21"/>
  <c r="C15" i="21"/>
  <c r="H6" i="21"/>
  <c r="G6" i="21"/>
  <c r="F6" i="21"/>
  <c r="E6" i="21"/>
  <c r="D6" i="21"/>
  <c r="C6" i="21"/>
  <c r="D4" i="21"/>
  <c r="E4" i="21" s="1"/>
  <c r="F4" i="21" s="1"/>
  <c r="G4" i="21" s="1"/>
  <c r="H4" i="21" s="1"/>
  <c r="I4" i="21" s="1"/>
  <c r="D5" i="20"/>
  <c r="E38" i="20" l="1"/>
  <c r="E44" i="20" s="1"/>
  <c r="E47" i="20" s="1"/>
  <c r="E49" i="20" s="1"/>
  <c r="G38" i="20"/>
  <c r="G44" i="20" s="1"/>
  <c r="G47" i="20" s="1"/>
  <c r="G49" i="20" s="1"/>
  <c r="G821" i="7"/>
  <c r="F115" i="14"/>
  <c r="E48" i="21"/>
  <c r="E819" i="7" s="1"/>
  <c r="E818" i="7"/>
  <c r="C38" i="20"/>
  <c r="C44" i="20" s="1"/>
  <c r="C47" i="20" s="1"/>
  <c r="C49" i="20" s="1"/>
  <c r="C821" i="7"/>
  <c r="H24" i="13"/>
  <c r="H25" i="13" s="1"/>
  <c r="H26" i="13" s="1"/>
  <c r="H29" i="13" s="1"/>
  <c r="H175" i="7"/>
  <c r="E14" i="14"/>
  <c r="E78" i="16" s="1"/>
  <c r="E80" i="16" s="1"/>
  <c r="F22" i="8"/>
  <c r="G24" i="13"/>
  <c r="G25" i="13" s="1"/>
  <c r="G26" i="13" s="1"/>
  <c r="G29" i="13" s="1"/>
  <c r="G175" i="7"/>
  <c r="D14" i="14"/>
  <c r="D14" i="26" s="1"/>
  <c r="E22" i="8"/>
  <c r="G115" i="14"/>
  <c r="F48" i="21"/>
  <c r="F819" i="7" s="1"/>
  <c r="F818" i="7"/>
  <c r="D38" i="20"/>
  <c r="D44" i="20" s="1"/>
  <c r="D47" i="20" s="1"/>
  <c r="D49" i="20" s="1"/>
  <c r="D821" i="7"/>
  <c r="G14" i="14"/>
  <c r="G78" i="16" s="1"/>
  <c r="G80" i="16" s="1"/>
  <c r="H22" i="8"/>
  <c r="E16" i="28"/>
  <c r="I136" i="8"/>
  <c r="H14" i="26"/>
  <c r="H15" i="14"/>
  <c r="H44" i="16" s="1"/>
  <c r="H46" i="16" s="1"/>
  <c r="E5" i="20"/>
  <c r="D174" i="7"/>
  <c r="D115" i="14"/>
  <c r="C48" i="21"/>
  <c r="C819" i="7" s="1"/>
  <c r="C818" i="7"/>
  <c r="H38" i="20"/>
  <c r="H44" i="20" s="1"/>
  <c r="H47" i="20" s="1"/>
  <c r="H49" i="20" s="1"/>
  <c r="H821" i="7"/>
  <c r="F14" i="14"/>
  <c r="F78" i="16" s="1"/>
  <c r="F80" i="16" s="1"/>
  <c r="G22" i="8"/>
  <c r="E24" i="13"/>
  <c r="E25" i="13" s="1"/>
  <c r="E26" i="13" s="1"/>
  <c r="E29" i="13" s="1"/>
  <c r="E175" i="7"/>
  <c r="E115" i="14"/>
  <c r="D48" i="21"/>
  <c r="D819" i="7" s="1"/>
  <c r="D818" i="7"/>
  <c r="H48" i="21"/>
  <c r="H819" i="7" s="1"/>
  <c r="H818" i="7"/>
  <c r="D6" i="7"/>
  <c r="F38" i="20"/>
  <c r="F44" i="20" s="1"/>
  <c r="F47" i="20" s="1"/>
  <c r="F49" i="20" s="1"/>
  <c r="F821" i="7"/>
  <c r="M9" i="14"/>
  <c r="O9" i="13"/>
  <c r="N9" i="14" s="1"/>
  <c r="O9" i="19" s="1"/>
  <c r="M9" i="26"/>
  <c r="K18" i="13"/>
  <c r="L18" i="13" s="1"/>
  <c r="M18" i="13" s="1"/>
  <c r="K26" i="13"/>
  <c r="L26" i="13" s="1"/>
  <c r="M26" i="13" s="1"/>
  <c r="K25" i="13"/>
  <c r="L25" i="13" s="1"/>
  <c r="M25" i="13" s="1"/>
  <c r="K17" i="13"/>
  <c r="L17" i="13" s="1"/>
  <c r="M17" i="13" s="1"/>
  <c r="K24" i="13"/>
  <c r="K16" i="13"/>
  <c r="K19" i="13" s="1"/>
  <c r="K15" i="8" s="1"/>
  <c r="K13" i="8" s="1"/>
  <c r="N9" i="8"/>
  <c r="F24" i="13"/>
  <c r="F25" i="13" s="1"/>
  <c r="F26" i="13" s="1"/>
  <c r="F29" i="13" s="1"/>
  <c r="F175" i="7"/>
  <c r="G48" i="21"/>
  <c r="G819" i="7" s="1"/>
  <c r="G818" i="7"/>
  <c r="F92" i="8"/>
  <c r="E59" i="14"/>
  <c r="E92" i="8"/>
  <c r="D59" i="14"/>
  <c r="G92" i="8"/>
  <c r="F59" i="14"/>
  <c r="H92" i="8"/>
  <c r="G59" i="14"/>
  <c r="M92" i="8"/>
  <c r="K59" i="14"/>
  <c r="F23" i="21"/>
  <c r="D69" i="21"/>
  <c r="D71" i="21" s="1"/>
  <c r="C23" i="21"/>
  <c r="G23" i="21"/>
  <c r="E69" i="21"/>
  <c r="F36" i="21"/>
  <c r="F171" i="8"/>
  <c r="F172" i="8" s="1"/>
  <c r="J521" i="7"/>
  <c r="J522" i="7" s="1"/>
  <c r="C36" i="21"/>
  <c r="G521" i="7"/>
  <c r="G522" i="7" s="1"/>
  <c r="G36" i="21"/>
  <c r="G171" i="8"/>
  <c r="G172" i="8" s="1"/>
  <c r="K521" i="7"/>
  <c r="K522" i="7" s="1"/>
  <c r="H36" i="21"/>
  <c r="H171" i="8"/>
  <c r="H172" i="8" s="1"/>
  <c r="L521" i="7"/>
  <c r="L522" i="7" s="1"/>
  <c r="D36" i="21"/>
  <c r="H521" i="7"/>
  <c r="H522" i="7" s="1"/>
  <c r="F69" i="21"/>
  <c r="E36" i="21"/>
  <c r="I521" i="7"/>
  <c r="I522" i="7" s="1"/>
  <c r="E171" i="8"/>
  <c r="E172" i="8" s="1"/>
  <c r="H69" i="21"/>
  <c r="C69" i="21"/>
  <c r="C71" i="21" s="1"/>
  <c r="G69" i="21"/>
  <c r="G71" i="21" s="1"/>
  <c r="D23" i="21"/>
  <c r="H23" i="21"/>
  <c r="E23" i="21"/>
  <c r="N9" i="19" l="1"/>
  <c r="E38" i="21"/>
  <c r="E907" i="7" s="1"/>
  <c r="E909" i="7" s="1"/>
  <c r="H71" i="21"/>
  <c r="F38" i="21"/>
  <c r="F907" i="7" s="1"/>
  <c r="F909" i="7" s="1"/>
  <c r="L24" i="13"/>
  <c r="K27" i="13"/>
  <c r="K29" i="13" s="1"/>
  <c r="K22" i="8" s="1"/>
  <c r="K20" i="8" s="1"/>
  <c r="J14" i="14" s="1"/>
  <c r="J78" i="16" s="1"/>
  <c r="E71" i="21"/>
  <c r="L175" i="7"/>
  <c r="F65" i="14"/>
  <c r="E65" i="14"/>
  <c r="K250" i="8"/>
  <c r="K252" i="8" s="1"/>
  <c r="J35" i="14" s="1"/>
  <c r="K48" i="8"/>
  <c r="K43" i="8"/>
  <c r="J23" i="14" s="1"/>
  <c r="K28" i="8"/>
  <c r="J20" i="14" s="1"/>
  <c r="K33" i="8"/>
  <c r="J21" i="14" s="1"/>
  <c r="K210" i="8"/>
  <c r="K256" i="8"/>
  <c r="K257" i="8" s="1"/>
  <c r="J72" i="14" s="1"/>
  <c r="J130" i="14" s="1"/>
  <c r="J132" i="14" s="1"/>
  <c r="K164" i="8"/>
  <c r="K170" i="8" s="1"/>
  <c r="J13" i="14"/>
  <c r="K159" i="8"/>
  <c r="K38" i="8"/>
  <c r="J22" i="14" s="1"/>
  <c r="K205" i="8"/>
  <c r="K175" i="7"/>
  <c r="G65" i="14"/>
  <c r="D65" i="14"/>
  <c r="F14" i="26"/>
  <c r="F15" i="14"/>
  <c r="F44" i="16" s="1"/>
  <c r="F46" i="16" s="1"/>
  <c r="F5" i="20"/>
  <c r="E174" i="7"/>
  <c r="E6" i="7"/>
  <c r="K821" i="7"/>
  <c r="L821" i="7"/>
  <c r="P9" i="13"/>
  <c r="O9" i="14" s="1"/>
  <c r="P9" i="19" s="1"/>
  <c r="O9" i="8"/>
  <c r="H25" i="14"/>
  <c r="H48" i="16" s="1"/>
  <c r="H43" i="14"/>
  <c r="H15" i="26"/>
  <c r="H17" i="14"/>
  <c r="G14" i="26"/>
  <c r="G15" i="14"/>
  <c r="G44" i="16" s="1"/>
  <c r="G46" i="16" s="1"/>
  <c r="E14" i="26"/>
  <c r="E15" i="14"/>
  <c r="E44" i="16" s="1"/>
  <c r="E46" i="16" s="1"/>
  <c r="F71" i="21"/>
  <c r="F39" i="21"/>
  <c r="L818" i="7"/>
  <c r="K818" i="7"/>
  <c r="L819" i="7"/>
  <c r="K819" i="7"/>
  <c r="G93" i="8"/>
  <c r="F93" i="8"/>
  <c r="H93" i="8"/>
  <c r="I93" i="8"/>
  <c r="G38" i="21"/>
  <c r="G907" i="7" s="1"/>
  <c r="G909" i="7" s="1"/>
  <c r="C38" i="21"/>
  <c r="L59" i="14"/>
  <c r="N92" i="8"/>
  <c r="H38" i="21"/>
  <c r="D38" i="21"/>
  <c r="P522" i="7"/>
  <c r="O522" i="7"/>
  <c r="H85" i="16" l="1"/>
  <c r="H86" i="16" s="1"/>
  <c r="H50" i="16"/>
  <c r="J45" i="16"/>
  <c r="N7" i="32"/>
  <c r="K7" i="32"/>
  <c r="O7" i="32"/>
  <c r="D23" i="32" s="1"/>
  <c r="D27" i="32" s="1"/>
  <c r="E820" i="7"/>
  <c r="E39" i="21"/>
  <c r="E73" i="21"/>
  <c r="F73" i="21"/>
  <c r="F820" i="7"/>
  <c r="J22" i="26"/>
  <c r="J23" i="26"/>
  <c r="M24" i="13"/>
  <c r="M27" i="13" s="1"/>
  <c r="M29" i="13" s="1"/>
  <c r="M22" i="8" s="1"/>
  <c r="L27" i="13"/>
  <c r="L29" i="13" s="1"/>
  <c r="L22" i="8" s="1"/>
  <c r="H820" i="7"/>
  <c r="H907" i="7"/>
  <c r="H909" i="7" s="1"/>
  <c r="F17" i="14"/>
  <c r="F15" i="26"/>
  <c r="F43" i="14"/>
  <c r="F25" i="14"/>
  <c r="F48" i="16" s="1"/>
  <c r="E15" i="26"/>
  <c r="E43" i="14"/>
  <c r="E25" i="14"/>
  <c r="E48" i="16" s="1"/>
  <c r="E17" i="14"/>
  <c r="J20" i="26"/>
  <c r="Q9" i="13"/>
  <c r="P9" i="14" s="1"/>
  <c r="Q9" i="19" s="1"/>
  <c r="P9" i="8"/>
  <c r="G17" i="14"/>
  <c r="G43" i="14"/>
  <c r="G15" i="26"/>
  <c r="G25" i="14"/>
  <c r="K50" i="8"/>
  <c r="K52" i="8"/>
  <c r="K53" i="8" s="1"/>
  <c r="J24" i="14"/>
  <c r="J24" i="26" s="1"/>
  <c r="D39" i="21"/>
  <c r="D907" i="7"/>
  <c r="D909" i="7" s="1"/>
  <c r="D820" i="7"/>
  <c r="C39" i="21"/>
  <c r="C907" i="7"/>
  <c r="C909" i="7" s="1"/>
  <c r="C820" i="7"/>
  <c r="I13" i="19"/>
  <c r="I15" i="19" s="1"/>
  <c r="I17" i="19" s="1"/>
  <c r="I19" i="19" s="1"/>
  <c r="I23" i="19" s="1"/>
  <c r="H25" i="26"/>
  <c r="H27" i="14"/>
  <c r="K841" i="7"/>
  <c r="K843" i="7" s="1"/>
  <c r="H44" i="14"/>
  <c r="H30" i="14"/>
  <c r="H52" i="16" s="1"/>
  <c r="G5" i="20"/>
  <c r="F174" i="7"/>
  <c r="F6" i="7"/>
  <c r="J14" i="26"/>
  <c r="K175" i="8"/>
  <c r="K136" i="8"/>
  <c r="M834" i="7"/>
  <c r="M836" i="7" s="1"/>
  <c r="K903" i="7"/>
  <c r="K914" i="7" s="1"/>
  <c r="J13" i="26"/>
  <c r="J42" i="14"/>
  <c r="J36" i="26"/>
  <c r="K135" i="8"/>
  <c r="K181" i="8"/>
  <c r="K180" i="8" s="1"/>
  <c r="J116" i="14"/>
  <c r="J21" i="26"/>
  <c r="K139" i="8"/>
  <c r="J35" i="26"/>
  <c r="M59" i="14"/>
  <c r="C44" i="19" s="1"/>
  <c r="O92" i="8"/>
  <c r="G39" i="21"/>
  <c r="G820" i="7"/>
  <c r="G73" i="21"/>
  <c r="H39" i="21"/>
  <c r="H73" i="21"/>
  <c r="J19" i="14" l="1"/>
  <c r="F85" i="16"/>
  <c r="F86" i="16" s="1"/>
  <c r="F50" i="16"/>
  <c r="H93" i="16"/>
  <c r="H95" i="16" s="1"/>
  <c r="H88" i="16"/>
  <c r="H91" i="16" s="1"/>
  <c r="H54" i="16"/>
  <c r="R7" i="32"/>
  <c r="G48" i="16"/>
  <c r="E50" i="16"/>
  <c r="E85" i="16"/>
  <c r="E86" i="16" s="1"/>
  <c r="C63" i="19"/>
  <c r="D31" i="32"/>
  <c r="D32" i="32" s="1"/>
  <c r="I223" i="34"/>
  <c r="I224" i="34" s="1"/>
  <c r="J57" i="16"/>
  <c r="J53" i="16"/>
  <c r="J70" i="16"/>
  <c r="J49" i="16"/>
  <c r="C303" i="34"/>
  <c r="C304" i="34"/>
  <c r="K137" i="8"/>
  <c r="L820" i="7"/>
  <c r="P92" i="8"/>
  <c r="N59" i="14"/>
  <c r="K820" i="7"/>
  <c r="H5" i="20"/>
  <c r="G174" i="7"/>
  <c r="G6" i="7"/>
  <c r="H13" i="19"/>
  <c r="H15" i="19" s="1"/>
  <c r="H17" i="19" s="1"/>
  <c r="H19" i="19" s="1"/>
  <c r="H23" i="19" s="1"/>
  <c r="G44" i="14"/>
  <c r="G30" i="14"/>
  <c r="G52" i="16" s="1"/>
  <c r="G25" i="26"/>
  <c r="J841" i="7"/>
  <c r="J843" i="7" s="1"/>
  <c r="G27" i="14"/>
  <c r="H45" i="14"/>
  <c r="H30" i="26"/>
  <c r="H32" i="14"/>
  <c r="C21" i="25"/>
  <c r="C22" i="25" s="1"/>
  <c r="D18" i="28" s="1"/>
  <c r="H37" i="14"/>
  <c r="G13" i="19"/>
  <c r="G15" i="19" s="1"/>
  <c r="G17" i="19" s="1"/>
  <c r="G19" i="19" s="1"/>
  <c r="G23" i="19" s="1"/>
  <c r="F25" i="26"/>
  <c r="F30" i="14"/>
  <c r="F52" i="16" s="1"/>
  <c r="F27" i="14"/>
  <c r="F44" i="14"/>
  <c r="K221" i="8"/>
  <c r="K237" i="8"/>
  <c r="J99" i="14"/>
  <c r="R9" i="13"/>
  <c r="Q9" i="14" s="1"/>
  <c r="R9" i="19" s="1"/>
  <c r="Q9" i="8"/>
  <c r="F13" i="19"/>
  <c r="F15" i="19" s="1"/>
  <c r="F17" i="19" s="1"/>
  <c r="F19" i="19" s="1"/>
  <c r="F23" i="19" s="1"/>
  <c r="E27" i="14"/>
  <c r="E25" i="26"/>
  <c r="E30" i="14"/>
  <c r="E52" i="16" s="1"/>
  <c r="E44" i="14"/>
  <c r="J25" i="19"/>
  <c r="K25" i="19" s="1"/>
  <c r="L25" i="19" s="1"/>
  <c r="M25" i="19" s="1"/>
  <c r="N25" i="19" s="1"/>
  <c r="O25" i="19" s="1"/>
  <c r="P25" i="19" s="1"/>
  <c r="Q25" i="19" s="1"/>
  <c r="R25" i="19" s="1"/>
  <c r="S25" i="19" s="1"/>
  <c r="F88" i="16" l="1"/>
  <c r="F91" i="16" s="1"/>
  <c r="F93" i="16"/>
  <c r="F95" i="16" s="1"/>
  <c r="F54" i="16"/>
  <c r="G85" i="16"/>
  <c r="G86" i="16" s="1"/>
  <c r="G50" i="16"/>
  <c r="E54" i="16"/>
  <c r="E93" i="16"/>
  <c r="E95" i="16" s="1"/>
  <c r="E88" i="16"/>
  <c r="G88" i="16"/>
  <c r="G91" i="16" s="1"/>
  <c r="G93" i="16"/>
  <c r="G95" i="16" s="1"/>
  <c r="G54" i="16"/>
  <c r="J136" i="14"/>
  <c r="J74" i="16"/>
  <c r="Q92" i="8"/>
  <c r="O59" i="14"/>
  <c r="H37" i="26"/>
  <c r="H40" i="14"/>
  <c r="H56" i="16" s="1"/>
  <c r="H46" i="14"/>
  <c r="G30" i="26"/>
  <c r="G37" i="14"/>
  <c r="G45" i="14"/>
  <c r="G32" i="14"/>
  <c r="E32" i="14"/>
  <c r="E45" i="14"/>
  <c r="E37" i="14"/>
  <c r="E30" i="26"/>
  <c r="S9" i="13"/>
  <c r="R9" i="8"/>
  <c r="F37" i="14"/>
  <c r="F45" i="14"/>
  <c r="F30" i="26"/>
  <c r="F32" i="14"/>
  <c r="D20" i="28"/>
  <c r="D23" i="28" s="1"/>
  <c r="D24" i="28" s="1"/>
  <c r="E18" i="28"/>
  <c r="H174" i="7"/>
  <c r="I5" i="20"/>
  <c r="H6" i="7"/>
  <c r="E9" i="16"/>
  <c r="F9" i="16" s="1"/>
  <c r="G9" i="16" s="1"/>
  <c r="H9" i="16" s="1"/>
  <c r="I9" i="16" s="1"/>
  <c r="J9" i="16" s="1"/>
  <c r="K9" i="16" s="1"/>
  <c r="L9" i="16" s="1"/>
  <c r="M9" i="16" s="1"/>
  <c r="H64" i="16" l="1"/>
  <c r="H66" i="16" s="1"/>
  <c r="H60" i="16"/>
  <c r="H58" i="16"/>
  <c r="U7" i="32"/>
  <c r="D24" i="32" s="1"/>
  <c r="S9" i="8"/>
  <c r="R9" i="14"/>
  <c r="S9" i="19" s="1"/>
  <c r="R92" i="8"/>
  <c r="P59" i="14"/>
  <c r="G8" i="22"/>
  <c r="F46" i="14"/>
  <c r="F37" i="26"/>
  <c r="F40" i="14"/>
  <c r="F56" i="16" s="1"/>
  <c r="F8" i="22"/>
  <c r="E46" i="14"/>
  <c r="E37" i="26"/>
  <c r="E40" i="14"/>
  <c r="E56" i="16" s="1"/>
  <c r="H40" i="26"/>
  <c r="H47" i="14"/>
  <c r="I174" i="7"/>
  <c r="I6" i="7"/>
  <c r="G46" i="14"/>
  <c r="G37" i="26"/>
  <c r="G40" i="14"/>
  <c r="H8" i="22"/>
  <c r="F18" i="28"/>
  <c r="F20" i="28" s="1"/>
  <c r="F23" i="28" s="1"/>
  <c r="F24" i="28" s="1"/>
  <c r="E20" i="28"/>
  <c r="E23" i="28" s="1"/>
  <c r="E24" i="28" s="1"/>
  <c r="C26" i="19" s="1"/>
  <c r="D18" i="16"/>
  <c r="D79" i="16" s="1"/>
  <c r="E58" i="16" l="1"/>
  <c r="E64" i="16"/>
  <c r="E66" i="16" s="1"/>
  <c r="E60" i="16"/>
  <c r="F64" i="16"/>
  <c r="F66" i="16" s="1"/>
  <c r="F60" i="16"/>
  <c r="F58" i="16"/>
  <c r="X7" i="32"/>
  <c r="G56" i="16"/>
  <c r="P27" i="19"/>
  <c r="S27" i="19"/>
  <c r="O27" i="19"/>
  <c r="Q27" i="19"/>
  <c r="R27" i="19"/>
  <c r="S92" i="8"/>
  <c r="R59" i="14" s="1"/>
  <c r="Q59" i="14"/>
  <c r="G120" i="14"/>
  <c r="G126" i="14" s="1"/>
  <c r="G142" i="14" s="1"/>
  <c r="H26" i="22"/>
  <c r="H37" i="22" s="1"/>
  <c r="H39" i="22" s="1"/>
  <c r="H68" i="22" s="1"/>
  <c r="E47" i="14"/>
  <c r="E40" i="26"/>
  <c r="F47" i="14"/>
  <c r="F40" i="26"/>
  <c r="G40" i="26"/>
  <c r="G47" i="14"/>
  <c r="N27" i="19"/>
  <c r="K27" i="19"/>
  <c r="L27" i="19"/>
  <c r="J27" i="19"/>
  <c r="M27" i="19"/>
  <c r="E120" i="14"/>
  <c r="E126" i="14" s="1"/>
  <c r="E142" i="14" s="1"/>
  <c r="F26" i="22"/>
  <c r="F37" i="22" s="1"/>
  <c r="F39" i="22" s="1"/>
  <c r="F68" i="22" s="1"/>
  <c r="G26" i="22"/>
  <c r="G37" i="22" s="1"/>
  <c r="G39" i="22" s="1"/>
  <c r="G68" i="22" s="1"/>
  <c r="F120" i="14"/>
  <c r="F126" i="14" s="1"/>
  <c r="F142" i="14" s="1"/>
  <c r="E20" i="16"/>
  <c r="D14" i="16"/>
  <c r="D20" i="16" s="1"/>
  <c r="D45" i="16"/>
  <c r="D32" i="16"/>
  <c r="D78" i="16"/>
  <c r="D80" i="16" s="1"/>
  <c r="D34" i="16"/>
  <c r="E90" i="16" s="1"/>
  <c r="D84" i="16"/>
  <c r="D15" i="14"/>
  <c r="G64" i="16" l="1"/>
  <c r="G66" i="16" s="1"/>
  <c r="G60" i="16"/>
  <c r="G58" i="16"/>
  <c r="D43" i="14"/>
  <c r="D15" i="26"/>
  <c r="D25" i="14"/>
  <c r="E13" i="19" s="1"/>
  <c r="E15" i="19" s="1"/>
  <c r="E17" i="19" s="1"/>
  <c r="E19" i="19" s="1"/>
  <c r="E23" i="19" s="1"/>
  <c r="D17" i="14"/>
  <c r="F20" i="16"/>
  <c r="D26" i="16"/>
  <c r="D44" i="16"/>
  <c r="D46" i="16" s="1"/>
  <c r="D65" i="16"/>
  <c r="D38" i="16"/>
  <c r="D70" i="16"/>
  <c r="D53" i="16"/>
  <c r="D49" i="16"/>
  <c r="D57" i="16"/>
  <c r="D44" i="14" l="1"/>
  <c r="D25" i="26"/>
  <c r="D27" i="14"/>
  <c r="D30" i="14"/>
  <c r="C60" i="19"/>
  <c r="D48" i="16"/>
  <c r="D85" i="16" s="1"/>
  <c r="D86" i="16" s="1"/>
  <c r="I131" i="8"/>
  <c r="B125" i="8"/>
  <c r="B126" i="8" s="1"/>
  <c r="B127" i="8" s="1"/>
  <c r="B128" i="8" s="1"/>
  <c r="B129" i="8" s="1"/>
  <c r="B130" i="8" s="1"/>
  <c r="D37" i="14" l="1"/>
  <c r="D45" i="14"/>
  <c r="D30" i="26"/>
  <c r="D32" i="14"/>
  <c r="D50" i="16"/>
  <c r="E74" i="16"/>
  <c r="D52" i="16"/>
  <c r="N179" i="13"/>
  <c r="N154" i="8" s="1"/>
  <c r="M179" i="13"/>
  <c r="M154" i="8" s="1"/>
  <c r="L179" i="13"/>
  <c r="L154" i="8" s="1"/>
  <c r="K179" i="13"/>
  <c r="K154" i="8" s="1"/>
  <c r="J179" i="13"/>
  <c r="J154" i="8" s="1"/>
  <c r="N171" i="13"/>
  <c r="M171" i="13"/>
  <c r="L171" i="13"/>
  <c r="K171" i="13"/>
  <c r="J171" i="13"/>
  <c r="N147" i="13"/>
  <c r="N235" i="8" s="1"/>
  <c r="M147" i="13"/>
  <c r="M235" i="8" s="1"/>
  <c r="L147" i="13"/>
  <c r="L235" i="8" s="1"/>
  <c r="K147" i="13"/>
  <c r="K235" i="8" s="1"/>
  <c r="J235" i="8"/>
  <c r="J234" i="8" s="1"/>
  <c r="N139" i="13"/>
  <c r="N145" i="8" s="1"/>
  <c r="M139" i="13"/>
  <c r="M145" i="8" s="1"/>
  <c r="L139" i="13"/>
  <c r="L145" i="8" s="1"/>
  <c r="K139" i="13"/>
  <c r="K145" i="8" s="1"/>
  <c r="J139" i="13"/>
  <c r="J145" i="8" s="1"/>
  <c r="N88" i="13"/>
  <c r="M88" i="13"/>
  <c r="L88" i="13"/>
  <c r="K88" i="13"/>
  <c r="J88" i="13"/>
  <c r="D40" i="14" l="1"/>
  <c r="D46" i="14"/>
  <c r="D37" i="26"/>
  <c r="J85" i="8"/>
  <c r="J83" i="8"/>
  <c r="N85" i="8"/>
  <c r="N83" i="8"/>
  <c r="M85" i="8"/>
  <c r="M83" i="8"/>
  <c r="K85" i="8"/>
  <c r="K83" i="8"/>
  <c r="L85" i="8"/>
  <c r="L83" i="8"/>
  <c r="K234" i="8"/>
  <c r="K238" i="8" s="1"/>
  <c r="I90" i="14"/>
  <c r="I30" i="16" s="1"/>
  <c r="L244" i="8"/>
  <c r="J244" i="8"/>
  <c r="N244" i="8"/>
  <c r="K244" i="8"/>
  <c r="M244" i="8"/>
  <c r="J238" i="8"/>
  <c r="E8" i="22"/>
  <c r="D120" i="14" s="1"/>
  <c r="D126" i="14" s="1"/>
  <c r="K119" i="8"/>
  <c r="J29" i="14" s="1"/>
  <c r="J82" i="8"/>
  <c r="I58" i="14" s="1"/>
  <c r="D93" i="16"/>
  <c r="D95" i="16" s="1"/>
  <c r="D54" i="16"/>
  <c r="B50" i="8"/>
  <c r="B44" i="8"/>
  <c r="B39" i="8"/>
  <c r="I84" i="16" l="1"/>
  <c r="I34" i="16"/>
  <c r="J29" i="26"/>
  <c r="K18" i="19"/>
  <c r="K14" i="19"/>
  <c r="D40" i="26"/>
  <c r="D47" i="14"/>
  <c r="I135" i="14"/>
  <c r="I95" i="14"/>
  <c r="L234" i="8"/>
  <c r="J90" i="14"/>
  <c r="J30" i="16" s="1"/>
  <c r="J121" i="14"/>
  <c r="K138" i="8"/>
  <c r="K240" i="8"/>
  <c r="J240" i="8"/>
  <c r="K245" i="8"/>
  <c r="K246" i="8" s="1"/>
  <c r="J34" i="14" s="1"/>
  <c r="J245" i="8"/>
  <c r="J246" i="8" s="1"/>
  <c r="I34" i="14" s="1"/>
  <c r="K239" i="8"/>
  <c r="J239" i="8"/>
  <c r="E26" i="22"/>
  <c r="E37" i="22" s="1"/>
  <c r="E39" i="22" s="1"/>
  <c r="E68" i="22" s="1"/>
  <c r="E71" i="22" s="1"/>
  <c r="F67" i="22" s="1"/>
  <c r="F71" i="22" s="1"/>
  <c r="G67" i="22" s="1"/>
  <c r="G71" i="22" s="1"/>
  <c r="H67" i="22" s="1"/>
  <c r="H71" i="22" s="1"/>
  <c r="I67" i="22" s="1"/>
  <c r="I71" i="22" s="1"/>
  <c r="D142" i="14"/>
  <c r="D145" i="14" s="1"/>
  <c r="K122" i="8"/>
  <c r="K127" i="8"/>
  <c r="L127" i="8" s="1"/>
  <c r="M127" i="8" s="1"/>
  <c r="N127" i="8" s="1"/>
  <c r="O127" i="8" s="1"/>
  <c r="P127" i="8" s="1"/>
  <c r="Q127" i="8" s="1"/>
  <c r="R127" i="8" s="1"/>
  <c r="S127" i="8" s="1"/>
  <c r="K79" i="8"/>
  <c r="J120" i="8"/>
  <c r="J123" i="8" s="1"/>
  <c r="E91" i="16"/>
  <c r="B34" i="8"/>
  <c r="B29" i="8"/>
  <c r="I90" i="16" l="1"/>
  <c r="I34" i="26"/>
  <c r="I89" i="16"/>
  <c r="J84" i="16"/>
  <c r="J34" i="16"/>
  <c r="J34" i="26"/>
  <c r="J89" i="16"/>
  <c r="J122" i="14"/>
  <c r="K140" i="8"/>
  <c r="J140" i="8"/>
  <c r="I122" i="14"/>
  <c r="J95" i="14"/>
  <c r="J135" i="14"/>
  <c r="M234" i="8"/>
  <c r="K90" i="14"/>
  <c r="E141" i="14"/>
  <c r="E145" i="14" s="1"/>
  <c r="K82" i="8"/>
  <c r="J58" i="14" s="1"/>
  <c r="J137" i="14" l="1"/>
  <c r="J94" i="16"/>
  <c r="I137" i="14"/>
  <c r="I139" i="14" s="1"/>
  <c r="I94" i="16"/>
  <c r="J90" i="16"/>
  <c r="K95" i="14"/>
  <c r="J139" i="14"/>
  <c r="N234" i="8"/>
  <c r="L90" i="14"/>
  <c r="L81" i="8"/>
  <c r="K120" i="8"/>
  <c r="K123" i="8" s="1"/>
  <c r="L79" i="8"/>
  <c r="D74" i="14"/>
  <c r="E74" i="14"/>
  <c r="E13" i="16" s="1"/>
  <c r="F141" i="14"/>
  <c r="F145" i="14" s="1"/>
  <c r="E15" i="16" l="1"/>
  <c r="E17" i="16"/>
  <c r="E21" i="16" s="1"/>
  <c r="D111" i="14"/>
  <c r="E111" i="14"/>
  <c r="M90" i="14"/>
  <c r="M95" i="14" s="1"/>
  <c r="O234" i="8"/>
  <c r="N90" i="14" s="1"/>
  <c r="L95" i="14"/>
  <c r="M81" i="8"/>
  <c r="L82" i="8"/>
  <c r="K58" i="14" s="1"/>
  <c r="G141" i="14"/>
  <c r="G145" i="14" s="1"/>
  <c r="F74" i="14"/>
  <c r="F13" i="16" s="1"/>
  <c r="E76" i="14"/>
  <c r="D76" i="14"/>
  <c r="D35" i="16" s="1"/>
  <c r="D13" i="16"/>
  <c r="E74" i="26" l="1"/>
  <c r="E35" i="16"/>
  <c r="F17" i="16"/>
  <c r="F21" i="16" s="1"/>
  <c r="F15" i="16"/>
  <c r="N135" i="14"/>
  <c r="N95" i="14"/>
  <c r="D109" i="14"/>
  <c r="D76" i="26"/>
  <c r="D68" i="26"/>
  <c r="D55" i="26"/>
  <c r="D72" i="26"/>
  <c r="D69" i="26"/>
  <c r="D57" i="26"/>
  <c r="D63" i="26"/>
  <c r="D58" i="26"/>
  <c r="D64" i="26"/>
  <c r="D62" i="26"/>
  <c r="D70" i="26"/>
  <c r="D71" i="26"/>
  <c r="D60" i="26"/>
  <c r="D61" i="26"/>
  <c r="D54" i="26"/>
  <c r="D56" i="26"/>
  <c r="D73" i="26"/>
  <c r="D59" i="26"/>
  <c r="D65" i="26"/>
  <c r="E109" i="14"/>
  <c r="E76" i="26"/>
  <c r="E68" i="26"/>
  <c r="E54" i="26"/>
  <c r="E69" i="26"/>
  <c r="E57" i="26"/>
  <c r="E64" i="26"/>
  <c r="E70" i="26"/>
  <c r="E56" i="26"/>
  <c r="E71" i="26"/>
  <c r="E60" i="26"/>
  <c r="E61" i="26"/>
  <c r="E63" i="26"/>
  <c r="E58" i="26"/>
  <c r="E72" i="26"/>
  <c r="E62" i="26"/>
  <c r="E55" i="26"/>
  <c r="E73" i="26"/>
  <c r="E59" i="26"/>
  <c r="E65" i="26"/>
  <c r="F111" i="14"/>
  <c r="D74" i="26"/>
  <c r="P234" i="8"/>
  <c r="O90" i="14" s="1"/>
  <c r="O238" i="8"/>
  <c r="O239" i="8" s="1"/>
  <c r="M79" i="8"/>
  <c r="D17" i="16"/>
  <c r="D21" i="16" s="1"/>
  <c r="D15" i="16"/>
  <c r="F76" i="14"/>
  <c r="F35" i="16" s="1"/>
  <c r="H141" i="14"/>
  <c r="H145" i="14" s="1"/>
  <c r="E39" i="16" l="1"/>
  <c r="E71" i="16"/>
  <c r="E72" i="16" s="1"/>
  <c r="E61" i="16"/>
  <c r="E62" i="16" s="1"/>
  <c r="E36" i="16"/>
  <c r="F71" i="16"/>
  <c r="F61" i="16"/>
  <c r="F62" i="16" s="1"/>
  <c r="F39" i="16"/>
  <c r="F36" i="16"/>
  <c r="O95" i="14"/>
  <c r="O135" i="14"/>
  <c r="F109" i="14"/>
  <c r="F76" i="26"/>
  <c r="F68" i="26"/>
  <c r="F56" i="26"/>
  <c r="F61" i="26"/>
  <c r="F72" i="26"/>
  <c r="F71" i="26"/>
  <c r="F55" i="26"/>
  <c r="F69" i="26"/>
  <c r="F57" i="26"/>
  <c r="F62" i="26"/>
  <c r="F64" i="26"/>
  <c r="F54" i="26"/>
  <c r="F58" i="26"/>
  <c r="F63" i="26"/>
  <c r="F70" i="26"/>
  <c r="F60" i="26"/>
  <c r="F73" i="26"/>
  <c r="F59" i="26"/>
  <c r="F65" i="26"/>
  <c r="F74" i="26"/>
  <c r="O240" i="8"/>
  <c r="Q234" i="8"/>
  <c r="P90" i="14" s="1"/>
  <c r="N81" i="8"/>
  <c r="O81" i="8" s="1"/>
  <c r="P81" i="8" s="1"/>
  <c r="Q81" i="8" s="1"/>
  <c r="R81" i="8" s="1"/>
  <c r="S81" i="8" s="1"/>
  <c r="M82" i="8"/>
  <c r="L58" i="14" s="1"/>
  <c r="H74" i="14"/>
  <c r="H13" i="16" s="1"/>
  <c r="G74" i="14"/>
  <c r="G13" i="16" s="1"/>
  <c r="D61" i="16"/>
  <c r="D36" i="16"/>
  <c r="D71" i="16"/>
  <c r="D72" i="16" s="1"/>
  <c r="D39" i="16"/>
  <c r="D40" i="16" s="1"/>
  <c r="I212" i="8"/>
  <c r="J212" i="8" s="1"/>
  <c r="I207" i="8"/>
  <c r="J207" i="8" s="1"/>
  <c r="K207" i="8" s="1"/>
  <c r="L207" i="8" s="1"/>
  <c r="M207" i="8" s="1"/>
  <c r="N207" i="8" s="1"/>
  <c r="O207" i="8" s="1"/>
  <c r="P207" i="8" s="1"/>
  <c r="Q207" i="8" s="1"/>
  <c r="R207" i="8" s="1"/>
  <c r="S207" i="8" s="1"/>
  <c r="I172" i="8"/>
  <c r="H15" i="16" l="1"/>
  <c r="H17" i="16"/>
  <c r="G17" i="16"/>
  <c r="G15" i="16"/>
  <c r="F75" i="16"/>
  <c r="F76" i="16" s="1"/>
  <c r="F72" i="16"/>
  <c r="P135" i="14"/>
  <c r="P95" i="14"/>
  <c r="G111" i="14"/>
  <c r="H111" i="14"/>
  <c r="K212" i="8"/>
  <c r="L212" i="8" s="1"/>
  <c r="M212" i="8" s="1"/>
  <c r="N212" i="8" s="1"/>
  <c r="O212" i="8" s="1"/>
  <c r="P212" i="8" s="1"/>
  <c r="Q212" i="8" s="1"/>
  <c r="R212" i="8" s="1"/>
  <c r="S212" i="8" s="1"/>
  <c r="J211" i="8"/>
  <c r="J226" i="8" s="1"/>
  <c r="R234" i="8"/>
  <c r="Q90" i="14" s="1"/>
  <c r="N79" i="8"/>
  <c r="N82" i="8" s="1"/>
  <c r="C61" i="19"/>
  <c r="H76" i="14"/>
  <c r="G76" i="14"/>
  <c r="G35" i="16" s="1"/>
  <c r="J206" i="8"/>
  <c r="H74" i="26" l="1"/>
  <c r="H35" i="16"/>
  <c r="G71" i="16"/>
  <c r="G61" i="16"/>
  <c r="G62" i="16" s="1"/>
  <c r="G39" i="16"/>
  <c r="G36" i="16"/>
  <c r="Q95" i="14"/>
  <c r="Q135" i="14"/>
  <c r="G76" i="26"/>
  <c r="G68" i="26"/>
  <c r="G69" i="26"/>
  <c r="G57" i="26"/>
  <c r="G62" i="26"/>
  <c r="G60" i="26"/>
  <c r="G71" i="26"/>
  <c r="G70" i="26"/>
  <c r="G54" i="26"/>
  <c r="G58" i="26"/>
  <c r="G63" i="26"/>
  <c r="G56" i="26"/>
  <c r="G72" i="26"/>
  <c r="G55" i="26"/>
  <c r="G64" i="26"/>
  <c r="G61" i="26"/>
  <c r="G73" i="26"/>
  <c r="G59" i="26"/>
  <c r="G65" i="26"/>
  <c r="G74" i="26"/>
  <c r="H76" i="26"/>
  <c r="H68" i="26"/>
  <c r="H60" i="26"/>
  <c r="H56" i="26"/>
  <c r="H54" i="26"/>
  <c r="H62" i="26"/>
  <c r="H58" i="26"/>
  <c r="H71" i="26"/>
  <c r="H57" i="26"/>
  <c r="H55" i="26"/>
  <c r="H64" i="26"/>
  <c r="H70" i="26"/>
  <c r="H61" i="26"/>
  <c r="H72" i="26"/>
  <c r="H69" i="26"/>
  <c r="H63" i="26"/>
  <c r="H73" i="26"/>
  <c r="H59" i="26"/>
  <c r="H65" i="26"/>
  <c r="M58" i="14"/>
  <c r="O79" i="8"/>
  <c r="O82" i="8" s="1"/>
  <c r="S234" i="8"/>
  <c r="R90" i="14" s="1"/>
  <c r="R238" i="8"/>
  <c r="R239" i="8" s="1"/>
  <c r="G109" i="14"/>
  <c r="H109" i="14"/>
  <c r="K206" i="8"/>
  <c r="K211" i="8"/>
  <c r="K226" i="8" s="1"/>
  <c r="G75" i="16" l="1"/>
  <c r="G76" i="16" s="1"/>
  <c r="G72" i="16"/>
  <c r="H71" i="16"/>
  <c r="H61" i="16"/>
  <c r="H62" i="16" s="1"/>
  <c r="H39" i="16"/>
  <c r="H36" i="16"/>
  <c r="P79" i="8"/>
  <c r="P82" i="8" s="1"/>
  <c r="N58" i="14"/>
  <c r="R135" i="14"/>
  <c r="R95" i="14"/>
  <c r="S238" i="8"/>
  <c r="S240" i="8" s="1"/>
  <c r="R240" i="8"/>
  <c r="F40" i="16"/>
  <c r="E40" i="16"/>
  <c r="J15" i="14"/>
  <c r="J44" i="16" s="1"/>
  <c r="J46" i="16" s="1"/>
  <c r="D56" i="16"/>
  <c r="H75" i="16" l="1"/>
  <c r="H76" i="16" s="1"/>
  <c r="H72" i="16"/>
  <c r="S245" i="8"/>
  <c r="S246" i="8" s="1"/>
  <c r="R34" i="14" s="1"/>
  <c r="Q79" i="8"/>
  <c r="Q82" i="8" s="1"/>
  <c r="O58" i="14"/>
  <c r="S239" i="8"/>
  <c r="J43" i="14"/>
  <c r="J15" i="26"/>
  <c r="E75" i="16"/>
  <c r="E76" i="16" s="1"/>
  <c r="J25" i="14"/>
  <c r="J48" i="16" s="1"/>
  <c r="J17" i="14"/>
  <c r="D64" i="16"/>
  <c r="D66" i="16" s="1"/>
  <c r="D60" i="16"/>
  <c r="D62" i="16" s="1"/>
  <c r="D58" i="16"/>
  <c r="I15" i="14"/>
  <c r="I44" i="16" s="1"/>
  <c r="I46" i="16" s="1"/>
  <c r="J131" i="8"/>
  <c r="K131" i="8"/>
  <c r="J85" i="16" l="1"/>
  <c r="J86" i="16" s="1"/>
  <c r="J50" i="16"/>
  <c r="Q7" i="32"/>
  <c r="R122" i="14"/>
  <c r="R137" i="14" s="1"/>
  <c r="R139" i="14" s="1"/>
  <c r="S140" i="8"/>
  <c r="R79" i="8"/>
  <c r="R82" i="8" s="1"/>
  <c r="P58" i="14"/>
  <c r="J25" i="26"/>
  <c r="K13" i="19"/>
  <c r="K15" i="19" s="1"/>
  <c r="I43" i="14"/>
  <c r="I15" i="26"/>
  <c r="J44" i="14"/>
  <c r="M841" i="7"/>
  <c r="M842" i="7" s="1"/>
  <c r="J27" i="14"/>
  <c r="J30" i="14"/>
  <c r="J52" i="16" s="1"/>
  <c r="I25" i="14"/>
  <c r="I48" i="16" s="1"/>
  <c r="I17" i="14"/>
  <c r="J141" i="8"/>
  <c r="J54" i="16" l="1"/>
  <c r="J88" i="16"/>
  <c r="J91" i="16" s="1"/>
  <c r="J93" i="16"/>
  <c r="J95" i="16" s="1"/>
  <c r="I50" i="16"/>
  <c r="I85" i="16"/>
  <c r="I86" i="16" s="1"/>
  <c r="J13" i="19"/>
  <c r="J15" i="19" s="1"/>
  <c r="P7" i="32"/>
  <c r="S7" i="32"/>
  <c r="T7" i="32"/>
  <c r="S79" i="8"/>
  <c r="S82" i="8" s="1"/>
  <c r="R58" i="14" s="1"/>
  <c r="Q58" i="14"/>
  <c r="J37" i="14"/>
  <c r="J37" i="26" s="1"/>
  <c r="J30" i="26"/>
  <c r="I25" i="26"/>
  <c r="I44" i="14"/>
  <c r="M847" i="7"/>
  <c r="L841" i="7"/>
  <c r="L842" i="7" s="1"/>
  <c r="J142" i="8"/>
  <c r="I39" i="14" s="1"/>
  <c r="J16" i="19" s="1"/>
  <c r="J17" i="19" s="1"/>
  <c r="J19" i="19" s="1"/>
  <c r="J32" i="14"/>
  <c r="J45" i="14"/>
  <c r="I27" i="14"/>
  <c r="I30" i="14"/>
  <c r="I52" i="16" s="1"/>
  <c r="K141" i="8"/>
  <c r="I54" i="16" l="1"/>
  <c r="I88" i="16"/>
  <c r="I91" i="16" s="1"/>
  <c r="I93" i="16"/>
  <c r="I95" i="16" s="1"/>
  <c r="J120" i="14"/>
  <c r="I37" i="14"/>
  <c r="I37" i="26" s="1"/>
  <c r="I30" i="26"/>
  <c r="I45" i="14"/>
  <c r="I125" i="14"/>
  <c r="I39" i="26"/>
  <c r="L844" i="7"/>
  <c r="L847" i="7"/>
  <c r="M844" i="7"/>
  <c r="J143" i="8"/>
  <c r="K142" i="8"/>
  <c r="J39" i="14" s="1"/>
  <c r="I32" i="14"/>
  <c r="I46" i="14" l="1"/>
  <c r="I40" i="14"/>
  <c r="I56" i="16" s="1"/>
  <c r="J39" i="26"/>
  <c r="K16" i="19"/>
  <c r="K17" i="19" s="1"/>
  <c r="K19" i="19" s="1"/>
  <c r="I120" i="14"/>
  <c r="J125" i="14"/>
  <c r="J40" i="14"/>
  <c r="J56" i="16" s="1"/>
  <c r="K143" i="8"/>
  <c r="J64" i="16" l="1"/>
  <c r="J60" i="16"/>
  <c r="J58" i="16"/>
  <c r="I58" i="16"/>
  <c r="I60" i="16"/>
  <c r="I64" i="16"/>
  <c r="W7" i="32"/>
  <c r="Z7" i="32"/>
  <c r="I47" i="14"/>
  <c r="V7" i="32"/>
  <c r="Y7" i="32"/>
  <c r="J150" i="8"/>
  <c r="J151" i="8" s="1"/>
  <c r="I40" i="26"/>
  <c r="K150" i="8"/>
  <c r="K151" i="8" s="1"/>
  <c r="J40" i="26"/>
  <c r="J46" i="14"/>
  <c r="J152" i="8" l="1"/>
  <c r="I82" i="14" s="1"/>
  <c r="K149" i="8" s="1"/>
  <c r="K152" i="8" s="1"/>
  <c r="J82" i="14" s="1"/>
  <c r="I83" i="14" l="1"/>
  <c r="I14" i="16" s="1"/>
  <c r="J83" i="14"/>
  <c r="J14" i="16" s="1"/>
  <c r="L149" i="8"/>
  <c r="I141" i="8" l="1"/>
  <c r="I143" i="8" l="1"/>
  <c r="I145" i="8"/>
  <c r="J47" i="14" l="1"/>
  <c r="K15" i="13" l="1"/>
  <c r="M16" i="13" l="1"/>
  <c r="M19" i="13" s="1"/>
  <c r="M15" i="8" s="1"/>
  <c r="L19" i="13"/>
  <c r="L15" i="8" l="1"/>
  <c r="L13" i="8" s="1"/>
  <c r="M13" i="8" s="1"/>
  <c r="N13" i="8" s="1"/>
  <c r="O13" i="8" s="1"/>
  <c r="O60" i="8" s="1"/>
  <c r="K60" i="14"/>
  <c r="N13" i="14" l="1"/>
  <c r="O135" i="8" s="1"/>
  <c r="O159" i="8"/>
  <c r="O160" i="8" s="1"/>
  <c r="N71" i="14" s="1"/>
  <c r="O250" i="8"/>
  <c r="O252" i="8" s="1"/>
  <c r="N35" i="14" s="1"/>
  <c r="O139" i="8" s="1"/>
  <c r="O164" i="8"/>
  <c r="O256" i="8"/>
  <c r="O257" i="8" s="1"/>
  <c r="N72" i="14" s="1"/>
  <c r="O205" i="8"/>
  <c r="O206" i="8" s="1"/>
  <c r="O210" i="8"/>
  <c r="O211" i="8" s="1"/>
  <c r="N128" i="14"/>
  <c r="O22" i="19" s="1"/>
  <c r="O43" i="8"/>
  <c r="N23" i="14" s="1"/>
  <c r="O33" i="8"/>
  <c r="N21" i="14" s="1"/>
  <c r="O20" i="8"/>
  <c r="N14" i="14" s="1"/>
  <c r="O48" i="8"/>
  <c r="N24" i="14" s="1"/>
  <c r="O28" i="8"/>
  <c r="N20" i="14" s="1"/>
  <c r="O38" i="8"/>
  <c r="N22" i="14" s="1"/>
  <c r="P13" i="8"/>
  <c r="L33" i="8"/>
  <c r="K21" i="14" s="1"/>
  <c r="L48" i="8"/>
  <c r="K24" i="14" s="1"/>
  <c r="L20" i="8"/>
  <c r="K14" i="14" s="1"/>
  <c r="K78" i="16" s="1"/>
  <c r="L38" i="8"/>
  <c r="K22" i="14" s="1"/>
  <c r="L60" i="8"/>
  <c r="L61" i="8" s="1"/>
  <c r="L62" i="8" s="1"/>
  <c r="K13" i="14"/>
  <c r="L43" i="8"/>
  <c r="K23" i="14" s="1"/>
  <c r="L250" i="8"/>
  <c r="L252" i="8" s="1"/>
  <c r="K35" i="14" s="1"/>
  <c r="L159" i="8"/>
  <c r="L205" i="8"/>
  <c r="L206" i="8" s="1"/>
  <c r="M256" i="8"/>
  <c r="M257" i="8" s="1"/>
  <c r="L72" i="14" s="1"/>
  <c r="L28" i="8"/>
  <c r="K20" i="14" s="1"/>
  <c r="L164" i="8"/>
  <c r="L170" i="8" s="1"/>
  <c r="L210" i="8"/>
  <c r="L211" i="8" s="1"/>
  <c r="L226" i="8" s="1"/>
  <c r="L256" i="8"/>
  <c r="L257" i="8" s="1"/>
  <c r="K72" i="14" s="1"/>
  <c r="M250" i="8"/>
  <c r="M252" i="8" s="1"/>
  <c r="L35" i="14" s="1"/>
  <c r="M205" i="8"/>
  <c r="M206" i="8" s="1"/>
  <c r="M210" i="8"/>
  <c r="M211" i="8" s="1"/>
  <c r="K135" i="14"/>
  <c r="M60" i="8"/>
  <c r="L128" i="14" s="1"/>
  <c r="M22" i="19" s="1"/>
  <c r="L68" i="8"/>
  <c r="L69" i="8" s="1"/>
  <c r="K55" i="14" s="1"/>
  <c r="L60" i="14"/>
  <c r="M164" i="8"/>
  <c r="M170" i="8" s="1"/>
  <c r="M159" i="8"/>
  <c r="M20" i="8"/>
  <c r="M38" i="8"/>
  <c r="L22" i="14" s="1"/>
  <c r="M43" i="8"/>
  <c r="L23" i="14" s="1"/>
  <c r="M33" i="8"/>
  <c r="L21" i="14" s="1"/>
  <c r="M48" i="8"/>
  <c r="M28" i="8"/>
  <c r="L20" i="14" s="1"/>
  <c r="N256" i="8"/>
  <c r="N257" i="8" s="1"/>
  <c r="L13" i="14"/>
  <c r="L45" i="16" s="1"/>
  <c r="N19" i="14" l="1"/>
  <c r="K19" i="14"/>
  <c r="J223" i="34"/>
  <c r="J224" i="34" s="1"/>
  <c r="L70" i="16"/>
  <c r="L49" i="16"/>
  <c r="L53" i="16"/>
  <c r="L57" i="16"/>
  <c r="N834" i="7"/>
  <c r="N836" i="7" s="1"/>
  <c r="K45" i="16"/>
  <c r="O13" i="14"/>
  <c r="P135" i="8" s="1"/>
  <c r="P60" i="8"/>
  <c r="O128" i="14" s="1"/>
  <c r="P22" i="19" s="1"/>
  <c r="N116" i="14"/>
  <c r="N15" i="14"/>
  <c r="N43" i="14" s="1"/>
  <c r="O136" i="8"/>
  <c r="O137" i="8"/>
  <c r="O165" i="8"/>
  <c r="N70" i="14" s="1"/>
  <c r="O170" i="8"/>
  <c r="O171" i="8" s="1"/>
  <c r="N73" i="14" s="1"/>
  <c r="N115" i="14" s="1"/>
  <c r="P250" i="8"/>
  <c r="P252" i="8" s="1"/>
  <c r="O35" i="14" s="1"/>
  <c r="P139" i="8" s="1"/>
  <c r="P164" i="8"/>
  <c r="P256" i="8"/>
  <c r="P257" i="8" s="1"/>
  <c r="O72" i="14" s="1"/>
  <c r="O130" i="14" s="1"/>
  <c r="P205" i="8"/>
  <c r="P206" i="8" s="1"/>
  <c r="P210" i="8"/>
  <c r="P211" i="8" s="1"/>
  <c r="P226" i="8" s="1"/>
  <c r="P159" i="8"/>
  <c r="P160" i="8" s="1"/>
  <c r="P43" i="8"/>
  <c r="O23" i="14" s="1"/>
  <c r="P33" i="8"/>
  <c r="O21" i="14" s="1"/>
  <c r="P20" i="8"/>
  <c r="O14" i="14" s="1"/>
  <c r="Q13" i="8"/>
  <c r="P28" i="8"/>
  <c r="O20" i="14" s="1"/>
  <c r="P38" i="8"/>
  <c r="O22" i="14" s="1"/>
  <c r="P48" i="8"/>
  <c r="O24" i="14" s="1"/>
  <c r="O52" i="8"/>
  <c r="O53" i="8" s="1"/>
  <c r="O50" i="8"/>
  <c r="L50" i="8"/>
  <c r="L181" i="8"/>
  <c r="L180" i="8" s="1"/>
  <c r="L221" i="8" s="1"/>
  <c r="K23" i="26"/>
  <c r="K128" i="14"/>
  <c r="L22" i="19" s="1"/>
  <c r="K24" i="26"/>
  <c r="L136" i="8"/>
  <c r="K14" i="26"/>
  <c r="K130" i="14"/>
  <c r="L21" i="26"/>
  <c r="L903" i="7"/>
  <c r="L914" i="7" s="1"/>
  <c r="K36" i="26"/>
  <c r="K13" i="26"/>
  <c r="K42" i="14"/>
  <c r="K116" i="14"/>
  <c r="M903" i="7"/>
  <c r="M914" i="7" s="1"/>
  <c r="L36" i="26"/>
  <c r="L13" i="26"/>
  <c r="L116" i="14"/>
  <c r="L42" i="14"/>
  <c r="L23" i="26"/>
  <c r="M139" i="8"/>
  <c r="L35" i="26"/>
  <c r="K21" i="26"/>
  <c r="L20" i="26"/>
  <c r="L22" i="26"/>
  <c r="K20" i="26"/>
  <c r="L139" i="8"/>
  <c r="K35" i="26"/>
  <c r="K22" i="26"/>
  <c r="M226" i="8"/>
  <c r="L135" i="8"/>
  <c r="L137" i="8"/>
  <c r="L52" i="8"/>
  <c r="L53" i="8" s="1"/>
  <c r="L130" i="14"/>
  <c r="M72" i="14"/>
  <c r="N130" i="14" s="1"/>
  <c r="N132" i="14" s="1"/>
  <c r="M61" i="8"/>
  <c r="L119" i="8"/>
  <c r="K29" i="14" s="1"/>
  <c r="M135" i="8"/>
  <c r="M59" i="8"/>
  <c r="K54" i="14"/>
  <c r="N250" i="8"/>
  <c r="N252" i="8" s="1"/>
  <c r="M35" i="14" s="1"/>
  <c r="N205" i="8"/>
  <c r="N206" i="8" s="1"/>
  <c r="N210" i="8"/>
  <c r="N211" i="8" s="1"/>
  <c r="N226" i="8" s="1"/>
  <c r="L135" i="14"/>
  <c r="O834" i="7"/>
  <c r="M181" i="8"/>
  <c r="M180" i="8" s="1"/>
  <c r="N60" i="8"/>
  <c r="M128" i="14" s="1"/>
  <c r="N22" i="19" s="1"/>
  <c r="K15" i="14"/>
  <c r="K44" i="16" s="1"/>
  <c r="L175" i="8"/>
  <c r="L63" i="8"/>
  <c r="L120" i="8"/>
  <c r="M68" i="8"/>
  <c r="M60" i="14"/>
  <c r="M52" i="8"/>
  <c r="M53" i="8" s="1"/>
  <c r="N164" i="8"/>
  <c r="N170" i="8" s="1"/>
  <c r="N159" i="8"/>
  <c r="L14" i="14"/>
  <c r="L78" i="16" s="1"/>
  <c r="M50" i="8"/>
  <c r="L24" i="14"/>
  <c r="K223" i="34" s="1"/>
  <c r="K224" i="34" s="1"/>
  <c r="N33" i="8"/>
  <c r="M21" i="14" s="1"/>
  <c r="N38" i="8"/>
  <c r="M22" i="14" s="1"/>
  <c r="N48" i="8"/>
  <c r="N28" i="8"/>
  <c r="M20" i="14" s="1"/>
  <c r="N43" i="8"/>
  <c r="M23" i="14" s="1"/>
  <c r="M13" i="14"/>
  <c r="N20" i="8"/>
  <c r="K46" i="16" l="1"/>
  <c r="L19" i="14"/>
  <c r="K57" i="16"/>
  <c r="K70" i="16"/>
  <c r="K74" i="16" s="1"/>
  <c r="K49" i="16"/>
  <c r="K53" i="16"/>
  <c r="N42" i="14"/>
  <c r="M45" i="16"/>
  <c r="O19" i="14"/>
  <c r="O116" i="14"/>
  <c r="O42" i="14"/>
  <c r="N17" i="14"/>
  <c r="P13" i="14"/>
  <c r="Q135" i="8" s="1"/>
  <c r="Q60" i="8"/>
  <c r="P128" i="14" s="1"/>
  <c r="Q22" i="19" s="1"/>
  <c r="N25" i="14"/>
  <c r="O13" i="19" s="1"/>
  <c r="O15" i="14"/>
  <c r="O43" i="14" s="1"/>
  <c r="P136" i="8"/>
  <c r="P137" i="8"/>
  <c r="K132" i="14"/>
  <c r="O132" i="14"/>
  <c r="K99" i="14"/>
  <c r="P216" i="8"/>
  <c r="O71" i="14"/>
  <c r="P50" i="8"/>
  <c r="P52" i="8"/>
  <c r="P53" i="8" s="1"/>
  <c r="P170" i="8"/>
  <c r="P171" i="8" s="1"/>
  <c r="P165" i="8"/>
  <c r="O70" i="14" s="1"/>
  <c r="O226" i="8"/>
  <c r="Q256" i="8"/>
  <c r="Q257" i="8" s="1"/>
  <c r="P72" i="14" s="1"/>
  <c r="Q205" i="8"/>
  <c r="Q206" i="8" s="1"/>
  <c r="Q210" i="8"/>
  <c r="Q211" i="8" s="1"/>
  <c r="Q226" i="8" s="1"/>
  <c r="Q159" i="8"/>
  <c r="Q160" i="8" s="1"/>
  <c r="R13" i="8"/>
  <c r="Q48" i="8"/>
  <c r="P24" i="14" s="1"/>
  <c r="Q38" i="8"/>
  <c r="P22" i="14" s="1"/>
  <c r="Q28" i="8"/>
  <c r="P20" i="14" s="1"/>
  <c r="Q250" i="8"/>
  <c r="Q252" i="8" s="1"/>
  <c r="P35" i="14" s="1"/>
  <c r="Q139" i="8" s="1"/>
  <c r="Q20" i="8"/>
  <c r="P14" i="14" s="1"/>
  <c r="Q164" i="8"/>
  <c r="Q33" i="8"/>
  <c r="P21" i="14" s="1"/>
  <c r="Q43" i="8"/>
  <c r="P23" i="14" s="1"/>
  <c r="O167" i="8"/>
  <c r="M221" i="8"/>
  <c r="L237" i="8"/>
  <c r="L238" i="8" s="1"/>
  <c r="L245" i="8" s="1"/>
  <c r="L246" i="8" s="1"/>
  <c r="K34" i="14" s="1"/>
  <c r="M20" i="26"/>
  <c r="O20" i="26" s="1"/>
  <c r="K29" i="26"/>
  <c r="L18" i="19"/>
  <c r="L14" i="19"/>
  <c r="M23" i="26"/>
  <c r="P23" i="26" s="1"/>
  <c r="M21" i="26"/>
  <c r="O21" i="26" s="1"/>
  <c r="M22" i="26"/>
  <c r="O22" i="26" s="1"/>
  <c r="N903" i="7"/>
  <c r="N914" i="7" s="1"/>
  <c r="M13" i="26"/>
  <c r="M116" i="14"/>
  <c r="M42" i="14"/>
  <c r="M36" i="26"/>
  <c r="K15" i="26"/>
  <c r="K43" i="14"/>
  <c r="M137" i="8"/>
  <c r="L24" i="26"/>
  <c r="M136" i="8"/>
  <c r="L14" i="26"/>
  <c r="N139" i="8"/>
  <c r="M35" i="26"/>
  <c r="L132" i="14"/>
  <c r="M130" i="14"/>
  <c r="M62" i="8"/>
  <c r="L54" i="14" s="1"/>
  <c r="N61" i="8"/>
  <c r="O61" i="8" s="1"/>
  <c r="M119" i="8"/>
  <c r="L29" i="14" s="1"/>
  <c r="N135" i="8"/>
  <c r="K121" i="14"/>
  <c r="L138" i="8"/>
  <c r="M135" i="14"/>
  <c r="L99" i="14"/>
  <c r="L30" i="16" s="1"/>
  <c r="M237" i="8"/>
  <c r="P834" i="7"/>
  <c r="N181" i="8"/>
  <c r="N180" i="8" s="1"/>
  <c r="K17" i="14"/>
  <c r="K25" i="14"/>
  <c r="M175" i="8"/>
  <c r="L128" i="8"/>
  <c r="L123" i="8"/>
  <c r="L122" i="8"/>
  <c r="L70" i="8"/>
  <c r="M66" i="8"/>
  <c r="M69" i="8" s="1"/>
  <c r="M14" i="14"/>
  <c r="M78" i="16" s="1"/>
  <c r="N52" i="8"/>
  <c r="N53" i="8" s="1"/>
  <c r="L15" i="14"/>
  <c r="L44" i="16" s="1"/>
  <c r="L46" i="16" s="1"/>
  <c r="U23" i="14"/>
  <c r="T23" i="14"/>
  <c r="N50" i="8"/>
  <c r="M24" i="14"/>
  <c r="M19" i="14" s="1"/>
  <c r="T20" i="14"/>
  <c r="U20" i="14"/>
  <c r="T13" i="14"/>
  <c r="U22" i="14"/>
  <c r="T22" i="14"/>
  <c r="U13" i="14"/>
  <c r="K34" i="26" l="1"/>
  <c r="K89" i="16"/>
  <c r="P19" i="14"/>
  <c r="M53" i="16"/>
  <c r="M57" i="16"/>
  <c r="M70" i="16"/>
  <c r="M49" i="16"/>
  <c r="L13" i="19"/>
  <c r="L15" i="19" s="1"/>
  <c r="K48" i="16"/>
  <c r="K85" i="16" s="1"/>
  <c r="T42" i="14"/>
  <c r="U42" i="14"/>
  <c r="L223" i="34"/>
  <c r="L224" i="34" s="1"/>
  <c r="L84" i="16"/>
  <c r="L34" i="16"/>
  <c r="L74" i="16"/>
  <c r="K136" i="14"/>
  <c r="K30" i="16"/>
  <c r="O25" i="14"/>
  <c r="P13" i="19" s="1"/>
  <c r="O17" i="14"/>
  <c r="P42" i="14"/>
  <c r="O23" i="26"/>
  <c r="P116" i="14"/>
  <c r="N44" i="14"/>
  <c r="Q13" i="14"/>
  <c r="R135" i="8" s="1"/>
  <c r="R60" i="8"/>
  <c r="Q128" i="14" s="1"/>
  <c r="R22" i="19" s="1"/>
  <c r="N27" i="14"/>
  <c r="Q137" i="8"/>
  <c r="P15" i="14"/>
  <c r="P17" i="14" s="1"/>
  <c r="Q136" i="8"/>
  <c r="P217" i="8"/>
  <c r="O73" i="14"/>
  <c r="O115" i="14" s="1"/>
  <c r="P130" i="14"/>
  <c r="P132" i="14" s="1"/>
  <c r="Q216" i="8"/>
  <c r="P71" i="14"/>
  <c r="Q52" i="8"/>
  <c r="Q53" i="8" s="1"/>
  <c r="Q50" i="8"/>
  <c r="P167" i="8"/>
  <c r="P215" i="8"/>
  <c r="P61" i="8"/>
  <c r="R210" i="8"/>
  <c r="R211" i="8" s="1"/>
  <c r="R226" i="8" s="1"/>
  <c r="R159" i="8"/>
  <c r="R160" i="8" s="1"/>
  <c r="R250" i="8"/>
  <c r="R252" i="8" s="1"/>
  <c r="Q35" i="14" s="1"/>
  <c r="R139" i="8" s="1"/>
  <c r="R164" i="8"/>
  <c r="R48" i="8"/>
  <c r="Q24" i="14" s="1"/>
  <c r="R38" i="8"/>
  <c r="Q22" i="14" s="1"/>
  <c r="R28" i="8"/>
  <c r="Q20" i="14" s="1"/>
  <c r="R205" i="8"/>
  <c r="R206" i="8" s="1"/>
  <c r="R33" i="8"/>
  <c r="Q21" i="14" s="1"/>
  <c r="R256" i="8"/>
  <c r="R257" i="8" s="1"/>
  <c r="Q72" i="14" s="1"/>
  <c r="R20" i="8"/>
  <c r="Q14" i="14" s="1"/>
  <c r="R43" i="8"/>
  <c r="Q23" i="14" s="1"/>
  <c r="S13" i="8"/>
  <c r="Q181" i="8"/>
  <c r="Q180" i="8" s="1"/>
  <c r="P99" i="14" s="1"/>
  <c r="P181" i="8"/>
  <c r="P180" i="8" s="1"/>
  <c r="O99" i="14" s="1"/>
  <c r="O136" i="14" s="1"/>
  <c r="N221" i="8"/>
  <c r="O221" i="8"/>
  <c r="Q165" i="8"/>
  <c r="P70" i="14" s="1"/>
  <c r="Q170" i="8"/>
  <c r="Q171" i="8" s="1"/>
  <c r="P21" i="26"/>
  <c r="P20" i="26"/>
  <c r="P22" i="26"/>
  <c r="M18" i="19"/>
  <c r="M14" i="19"/>
  <c r="L15" i="26"/>
  <c r="L43" i="14"/>
  <c r="L136" i="14"/>
  <c r="O13" i="26"/>
  <c r="P13" i="26"/>
  <c r="N137" i="8"/>
  <c r="M24" i="26"/>
  <c r="N136" i="8"/>
  <c r="M14" i="26"/>
  <c r="K27" i="14"/>
  <c r="K25" i="26"/>
  <c r="K44" i="14"/>
  <c r="L121" i="14"/>
  <c r="L29" i="26"/>
  <c r="M63" i="8"/>
  <c r="N59" i="8"/>
  <c r="N62" i="8" s="1"/>
  <c r="O59" i="8" s="1"/>
  <c r="O62" i="8" s="1"/>
  <c r="N54" i="14" s="1"/>
  <c r="K122" i="14"/>
  <c r="L140" i="8"/>
  <c r="L141" i="8" s="1"/>
  <c r="M129" i="8"/>
  <c r="N129" i="8" s="1"/>
  <c r="O129" i="8" s="1"/>
  <c r="P129" i="8" s="1"/>
  <c r="Q129" i="8" s="1"/>
  <c r="R129" i="8" s="1"/>
  <c r="S129" i="8" s="1"/>
  <c r="M122" i="8"/>
  <c r="M138" i="8"/>
  <c r="M120" i="8"/>
  <c r="M123" i="8" s="1"/>
  <c r="L55" i="14"/>
  <c r="N841" i="7"/>
  <c r="N842" i="7" s="1"/>
  <c r="M132" i="14"/>
  <c r="L239" i="8"/>
  <c r="K30" i="14"/>
  <c r="K52" i="16" s="1"/>
  <c r="K54" i="16" s="1"/>
  <c r="M99" i="14"/>
  <c r="N237" i="8"/>
  <c r="L240" i="8"/>
  <c r="M238" i="8"/>
  <c r="M245" i="8" s="1"/>
  <c r="M246" i="8" s="1"/>
  <c r="L34" i="14" s="1"/>
  <c r="U24" i="14"/>
  <c r="T14" i="14"/>
  <c r="N175" i="8"/>
  <c r="L25" i="14"/>
  <c r="M128" i="8"/>
  <c r="N128" i="8" s="1"/>
  <c r="O128" i="8" s="1"/>
  <c r="P128" i="8" s="1"/>
  <c r="Q128" i="8" s="1"/>
  <c r="R128" i="8" s="1"/>
  <c r="S128" i="8" s="1"/>
  <c r="L131" i="8"/>
  <c r="M15" i="14"/>
  <c r="M44" i="16" s="1"/>
  <c r="M46" i="16" s="1"/>
  <c r="U14" i="14"/>
  <c r="M70" i="8"/>
  <c r="N66" i="8"/>
  <c r="O67" i="8" s="1"/>
  <c r="N67" i="8"/>
  <c r="N68" i="8" s="1"/>
  <c r="L17" i="14"/>
  <c r="T24" i="14"/>
  <c r="U21" i="14"/>
  <c r="T21" i="14"/>
  <c r="K50" i="16" l="1"/>
  <c r="Q19" i="14"/>
  <c r="K137" i="14"/>
  <c r="K139" i="14" s="1"/>
  <c r="K94" i="16"/>
  <c r="N136" i="14"/>
  <c r="M30" i="16"/>
  <c r="K84" i="16"/>
  <c r="K86" i="16" s="1"/>
  <c r="K34" i="16"/>
  <c r="M74" i="16"/>
  <c r="M13" i="19"/>
  <c r="M15" i="19" s="1"/>
  <c r="L48" i="16"/>
  <c r="L34" i="26"/>
  <c r="L89" i="16"/>
  <c r="K88" i="16"/>
  <c r="K93" i="16"/>
  <c r="O27" i="14"/>
  <c r="O44" i="14"/>
  <c r="Q42" i="14"/>
  <c r="Q116" i="14"/>
  <c r="P43" i="14"/>
  <c r="R13" i="14"/>
  <c r="S135" i="8" s="1"/>
  <c r="S60" i="8"/>
  <c r="R128" i="14" s="1"/>
  <c r="S22" i="19" s="1"/>
  <c r="P25" i="14"/>
  <c r="Q13" i="19" s="1"/>
  <c r="R137" i="8"/>
  <c r="Q15" i="14"/>
  <c r="Q43" i="14" s="1"/>
  <c r="R136" i="8"/>
  <c r="P218" i="8"/>
  <c r="Q217" i="8"/>
  <c r="P73" i="14"/>
  <c r="P115" i="14" s="1"/>
  <c r="R216" i="8"/>
  <c r="Q71" i="14"/>
  <c r="Q130" i="14"/>
  <c r="Q132" i="14" s="1"/>
  <c r="P136" i="14"/>
  <c r="Q136" i="14"/>
  <c r="N119" i="8"/>
  <c r="M29" i="14" s="1"/>
  <c r="N18" i="19" s="1"/>
  <c r="O68" i="8"/>
  <c r="P59" i="8"/>
  <c r="P62" i="8" s="1"/>
  <c r="O54" i="14" s="1"/>
  <c r="O63" i="8"/>
  <c r="Q61" i="8"/>
  <c r="P175" i="8"/>
  <c r="P176" i="8" s="1"/>
  <c r="S159" i="8"/>
  <c r="S160" i="8" s="1"/>
  <c r="S250" i="8"/>
  <c r="S252" i="8" s="1"/>
  <c r="R35" i="14" s="1"/>
  <c r="S139" i="8" s="1"/>
  <c r="S164" i="8"/>
  <c r="S256" i="8"/>
  <c r="S257" i="8" s="1"/>
  <c r="R72" i="14" s="1"/>
  <c r="R130" i="14" s="1"/>
  <c r="S205" i="8"/>
  <c r="S206" i="8" s="1"/>
  <c r="S210" i="8"/>
  <c r="S211" i="8" s="1"/>
  <c r="S226" i="8" s="1"/>
  <c r="S43" i="8"/>
  <c r="R23" i="14" s="1"/>
  <c r="S33" i="8"/>
  <c r="R21" i="14" s="1"/>
  <c r="S20" i="8"/>
  <c r="R14" i="14" s="1"/>
  <c r="S38" i="8"/>
  <c r="R22" i="14" s="1"/>
  <c r="S48" i="8"/>
  <c r="R24" i="14" s="1"/>
  <c r="S28" i="8"/>
  <c r="R20" i="14" s="1"/>
  <c r="Q175" i="8"/>
  <c r="Q176" i="8" s="1"/>
  <c r="P98" i="14" s="1"/>
  <c r="P105" i="14" s="1"/>
  <c r="R165" i="8"/>
  <c r="Q70" i="14" s="1"/>
  <c r="R170" i="8"/>
  <c r="R171" i="8" s="1"/>
  <c r="Q221" i="8"/>
  <c r="Q237" i="8"/>
  <c r="R221" i="8"/>
  <c r="Q167" i="8"/>
  <c r="Q215" i="8"/>
  <c r="P221" i="8"/>
  <c r="P237" i="8"/>
  <c r="R52" i="8"/>
  <c r="R53" i="8" s="1"/>
  <c r="R50" i="8"/>
  <c r="M136" i="14"/>
  <c r="O14" i="26"/>
  <c r="P14" i="26"/>
  <c r="K30" i="26"/>
  <c r="K45" i="14"/>
  <c r="M15" i="26"/>
  <c r="M43" i="14"/>
  <c r="L25" i="26"/>
  <c r="L44" i="14"/>
  <c r="O24" i="26"/>
  <c r="P24" i="26"/>
  <c r="M140" i="8"/>
  <c r="M141" i="8" s="1"/>
  <c r="L122" i="14"/>
  <c r="K37" i="14"/>
  <c r="K37" i="26" s="1"/>
  <c r="N844" i="7"/>
  <c r="N847" i="7"/>
  <c r="O841" i="7"/>
  <c r="O842" i="7" s="1"/>
  <c r="N63" i="8"/>
  <c r="M54" i="14"/>
  <c r="L142" i="8"/>
  <c r="K39" i="14" s="1"/>
  <c r="L16" i="19" s="1"/>
  <c r="L17" i="19" s="1"/>
  <c r="L19" i="19" s="1"/>
  <c r="M239" i="8"/>
  <c r="K32" i="14"/>
  <c r="N238" i="8"/>
  <c r="M240" i="8"/>
  <c r="L27" i="14"/>
  <c r="M17" i="14"/>
  <c r="M25" i="14"/>
  <c r="U15" i="14"/>
  <c r="T15" i="14"/>
  <c r="N69" i="8"/>
  <c r="K95" i="16" l="1"/>
  <c r="L137" i="14"/>
  <c r="L139" i="14" s="1"/>
  <c r="L94" i="16"/>
  <c r="L85" i="16"/>
  <c r="L86" i="16" s="1"/>
  <c r="L50" i="16"/>
  <c r="L90" i="16"/>
  <c r="K90" i="16"/>
  <c r="K91" i="16" s="1"/>
  <c r="T43" i="14"/>
  <c r="U43" i="14"/>
  <c r="R19" i="14"/>
  <c r="M84" i="16"/>
  <c r="M34" i="16"/>
  <c r="N13" i="19"/>
  <c r="M48" i="16"/>
  <c r="P44" i="14"/>
  <c r="P27" i="14"/>
  <c r="R42" i="14"/>
  <c r="M29" i="26"/>
  <c r="P29" i="26" s="1"/>
  <c r="M121" i="14"/>
  <c r="R116" i="14"/>
  <c r="Q25" i="14"/>
  <c r="R13" i="19" s="1"/>
  <c r="N130" i="8"/>
  <c r="Q17" i="14"/>
  <c r="N122" i="8"/>
  <c r="N138" i="8"/>
  <c r="N14" i="19"/>
  <c r="R15" i="14"/>
  <c r="R17" i="14" s="1"/>
  <c r="S136" i="8"/>
  <c r="S137" i="8"/>
  <c r="Q218" i="8"/>
  <c r="R132" i="14"/>
  <c r="R217" i="8"/>
  <c r="Q73" i="14"/>
  <c r="Q115" i="14" s="1"/>
  <c r="S216" i="8"/>
  <c r="R71" i="14"/>
  <c r="P220" i="8"/>
  <c r="P229" i="8" s="1"/>
  <c r="O98" i="14"/>
  <c r="O105" i="14" s="1"/>
  <c r="N239" i="8"/>
  <c r="O245" i="8"/>
  <c r="O246" i="8" s="1"/>
  <c r="N34" i="14" s="1"/>
  <c r="Q220" i="8"/>
  <c r="R220" i="8"/>
  <c r="Q59" i="8"/>
  <c r="Q62" i="8" s="1"/>
  <c r="P54" i="14" s="1"/>
  <c r="P63" i="8"/>
  <c r="M55" i="14"/>
  <c r="O66" i="8"/>
  <c r="R215" i="8"/>
  <c r="R167" i="8"/>
  <c r="R61" i="8"/>
  <c r="Q238" i="8"/>
  <c r="Q240" i="8" s="1"/>
  <c r="S52" i="8"/>
  <c r="S53" i="8" s="1"/>
  <c r="S50" i="8"/>
  <c r="O119" i="8"/>
  <c r="N29" i="14" s="1"/>
  <c r="O138" i="8" s="1"/>
  <c r="P238" i="8"/>
  <c r="S165" i="8"/>
  <c r="R70" i="14" s="1"/>
  <c r="S170" i="8"/>
  <c r="S171" i="8" s="1"/>
  <c r="O15" i="26"/>
  <c r="P15" i="26"/>
  <c r="P841" i="7"/>
  <c r="P842" i="7" s="1"/>
  <c r="P844" i="7" s="1"/>
  <c r="M25" i="26"/>
  <c r="M44" i="14"/>
  <c r="K125" i="14"/>
  <c r="K46" i="14"/>
  <c r="K39" i="26"/>
  <c r="K40" i="14"/>
  <c r="K56" i="16" s="1"/>
  <c r="O844" i="7"/>
  <c r="O847" i="7"/>
  <c r="K120" i="14"/>
  <c r="M142" i="8"/>
  <c r="L39" i="14" s="1"/>
  <c r="M16" i="19" s="1"/>
  <c r="M17" i="19" s="1"/>
  <c r="M19" i="19" s="1"/>
  <c r="L143" i="8"/>
  <c r="N245" i="8"/>
  <c r="N246" i="8" s="1"/>
  <c r="M34" i="14" s="1"/>
  <c r="N240" i="8"/>
  <c r="U25" i="14"/>
  <c r="T25" i="14"/>
  <c r="M27" i="14"/>
  <c r="N70" i="8"/>
  <c r="N120" i="8"/>
  <c r="N123" i="8" s="1"/>
  <c r="M131" i="8"/>
  <c r="N15" i="19" l="1"/>
  <c r="K64" i="16"/>
  <c r="K60" i="16"/>
  <c r="K58" i="16"/>
  <c r="T44" i="14"/>
  <c r="U44" i="14"/>
  <c r="M90" i="16"/>
  <c r="M34" i="26"/>
  <c r="M89" i="16"/>
  <c r="M50" i="16"/>
  <c r="M85" i="16"/>
  <c r="M86" i="16" s="1"/>
  <c r="O29" i="26"/>
  <c r="Q27" i="14"/>
  <c r="Q44" i="14"/>
  <c r="R43" i="14"/>
  <c r="Q229" i="8"/>
  <c r="P124" i="14" s="1"/>
  <c r="Q21" i="19" s="1"/>
  <c r="R25" i="14"/>
  <c r="S13" i="19" s="1"/>
  <c r="C53" i="19" s="1"/>
  <c r="C54" i="19" s="1"/>
  <c r="C55" i="19" s="1"/>
  <c r="N122" i="14"/>
  <c r="N137" i="14" s="1"/>
  <c r="N139" i="14" s="1"/>
  <c r="O140" i="8"/>
  <c r="O141" i="8" s="1"/>
  <c r="O18" i="19"/>
  <c r="O14" i="19"/>
  <c r="O15" i="19" s="1"/>
  <c r="R218" i="8"/>
  <c r="R229" i="8" s="1"/>
  <c r="N121" i="14"/>
  <c r="N30" i="14"/>
  <c r="P230" i="8"/>
  <c r="O124" i="14"/>
  <c r="P21" i="19" s="1"/>
  <c r="S217" i="8"/>
  <c r="R73" i="14"/>
  <c r="R115" i="14" s="1"/>
  <c r="O122" i="8"/>
  <c r="O130" i="8"/>
  <c r="O131" i="8" s="1"/>
  <c r="Q245" i="8"/>
  <c r="Q246" i="8" s="1"/>
  <c r="P34" i="14" s="1"/>
  <c r="P245" i="8"/>
  <c r="P246" i="8" s="1"/>
  <c r="O34" i="14" s="1"/>
  <c r="P239" i="8"/>
  <c r="R245" i="8"/>
  <c r="R246" i="8" s="1"/>
  <c r="Q34" i="14" s="1"/>
  <c r="Q239" i="8"/>
  <c r="Q63" i="8"/>
  <c r="R59" i="8"/>
  <c r="R62" i="8" s="1"/>
  <c r="Q54" i="14" s="1"/>
  <c r="S215" i="8"/>
  <c r="S167" i="8"/>
  <c r="P240" i="8"/>
  <c r="S61" i="8"/>
  <c r="O69" i="8"/>
  <c r="N55" i="14" s="1"/>
  <c r="N65" i="14" s="1"/>
  <c r="P67" i="8"/>
  <c r="P68" i="8" s="1"/>
  <c r="K40" i="26"/>
  <c r="K47" i="14"/>
  <c r="P847" i="7"/>
  <c r="R847" i="7" s="1"/>
  <c r="L125" i="14"/>
  <c r="L39" i="26"/>
  <c r="O25" i="26"/>
  <c r="P25" i="26"/>
  <c r="S844" i="7"/>
  <c r="N140" i="8"/>
  <c r="N141" i="8" s="1"/>
  <c r="M122" i="14"/>
  <c r="R844" i="7"/>
  <c r="L150" i="8"/>
  <c r="L151" i="8" s="1"/>
  <c r="M143" i="8"/>
  <c r="N131" i="8"/>
  <c r="L30" i="14"/>
  <c r="L52" i="16" s="1"/>
  <c r="L93" i="16" l="1"/>
  <c r="L95" i="16" s="1"/>
  <c r="L88" i="16"/>
  <c r="L91" i="16" s="1"/>
  <c r="L54" i="16"/>
  <c r="M137" i="14"/>
  <c r="M139" i="14" s="1"/>
  <c r="M94" i="16"/>
  <c r="R27" i="14"/>
  <c r="Q230" i="8"/>
  <c r="R44" i="14"/>
  <c r="Q122" i="14"/>
  <c r="Q137" i="14" s="1"/>
  <c r="Q139" i="14" s="1"/>
  <c r="R140" i="8"/>
  <c r="P122" i="14"/>
  <c r="P137" i="14" s="1"/>
  <c r="P139" i="14" s="1"/>
  <c r="Q140" i="8"/>
  <c r="S218" i="8"/>
  <c r="S229" i="8" s="1"/>
  <c r="O142" i="8"/>
  <c r="N39" i="14" s="1"/>
  <c r="O122" i="14"/>
  <c r="O137" i="14" s="1"/>
  <c r="O139" i="14" s="1"/>
  <c r="P140" i="8"/>
  <c r="N45" i="14"/>
  <c r="N32" i="14"/>
  <c r="N37" i="14"/>
  <c r="R230" i="8"/>
  <c r="Q124" i="14"/>
  <c r="R21" i="19" s="1"/>
  <c r="S59" i="8"/>
  <c r="S62" i="8" s="1"/>
  <c r="R54" i="14" s="1"/>
  <c r="R63" i="8"/>
  <c r="P119" i="8"/>
  <c r="O29" i="14" s="1"/>
  <c r="P138" i="8" s="1"/>
  <c r="P66" i="8"/>
  <c r="O70" i="8"/>
  <c r="O120" i="8"/>
  <c r="O123" i="8" s="1"/>
  <c r="S847" i="7"/>
  <c r="L30" i="26"/>
  <c r="L45" i="14"/>
  <c r="L37" i="14"/>
  <c r="L152" i="8"/>
  <c r="K82" i="14" s="1"/>
  <c r="N142" i="8"/>
  <c r="M39" i="14" s="1"/>
  <c r="N16" i="19" s="1"/>
  <c r="N17" i="19" s="1"/>
  <c r="N19" i="19" s="1"/>
  <c r="L32" i="14"/>
  <c r="U29" i="14"/>
  <c r="T29" i="14"/>
  <c r="M30" i="14"/>
  <c r="M52" i="16" s="1"/>
  <c r="M54" i="16" l="1"/>
  <c r="M93" i="16"/>
  <c r="M95" i="16" s="1"/>
  <c r="M88" i="16"/>
  <c r="M91" i="16" s="1"/>
  <c r="O143" i="8"/>
  <c r="O16" i="19"/>
  <c r="O17" i="19" s="1"/>
  <c r="O19" i="19" s="1"/>
  <c r="N125" i="14"/>
  <c r="P141" i="8"/>
  <c r="P142" i="8" s="1"/>
  <c r="P18" i="19"/>
  <c r="P14" i="19"/>
  <c r="P15" i="19" s="1"/>
  <c r="N120" i="14"/>
  <c r="N40" i="14"/>
  <c r="N46" i="14"/>
  <c r="S230" i="8"/>
  <c r="R124" i="14"/>
  <c r="S21" i="19" s="1"/>
  <c r="O121" i="14"/>
  <c r="O30" i="14"/>
  <c r="P130" i="8"/>
  <c r="P131" i="8" s="1"/>
  <c r="P122" i="8"/>
  <c r="Q67" i="8"/>
  <c r="Q68" i="8" s="1"/>
  <c r="P69" i="8"/>
  <c r="O55" i="14" s="1"/>
  <c r="O65" i="14" s="1"/>
  <c r="S63" i="8"/>
  <c r="M37" i="14"/>
  <c r="M37" i="26" s="1"/>
  <c r="M30" i="26"/>
  <c r="M45" i="14"/>
  <c r="L40" i="14"/>
  <c r="L56" i="16" s="1"/>
  <c r="L37" i="26"/>
  <c r="L46" i="14"/>
  <c r="M125" i="14"/>
  <c r="M39" i="26"/>
  <c r="L120" i="14"/>
  <c r="M149" i="8"/>
  <c r="K83" i="14"/>
  <c r="K14" i="16" s="1"/>
  <c r="N143" i="8"/>
  <c r="T39" i="14"/>
  <c r="U39" i="14"/>
  <c r="M32" i="14"/>
  <c r="T30" i="14"/>
  <c r="U30" i="14"/>
  <c r="T45" i="14" l="1"/>
  <c r="U45" i="14"/>
  <c r="L64" i="16"/>
  <c r="L60" i="16"/>
  <c r="L58" i="16"/>
  <c r="N47" i="14"/>
  <c r="O150" i="8"/>
  <c r="O151" i="8" s="1"/>
  <c r="P143" i="8"/>
  <c r="O39" i="14"/>
  <c r="P16" i="19" s="1"/>
  <c r="P17" i="19" s="1"/>
  <c r="P19" i="19" s="1"/>
  <c r="P23" i="19" s="1"/>
  <c r="P29" i="19" s="1"/>
  <c r="O45" i="14"/>
  <c r="O32" i="14"/>
  <c r="O37" i="14"/>
  <c r="M46" i="14"/>
  <c r="Q119" i="8"/>
  <c r="P29" i="14" s="1"/>
  <c r="Q138" i="8" s="1"/>
  <c r="Q141" i="8" s="1"/>
  <c r="Q142" i="8" s="1"/>
  <c r="P39" i="14" s="1"/>
  <c r="Q16" i="19" s="1"/>
  <c r="P70" i="8"/>
  <c r="Q66" i="8"/>
  <c r="P120" i="8"/>
  <c r="P123" i="8" s="1"/>
  <c r="M120" i="14"/>
  <c r="M40" i="14"/>
  <c r="O30" i="26"/>
  <c r="P30" i="26"/>
  <c r="O39" i="26"/>
  <c r="P39" i="26"/>
  <c r="M150" i="8"/>
  <c r="M151" i="8" s="1"/>
  <c r="L40" i="26"/>
  <c r="L47" i="14"/>
  <c r="N150" i="8" l="1"/>
  <c r="N151" i="8" s="1"/>
  <c r="M56" i="16"/>
  <c r="T46" i="14"/>
  <c r="U46" i="14"/>
  <c r="Q143" i="8"/>
  <c r="Q18" i="19"/>
  <c r="Q14" i="19"/>
  <c r="Q15" i="19" s="1"/>
  <c r="Q17" i="19" s="1"/>
  <c r="P125" i="14"/>
  <c r="O120" i="14"/>
  <c r="O40" i="14"/>
  <c r="O46" i="14"/>
  <c r="O125" i="14"/>
  <c r="P121" i="14"/>
  <c r="P30" i="14"/>
  <c r="Q69" i="8"/>
  <c r="P55" i="14" s="1"/>
  <c r="P65" i="14" s="1"/>
  <c r="R67" i="8"/>
  <c r="R68" i="8" s="1"/>
  <c r="Q122" i="8"/>
  <c r="Q130" i="8"/>
  <c r="Q131" i="8" s="1"/>
  <c r="M40" i="26"/>
  <c r="O40" i="26" s="1"/>
  <c r="M47" i="14"/>
  <c r="M152" i="8"/>
  <c r="L82" i="14" s="1"/>
  <c r="T40" i="14"/>
  <c r="U40" i="14"/>
  <c r="M58" i="16" l="1"/>
  <c r="M60" i="16"/>
  <c r="M64" i="16"/>
  <c r="T47" i="14"/>
  <c r="U47" i="14"/>
  <c r="Q19" i="19"/>
  <c r="Q23" i="19" s="1"/>
  <c r="Q29" i="19" s="1"/>
  <c r="O126" i="14"/>
  <c r="O142" i="14" s="1"/>
  <c r="O47" i="14"/>
  <c r="P150" i="8"/>
  <c r="P151" i="8" s="1"/>
  <c r="P45" i="14"/>
  <c r="P37" i="14"/>
  <c r="P32" i="14"/>
  <c r="R119" i="8"/>
  <c r="Q29" i="14" s="1"/>
  <c r="R138" i="8" s="1"/>
  <c r="R141" i="8" s="1"/>
  <c r="P40" i="26"/>
  <c r="R66" i="8"/>
  <c r="Q70" i="8"/>
  <c r="Q120" i="8"/>
  <c r="Q123" i="8" s="1"/>
  <c r="N149" i="8"/>
  <c r="N152" i="8" s="1"/>
  <c r="M82" i="14" s="1"/>
  <c r="L83" i="14"/>
  <c r="L14" i="16" s="1"/>
  <c r="L20" i="16" s="1"/>
  <c r="R142" i="8" l="1"/>
  <c r="Q39" i="14" s="1"/>
  <c r="R18" i="19"/>
  <c r="R14" i="19"/>
  <c r="R15" i="19" s="1"/>
  <c r="P120" i="14"/>
  <c r="P126" i="14" s="1"/>
  <c r="P142" i="14" s="1"/>
  <c r="P40" i="14"/>
  <c r="P46" i="14"/>
  <c r="Q121" i="14"/>
  <c r="Q30" i="14"/>
  <c r="S67" i="8"/>
  <c r="S68" i="8" s="1"/>
  <c r="S119" i="8" s="1"/>
  <c r="R29" i="14" s="1"/>
  <c r="S138" i="8" s="1"/>
  <c r="S141" i="8" s="1"/>
  <c r="R69" i="8"/>
  <c r="Q55" i="14" s="1"/>
  <c r="Q65" i="14" s="1"/>
  <c r="R122" i="8"/>
  <c r="R130" i="8"/>
  <c r="R131" i="8" s="1"/>
  <c r="M83" i="14"/>
  <c r="M14" i="16" s="1"/>
  <c r="M20" i="16" s="1"/>
  <c r="O149" i="8"/>
  <c r="O152" i="8" s="1"/>
  <c r="N82" i="14" s="1"/>
  <c r="J215" i="8"/>
  <c r="R143" i="8" l="1"/>
  <c r="S142" i="8"/>
  <c r="R39" i="14" s="1"/>
  <c r="R16" i="19"/>
  <c r="R17" i="19" s="1"/>
  <c r="R19" i="19" s="1"/>
  <c r="R23" i="19" s="1"/>
  <c r="R29" i="19" s="1"/>
  <c r="Q125" i="14"/>
  <c r="S14" i="19"/>
  <c r="S15" i="19" s="1"/>
  <c r="S18" i="19"/>
  <c r="P47" i="14"/>
  <c r="Q150" i="8"/>
  <c r="Q151" i="8" s="1"/>
  <c r="N83" i="14"/>
  <c r="N85" i="14" s="1"/>
  <c r="N107" i="14" s="1"/>
  <c r="P149" i="8"/>
  <c r="P152" i="8" s="1"/>
  <c r="O82" i="14" s="1"/>
  <c r="Q32" i="14"/>
  <c r="Q45" i="14"/>
  <c r="Q37" i="14"/>
  <c r="R121" i="14"/>
  <c r="R30" i="14"/>
  <c r="R70" i="8"/>
  <c r="S66" i="8"/>
  <c r="S69" i="8" s="1"/>
  <c r="R55" i="14" s="1"/>
  <c r="R65" i="14" s="1"/>
  <c r="R120" i="8"/>
  <c r="R123" i="8" s="1"/>
  <c r="S122" i="8"/>
  <c r="S130" i="8"/>
  <c r="S131" i="8" s="1"/>
  <c r="J167" i="8"/>
  <c r="I70" i="14"/>
  <c r="I18" i="16" s="1"/>
  <c r="I79" i="16" s="1"/>
  <c r="I80" i="16" s="1"/>
  <c r="S143" i="8" l="1"/>
  <c r="S16" i="19"/>
  <c r="S17" i="19" s="1"/>
  <c r="S19" i="19" s="1"/>
  <c r="S23" i="19" s="1"/>
  <c r="C34" i="19" s="1"/>
  <c r="R125" i="14"/>
  <c r="O83" i="14"/>
  <c r="O85" i="14" s="1"/>
  <c r="O107" i="14" s="1"/>
  <c r="Q149" i="8"/>
  <c r="Q152" i="8" s="1"/>
  <c r="P82" i="14" s="1"/>
  <c r="Q120" i="14"/>
  <c r="Q126" i="14" s="1"/>
  <c r="Q142" i="14" s="1"/>
  <c r="Q40" i="14"/>
  <c r="Q46" i="14"/>
  <c r="R45" i="14"/>
  <c r="R32" i="14"/>
  <c r="R37" i="14"/>
  <c r="S70" i="8"/>
  <c r="S120" i="8"/>
  <c r="S123" i="8" s="1"/>
  <c r="K165" i="8"/>
  <c r="S29" i="19" l="1"/>
  <c r="Q47" i="14"/>
  <c r="R150" i="8"/>
  <c r="R151" i="8" s="1"/>
  <c r="P83" i="14"/>
  <c r="P85" i="14" s="1"/>
  <c r="P107" i="14" s="1"/>
  <c r="R149" i="8"/>
  <c r="R120" i="14"/>
  <c r="R126" i="14" s="1"/>
  <c r="R142" i="14" s="1"/>
  <c r="R40" i="14"/>
  <c r="R46" i="14"/>
  <c r="K215" i="8"/>
  <c r="J70" i="14"/>
  <c r="J18" i="16" s="1"/>
  <c r="J79" i="16" s="1"/>
  <c r="J80" i="16" s="1"/>
  <c r="K167" i="8"/>
  <c r="R152" i="8" l="1"/>
  <c r="Q82" i="14" s="1"/>
  <c r="S149" i="8" s="1"/>
  <c r="R47" i="14"/>
  <c r="S150" i="8"/>
  <c r="S151" i="8" s="1"/>
  <c r="L165" i="8"/>
  <c r="K70" i="14" s="1"/>
  <c r="K18" i="16" s="1"/>
  <c r="K79" i="16" s="1"/>
  <c r="K80" i="16" s="1"/>
  <c r="Q83" i="14" l="1"/>
  <c r="Q85" i="14" s="1"/>
  <c r="Q107" i="14" s="1"/>
  <c r="S152" i="8"/>
  <c r="R82" i="14" s="1"/>
  <c r="R83" i="14" s="1"/>
  <c r="R85" i="14" s="1"/>
  <c r="R107" i="14" s="1"/>
  <c r="L167" i="8"/>
  <c r="L215" i="8"/>
  <c r="M165" i="8" l="1"/>
  <c r="L70" i="14" s="1"/>
  <c r="L18" i="16" s="1"/>
  <c r="L79" i="16" s="1"/>
  <c r="L80" i="16" s="1"/>
  <c r="M167" i="8" l="1"/>
  <c r="M215" i="8"/>
  <c r="N165" i="8" l="1"/>
  <c r="M70" i="14" l="1"/>
  <c r="M18" i="16" s="1"/>
  <c r="M79" i="16" s="1"/>
  <c r="M80" i="16" s="1"/>
  <c r="O215" i="8"/>
  <c r="N167" i="8"/>
  <c r="N215" i="8"/>
  <c r="J160" i="8" l="1"/>
  <c r="J216" i="8" l="1"/>
  <c r="I71" i="14"/>
  <c r="K160" i="8"/>
  <c r="J71" i="14" s="1"/>
  <c r="L160" i="8"/>
  <c r="M160" i="8"/>
  <c r="N160" i="8"/>
  <c r="O216" i="8" s="1"/>
  <c r="K71" i="14" l="1"/>
  <c r="M71" i="14"/>
  <c r="L71" i="14"/>
  <c r="K216" i="8"/>
  <c r="M216" i="8"/>
  <c r="N216" i="8"/>
  <c r="L216" i="8"/>
  <c r="D677" i="7" l="1"/>
  <c r="E677" i="7" s="1"/>
  <c r="F677" i="7" s="1"/>
  <c r="G677" i="7" s="1"/>
  <c r="H677" i="7" s="1"/>
  <c r="I677" i="7" s="1"/>
  <c r="J677" i="7" s="1"/>
  <c r="K677" i="7" s="1"/>
  <c r="I65" i="14" l="1"/>
  <c r="J65" i="14" l="1"/>
  <c r="K65" i="14" l="1"/>
  <c r="L65" i="14" l="1"/>
  <c r="M65" i="14"/>
  <c r="J176" i="8" l="1"/>
  <c r="J220" i="8" l="1"/>
  <c r="I98" i="14"/>
  <c r="G20" i="16"/>
  <c r="G21" i="16" s="1"/>
  <c r="K176" i="8"/>
  <c r="J98" i="14" s="1"/>
  <c r="J105" i="14" l="1"/>
  <c r="I105" i="14"/>
  <c r="I85" i="14"/>
  <c r="I31" i="16" s="1"/>
  <c r="K220" i="8"/>
  <c r="I65" i="16" l="1"/>
  <c r="I66" i="16" s="1"/>
  <c r="I38" i="16"/>
  <c r="I32" i="16"/>
  <c r="I107" i="14"/>
  <c r="I104" i="26" l="1"/>
  <c r="I102" i="26"/>
  <c r="I100" i="26"/>
  <c r="I94" i="26"/>
  <c r="I92" i="26"/>
  <c r="I84" i="26"/>
  <c r="I103" i="26"/>
  <c r="I107" i="26"/>
  <c r="I101" i="26"/>
  <c r="I93" i="26"/>
  <c r="I81" i="26"/>
  <c r="I91" i="26"/>
  <c r="I99" i="26"/>
  <c r="I90" i="26"/>
  <c r="I95" i="26"/>
  <c r="I82" i="26"/>
  <c r="I83" i="26"/>
  <c r="I98" i="26"/>
  <c r="I85" i="26"/>
  <c r="I105" i="26"/>
  <c r="J85" i="14"/>
  <c r="J31" i="16" s="1"/>
  <c r="J65" i="16" l="1"/>
  <c r="J66" i="16" s="1"/>
  <c r="J38" i="16"/>
  <c r="J32" i="16"/>
  <c r="J107" i="14"/>
  <c r="J85" i="26" s="1"/>
  <c r="H20" i="16"/>
  <c r="H21" i="16" s="1"/>
  <c r="L176" i="8"/>
  <c r="K98" i="14" s="1"/>
  <c r="M176" i="8"/>
  <c r="L98" i="14" s="1"/>
  <c r="N176" i="8"/>
  <c r="M98" i="14" l="1"/>
  <c r="M105" i="14" s="1"/>
  <c r="O220" i="8"/>
  <c r="K105" i="14"/>
  <c r="L105" i="14"/>
  <c r="J104" i="26"/>
  <c r="J102" i="26"/>
  <c r="J100" i="26"/>
  <c r="J94" i="26"/>
  <c r="J92" i="26"/>
  <c r="J84" i="26"/>
  <c r="J103" i="26"/>
  <c r="J101" i="26"/>
  <c r="J107" i="26"/>
  <c r="J93" i="26"/>
  <c r="J91" i="26"/>
  <c r="J81" i="26"/>
  <c r="J99" i="26"/>
  <c r="J90" i="26"/>
  <c r="J95" i="26"/>
  <c r="J82" i="26"/>
  <c r="J83" i="26"/>
  <c r="J98" i="26"/>
  <c r="J105" i="26"/>
  <c r="L220" i="8"/>
  <c r="M220" i="8"/>
  <c r="N220" i="8"/>
  <c r="L85" i="14" l="1"/>
  <c r="L31" i="16" s="1"/>
  <c r="K20" i="16"/>
  <c r="M85" i="14"/>
  <c r="M31" i="16" s="1"/>
  <c r="K85" i="14"/>
  <c r="K31" i="16" s="1"/>
  <c r="I20" i="16"/>
  <c r="J20" i="16"/>
  <c r="J171" i="8"/>
  <c r="I73" i="14" s="1"/>
  <c r="I19" i="16" s="1"/>
  <c r="K38" i="16" l="1"/>
  <c r="K65" i="16"/>
  <c r="K66" i="16" s="1"/>
  <c r="K32" i="16"/>
  <c r="M65" i="16"/>
  <c r="M66" i="16" s="1"/>
  <c r="M38" i="16"/>
  <c r="M32" i="16"/>
  <c r="L38" i="16"/>
  <c r="L65" i="16"/>
  <c r="L66" i="16" s="1"/>
  <c r="L32" i="16"/>
  <c r="K107" i="14"/>
  <c r="K85" i="26" s="1"/>
  <c r="I115" i="14"/>
  <c r="M107" i="14"/>
  <c r="M85" i="26" s="1"/>
  <c r="L107" i="14"/>
  <c r="L85" i="26" s="1"/>
  <c r="J217" i="8"/>
  <c r="J218" i="8" s="1"/>
  <c r="K171" i="8"/>
  <c r="L171" i="8"/>
  <c r="M171" i="8"/>
  <c r="N171" i="8"/>
  <c r="O217" i="8" s="1"/>
  <c r="O218" i="8" s="1"/>
  <c r="O229" i="8" l="1"/>
  <c r="L103" i="26"/>
  <c r="L101" i="26"/>
  <c r="L107" i="26"/>
  <c r="L93" i="26"/>
  <c r="L91" i="26"/>
  <c r="L81" i="26"/>
  <c r="L104" i="26"/>
  <c r="L102" i="26"/>
  <c r="L100" i="26"/>
  <c r="L94" i="26"/>
  <c r="L92" i="26"/>
  <c r="L84" i="26"/>
  <c r="L90" i="26"/>
  <c r="L95" i="26"/>
  <c r="L99" i="26"/>
  <c r="L82" i="26"/>
  <c r="L83" i="26"/>
  <c r="L98" i="26"/>
  <c r="L105" i="26"/>
  <c r="M104" i="26"/>
  <c r="M102" i="26"/>
  <c r="M100" i="26"/>
  <c r="M94" i="26"/>
  <c r="M92" i="26"/>
  <c r="M84" i="26"/>
  <c r="M101" i="26"/>
  <c r="M93" i="26"/>
  <c r="M81" i="26"/>
  <c r="M91" i="26"/>
  <c r="M103" i="26"/>
  <c r="M107" i="26"/>
  <c r="M90" i="26"/>
  <c r="M95" i="26"/>
  <c r="M99" i="26"/>
  <c r="M82" i="26"/>
  <c r="M83" i="26"/>
  <c r="M98" i="26"/>
  <c r="M105" i="26"/>
  <c r="K103" i="26"/>
  <c r="K101" i="26"/>
  <c r="K107" i="26"/>
  <c r="K93" i="26"/>
  <c r="K91" i="26"/>
  <c r="K81" i="26"/>
  <c r="K100" i="26"/>
  <c r="K104" i="26"/>
  <c r="K84" i="26"/>
  <c r="K92" i="26"/>
  <c r="K102" i="26"/>
  <c r="K94" i="26"/>
  <c r="K90" i="26"/>
  <c r="K95" i="26"/>
  <c r="K99" i="26"/>
  <c r="K82" i="26"/>
  <c r="K83" i="26"/>
  <c r="K98" i="26"/>
  <c r="K105" i="26"/>
  <c r="K73" i="14"/>
  <c r="K19" i="16" s="1"/>
  <c r="J73" i="14"/>
  <c r="J19" i="16" s="1"/>
  <c r="M73" i="14"/>
  <c r="M19" i="16" s="1"/>
  <c r="L73" i="14"/>
  <c r="L19" i="16" s="1"/>
  <c r="J229" i="8"/>
  <c r="J230" i="8" s="1"/>
  <c r="N217" i="8"/>
  <c r="N218" i="8" s="1"/>
  <c r="K217" i="8"/>
  <c r="K218" i="8" s="1"/>
  <c r="M217" i="8"/>
  <c r="M218" i="8" s="1"/>
  <c r="L217" i="8"/>
  <c r="L218" i="8" s="1"/>
  <c r="O230" i="8" l="1"/>
  <c r="N124" i="14"/>
  <c r="M115" i="14"/>
  <c r="J115" i="14"/>
  <c r="K115" i="14"/>
  <c r="L115" i="14"/>
  <c r="I124" i="14"/>
  <c r="K229" i="8"/>
  <c r="J124" i="14" s="1"/>
  <c r="N229" i="8"/>
  <c r="M124" i="14" s="1"/>
  <c r="N21" i="19" s="1"/>
  <c r="N23" i="19" s="1"/>
  <c r="L229" i="8"/>
  <c r="L230" i="8" s="1"/>
  <c r="M229" i="8"/>
  <c r="L124" i="14" s="1"/>
  <c r="M21" i="19" s="1"/>
  <c r="M23" i="19" s="1"/>
  <c r="M29" i="19" s="1"/>
  <c r="N126" i="14" l="1"/>
  <c r="N142" i="14" s="1"/>
  <c r="O21" i="19"/>
  <c r="O23" i="19" s="1"/>
  <c r="O29" i="19" s="1"/>
  <c r="N29" i="19"/>
  <c r="K21" i="19"/>
  <c r="K23" i="19" s="1"/>
  <c r="K29" i="19" s="1"/>
  <c r="I126" i="14"/>
  <c r="I142" i="14" s="1"/>
  <c r="I145" i="14" s="1"/>
  <c r="J21" i="19"/>
  <c r="N230" i="8"/>
  <c r="K124" i="14"/>
  <c r="K230" i="8"/>
  <c r="M126" i="14"/>
  <c r="M142" i="14" s="1"/>
  <c r="L126" i="14"/>
  <c r="L142" i="14" s="1"/>
  <c r="J126" i="14"/>
  <c r="J142" i="14" s="1"/>
  <c r="M230" i="8"/>
  <c r="C35" i="19" l="1"/>
  <c r="C36" i="19" s="1"/>
  <c r="J23" i="19"/>
  <c r="J29" i="19" s="1"/>
  <c r="L21" i="19"/>
  <c r="L23" i="19" s="1"/>
  <c r="L29" i="19" s="1"/>
  <c r="K126" i="14"/>
  <c r="K142" i="14" s="1"/>
  <c r="I68" i="14"/>
  <c r="C37" i="19" l="1"/>
  <c r="C56" i="19" s="1"/>
  <c r="J902" i="7"/>
  <c r="J916" i="7" s="1"/>
  <c r="J141" i="14"/>
  <c r="J145" i="14" s="1"/>
  <c r="J68" i="14" s="1"/>
  <c r="I74" i="14"/>
  <c r="I13" i="16" s="1"/>
  <c r="I15" i="16" l="1"/>
  <c r="I17" i="16"/>
  <c r="I21" i="16" s="1"/>
  <c r="C57" i="19"/>
  <c r="C58" i="19" s="1"/>
  <c r="C38" i="19"/>
  <c r="C39" i="19" s="1"/>
  <c r="J905" i="7"/>
  <c r="I111" i="14"/>
  <c r="J74" i="14"/>
  <c r="J13" i="16" s="1"/>
  <c r="K902" i="7"/>
  <c r="K916" i="7" s="1"/>
  <c r="K141" i="14"/>
  <c r="K145" i="14" s="1"/>
  <c r="K68" i="14" s="1"/>
  <c r="I76" i="14"/>
  <c r="I35" i="16" s="1"/>
  <c r="J17" i="16" l="1"/>
  <c r="J21" i="16" s="1"/>
  <c r="J15" i="16"/>
  <c r="I39" i="16"/>
  <c r="I61" i="16"/>
  <c r="I62" i="16" s="1"/>
  <c r="I71" i="16"/>
  <c r="I36" i="16"/>
  <c r="C64" i="19"/>
  <c r="C302" i="34"/>
  <c r="C45" i="19"/>
  <c r="C301" i="34"/>
  <c r="C59" i="19"/>
  <c r="C40" i="19"/>
  <c r="J76" i="14"/>
  <c r="J111" i="14"/>
  <c r="J907" i="7"/>
  <c r="J909" i="7" s="1"/>
  <c r="I76" i="26"/>
  <c r="I69" i="26"/>
  <c r="I58" i="26"/>
  <c r="I54" i="26"/>
  <c r="I56" i="26"/>
  <c r="I64" i="26"/>
  <c r="I57" i="26"/>
  <c r="I63" i="26"/>
  <c r="I55" i="26"/>
  <c r="I62" i="26"/>
  <c r="I61" i="26"/>
  <c r="I72" i="26"/>
  <c r="I60" i="26"/>
  <c r="I59" i="26"/>
  <c r="I70" i="26"/>
  <c r="I71" i="26"/>
  <c r="I65" i="26"/>
  <c r="I73" i="26"/>
  <c r="I68" i="26"/>
  <c r="I74" i="26"/>
  <c r="K74" i="14"/>
  <c r="K13" i="16" s="1"/>
  <c r="L902" i="7"/>
  <c r="L916" i="7" s="1"/>
  <c r="K905" i="7"/>
  <c r="L141" i="14"/>
  <c r="L145" i="14" s="1"/>
  <c r="I109" i="14"/>
  <c r="J74" i="26" l="1"/>
  <c r="J35" i="16"/>
  <c r="K17" i="16"/>
  <c r="K21" i="16" s="1"/>
  <c r="K15" i="16"/>
  <c r="I75" i="16"/>
  <c r="I76" i="16" s="1"/>
  <c r="I72" i="16"/>
  <c r="J109" i="14"/>
  <c r="K76" i="14"/>
  <c r="K111" i="14"/>
  <c r="K907" i="7"/>
  <c r="K909" i="7" s="1"/>
  <c r="J76" i="26"/>
  <c r="J69" i="26"/>
  <c r="J58" i="26"/>
  <c r="J56" i="26"/>
  <c r="J54" i="26"/>
  <c r="J63" i="26"/>
  <c r="J64" i="26"/>
  <c r="J57" i="26"/>
  <c r="J62" i="26"/>
  <c r="J61" i="26"/>
  <c r="J55" i="26"/>
  <c r="J60" i="26"/>
  <c r="J72" i="26"/>
  <c r="J59" i="26"/>
  <c r="J70" i="26"/>
  <c r="J71" i="26"/>
  <c r="J65" i="26"/>
  <c r="J73" i="26"/>
  <c r="J68" i="26"/>
  <c r="L905" i="7"/>
  <c r="L68" i="14"/>
  <c r="G40" i="16"/>
  <c r="K74" i="26" l="1"/>
  <c r="K35" i="16"/>
  <c r="J39" i="16"/>
  <c r="J71" i="16"/>
  <c r="J61" i="16"/>
  <c r="J62" i="16" s="1"/>
  <c r="J36" i="16"/>
  <c r="H40" i="16"/>
  <c r="I40" i="16"/>
  <c r="K109" i="14"/>
  <c r="L907" i="7"/>
  <c r="L909" i="7" s="1"/>
  <c r="K58" i="26"/>
  <c r="K56" i="26"/>
  <c r="K76" i="26"/>
  <c r="K69" i="26"/>
  <c r="K63" i="26"/>
  <c r="K64" i="26"/>
  <c r="K62" i="26"/>
  <c r="K61" i="26"/>
  <c r="K57" i="26"/>
  <c r="K59" i="26"/>
  <c r="K60" i="26"/>
  <c r="K72" i="26"/>
  <c r="K55" i="26"/>
  <c r="K54" i="26"/>
  <c r="K70" i="26"/>
  <c r="K71" i="26"/>
  <c r="K65" i="26"/>
  <c r="K73" i="26"/>
  <c r="K68" i="26"/>
  <c r="L74" i="14"/>
  <c r="L13" i="16" s="1"/>
  <c r="M902" i="7"/>
  <c r="M916" i="7" s="1"/>
  <c r="M141" i="14"/>
  <c r="M145" i="14" s="1"/>
  <c r="M68" i="14" s="1"/>
  <c r="N141" i="14" s="1"/>
  <c r="N145" i="14" s="1"/>
  <c r="N68" i="14" s="1"/>
  <c r="O831" i="7"/>
  <c r="P831" i="7"/>
  <c r="R832" i="7"/>
  <c r="S832" i="7"/>
  <c r="J75" i="16" l="1"/>
  <c r="J76" i="16" s="1"/>
  <c r="J72" i="16"/>
  <c r="K71" i="16"/>
  <c r="K61" i="16"/>
  <c r="K62" i="16" s="1"/>
  <c r="K39" i="16"/>
  <c r="K40" i="16" s="1"/>
  <c r="K36" i="16"/>
  <c r="L17" i="16"/>
  <c r="L21" i="16" s="1"/>
  <c r="L15" i="16"/>
  <c r="O141" i="14"/>
  <c r="O145" i="14" s="1"/>
  <c r="O68" i="14" s="1"/>
  <c r="N74" i="14"/>
  <c r="N902" i="7"/>
  <c r="N916" i="7" s="1"/>
  <c r="L76" i="14"/>
  <c r="L111" i="14"/>
  <c r="M905" i="7"/>
  <c r="M74" i="14"/>
  <c r="M13" i="16" s="1"/>
  <c r="P833" i="7"/>
  <c r="P836" i="7"/>
  <c r="O833" i="7"/>
  <c r="O836" i="7"/>
  <c r="L74" i="26" l="1"/>
  <c r="L35" i="16"/>
  <c r="K72" i="16"/>
  <c r="K75" i="16"/>
  <c r="K76" i="16" s="1"/>
  <c r="M15" i="16"/>
  <c r="M17" i="16"/>
  <c r="M21" i="16" s="1"/>
  <c r="N76" i="14"/>
  <c r="N109" i="14" s="1"/>
  <c r="N111" i="14"/>
  <c r="P141" i="14"/>
  <c r="P145" i="14" s="1"/>
  <c r="P68" i="14" s="1"/>
  <c r="O74" i="14"/>
  <c r="L109" i="14"/>
  <c r="N905" i="7"/>
  <c r="M907" i="7"/>
  <c r="M909" i="7" s="1"/>
  <c r="L58" i="26"/>
  <c r="L56" i="26"/>
  <c r="L76" i="26"/>
  <c r="L69" i="26"/>
  <c r="L64" i="26"/>
  <c r="L63" i="26"/>
  <c r="L57" i="26"/>
  <c r="L61" i="26"/>
  <c r="L62" i="26"/>
  <c r="L59" i="26"/>
  <c r="L60" i="26"/>
  <c r="L72" i="26"/>
  <c r="L54" i="26"/>
  <c r="L55" i="26"/>
  <c r="L70" i="26"/>
  <c r="L71" i="26"/>
  <c r="L65" i="26"/>
  <c r="L73" i="26"/>
  <c r="L68" i="26"/>
  <c r="M111" i="14"/>
  <c r="M76" i="14"/>
  <c r="M35" i="16" s="1"/>
  <c r="R836" i="7"/>
  <c r="S833" i="7"/>
  <c r="R833" i="7"/>
  <c r="S836" i="7"/>
  <c r="M39" i="16" l="1"/>
  <c r="M40" i="16" s="1"/>
  <c r="M71" i="16"/>
  <c r="M61" i="16"/>
  <c r="M62" i="16" s="1"/>
  <c r="M36" i="16"/>
  <c r="L61" i="16"/>
  <c r="L62" i="16" s="1"/>
  <c r="L39" i="16"/>
  <c r="L40" i="16" s="1"/>
  <c r="L71" i="16"/>
  <c r="L36" i="16"/>
  <c r="J40" i="16"/>
  <c r="Q141" i="14"/>
  <c r="Q145" i="14" s="1"/>
  <c r="Q68" i="14" s="1"/>
  <c r="P74" i="14"/>
  <c r="O111" i="14"/>
  <c r="O76" i="14"/>
  <c r="O109" i="14" s="1"/>
  <c r="M76" i="26"/>
  <c r="M69" i="26"/>
  <c r="M58" i="26"/>
  <c r="M56" i="26"/>
  <c r="M63" i="26"/>
  <c r="M64" i="26"/>
  <c r="M61" i="26"/>
  <c r="M57" i="26"/>
  <c r="M62" i="26"/>
  <c r="M59" i="26"/>
  <c r="M72" i="26"/>
  <c r="M60" i="26"/>
  <c r="M55" i="26"/>
  <c r="M54" i="26"/>
  <c r="M70" i="26"/>
  <c r="M71" i="26"/>
  <c r="M65" i="26"/>
  <c r="M73" i="26"/>
  <c r="M68" i="26"/>
  <c r="M74" i="26"/>
  <c r="N907" i="7"/>
  <c r="N909" i="7" s="1"/>
  <c r="M109" i="14"/>
  <c r="L75" i="16" l="1"/>
  <c r="L76" i="16" s="1"/>
  <c r="L72" i="16"/>
  <c r="M75" i="16"/>
  <c r="M76" i="16" s="1"/>
  <c r="M72" i="16"/>
  <c r="P111" i="14"/>
  <c r="P76" i="14"/>
  <c r="P109" i="14" s="1"/>
  <c r="R141" i="14"/>
  <c r="R145" i="14" s="1"/>
  <c r="R68" i="14" s="1"/>
  <c r="R74" i="14" s="1"/>
  <c r="Q74" i="14"/>
  <c r="R76" i="14" l="1"/>
  <c r="R109" i="14" s="1"/>
  <c r="R111" i="14"/>
  <c r="Q76" i="14"/>
  <c r="Q109" i="14" s="1"/>
  <c r="Q111" i="14"/>
  <c r="J185" i="8" l="1"/>
  <c r="J223" i="8" s="1"/>
  <c r="K185" i="8" l="1"/>
  <c r="L185" i="8" s="1"/>
  <c r="M185" i="8" s="1"/>
  <c r="K223" i="8" l="1"/>
  <c r="L223" i="8"/>
  <c r="N185" i="8"/>
  <c r="M223" i="8"/>
  <c r="J197" i="8"/>
  <c r="K197" i="8" s="1"/>
  <c r="N223" i="8" l="1"/>
  <c r="O185" i="8"/>
  <c r="L197" i="8"/>
  <c r="L225" i="8" s="1"/>
  <c r="K225" i="8"/>
  <c r="J225" i="8"/>
  <c r="O223" i="8" l="1"/>
  <c r="P185" i="8"/>
  <c r="M197" i="8"/>
  <c r="N197" i="8" s="1"/>
  <c r="J201" i="8"/>
  <c r="K201" i="8" s="1"/>
  <c r="L201" i="8" s="1"/>
  <c r="M201" i="8" s="1"/>
  <c r="N201" i="8" s="1"/>
  <c r="O201" i="8" s="1"/>
  <c r="P201" i="8" s="1"/>
  <c r="Q201" i="8" s="1"/>
  <c r="R201" i="8" s="1"/>
  <c r="S201" i="8" s="1"/>
  <c r="J193" i="8"/>
  <c r="J224" i="8" s="1"/>
  <c r="N225" i="8" l="1"/>
  <c r="O197" i="8"/>
  <c r="P223" i="8"/>
  <c r="Q185" i="8"/>
  <c r="M225" i="8"/>
  <c r="K193" i="8"/>
  <c r="L193" i="8" s="1"/>
  <c r="M193" i="8" s="1"/>
  <c r="R185" i="8" l="1"/>
  <c r="Q223" i="8"/>
  <c r="P197" i="8"/>
  <c r="O225" i="8"/>
  <c r="L224" i="8"/>
  <c r="K224" i="8"/>
  <c r="N193" i="8"/>
  <c r="M224" i="8"/>
  <c r="J189" i="8"/>
  <c r="K189" i="8" s="1"/>
  <c r="N224" i="8" l="1"/>
  <c r="O193" i="8"/>
  <c r="Q197" i="8"/>
  <c r="P225" i="8"/>
  <c r="S185" i="8"/>
  <c r="S223" i="8" s="1"/>
  <c r="R223" i="8"/>
  <c r="J222" i="8"/>
  <c r="J227" i="8" s="1"/>
  <c r="K222" i="8"/>
  <c r="K227" i="8" s="1"/>
  <c r="L189" i="8"/>
  <c r="O224" i="8" l="1"/>
  <c r="P193" i="8"/>
  <c r="Q225" i="8"/>
  <c r="R197" i="8"/>
  <c r="L222" i="8"/>
  <c r="L227" i="8" s="1"/>
  <c r="M189" i="8"/>
  <c r="R225" i="8" l="1"/>
  <c r="S197" i="8"/>
  <c r="S225" i="8" s="1"/>
  <c r="Q193" i="8"/>
  <c r="P224" i="8"/>
  <c r="M222" i="8"/>
  <c r="M227" i="8" s="1"/>
  <c r="N189" i="8"/>
  <c r="R193" i="8" l="1"/>
  <c r="Q224" i="8"/>
  <c r="N222" i="8"/>
  <c r="N227" i="8" s="1"/>
  <c r="O189" i="8"/>
  <c r="P189" i="8" l="1"/>
  <c r="O222" i="8"/>
  <c r="O227" i="8" s="1"/>
  <c r="S193" i="8"/>
  <c r="S224" i="8" s="1"/>
  <c r="R224" i="8"/>
  <c r="Q189" i="8" l="1"/>
  <c r="P222" i="8"/>
  <c r="P227" i="8" s="1"/>
  <c r="Q222" i="8" l="1"/>
  <c r="Q227" i="8" s="1"/>
  <c r="R189" i="8"/>
  <c r="S189" i="8" l="1"/>
  <c r="S222" i="8" s="1"/>
  <c r="S227" i="8" s="1"/>
  <c r="R222" i="8"/>
  <c r="R227" i="8" s="1"/>
  <c r="J4" i="31" l="1"/>
  <c r="H301" i="34"/>
  <c r="G301" i="34"/>
  <c r="E301" i="34"/>
  <c r="D301" i="34"/>
  <c r="J13" i="31"/>
  <c r="C47" i="19"/>
  <c r="D70" i="19"/>
  <c r="J14" i="31"/>
  <c r="C22" i="29"/>
  <c r="J10" i="31"/>
  <c r="J5" i="31"/>
  <c r="J6" i="31"/>
  <c r="J7" i="31"/>
  <c r="J8" i="31"/>
  <c r="D302" i="34"/>
  <c r="E302" i="34"/>
  <c r="G302" i="34"/>
  <c r="H302" i="34"/>
  <c r="H303" i="34"/>
  <c r="D303" i="34"/>
  <c r="E303" i="34"/>
  <c r="G303" i="34"/>
  <c r="D33" i="32"/>
  <c r="D34" i="32"/>
  <c r="D304" i="34"/>
  <c r="E304" i="34"/>
  <c r="G304" i="34"/>
  <c r="H304" i="34"/>
  <c r="C21" i="29"/>
  <c r="C24" i="29"/>
  <c r="C25" i="29"/>
  <c r="J12" i="31"/>
  <c r="D16" i="29"/>
  <c r="D27" i="29"/>
  <c r="E28" i="29"/>
  <c r="C46" i="19"/>
  <c r="C65" i="19"/>
  <c r="C66" i="19"/>
  <c r="D79" i="19"/>
  <c r="J11"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9" authorId="0" shapeId="0" xr:uid="{00000000-0006-0000-0000-000001000000}">
      <text>
        <r>
          <rPr>
            <b/>
            <sz val="9"/>
            <color indexed="81"/>
            <rFont val="Tahoma"/>
            <family val="2"/>
          </rPr>
          <t>Author:</t>
        </r>
        <r>
          <rPr>
            <sz val="9"/>
            <color indexed="81"/>
            <rFont val="Tahoma"/>
            <family val="2"/>
          </rPr>
          <t xml:space="preserve">
Taken from Trading Economics</t>
        </r>
      </text>
    </comment>
    <comment ref="C12" authorId="0" shapeId="0" xr:uid="{00000000-0006-0000-0000-000002000000}">
      <text>
        <r>
          <rPr>
            <b/>
            <sz val="9"/>
            <color indexed="81"/>
            <rFont val="Tahoma"/>
            <family val="2"/>
          </rPr>
          <t>Author:</t>
        </r>
        <r>
          <rPr>
            <sz val="9"/>
            <color indexed="81"/>
            <rFont val="Tahoma"/>
            <family val="2"/>
          </rPr>
          <t xml:space="preserve">
Taken from Dr. Damodaran's website
</t>
        </r>
      </text>
    </comment>
    <comment ref="C17" authorId="0" shapeId="0" xr:uid="{00000000-0006-0000-0000-000003000000}">
      <text>
        <r>
          <rPr>
            <b/>
            <sz val="9"/>
            <color indexed="81"/>
            <rFont val="Tahoma"/>
            <family val="2"/>
          </rPr>
          <t>Author:</t>
        </r>
        <r>
          <rPr>
            <sz val="9"/>
            <color indexed="81"/>
            <rFont val="Tahoma"/>
            <family val="2"/>
          </rPr>
          <t xml:space="preserve">
PwC India website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53" authorId="0" shapeId="0" xr:uid="{00000000-0006-0000-0800-000001000000}">
      <text>
        <r>
          <rPr>
            <b/>
            <sz val="9"/>
            <color indexed="81"/>
            <rFont val="Tahoma"/>
            <family val="2"/>
          </rPr>
          <t>Author:</t>
        </r>
        <r>
          <rPr>
            <sz val="9"/>
            <color indexed="81"/>
            <rFont val="Tahoma"/>
            <family val="2"/>
          </rPr>
          <t xml:space="preserve">
Calculated from Annual Report Data</t>
        </r>
      </text>
    </comment>
    <comment ref="I53" authorId="0" shapeId="0" xr:uid="{00000000-0006-0000-0800-000002000000}">
      <text>
        <r>
          <rPr>
            <b/>
            <sz val="9"/>
            <color indexed="81"/>
            <rFont val="Tahoma"/>
            <family val="2"/>
          </rPr>
          <t>Author:</t>
        </r>
        <r>
          <rPr>
            <sz val="9"/>
            <color indexed="81"/>
            <rFont val="Tahoma"/>
            <family val="2"/>
          </rPr>
          <t xml:space="preserve">
Taken from TopStockResearch</t>
        </r>
      </text>
    </comment>
    <comment ref="J53" authorId="0" shapeId="0" xr:uid="{00000000-0006-0000-0800-000003000000}">
      <text>
        <r>
          <rPr>
            <b/>
            <sz val="9"/>
            <color indexed="81"/>
            <rFont val="Tahoma"/>
            <family val="2"/>
          </rPr>
          <t>Author:</t>
        </r>
        <r>
          <rPr>
            <sz val="9"/>
            <color indexed="81"/>
            <rFont val="Tahoma"/>
            <family val="2"/>
          </rPr>
          <t xml:space="preserve">
Calculated from Annual Report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4" authorId="0" shapeId="0" xr:uid="{00000000-0006-0000-0B00-000001000000}">
      <text>
        <r>
          <rPr>
            <b/>
            <sz val="9"/>
            <color indexed="81"/>
            <rFont val="Tahoma"/>
            <family val="2"/>
          </rPr>
          <t>Author:</t>
        </r>
        <r>
          <rPr>
            <sz val="9"/>
            <color indexed="81"/>
            <rFont val="Tahoma"/>
            <family val="2"/>
          </rPr>
          <t xml:space="preserve">
Screener</t>
        </r>
      </text>
    </comment>
    <comment ref="H4" authorId="0" shapeId="0" xr:uid="{00000000-0006-0000-0B00-000002000000}">
      <text>
        <r>
          <rPr>
            <b/>
            <sz val="9"/>
            <color indexed="81"/>
            <rFont val="Tahoma"/>
            <family val="2"/>
          </rPr>
          <t>Author:</t>
        </r>
        <r>
          <rPr>
            <sz val="9"/>
            <color indexed="81"/>
            <rFont val="Tahoma"/>
            <family val="2"/>
          </rPr>
          <t xml:space="preserve">
Annual Report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92" authorId="0" shapeId="0" xr:uid="{00000000-0006-0000-1400-000001000000}">
      <text>
        <r>
          <rPr>
            <b/>
            <sz val="9"/>
            <color indexed="81"/>
            <rFont val="Tahoma"/>
            <family val="2"/>
          </rPr>
          <t>Annual Report 
CY24-25 , pg no 90</t>
        </r>
      </text>
    </comment>
    <comment ref="B194" authorId="0" shapeId="0" xr:uid="{00000000-0006-0000-1400-000002000000}">
      <text>
        <r>
          <rPr>
            <b/>
            <sz val="9"/>
            <color indexed="81"/>
            <rFont val="Tahoma"/>
            <family val="2"/>
          </rPr>
          <t>Annual Report 
CY24-25 , pg no 298</t>
        </r>
      </text>
    </comment>
    <comment ref="B196" authorId="0" shapeId="0" xr:uid="{00000000-0006-0000-1400-000003000000}">
      <text>
        <r>
          <rPr>
            <b/>
            <sz val="9"/>
            <color indexed="81"/>
            <rFont val="Tahoma"/>
            <family val="2"/>
          </rPr>
          <t>Annual Report 
CY23-24 , pg no 123</t>
        </r>
      </text>
    </comment>
    <comment ref="C864" authorId="0" shapeId="0" xr:uid="{00000000-0006-0000-1400-000004000000}">
      <text>
        <r>
          <rPr>
            <b/>
            <sz val="9"/>
            <color indexed="81"/>
            <rFont val="Tahoma"/>
            <family val="2"/>
          </rPr>
          <t>Annual Report -&gt; Borrowings -&gt; Notes of Bank Loans</t>
        </r>
      </text>
    </comment>
    <comment ref="J912" authorId="0" shapeId="0" xr:uid="{00000000-0006-0000-1400-000005000000}">
      <text>
        <r>
          <rPr>
            <b/>
            <sz val="9"/>
            <color indexed="81"/>
            <rFont val="Tahoma"/>
            <family val="2"/>
          </rPr>
          <t>Median of Cash% Revenue of actual Years</t>
        </r>
      </text>
    </comment>
  </commentList>
</comments>
</file>

<file path=xl/sharedStrings.xml><?xml version="1.0" encoding="utf-8"?>
<sst xmlns="http://schemas.openxmlformats.org/spreadsheetml/2006/main" count="2605" uniqueCount="1258">
  <si>
    <t>Sales</t>
  </si>
  <si>
    <t>Less: Cost of Goods Sold</t>
  </si>
  <si>
    <t>Gross Profit</t>
  </si>
  <si>
    <t>Depreciation</t>
  </si>
  <si>
    <t>Rent</t>
  </si>
  <si>
    <t>Less: Taxes</t>
  </si>
  <si>
    <t>Net Income</t>
  </si>
  <si>
    <t>Assets</t>
  </si>
  <si>
    <t>Cash</t>
  </si>
  <si>
    <t>Inventory</t>
  </si>
  <si>
    <t>Debtors</t>
  </si>
  <si>
    <t>Other Current Assets</t>
  </si>
  <si>
    <t>Total Current Assets</t>
  </si>
  <si>
    <t>Goodwill</t>
  </si>
  <si>
    <t>Total Assets</t>
  </si>
  <si>
    <t>Creditors</t>
  </si>
  <si>
    <t>Other Payables</t>
  </si>
  <si>
    <t>Other Current Liabilities</t>
  </si>
  <si>
    <t>Total Current Liabilities</t>
  </si>
  <si>
    <t>Control Sheet</t>
  </si>
  <si>
    <t>In INR Crores unless stated otherwise</t>
  </si>
  <si>
    <t>Actual</t>
  </si>
  <si>
    <t>Explicit Forecast Period</t>
  </si>
  <si>
    <t>#</t>
  </si>
  <si>
    <t>Management Case</t>
  </si>
  <si>
    <t>Best Case</t>
  </si>
  <si>
    <t>Down Case</t>
  </si>
  <si>
    <t>Current Case</t>
  </si>
  <si>
    <t>Total Sales</t>
  </si>
  <si>
    <t>COGS Schedules</t>
  </si>
  <si>
    <t>SG&amp;A (Excluding Depreciation &amp; Interest Expenses) Schedule</t>
  </si>
  <si>
    <t xml:space="preserve"> </t>
  </si>
  <si>
    <t xml:space="preserve">Total SG&amp;A ( Excluding Depreciation &amp; Interest Expense) </t>
  </si>
  <si>
    <t>Total SG&amp;A % Sales</t>
  </si>
  <si>
    <t>Intangible Non Current Asset</t>
  </si>
  <si>
    <t>Marginal Tax Rate</t>
  </si>
  <si>
    <t>Dividend Payout %</t>
  </si>
  <si>
    <t>Non Current Asset Schedule</t>
  </si>
  <si>
    <t>Depreciation Schedule</t>
  </si>
  <si>
    <t>Total Depreciation</t>
  </si>
  <si>
    <t>Tax Expense Schedule</t>
  </si>
  <si>
    <t>Revenue</t>
  </si>
  <si>
    <t>Less: Cost of Good Sold</t>
  </si>
  <si>
    <t>Less: SG&amp;A Expenses</t>
  </si>
  <si>
    <t>Less: Depreciation &amp; Amortization</t>
  </si>
  <si>
    <t>Less: Interest Expenses</t>
  </si>
  <si>
    <t>Earnings Before Tax</t>
  </si>
  <si>
    <t>Add: Net Income</t>
  </si>
  <si>
    <t>Less: Dividend Payout</t>
  </si>
  <si>
    <t>Retained Earnings - Ending of the year</t>
  </si>
  <si>
    <t>Dividend Payout Rate  %</t>
  </si>
  <si>
    <t>Working Capital  Schedule</t>
  </si>
  <si>
    <t>COGS</t>
  </si>
  <si>
    <t>Debtor Days</t>
  </si>
  <si>
    <t>Inventory Days</t>
  </si>
  <si>
    <t>Other Current Assets % Sales</t>
  </si>
  <si>
    <t>Creditors Days</t>
  </si>
  <si>
    <t>Other Payables % Sales</t>
  </si>
  <si>
    <t>Other Current Liabilities % Sales</t>
  </si>
  <si>
    <t>Interest Schedule</t>
  </si>
  <si>
    <t>3 Statement Model</t>
  </si>
  <si>
    <t xml:space="preserve">                                Explicit Forecast Period</t>
  </si>
  <si>
    <t>Less: SG&amp;A Expenses (Excluding Depreciation &amp; Interest)</t>
  </si>
  <si>
    <t>EBITDA</t>
  </si>
  <si>
    <t>EBIT</t>
  </si>
  <si>
    <t>EBT</t>
  </si>
  <si>
    <t>5 Years</t>
  </si>
  <si>
    <t>3 Years</t>
  </si>
  <si>
    <t>Sales Growth %</t>
  </si>
  <si>
    <t>Gross Profit Margins %</t>
  </si>
  <si>
    <t>EBITDA Margins %</t>
  </si>
  <si>
    <t>EBIT Margins %</t>
  </si>
  <si>
    <t>Actual Tax Rate %</t>
  </si>
  <si>
    <t>Net Income Margin %</t>
  </si>
  <si>
    <t>Income Statement</t>
  </si>
  <si>
    <t>Balance Sheet</t>
  </si>
  <si>
    <t>Check</t>
  </si>
  <si>
    <t>Net Working Capital</t>
  </si>
  <si>
    <t>Creditor Days</t>
  </si>
  <si>
    <t>Cash Flow Statement</t>
  </si>
  <si>
    <t>Add: Depreciation</t>
  </si>
  <si>
    <t>Less: Change in Working Capital</t>
  </si>
  <si>
    <t>Net Change in Cash</t>
  </si>
  <si>
    <t>Closing Cash Balance</t>
  </si>
  <si>
    <t>Change in Working Capital</t>
  </si>
  <si>
    <t>Change in Inventory</t>
  </si>
  <si>
    <t>Change in Other Current Assets</t>
  </si>
  <si>
    <t>Change in Other Current Liabilities</t>
  </si>
  <si>
    <t>Change in Total Current Liabilities</t>
  </si>
  <si>
    <t>Change in Total Current Assets (Excluding Cash)</t>
  </si>
  <si>
    <t>Add: Interest Expense</t>
  </si>
  <si>
    <t>Loan Schedule</t>
  </si>
  <si>
    <t>Common Size Statement</t>
  </si>
  <si>
    <t>Liquidity Ratios</t>
  </si>
  <si>
    <t>Current Assets</t>
  </si>
  <si>
    <t>Current Liabilities</t>
  </si>
  <si>
    <t>Current Ratio</t>
  </si>
  <si>
    <t>Quick Ratio (Acid Test Ratio)</t>
  </si>
  <si>
    <t>Cash Conversion Days</t>
  </si>
  <si>
    <t>Leverage Ratios / Solvency Ratios</t>
  </si>
  <si>
    <t>Debt to Equity Ratio</t>
  </si>
  <si>
    <t xml:space="preserve">Total Debt </t>
  </si>
  <si>
    <t>Total Equity</t>
  </si>
  <si>
    <t>Debt to Assets Ratio</t>
  </si>
  <si>
    <t>Equity Ratio</t>
  </si>
  <si>
    <t>Profitability / Margins Ratio</t>
  </si>
  <si>
    <t>Gross Margin</t>
  </si>
  <si>
    <t>EBIT Margin</t>
  </si>
  <si>
    <t>EBITDA Margin</t>
  </si>
  <si>
    <t>Net Profit</t>
  </si>
  <si>
    <t>Net Profit Margin</t>
  </si>
  <si>
    <t xml:space="preserve">EBITDA </t>
  </si>
  <si>
    <t xml:space="preserve">EBIT </t>
  </si>
  <si>
    <t>Return on Assets</t>
  </si>
  <si>
    <t>Return on Equity</t>
  </si>
  <si>
    <t>Efficiency Ratio</t>
  </si>
  <si>
    <t>Asset Turnover Ratio</t>
  </si>
  <si>
    <t>Inventory Turnover Ratio</t>
  </si>
  <si>
    <t>Change in Revenue</t>
  </si>
  <si>
    <t>Change in Total Assets</t>
  </si>
  <si>
    <t>Reinvestment Ratio</t>
  </si>
  <si>
    <t>Coverage Ratio</t>
  </si>
  <si>
    <t>Total Debt</t>
  </si>
  <si>
    <t>Debt to EBITDA Coverage Ratio</t>
  </si>
  <si>
    <t>Debt Repayment</t>
  </si>
  <si>
    <t>Debt Service Coverage Ratio</t>
  </si>
  <si>
    <t>Interest Expense</t>
  </si>
  <si>
    <t>Interest Coverage Ratio</t>
  </si>
  <si>
    <t>Interest</t>
  </si>
  <si>
    <t>DCF Model</t>
  </si>
  <si>
    <t>Free Cash Flow to Firm</t>
  </si>
  <si>
    <t>Less: Depreciation</t>
  </si>
  <si>
    <t>Less: Tax</t>
  </si>
  <si>
    <t>EBIT (1-T)</t>
  </si>
  <si>
    <t>Less: Reinvestments</t>
  </si>
  <si>
    <t>Mid Year Convention</t>
  </si>
  <si>
    <t>Yes</t>
  </si>
  <si>
    <t>No</t>
  </si>
  <si>
    <t>Discount Period (Years)</t>
  </si>
  <si>
    <t>Discount Rate (WACC)</t>
  </si>
  <si>
    <t>Present Value Factor</t>
  </si>
  <si>
    <t>Present Value of Free Cash Flow to Firm</t>
  </si>
  <si>
    <t>Weighted Average Cost of Capital</t>
  </si>
  <si>
    <t>Risk Free Rate</t>
  </si>
  <si>
    <t>Cost of Debt</t>
  </si>
  <si>
    <t>DCF Calculation - Perpetuity Growth</t>
  </si>
  <si>
    <t>Perpetual Growth Rate</t>
  </si>
  <si>
    <t>Terminal Year FCFF x (1+PGR)</t>
  </si>
  <si>
    <t>Terminal Value</t>
  </si>
  <si>
    <t>Present Value of Terminal Value</t>
  </si>
  <si>
    <t>Present Value of FCFFs</t>
  </si>
  <si>
    <t>Enterprise Value</t>
  </si>
  <si>
    <t>Implied Exit Multiple</t>
  </si>
  <si>
    <t>Implied EV/EBITDA</t>
  </si>
  <si>
    <t>Less: Debt</t>
  </si>
  <si>
    <t>Add: Cash</t>
  </si>
  <si>
    <t>Equity Value</t>
  </si>
  <si>
    <t>DCF Calculation - Exit Multiple</t>
  </si>
  <si>
    <t>Exit Multiple</t>
  </si>
  <si>
    <t>Terminal Year EBITDA</t>
  </si>
  <si>
    <t>Mid Year?</t>
  </si>
  <si>
    <t>Particulars</t>
  </si>
  <si>
    <t>Revenue from Operations (Net)</t>
  </si>
  <si>
    <t>Revenue Growth YoY %</t>
  </si>
  <si>
    <t>Expenses:</t>
  </si>
  <si>
    <t>Cost of Goods Sold</t>
  </si>
  <si>
    <t>Cost of raw materials and components consumed</t>
  </si>
  <si>
    <t>Purchases of stock-in-trade</t>
  </si>
  <si>
    <t>Change in inventory</t>
  </si>
  <si>
    <t>Total Cost of Goods Sold</t>
  </si>
  <si>
    <t>SG&amp;A Expenses (Excluding Depreciaion &amp; Interest)</t>
  </si>
  <si>
    <t>Employee benefit expenses</t>
  </si>
  <si>
    <t>Other expenses</t>
  </si>
  <si>
    <t>Total SG&amp;A Expenses</t>
  </si>
  <si>
    <t>Earnings Before Interest Tax &amp; Depreciation (EBITDA)</t>
  </si>
  <si>
    <t>Earnings Before Interest &amp; Tax  (EBIT)</t>
  </si>
  <si>
    <t>Less: Finance Cost</t>
  </si>
  <si>
    <t>Add: Other Income</t>
  </si>
  <si>
    <t>Profit Before Tax &amp; Exceptional Item</t>
  </si>
  <si>
    <t>Share of net profit of associates and joint ventures</t>
  </si>
  <si>
    <t>Profit Before Tax</t>
  </si>
  <si>
    <t>Less: Tax Expenses</t>
  </si>
  <si>
    <t>Profit After Tax</t>
  </si>
  <si>
    <t>Non Current Assets</t>
  </si>
  <si>
    <t>Fixed Assets</t>
  </si>
  <si>
    <t>Property , plant and equipment</t>
  </si>
  <si>
    <t>Capital work in progress</t>
  </si>
  <si>
    <t>Right-of-use-assets</t>
  </si>
  <si>
    <t>Intangible assets under development</t>
  </si>
  <si>
    <t>Investment in associates and joint ventures</t>
  </si>
  <si>
    <t>Financial assets</t>
  </si>
  <si>
    <t>Investments</t>
  </si>
  <si>
    <t>Loans</t>
  </si>
  <si>
    <t>Other financial assets</t>
  </si>
  <si>
    <t>Other non-current assets</t>
  </si>
  <si>
    <t>Income tax assets (net)</t>
  </si>
  <si>
    <t>Deferred tax assets (net)</t>
  </si>
  <si>
    <t>Total non-current assets</t>
  </si>
  <si>
    <t>Inventories</t>
  </si>
  <si>
    <t>Trade receivables</t>
  </si>
  <si>
    <t>Other current assets</t>
  </si>
  <si>
    <t>Assets classified as held for sale</t>
  </si>
  <si>
    <t>Cash and cash equivalents</t>
  </si>
  <si>
    <t>Bank balances other than above</t>
  </si>
  <si>
    <t>Total current assets</t>
  </si>
  <si>
    <t>EQUITY &amp; LIABILITIES</t>
  </si>
  <si>
    <t>Share Capital</t>
  </si>
  <si>
    <t>Other Equity</t>
  </si>
  <si>
    <t>Total Stockholder's equity</t>
  </si>
  <si>
    <t>Non controlling interest</t>
  </si>
  <si>
    <t>Non-current Liabilities</t>
  </si>
  <si>
    <t>Lease Liabilities</t>
  </si>
  <si>
    <t>Provisions</t>
  </si>
  <si>
    <t>Deferred tax liabilities (net)</t>
  </si>
  <si>
    <t>Other non-current liabilities</t>
  </si>
  <si>
    <t>Total non-current liabilities</t>
  </si>
  <si>
    <t>Trade Payables</t>
  </si>
  <si>
    <t>Other financial liabilities</t>
  </si>
  <si>
    <t>Current tax liabilities (net)</t>
  </si>
  <si>
    <t>Other current liabilities</t>
  </si>
  <si>
    <t>Total Liabilities</t>
  </si>
  <si>
    <t>Total Equity &amp; Liabilities</t>
  </si>
  <si>
    <t>Cash Flow from Operating Activities</t>
  </si>
  <si>
    <t>Share of asso and joint ventures</t>
  </si>
  <si>
    <t>Dep &amp; Amo expense</t>
  </si>
  <si>
    <t>Net loss/(gain) on current investments measured at FVTPL</t>
  </si>
  <si>
    <t>PnL in Forex</t>
  </si>
  <si>
    <t>PnL on disposal of PP&amp;E (Net)</t>
  </si>
  <si>
    <t>Assets written off</t>
  </si>
  <si>
    <t>Trade and other receivable balances written off</t>
  </si>
  <si>
    <t>Liabilities written back</t>
  </si>
  <si>
    <t>Allowance for expected credit loss</t>
  </si>
  <si>
    <t>Impairment of non-current assets</t>
  </si>
  <si>
    <t>Impairment losses on financial assets</t>
  </si>
  <si>
    <t>Finance income</t>
  </si>
  <si>
    <t>Finance costs</t>
  </si>
  <si>
    <t>Operating profit before working capital changes</t>
  </si>
  <si>
    <t>Working capital adjustments:</t>
  </si>
  <si>
    <t>Trade Receivables</t>
  </si>
  <si>
    <t xml:space="preserve">Financial Asset </t>
  </si>
  <si>
    <t>Other Asset</t>
  </si>
  <si>
    <t>Trade Payable</t>
  </si>
  <si>
    <t>Other Financial Liability</t>
  </si>
  <si>
    <t>Other Liability</t>
  </si>
  <si>
    <t>Cash generated from operations</t>
  </si>
  <si>
    <t>Income tax paid</t>
  </si>
  <si>
    <t>Net cash inflow from operating activities</t>
  </si>
  <si>
    <t>Cash flow from Investing activities</t>
  </si>
  <si>
    <t>Proceeds from sale of property, plant and equipment</t>
  </si>
  <si>
    <t>Purchase of property, plant and equipment and investment property</t>
  </si>
  <si>
    <t>Purchase of Right of Use of Asset</t>
  </si>
  <si>
    <t>Proceeds from sale / (Purchase of investment) in mutual funds</t>
  </si>
  <si>
    <t>Purchase of other Intangible Assets</t>
  </si>
  <si>
    <t>Purchase of inv measured at FVTPL / FVTOCI</t>
  </si>
  <si>
    <t>Bank deposit not considered as cash and cash equivalents (net)</t>
  </si>
  <si>
    <t>Consideration paid for investment in subsidiary</t>
  </si>
  <si>
    <t>Investment in associates and joint ventures (net)</t>
  </si>
  <si>
    <t>Interest received (finance income)</t>
  </si>
  <si>
    <t>Net cash inflow/(outflow) from investing activities</t>
  </si>
  <si>
    <t>Cash flow from Financing activities</t>
  </si>
  <si>
    <t>Finance cost</t>
  </si>
  <si>
    <t>Proceeds from Current borrowings</t>
  </si>
  <si>
    <t>Proceeds from Non-Current borrowings</t>
  </si>
  <si>
    <t>Repayment of Current borrowings</t>
  </si>
  <si>
    <t>Repayment of Non-Current borrowings</t>
  </si>
  <si>
    <t>Payment of principal portion of lease liabilities</t>
  </si>
  <si>
    <t>Payment of interest portion of lease liabilities</t>
  </si>
  <si>
    <t>Net cash inflow/(outflow) from financing activities</t>
  </si>
  <si>
    <t>Net increase in cash and cash equivalents</t>
  </si>
  <si>
    <t>Add: Pursuant to acquisition/ disposal of control in subsidiaries</t>
  </si>
  <si>
    <t>Cash and cash equivalents at year end</t>
  </si>
  <si>
    <t>Revenue Growth</t>
  </si>
  <si>
    <t>Company Historical Growth</t>
  </si>
  <si>
    <t>Sales Growth</t>
  </si>
  <si>
    <t>CAGR</t>
  </si>
  <si>
    <t>7 Years</t>
  </si>
  <si>
    <t>Pharmaceutical Market (Indian) Growth</t>
  </si>
  <si>
    <t>Statista</t>
  </si>
  <si>
    <t>https://www.statista.com/outlook/hmo/pharmaceuticals/india</t>
  </si>
  <si>
    <t>2025 Revenue</t>
  </si>
  <si>
    <t>CAGR 2025-2030</t>
  </si>
  <si>
    <t>$13.48bn</t>
  </si>
  <si>
    <t>Global Data</t>
  </si>
  <si>
    <t>The Indian pharmaceutical market was valued at $20.0 billion in 2019 which has increased at a CAGR of more than 6% during the forecast period 2020-2025.</t>
  </si>
  <si>
    <t>More than 90% of marketed products in India are generic and the country occupies 20% share by volume in the supply of generic medicines globally.</t>
  </si>
  <si>
    <t>The government aims to grow the pharmaceutical industry by about four times to $200 billion by 2030</t>
  </si>
  <si>
    <t>Live Mint</t>
  </si>
  <si>
    <t>https://www.livemint.com/industry/india-to-grow-pharma-sector-to-200-billion-by-2030-11700243303889.html</t>
  </si>
  <si>
    <t>https://www.globaldata.com/store/report/impact-of-india-on-pharmaceutical-industry-theme-analysis/</t>
  </si>
  <si>
    <t>As of 2023, India ranked as the third-largest producer of drugs and pharmaceuticals by volume, with a 20% global share in the export of generic drugs. Currently valued at US$50 billion, the country has an ambitious goal for the sector: to grow its value to US$450 billion by 2047.</t>
  </si>
  <si>
    <t>Ispe.org</t>
  </si>
  <si>
    <t>https://ispe.org/pharmaceutical-engineering/march-april-2025/indian-pharmaceutical-industry-creating-global-impact</t>
  </si>
  <si>
    <t>The Federation of Indian Chambers of Commerce and Industry projects the total market size of the Indian pharmaceutical Industry will reach US$120 billion by 2030</t>
  </si>
  <si>
    <t>Between FY 2018 and FY 2023, the Indian pharmaceutical industry saw steady growth, with a compound annual growth rate (CAGR) of 6%–8%, primarily driven by an 8% increase in exports and a 6% rise in the domestic market </t>
  </si>
  <si>
    <t>the Indian pharmaceutical industry is booming. It jumped from $40 billion in 2021 to an expected $130 billion in 2030, with projections hitting $450 billion by 2047</t>
  </si>
  <si>
    <t>MAERSK</t>
  </si>
  <si>
    <t>https://www.maersk.com/insights/growth/2024/02/27/pharmaceutical-supply-chain-in-india</t>
  </si>
  <si>
    <t>The total market size of the Indian Pharma Industry is expected to reach US$ 130 billion by 2030 and US$ 450 billion market by 2047</t>
  </si>
  <si>
    <t>The Indian Pharmaceutical industry is currently ranked third in pharmaceutical production by volume after evolving over time into a thriving industry growing at a CAGR of 9.43% since the past nine years.</t>
  </si>
  <si>
    <t>The Pharma sector currently contributes to around 1.72% of the country’s GDP</t>
  </si>
  <si>
    <t>The global market size of pharmaceutical products was estimated to cross over the US$ 1 trillion mark in 2023.</t>
  </si>
  <si>
    <t>Indian pharmaceutical market is estimated to touch US$ 130 billion in value by the end of 2030.</t>
  </si>
  <si>
    <t>https://www.ibef.org/industry/pharmaceutical-india</t>
  </si>
  <si>
    <t>IBEF</t>
  </si>
  <si>
    <t>Market size of India pharmaceuticals industry is expected to reach US$ 65 billion by 2024, ~US$ 130 billion by 2030 and US$ 450 billion market by 2047</t>
  </si>
  <si>
    <t>During FY18 to FY23, the Indian pharmaceutical industry logged a compound annual growth rate (CAGR) of 6-8%, primarily driven by an 8% increase in exports and a 6% rise in the domestic market.</t>
  </si>
  <si>
    <t>The domestic pharmaceutical sector expects sales to grow 8-10% in the financial year 2023-24, indicated an analysis done by CRISIL</t>
  </si>
  <si>
    <t>The market is expected to increase at a CAGR of 37% from 2020 to 2025 to reach US$ 50 billion. The Indian pharmaceuticals industry is expected to grow 9-11% in the financial year 2024, as per ICRA.</t>
  </si>
  <si>
    <t>https://www.ibef.org/industry/pharmaceutical-india#</t>
  </si>
  <si>
    <t>Concalls</t>
  </si>
  <si>
    <t>Brickwork Research Ratings  (PDF)</t>
  </si>
  <si>
    <t>The sector has shown a compounded annual growth rate (CAGR) of about 11% in the domestic market, with exports growing by 16% over the past two decades.</t>
  </si>
  <si>
    <t>India’s pharmaceutical market recorded a turnover of INR 4.17 lakh crore in FY24, growing at a CAGR of 9.5% since FY20.</t>
  </si>
  <si>
    <t>CII</t>
  </si>
  <si>
    <t>https://ciiblog.in/%E2%81%A0%E2%81%A0-steady-growth-sound-fundamentals-india-pharma-manufacturing-landscape/#:~:text=India's%20pharmaceutical%20market%20recorded%20a,GMP%20and%20EU%2DGMP%20regulators.</t>
  </si>
  <si>
    <t>Aug 2024</t>
  </si>
  <si>
    <t>During the quarter, we witnessed a steady revenue growth of 12% year-on-year</t>
  </si>
  <si>
    <t>Our domestic business revenue increased to INR2,634 crores, up by 10% year-on-year, excluding OTC in quarter 1 financial year '25. This growth was driven by an increase in volumes</t>
  </si>
  <si>
    <t>Nov 2024</t>
  </si>
  <si>
    <t>Jan 2025</t>
  </si>
  <si>
    <t>Concensus Estimate</t>
  </si>
  <si>
    <t>All figures are in Crores unless stated otherwise</t>
  </si>
  <si>
    <t>Changing lifestyle choices</t>
  </si>
  <si>
    <t>Increased in life expentancy</t>
  </si>
  <si>
    <t>Growth in e-commerce pharmacies</t>
  </si>
  <si>
    <t>Year</t>
  </si>
  <si>
    <t>Young Population Working</t>
  </si>
  <si>
    <t>https://www.statista.com/statistics/271315/age-distribution-in-india/</t>
  </si>
  <si>
    <t>Indian Urban Population - Historical Data</t>
  </si>
  <si>
    <t xml:space="preserve">Population </t>
  </si>
  <si>
    <t>% of Total</t>
  </si>
  <si>
    <t>Indian Rural Population - Historical Data</t>
  </si>
  <si>
    <t>Urban</t>
  </si>
  <si>
    <t>Rural</t>
  </si>
  <si>
    <t>Total</t>
  </si>
  <si>
    <t>https://www.ceicdata.com/en/india/nas-20112012-national-and-personal-disposable-income/households-gross-disposable-income</t>
  </si>
  <si>
    <t>Growth in Cancer , Diabaties diseases</t>
  </si>
  <si>
    <t>Ageing Population leading to arthritis , cardiovascular disorders</t>
  </si>
  <si>
    <t>Growing trade generics segment</t>
  </si>
  <si>
    <t xml:space="preserve">Year </t>
  </si>
  <si>
    <t>Source : LiveMint , ……</t>
  </si>
  <si>
    <t xml:space="preserve">Cancer </t>
  </si>
  <si>
    <t>Indian Patients (in millions)</t>
  </si>
  <si>
    <t>Diabetes</t>
  </si>
  <si>
    <t>Years</t>
  </si>
  <si>
    <t>CardioVascular Patients</t>
  </si>
  <si>
    <t xml:space="preserve">Data was available for 2016 only but approx growth is 2.83% inc </t>
  </si>
  <si>
    <t>https://www.amanta.co.in/public/assets/pdf/Investors/Material-Document/industry-report.pdf</t>
  </si>
  <si>
    <t>Growth in medical tourists</t>
  </si>
  <si>
    <t>Worst Case</t>
  </si>
  <si>
    <t>Revenue Schedules</t>
  </si>
  <si>
    <t>Base Case</t>
  </si>
  <si>
    <t>Gross Margins</t>
  </si>
  <si>
    <t>COGS % Sales</t>
  </si>
  <si>
    <t>Cost of Material % Sales</t>
  </si>
  <si>
    <t>Stock in Trade % Sales</t>
  </si>
  <si>
    <t>Change in Inventory % Sales</t>
  </si>
  <si>
    <t>Median</t>
  </si>
  <si>
    <t>Average</t>
  </si>
  <si>
    <t>Company Historical Margins</t>
  </si>
  <si>
    <t>Healthcare Products</t>
  </si>
  <si>
    <t>Sector Data : Damodaran</t>
  </si>
  <si>
    <t>Just India</t>
  </si>
  <si>
    <t>All emerging Markets</t>
  </si>
  <si>
    <t>Global</t>
  </si>
  <si>
    <t>The Company has 32 state-of-the-art manufacturing and 6 R&amp;D facilities with over 95% raw materials being locally procured</t>
  </si>
  <si>
    <t>The prices of the Company’s raw materials generally fluctuate in line with commodity cycles</t>
  </si>
  <si>
    <t>Pharma companies purchase certain raw materials from sources outside India. This reliance on foreign suppliers can expose them to currency exchange risks, further increasing the cost of production</t>
  </si>
  <si>
    <t>Concall May'25</t>
  </si>
  <si>
    <t>Concall Nov'24</t>
  </si>
  <si>
    <t>Management Guidance</t>
  </si>
  <si>
    <t>https://www.cervicornconsulting.com/active-pharmaceutical-ingredient-market</t>
  </si>
  <si>
    <t>https://www.chemanalyst.com/NewsAndDeals/NewsDetails/api-prices-tumble-easing-cost-burden-on-indian-pharma-sector-37146#:~:text=India's%20pharma%20sector%20is%20witnessing,making%20their%20APIs%20highly%20competitive.</t>
  </si>
  <si>
    <t>https://worldtradescanner.com/Low%20Price%20API%20from%20China%20in%20War%20with%20Indian%20Pharma%20Industry.htm#:~:text=According%20to%20pharma%20industry%20experts,to%20%E2%82%B945%2C000%20per%20kg.</t>
  </si>
  <si>
    <t>Street Estimates</t>
  </si>
  <si>
    <t>CY'26E</t>
  </si>
  <si>
    <t>CY'27E</t>
  </si>
  <si>
    <t>https://www.ceicdata.com/en/india/memo-items-rubber-price/rubber-price-monthly-avg-natural-graded-latex</t>
  </si>
  <si>
    <t>DOLAT CAPITAL</t>
  </si>
  <si>
    <t>Systematix</t>
  </si>
  <si>
    <t>Raw Material</t>
  </si>
  <si>
    <t>Motilal Oswal</t>
  </si>
  <si>
    <t>MEDIAN Gross Margin</t>
  </si>
  <si>
    <t>Cost of Material % COGS</t>
  </si>
  <si>
    <t>Revenue - yoy % growth</t>
  </si>
  <si>
    <t>Gross Margin%</t>
  </si>
  <si>
    <t xml:space="preserve"># </t>
  </si>
  <si>
    <t>SG&amp;A Expense</t>
  </si>
  <si>
    <t>SG&amp;A Expenses</t>
  </si>
  <si>
    <t>Growth YoY %</t>
  </si>
  <si>
    <t>Historical SG&amp;A Analysis</t>
  </si>
  <si>
    <t>Employee Benefit Expenses</t>
  </si>
  <si>
    <t>Consumption of stores and spares</t>
  </si>
  <si>
    <t>Power and fuel</t>
  </si>
  <si>
    <t xml:space="preserve">Repair and maintenance </t>
  </si>
  <si>
    <t>Insurance</t>
  </si>
  <si>
    <t>Rates and taxes</t>
  </si>
  <si>
    <t>Communication expenses</t>
  </si>
  <si>
    <t>Travelling and conveyance</t>
  </si>
  <si>
    <t>Printing and stationery</t>
  </si>
  <si>
    <t>Advertising and sales promotion expenses</t>
  </si>
  <si>
    <t>Miscellaneous expenses</t>
  </si>
  <si>
    <t>Others</t>
  </si>
  <si>
    <t>Profit and Loss</t>
  </si>
  <si>
    <t>Employee Exps % Revenue</t>
  </si>
  <si>
    <t>Advertising and sales promotion expenses % Revenue</t>
  </si>
  <si>
    <t>Travelling and conveyance % Revenue</t>
  </si>
  <si>
    <t>Other Operating Expenses</t>
  </si>
  <si>
    <t>Other Operating Expenses % Revenue</t>
  </si>
  <si>
    <t>Other SG&amp;A Expenses</t>
  </si>
  <si>
    <t>Other SG&amp;A Expenses % Revenue</t>
  </si>
  <si>
    <t>Employee Benefit Expense % Revenue</t>
  </si>
  <si>
    <t>Advertising &amp; Sales Promotion Expense % Revenue</t>
  </si>
  <si>
    <t>Travelling and conveyance Expense % Revenue</t>
  </si>
  <si>
    <t>Other Operating Expense % Revenue</t>
  </si>
  <si>
    <t>Other Misc SG&amp;A Expenses % Revenue</t>
  </si>
  <si>
    <t>Total SG&amp;A Expenses % Revenue</t>
  </si>
  <si>
    <t>Employee Benefit Expense</t>
  </si>
  <si>
    <t xml:space="preserve">Advertising &amp; Sales Promotion Expense </t>
  </si>
  <si>
    <t xml:space="preserve">Travelling and conveyance Expense </t>
  </si>
  <si>
    <t xml:space="preserve">Other Operating Expense </t>
  </si>
  <si>
    <t>Other Misc SG&amp;A Expenses</t>
  </si>
  <si>
    <t>Current Investments</t>
  </si>
  <si>
    <t>Cash and Cash Equivalents</t>
  </si>
  <si>
    <t>Total Asset</t>
  </si>
  <si>
    <t>Current Assets % Total Assets</t>
  </si>
  <si>
    <t>Inventories Growth YoY %</t>
  </si>
  <si>
    <t>Average Inventory</t>
  </si>
  <si>
    <t>Peers Inventory Days</t>
  </si>
  <si>
    <t>Mankind Pharma</t>
  </si>
  <si>
    <t xml:space="preserve">Peer 1 - Dr. Reddys </t>
  </si>
  <si>
    <t xml:space="preserve">Peer 2 - Cipla </t>
  </si>
  <si>
    <t>Peer 3 - SunPharma</t>
  </si>
  <si>
    <t>Average Inventory % Revenue</t>
  </si>
  <si>
    <t>Motilal Oswaal (Inventory/Revenue*365)</t>
  </si>
  <si>
    <t>Geojit (365/Inv Turnover Ratio)</t>
  </si>
  <si>
    <t>Street Estimate of Inventory days considered as almost flast from current levels</t>
  </si>
  <si>
    <t>Inventory Turnover Ratio (Revenue)</t>
  </si>
  <si>
    <t>Inventory Turnover Ratio (COGS)</t>
  </si>
  <si>
    <t>Inventory Days (COGS)</t>
  </si>
  <si>
    <t>Inventory Days (Revenue)</t>
  </si>
  <si>
    <t>Inventory % Revenue</t>
  </si>
  <si>
    <t>Trade Receivable</t>
  </si>
  <si>
    <t>Trade Receivable Growth YoY %</t>
  </si>
  <si>
    <t>Average Trade Receivable</t>
  </si>
  <si>
    <t>Average Trade Receivable % Revenue</t>
  </si>
  <si>
    <t xml:space="preserve">Receivable Days </t>
  </si>
  <si>
    <t>Receivable Turnover ratio (Revenue)</t>
  </si>
  <si>
    <t>Peers Receivable Days Analysis</t>
  </si>
  <si>
    <t>Trade receivables have increased to ` 1,538 crore in FY2025 from ` 848 crore in FY2024. The increase is primarily attributed to growth in Sales and consolidation of BSV business acquired during the year</t>
  </si>
  <si>
    <t>Receivables ageing analysis</t>
  </si>
  <si>
    <t>Receivable</t>
  </si>
  <si>
    <t>Other Current Assets% Revenue</t>
  </si>
  <si>
    <t>We assume other current asset to remain flat at 7 % of revenue</t>
  </si>
  <si>
    <t>Gross Block</t>
  </si>
  <si>
    <t>Less: Accumulated Depreciation</t>
  </si>
  <si>
    <t>Net Fixed Assets</t>
  </si>
  <si>
    <r>
      <t>As of 2023, India ranked as the third-largest producer of drugs and pharmaceuticals by volume, with a 20% share in the export of generic drugs </t>
    </r>
    <r>
      <rPr>
        <sz val="8"/>
        <color rgb="FF00AAD4"/>
        <rFont val="Calibri"/>
        <family val="2"/>
        <scheme val="minor"/>
      </rPr>
      <t>1</t>
    </r>
    <r>
      <rPr>
        <sz val="10"/>
        <color rgb="FF0A0A0A"/>
        <rFont val="Calibri"/>
        <family val="2"/>
        <scheme val="minor"/>
      </rPr>
      <t> , 5.71% of the global share of all pharmaceutical exports </t>
    </r>
    <r>
      <rPr>
        <sz val="8"/>
        <color rgb="FF00AAD4"/>
        <rFont val="Calibri"/>
        <family val="2"/>
        <scheme val="minor"/>
      </rPr>
      <t>1</t>
    </r>
    <r>
      <rPr>
        <sz val="10"/>
        <color rgb="FF0A0A0A"/>
        <rFont val="Calibri"/>
        <family val="2"/>
        <scheme val="minor"/>
      </rPr>
      <t> , and a 60% share in the supply of low-cost vaccines </t>
    </r>
    <r>
      <rPr>
        <sz val="8"/>
        <color rgb="FF00AAD4"/>
        <rFont val="Calibri"/>
        <family val="2"/>
        <scheme val="minor"/>
      </rPr>
      <t>15</t>
    </r>
    <r>
      <rPr>
        <sz val="10"/>
        <color rgb="FF0A0A0A"/>
        <rFont val="Calibri"/>
        <family val="2"/>
        <scheme val="minor"/>
      </rPr>
      <t> , according to the Indian Pharmaceutical Alliance</t>
    </r>
  </si>
  <si>
    <r>
      <t>On 17 December 2024, the Ministry of Chemicals and Fertilizers in India announced that for FY 2023–2024 (which closed 31 March 31 2024), the pharmaceutical market was valued at US$50 billion </t>
    </r>
    <r>
      <rPr>
        <sz val="8"/>
        <color rgb="FF00AAD4"/>
        <rFont val="Calibri"/>
        <family val="2"/>
        <scheme val="minor"/>
      </rPr>
      <t>6</t>
    </r>
    <r>
      <rPr>
        <sz val="10"/>
        <color rgb="FF0A0A0A"/>
        <rFont val="Calibri"/>
        <family val="2"/>
        <scheme val="minor"/>
      </rPr>
      <t> with domestic consumption accounting for US$23.5 billion and drug and pharmaceutical ex-ports US$26.5 billion </t>
    </r>
    <r>
      <rPr>
        <sz val="8"/>
        <color rgb="FF00AAD4"/>
        <rFont val="Calibri"/>
        <family val="2"/>
        <scheme val="minor"/>
      </rPr>
      <t>15</t>
    </r>
    <r>
      <rPr>
        <sz val="10"/>
        <color rgb="FF0A0A0A"/>
        <rFont val="Calibri"/>
        <family val="2"/>
        <scheme val="minor"/>
      </rPr>
      <t> , which compares with US$15 billion in exports for FY 2013–2014 </t>
    </r>
    <r>
      <rPr>
        <sz val="8"/>
        <color rgb="FF00AAD4"/>
        <rFont val="Calibri"/>
        <family val="2"/>
        <scheme val="minor"/>
      </rPr>
      <t>14</t>
    </r>
    <r>
      <rPr>
        <sz val="10"/>
        <color rgb="FF0A0A0A"/>
        <rFont val="Calibri"/>
        <family val="2"/>
        <scheme val="minor"/>
      </rPr>
      <t> (see Figure 1). The sector is projected to achieve a turnover of US$130 billion by 2030 </t>
    </r>
  </si>
  <si>
    <t>Net Fixed Assets % Total Assets</t>
  </si>
  <si>
    <t>Total Revenue</t>
  </si>
  <si>
    <t>Net Fixed Assets % Total Revenue</t>
  </si>
  <si>
    <t>Land</t>
  </si>
  <si>
    <t>Building</t>
  </si>
  <si>
    <t>Plant Machinery</t>
  </si>
  <si>
    <t>Equipments</t>
  </si>
  <si>
    <t>Computers</t>
  </si>
  <si>
    <t>Furniture n fittings</t>
  </si>
  <si>
    <t>Vehicles</t>
  </si>
  <si>
    <t>Intangible Assets</t>
  </si>
  <si>
    <t>Other fixed assets</t>
  </si>
  <si>
    <t>Total Fixed Assets</t>
  </si>
  <si>
    <t>Breakup of Fixed Assets - Common Size</t>
  </si>
  <si>
    <t>Exclude Land from Gross Assets</t>
  </si>
  <si>
    <t>Less: Land (Non-Depreciable)</t>
  </si>
  <si>
    <t>Breakup of Gross Fixed Assets</t>
  </si>
  <si>
    <t xml:space="preserve">Change in Gross Block </t>
  </si>
  <si>
    <t>Change in Revenue / Change in Gross Block</t>
  </si>
  <si>
    <t xml:space="preserve">Depreciation &amp; Amortization </t>
  </si>
  <si>
    <t>Maintainance Capex</t>
  </si>
  <si>
    <t>Growth Capex</t>
  </si>
  <si>
    <t>Growth in Gross Block YoY%</t>
  </si>
  <si>
    <t xml:space="preserve">Asset Turnover Ratio </t>
  </si>
  <si>
    <t>Nov' 24</t>
  </si>
  <si>
    <t>Aug' 24</t>
  </si>
  <si>
    <t>Jan' 25</t>
  </si>
  <si>
    <t>May' 25</t>
  </si>
  <si>
    <t>Assuming increase of 2.5% to 3% of FY'26 revenue for R&amp;D</t>
  </si>
  <si>
    <t>Growth of 210 bps compared to FY'25 in R&amp;D</t>
  </si>
  <si>
    <t>investing more in R&amp;D, especially in developing new drugs like</t>
  </si>
  <si>
    <t>GPR119 molecule , GLP-1 product</t>
  </si>
  <si>
    <t>Targeting higher domestic revenue growth (1.2x IPM)</t>
  </si>
  <si>
    <t>preparing for long-term margin expansion (from ~26% to 30% by FY30)</t>
  </si>
  <si>
    <t>Invested ₹264 crore in R&amp;D during FY2025</t>
  </si>
  <si>
    <t>Annual Report '25</t>
  </si>
  <si>
    <t>Intangible assets</t>
  </si>
  <si>
    <t>Intangible assets (excluding goodwill)</t>
  </si>
  <si>
    <t>Right if use Assets Growth %</t>
  </si>
  <si>
    <t>Intangible Asset (Excluding Goodwill) Growth %</t>
  </si>
  <si>
    <t>Goodwill Growth %</t>
  </si>
  <si>
    <t>Property , Plants &amp; Equipments</t>
  </si>
  <si>
    <t>YoY Growth %</t>
  </si>
  <si>
    <t>Right of Use Asset</t>
  </si>
  <si>
    <t>Capital Work in Progress</t>
  </si>
  <si>
    <t>Intangible Assets (Excluding Goodwill)</t>
  </si>
  <si>
    <t>Right of Use Assets</t>
  </si>
  <si>
    <t>Other Intangible Asset</t>
  </si>
  <si>
    <t>Other Non-Current Asset Growth %</t>
  </si>
  <si>
    <t>Deffered Tax Asset Growth %</t>
  </si>
  <si>
    <t>Other non-current Item</t>
  </si>
  <si>
    <t>Other Non Current Asset</t>
  </si>
  <si>
    <t>Deferred Tax Asset</t>
  </si>
  <si>
    <t>Non Current Financial Asset</t>
  </si>
  <si>
    <t>Income Tax Asset</t>
  </si>
  <si>
    <t>Income Tax Asset Growth %</t>
  </si>
  <si>
    <t>% Revenue</t>
  </si>
  <si>
    <t>Non Current Financial Assets</t>
  </si>
  <si>
    <t>Deffered Tax Assets</t>
  </si>
  <si>
    <t>Income Tax Assets</t>
  </si>
  <si>
    <t>Total Non Current Assets</t>
  </si>
  <si>
    <t>Intangible Asset Under development Growth %</t>
  </si>
  <si>
    <t>Investments in associates Growth %</t>
  </si>
  <si>
    <t>Intangible Assets Under Development</t>
  </si>
  <si>
    <t xml:space="preserve">Investments in associates </t>
  </si>
  <si>
    <t>CWIP</t>
  </si>
  <si>
    <t>CWIP % Fixed Assets</t>
  </si>
  <si>
    <t>Geojit</t>
  </si>
  <si>
    <t>Motilal Oswaal</t>
  </si>
  <si>
    <t>No Guidance Available</t>
  </si>
  <si>
    <t>Median CWIP% Fixed Assets - Moderate Capex</t>
  </si>
  <si>
    <t>Median CWIP% Fixed Assets - Aggresive Capex</t>
  </si>
  <si>
    <t>Capital Work in progress % Net Fixed Assets</t>
  </si>
  <si>
    <t>Less: Intangible assets (excluding goodwill)</t>
  </si>
  <si>
    <t>Depreciable Gross Block</t>
  </si>
  <si>
    <t xml:space="preserve">Net Depreciable Fixed Assets </t>
  </si>
  <si>
    <t>Depreciation for the Year</t>
  </si>
  <si>
    <t>Average Life of Asset</t>
  </si>
  <si>
    <t>Average Age of Asset</t>
  </si>
  <si>
    <t>% of Asset Depreciated</t>
  </si>
  <si>
    <t>Depreciation % Net Fixed Assets</t>
  </si>
  <si>
    <t>Depreciation % Gross Block</t>
  </si>
  <si>
    <t>Depreciation % Revenue</t>
  </si>
  <si>
    <t>Depreciation % Sales</t>
  </si>
  <si>
    <t xml:space="preserve">Less: Depreciation </t>
  </si>
  <si>
    <t>Capex</t>
  </si>
  <si>
    <t>Revenue'26</t>
  </si>
  <si>
    <t>Revenue'27</t>
  </si>
  <si>
    <t>Change in Revenue/Change in Capex Ratio</t>
  </si>
  <si>
    <t>Opening PP&amp;E</t>
  </si>
  <si>
    <t>Add: Capex During the Year</t>
  </si>
  <si>
    <t>Closing PP&amp;E</t>
  </si>
  <si>
    <t>Addition During the Year</t>
  </si>
  <si>
    <t>Total Net Depreciable Fixed Assets</t>
  </si>
  <si>
    <t>Less: Interest</t>
  </si>
  <si>
    <t>Other Income</t>
  </si>
  <si>
    <t>Less: Share of net profit of associates and joint ventures</t>
  </si>
  <si>
    <t>Bank balance</t>
  </si>
  <si>
    <t>Equity &amp; Liabilities</t>
  </si>
  <si>
    <t>Equity</t>
  </si>
  <si>
    <t>Total Shareholder's Equity</t>
  </si>
  <si>
    <t>Non Controlling Interest</t>
  </si>
  <si>
    <t>Liabilities</t>
  </si>
  <si>
    <t>Other Non Current Assets</t>
  </si>
  <si>
    <t>Non-Current Liabilities</t>
  </si>
  <si>
    <t>Total Current liabilities</t>
  </si>
  <si>
    <t>Interest (Net)</t>
  </si>
  <si>
    <t>Add: Other Items</t>
  </si>
  <si>
    <t>Govt grant income</t>
  </si>
  <si>
    <t>Int exp &amp; Other Fin Cost</t>
  </si>
  <si>
    <t>Less: Tax Paid</t>
  </si>
  <si>
    <t>Net Purchased of Fixed Assets</t>
  </si>
  <si>
    <t>Net Purchased of Investment</t>
  </si>
  <si>
    <t>Interest Received</t>
  </si>
  <si>
    <t>Net Cash Flow from Operations</t>
  </si>
  <si>
    <t>Net Cash Flow from Investing</t>
  </si>
  <si>
    <t>Net Proceeds from Long Term Borrowings</t>
  </si>
  <si>
    <t>Net Proceeds from Short Term Borrowings</t>
  </si>
  <si>
    <t>Finance Costs</t>
  </si>
  <si>
    <t>Net Cash Flow from Financing</t>
  </si>
  <si>
    <t>Proceeds from issue of Shares</t>
  </si>
  <si>
    <t>Net Foreign exchange difference</t>
  </si>
  <si>
    <t>Cash at the Beginning of the Year</t>
  </si>
  <si>
    <t>Trade Payables % COGS</t>
  </si>
  <si>
    <t>Trade Payable Days</t>
  </si>
  <si>
    <t>Trade Payable % Revenue</t>
  </si>
  <si>
    <t>Trade Receivables % Revenue</t>
  </si>
  <si>
    <t>Peers Payables Days Analysis</t>
  </si>
  <si>
    <t xml:space="preserve">Motilal Oswaal </t>
  </si>
  <si>
    <t xml:space="preserve">Geojit </t>
  </si>
  <si>
    <t>No Guidance available</t>
  </si>
  <si>
    <t>Debt</t>
  </si>
  <si>
    <t>Short Term Borrowings</t>
  </si>
  <si>
    <t>Long Term Borrowings</t>
  </si>
  <si>
    <t>Total Borrowings</t>
  </si>
  <si>
    <t>LTB%TB</t>
  </si>
  <si>
    <t>STB%TB</t>
  </si>
  <si>
    <t>STB%Revenue</t>
  </si>
  <si>
    <t>LTB%Revenue</t>
  </si>
  <si>
    <t>Debt to Asset</t>
  </si>
  <si>
    <t>Debt to Capital</t>
  </si>
  <si>
    <t>Debt to Equity</t>
  </si>
  <si>
    <t>Debt to EBITDA</t>
  </si>
  <si>
    <t>May'25</t>
  </si>
  <si>
    <t>-</t>
  </si>
  <si>
    <t>Change in Operating Working Capital</t>
  </si>
  <si>
    <t>Change in Trade Receivables</t>
  </si>
  <si>
    <t>Change in Trade Payables</t>
  </si>
  <si>
    <t>Long Term Borrowing</t>
  </si>
  <si>
    <t>EBITDA to Debt Ratio</t>
  </si>
  <si>
    <t>Debt to Revenue %</t>
  </si>
  <si>
    <t>LTB</t>
  </si>
  <si>
    <t>Debt Growth YoY %</t>
  </si>
  <si>
    <t>Short Term Borrowing</t>
  </si>
  <si>
    <t>Total Borrowing</t>
  </si>
  <si>
    <t>Interest Cost</t>
  </si>
  <si>
    <t>InterestCost%TB</t>
  </si>
  <si>
    <t>Interest Rate</t>
  </si>
  <si>
    <t>Amount</t>
  </si>
  <si>
    <t>Interest Rate %</t>
  </si>
  <si>
    <t>Average Total Borrowing</t>
  </si>
  <si>
    <t>Interest Expenses</t>
  </si>
  <si>
    <t>OtherIncome%Revenue</t>
  </si>
  <si>
    <t>OtherIncome % Revenue</t>
  </si>
  <si>
    <t>We assume Other Income to remain flat at  ~3% of revenue</t>
  </si>
  <si>
    <t>Dividend</t>
  </si>
  <si>
    <t>Other Equity Schedule</t>
  </si>
  <si>
    <t>Other Equity - Beginning of the year</t>
  </si>
  <si>
    <t>We assume Dividend to remain 0 only</t>
  </si>
  <si>
    <t>Other Financial liabilities - Short Term</t>
  </si>
  <si>
    <t xml:space="preserve">Current Tax liabilities </t>
  </si>
  <si>
    <t>Change in Short Term Borrowings</t>
  </si>
  <si>
    <t>Change in Lease Liabilities</t>
  </si>
  <si>
    <t>Change in Current Tax Liabilities</t>
  </si>
  <si>
    <t>Change in Provisions</t>
  </si>
  <si>
    <t>Change in Other Financial Liabilities</t>
  </si>
  <si>
    <t>Change in Total Working Capital (excluding cash)</t>
  </si>
  <si>
    <t>Investments%Revenue</t>
  </si>
  <si>
    <t>Investments % Revenue</t>
  </si>
  <si>
    <t>Closing Intangible Assets</t>
  </si>
  <si>
    <t>Trade Receivable Days</t>
  </si>
  <si>
    <t>Additional CWIP</t>
  </si>
  <si>
    <t>Cash Analysis</t>
  </si>
  <si>
    <t>Total Cash</t>
  </si>
  <si>
    <t>Cash%Revenue</t>
  </si>
  <si>
    <t>Cash%TotalAsset</t>
  </si>
  <si>
    <t>Please provide the below inputs</t>
  </si>
  <si>
    <t>Name of the company</t>
  </si>
  <si>
    <t>Mankind Pharma Ltd</t>
  </si>
  <si>
    <t>Assumptions</t>
  </si>
  <si>
    <t xml:space="preserve">COGS </t>
  </si>
  <si>
    <t xml:space="preserve">Selling , General &amp; Administration (SG&amp;A) </t>
  </si>
  <si>
    <t xml:space="preserve">Non Current Asset </t>
  </si>
  <si>
    <t xml:space="preserve">Tax Rate </t>
  </si>
  <si>
    <t xml:space="preserve">Interest Rate </t>
  </si>
  <si>
    <t xml:space="preserve">Dividend Payout </t>
  </si>
  <si>
    <t>Schedules</t>
  </si>
  <si>
    <t>Growth YoY%</t>
  </si>
  <si>
    <t>Current Case - COGS % Sales</t>
  </si>
  <si>
    <t>Non-Current Financial Asset Growth %</t>
  </si>
  <si>
    <t>Non Current Lease Liabilities</t>
  </si>
  <si>
    <t>Current Tax Liabilities</t>
  </si>
  <si>
    <t>Other Financial Liabilities</t>
  </si>
  <si>
    <t>Assumed Operating Cash % Revenue</t>
  </si>
  <si>
    <t>Operating Cash</t>
  </si>
  <si>
    <t>Excess Cash</t>
  </si>
  <si>
    <t>WACC Inputs</t>
  </si>
  <si>
    <t>Country</t>
  </si>
  <si>
    <t>Local Currency 10Y Government Bond Yield</t>
  </si>
  <si>
    <t>Credit default spread as per Dr Damodaran</t>
  </si>
  <si>
    <t>Implied US Equity Risk Premium</t>
  </si>
  <si>
    <t>Asset Beta</t>
  </si>
  <si>
    <t>Asset Beta Variation (+/-)</t>
  </si>
  <si>
    <t>Debt to Capital (Gearing)</t>
  </si>
  <si>
    <t>Company Credit Rating Available ?</t>
  </si>
  <si>
    <t>Provide Credit Rating</t>
  </si>
  <si>
    <t>Small Size Premium</t>
  </si>
  <si>
    <t>Asset Specific Risk Premium</t>
  </si>
  <si>
    <t>Africa</t>
  </si>
  <si>
    <t>Moody's rating</t>
  </si>
  <si>
    <t>Rating-based Default Spread</t>
  </si>
  <si>
    <t>Abu Dhabi</t>
  </si>
  <si>
    <t>Middle East</t>
  </si>
  <si>
    <t>Aa2</t>
  </si>
  <si>
    <t>Albania</t>
  </si>
  <si>
    <t>Eastern Europe &amp; Russia</t>
  </si>
  <si>
    <t>Ba3</t>
  </si>
  <si>
    <t>Andorra (Principality of)</t>
  </si>
  <si>
    <t>Western Europe</t>
  </si>
  <si>
    <t>Baa1</t>
  </si>
  <si>
    <t>Angola</t>
  </si>
  <si>
    <t>B3</t>
  </si>
  <si>
    <t>Argentina</t>
  </si>
  <si>
    <t>Central and South America</t>
  </si>
  <si>
    <t>Caa3</t>
  </si>
  <si>
    <t>Armenia</t>
  </si>
  <si>
    <t>Aruba</t>
  </si>
  <si>
    <t>Caribbean</t>
  </si>
  <si>
    <t>Baa3</t>
  </si>
  <si>
    <t>Australia</t>
  </si>
  <si>
    <t>Australia &amp; New Zealand</t>
  </si>
  <si>
    <t>Aaa</t>
  </si>
  <si>
    <t>Austria</t>
  </si>
  <si>
    <t>Aa1</t>
  </si>
  <si>
    <t>Azerbaijan</t>
  </si>
  <si>
    <t>Bahamas</t>
  </si>
  <si>
    <t>B1</t>
  </si>
  <si>
    <t>Bahrain</t>
  </si>
  <si>
    <t>B2</t>
  </si>
  <si>
    <t>Bangladesh</t>
  </si>
  <si>
    <t>Asia</t>
  </si>
  <si>
    <t>Barbados</t>
  </si>
  <si>
    <t>Belarus</t>
  </si>
  <si>
    <t>C</t>
  </si>
  <si>
    <t>Belgium</t>
  </si>
  <si>
    <t>Aa3</t>
  </si>
  <si>
    <t>Belize</t>
  </si>
  <si>
    <t>Caa1</t>
  </si>
  <si>
    <t>Benin</t>
  </si>
  <si>
    <t>Bermuda</t>
  </si>
  <si>
    <t>A2</t>
  </si>
  <si>
    <t>Bolivia</t>
  </si>
  <si>
    <t>Ca</t>
  </si>
  <si>
    <t>Bosnia and Herzegovina</t>
  </si>
  <si>
    <t>Botswana</t>
  </si>
  <si>
    <t>A3</t>
  </si>
  <si>
    <t>Brazil</t>
  </si>
  <si>
    <t>Ba1</t>
  </si>
  <si>
    <t>Bulgaria</t>
  </si>
  <si>
    <t>Burkina Faso</t>
  </si>
  <si>
    <t>Cambodia</t>
  </si>
  <si>
    <t>Cameroon</t>
  </si>
  <si>
    <t>Canada</t>
  </si>
  <si>
    <t>North America</t>
  </si>
  <si>
    <t>Cape Verde</t>
  </si>
  <si>
    <t>Cayman Islands</t>
  </si>
  <si>
    <t>Chile</t>
  </si>
  <si>
    <t>China</t>
  </si>
  <si>
    <t>A1</t>
  </si>
  <si>
    <t>Colombia</t>
  </si>
  <si>
    <t>Congo (Democratic Republic of)</t>
  </si>
  <si>
    <t>Congo (Republic of)</t>
  </si>
  <si>
    <t>Caa2</t>
  </si>
  <si>
    <t>Cook Islands</t>
  </si>
  <si>
    <t>Costa Rica</t>
  </si>
  <si>
    <t>Côte d'Ivoire</t>
  </si>
  <si>
    <t>Ba2</t>
  </si>
  <si>
    <t>Croatia</t>
  </si>
  <si>
    <t>Cuba</t>
  </si>
  <si>
    <t>Curacao</t>
  </si>
  <si>
    <t>Cyprus</t>
  </si>
  <si>
    <t>Czech Republic</t>
  </si>
  <si>
    <t>Denmark</t>
  </si>
  <si>
    <t>Dominican Republic</t>
  </si>
  <si>
    <t>Ecuador</t>
  </si>
  <si>
    <t>Egypt</t>
  </si>
  <si>
    <t>El Salvador</t>
  </si>
  <si>
    <t>Estonia</t>
  </si>
  <si>
    <t>Ethiopia</t>
  </si>
  <si>
    <t>Fiji</t>
  </si>
  <si>
    <t>Finland</t>
  </si>
  <si>
    <t>France</t>
  </si>
  <si>
    <t>Gabon</t>
  </si>
  <si>
    <t>Georgia</t>
  </si>
  <si>
    <t>Germany</t>
  </si>
  <si>
    <t>Ghana</t>
  </si>
  <si>
    <t>Greece</t>
  </si>
  <si>
    <t>Guatemala</t>
  </si>
  <si>
    <t>Guernsey (States of)</t>
  </si>
  <si>
    <t>Honduras</t>
  </si>
  <si>
    <t>Hong Kong</t>
  </si>
  <si>
    <t>Hungary</t>
  </si>
  <si>
    <t>Baa2</t>
  </si>
  <si>
    <t>Iceland</t>
  </si>
  <si>
    <t>India</t>
  </si>
  <si>
    <t>Indonesia</t>
  </si>
  <si>
    <t>Iraq</t>
  </si>
  <si>
    <t>Ireland</t>
  </si>
  <si>
    <t>Isle of Man</t>
  </si>
  <si>
    <t>Israel</t>
  </si>
  <si>
    <t>Italy</t>
  </si>
  <si>
    <t>Jamaica</t>
  </si>
  <si>
    <t>Japan</t>
  </si>
  <si>
    <t>Jersey (States of)</t>
  </si>
  <si>
    <t>Jordan</t>
  </si>
  <si>
    <t>Kazakhstan</t>
  </si>
  <si>
    <t>Kenya</t>
  </si>
  <si>
    <t>Korea</t>
  </si>
  <si>
    <t>Kuwait</t>
  </si>
  <si>
    <t>Kyrgyzstan</t>
  </si>
  <si>
    <t>Laos</t>
  </si>
  <si>
    <t>Latvia</t>
  </si>
  <si>
    <t>Lebanon</t>
  </si>
  <si>
    <t>Liechtenstein</t>
  </si>
  <si>
    <t>Lithuania</t>
  </si>
  <si>
    <t>Luxembourg</t>
  </si>
  <si>
    <t>Macao</t>
  </si>
  <si>
    <t>Macedonia</t>
  </si>
  <si>
    <t>Malaysia</t>
  </si>
  <si>
    <t>Maldives</t>
  </si>
  <si>
    <t>Mali</t>
  </si>
  <si>
    <t>Malta</t>
  </si>
  <si>
    <t>Mauritius</t>
  </si>
  <si>
    <t>Mexico</t>
  </si>
  <si>
    <t>Moldova</t>
  </si>
  <si>
    <t>Mongolia</t>
  </si>
  <si>
    <t>Montenegro</t>
  </si>
  <si>
    <t>Montserrat</t>
  </si>
  <si>
    <t>Morocco</t>
  </si>
  <si>
    <t>Mozambique</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</si>
  <si>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</si>
  <si>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</si>
  <si>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</si>
  <si>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</si>
  <si>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</si>
  <si>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</si>
  <si>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</si>
  <si>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</si>
  <si>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</si>
  <si>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</si>
  <si>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</si>
  <si>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</si>
  <si>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</si>
  <si>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</si>
  <si>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</si>
  <si>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</si>
  <si>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</si>
  <si>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</si>
  <si>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Ras Al Khaimah (Emirate of)</t>
  </si>
  <si>
    <t>Romania</t>
  </si>
  <si>
    <t>Rwanda</t>
  </si>
  <si>
    <t>Saudi Arabia</t>
  </si>
  <si>
    <t>Senegal</t>
  </si>
  <si>
    <t>Serbia</t>
  </si>
  <si>
    <t>Sharjah</t>
  </si>
  <si>
    <t>Singapore</t>
  </si>
  <si>
    <t>Slovakia</t>
  </si>
  <si>
    <t>Slovenia</t>
  </si>
  <si>
    <t>Solomon Islands</t>
  </si>
  <si>
    <t>South Africa</t>
  </si>
  <si>
    <t>Spain</t>
  </si>
  <si>
    <t>Sri Lanka</t>
  </si>
  <si>
    <t>St. Maarten</t>
  </si>
  <si>
    <t>St. Vincent &amp; the Grenadines</t>
  </si>
  <si>
    <t>Suriname</t>
  </si>
  <si>
    <t>Swaziland</t>
  </si>
  <si>
    <t>Sweden</t>
  </si>
  <si>
    <t>Switzerland</t>
  </si>
  <si>
    <t>Taiwan</t>
  </si>
  <si>
    <t>Tajikistan</t>
  </si>
  <si>
    <t>Tanzania</t>
  </si>
  <si>
    <t>Thailand</t>
  </si>
  <si>
    <t>Togo</t>
  </si>
  <si>
    <t>Trinidad and Tobago</t>
  </si>
  <si>
    <t>Tunisia</t>
  </si>
  <si>
    <t>Turkey</t>
  </si>
  <si>
    <t>Turks and Caicos Islands</t>
  </si>
  <si>
    <t>Uganda</t>
  </si>
  <si>
    <t>Ukraine</t>
  </si>
  <si>
    <t>United Arab Emirates</t>
  </si>
  <si>
    <t>United Kingdom</t>
  </si>
  <si>
    <t>United States</t>
  </si>
  <si>
    <t>Uruguay</t>
  </si>
  <si>
    <t>Uzbekistan</t>
  </si>
  <si>
    <t>Venezuela</t>
  </si>
  <si>
    <t>Vietnam</t>
  </si>
  <si>
    <t>Zambia</t>
  </si>
  <si>
    <t>source</t>
  </si>
  <si>
    <t>https://pages.stern.nyu.edu/~adamodar/pc/datasets/ctrypremJuly25.xlsx</t>
  </si>
  <si>
    <t>Company is Large Firm or Small Firm ?</t>
  </si>
  <si>
    <t>Country Data</t>
  </si>
  <si>
    <t>Company Data</t>
  </si>
  <si>
    <t>For large non-financial service firms</t>
  </si>
  <si>
    <t>If interest coverage ratio is</t>
  </si>
  <si>
    <t>&gt;</t>
  </si>
  <si>
    <t>≤ to</t>
  </si>
  <si>
    <t>Rating is</t>
  </si>
  <si>
    <t>Spread is</t>
  </si>
  <si>
    <t>D2/D</t>
  </si>
  <si>
    <t>C2/C</t>
  </si>
  <si>
    <t>Ca2/CC</t>
  </si>
  <si>
    <t>Caa/CCC</t>
  </si>
  <si>
    <t>B3/B-</t>
  </si>
  <si>
    <t>B2/B</t>
  </si>
  <si>
    <t>B1/B+</t>
  </si>
  <si>
    <t>Ba2/BB</t>
  </si>
  <si>
    <t>Ba1/BB+</t>
  </si>
  <si>
    <t>Baa2/BBB</t>
  </si>
  <si>
    <t>A3/A-</t>
  </si>
  <si>
    <t>A2/A</t>
  </si>
  <si>
    <t>A1/A+</t>
  </si>
  <si>
    <t>Aa2/AA</t>
  </si>
  <si>
    <t>Aaa/AAA</t>
  </si>
  <si>
    <t>For smaller and riskier firms</t>
  </si>
  <si>
    <t>greater than</t>
  </si>
  <si>
    <t>Large</t>
  </si>
  <si>
    <t>Small</t>
  </si>
  <si>
    <t xml:space="preserve">Low </t>
  </si>
  <si>
    <t>Mid</t>
  </si>
  <si>
    <t>High</t>
  </si>
  <si>
    <t>Equity Risk Premium</t>
  </si>
  <si>
    <t>Equity Beta</t>
  </si>
  <si>
    <t>CAPM Cost of Equity</t>
  </si>
  <si>
    <t>D/E Ratio</t>
  </si>
  <si>
    <t>Asset Specific Premium</t>
  </si>
  <si>
    <t>Modified Cost of Equity</t>
  </si>
  <si>
    <t>Pre Tax Cost of Debt</t>
  </si>
  <si>
    <t>Post Tax Cost of Debt</t>
  </si>
  <si>
    <t>Capital Gearing (D/D+E)</t>
  </si>
  <si>
    <t>Weighted Average Cost of Capital (Rounded)</t>
  </si>
  <si>
    <t>ICR based Corporate Default Spread</t>
  </si>
  <si>
    <t>Beta Analysis - 2 Years Weekly</t>
  </si>
  <si>
    <t>Comparable Company</t>
  </si>
  <si>
    <t>Ticker</t>
  </si>
  <si>
    <t>No. of Weekly Observations</t>
  </si>
  <si>
    <t>Market Cap</t>
  </si>
  <si>
    <t>2 Years Avg D/E</t>
  </si>
  <si>
    <t>2 Years Avg D/D+E</t>
  </si>
  <si>
    <t>Sun Pharmaceutical Industries Ltd</t>
  </si>
  <si>
    <t>NSE: SUNPHARMA</t>
  </si>
  <si>
    <t>Torrent Pharmaceuticals Ltd</t>
  </si>
  <si>
    <t>NSE: TORNTPHARM</t>
  </si>
  <si>
    <t>Cipla Ltd</t>
  </si>
  <si>
    <t>NSE: CIPLA</t>
  </si>
  <si>
    <t>Dr. Reddy's Laboratories Ltd</t>
  </si>
  <si>
    <t>NSE: DRREDDY</t>
  </si>
  <si>
    <t>Zydus Lifesciences Ltd</t>
  </si>
  <si>
    <t>NSE: ZYDUSLIFE</t>
  </si>
  <si>
    <t>Median - Broad Set</t>
  </si>
  <si>
    <t>Average - Broad Set</t>
  </si>
  <si>
    <t>Beta Analysis - 5 Years Monthly</t>
  </si>
  <si>
    <t>5 Years Avg D/E</t>
  </si>
  <si>
    <t>5 Years Avg D/D+E</t>
  </si>
  <si>
    <t>No. of Monthly Observations</t>
  </si>
  <si>
    <t>Blume Beta Analysis - 5 Years Monthly</t>
  </si>
  <si>
    <t xml:space="preserve">Debt to Equity Ratio </t>
  </si>
  <si>
    <t>Sunpharma</t>
  </si>
  <si>
    <t>D/E</t>
  </si>
  <si>
    <t>Torrent</t>
  </si>
  <si>
    <t>Cipla</t>
  </si>
  <si>
    <t>Dr Reddy</t>
  </si>
  <si>
    <t>Zydus</t>
  </si>
  <si>
    <t>D</t>
  </si>
  <si>
    <t>D+E</t>
  </si>
  <si>
    <t>D/D+E</t>
  </si>
  <si>
    <t>5Y avg</t>
  </si>
  <si>
    <t xml:space="preserve">1. Tax rate considered as Marginal Tax Rate of India </t>
  </si>
  <si>
    <t>2.Asset Beta is considered as median of 5 years beta of comps adjusted for blume affect</t>
  </si>
  <si>
    <t>3.Equity Beta = Asset Beta*(1+(1-Tax Rate%)*Debt/Equity)</t>
  </si>
  <si>
    <t>Equity Risk Premium (ERP)</t>
  </si>
  <si>
    <t>For the purpose of assessing cost of Debt, we have used country's Risk Free Rate, country's default spread and corporate default spread on company's debt rating and interest coverage ratio.</t>
  </si>
  <si>
    <t>Add: Depreciation &amp; Amortization</t>
  </si>
  <si>
    <t>Cash NOPAT</t>
  </si>
  <si>
    <t>Capex During the Year</t>
  </si>
  <si>
    <t>Less: Minority Interest</t>
  </si>
  <si>
    <t>Add: Non Operating Asset</t>
  </si>
  <si>
    <t>Less: Value of Options</t>
  </si>
  <si>
    <t>Equity Value for Shareholders</t>
  </si>
  <si>
    <t>Value of all options outstanding =</t>
  </si>
  <si>
    <t xml:space="preserve">Value per option = </t>
  </si>
  <si>
    <t>N (d2) =</t>
  </si>
  <si>
    <t xml:space="preserve">d2 = </t>
  </si>
  <si>
    <t>N (d1) =</t>
  </si>
  <si>
    <t xml:space="preserve">d1 = </t>
  </si>
  <si>
    <t>Div. Adj. interest rate=</t>
  </si>
  <si>
    <t>Annualized dividend yield=</t>
  </si>
  <si>
    <t>Expiration (in years) =</t>
  </si>
  <si>
    <t>Variance=</t>
  </si>
  <si>
    <t>Adjusted K =</t>
  </si>
  <si>
    <t>T.Bond rate=</t>
  </si>
  <si>
    <t>Adjusted S =</t>
  </si>
  <si>
    <t># Shares outstanding=</t>
  </si>
  <si>
    <t>Strike Price=</t>
  </si>
  <si>
    <t># Warrants issued=</t>
  </si>
  <si>
    <t>Stock Price=</t>
  </si>
  <si>
    <t>VALUING OPTIONS WHEN THERE IS DILUTION</t>
  </si>
  <si>
    <t>Do not input any numbers below this line</t>
  </si>
  <si>
    <t>Enter the number of shares outstanding =</t>
  </si>
  <si>
    <t>Enter the number of options outstanding =</t>
  </si>
  <si>
    <t>Enter the Risk Free rate =</t>
  </si>
  <si>
    <t>Enter the annualized dividend yield on stock =</t>
  </si>
  <si>
    <t>(volatility)</t>
  </si>
  <si>
    <t>Enter the standard deviation in stock prices =</t>
  </si>
  <si>
    <t>Enter the expiration of the option =</t>
  </si>
  <si>
    <t>Enter the strike price on the option =</t>
  </si>
  <si>
    <t>Enter the current stock price =</t>
  </si>
  <si>
    <t>Valuing Options or Warrants</t>
  </si>
  <si>
    <t xml:space="preserve">Maturity </t>
  </si>
  <si>
    <t>Expected Volatility</t>
  </si>
  <si>
    <t>Exercise Price</t>
  </si>
  <si>
    <t>No. of options granted</t>
  </si>
  <si>
    <t>Grant Date</t>
  </si>
  <si>
    <t>Weighted Average</t>
  </si>
  <si>
    <t>Expected Dividend</t>
  </si>
  <si>
    <t>Consideration ?</t>
  </si>
  <si>
    <t>Narrow Set</t>
  </si>
  <si>
    <t>Maturity Period</t>
  </si>
  <si>
    <t>Sensitivity Analysis</t>
  </si>
  <si>
    <t>Terminal Growth Rate %</t>
  </si>
  <si>
    <t>WACC</t>
  </si>
  <si>
    <t>in %</t>
  </si>
  <si>
    <t>Mean</t>
  </si>
  <si>
    <t>EBIT margin</t>
  </si>
  <si>
    <t>EBITDA margin</t>
  </si>
  <si>
    <t>PBT margin</t>
  </si>
  <si>
    <t>PAT margin</t>
  </si>
  <si>
    <t>Summary</t>
  </si>
  <si>
    <t>Comparable Companies</t>
  </si>
  <si>
    <t>Description</t>
  </si>
  <si>
    <t>CIPLA</t>
  </si>
  <si>
    <t>Zydus Lifesciences</t>
  </si>
  <si>
    <t>Relative Valuation</t>
  </si>
  <si>
    <t>Stock Price</t>
  </si>
  <si>
    <t>In INR Crores</t>
  </si>
  <si>
    <t>Market Data</t>
  </si>
  <si>
    <t>Financials</t>
  </si>
  <si>
    <t>75th Percentile</t>
  </si>
  <si>
    <t>25th Percentile</t>
  </si>
  <si>
    <t xml:space="preserve">Average </t>
  </si>
  <si>
    <t>Low</t>
  </si>
  <si>
    <t>Segment</t>
  </si>
  <si>
    <t>Industry</t>
  </si>
  <si>
    <t>Pharmaceutical</t>
  </si>
  <si>
    <t>Wellness + Vaccines</t>
  </si>
  <si>
    <t>OTC + Global Generics</t>
  </si>
  <si>
    <t>Cipla is a leading Indian multinational pharmaceutical company headquartered in Mumbai, with operations in over 86 countries. Its core business revolves around branded generics, catering to acute and chronic therapy areas such as respiratory, cardiovascular, diabetes, anti-infectives, gastrointestinal, dermatology, and oncology. Cipla is also the world’s largest supplier of antiretroviral drugs for HIV/AIDS treatment. Alongside prescription medicines, it has a growing consumer health portfolio including brands like Cofsils and Nicotex. The company operates 47 manufacturing facilities worldwide and maintains a strong focus on R&amp;D to deliver affordable, high-quality medicines. Its business model emphasizes accessibility, therapeutic diversity, and expansion in both domestic and emerging markets, with selective presence in regulated markets like the U.S. and Europe.</t>
  </si>
  <si>
    <t>Zydus Lifesciences (formerly Cadila Healthcare) is an integrated pharmaceutical company headquartered in Ahmedabad, operating across generics, branded formulations, consumer wellness, vaccines, biologics, and animal health. Its branded generics portfolio covers key therapeutic areas such as cardiovascular, diabetes, respiratory, dermatology, oncology, and gastroenterology. The consumer wellness division includes popular OTC brands like Sugar Free, Complan, and Everyuth. Zydus maintains a balanced business model with a strong India base complemented by exports to the U.S., Latin America, Africa, and other emerging markets. The company also invests in novel drug discovery and biologics, developing products in metabolic disorders, oncology, and autoimmune diseases. Its diversified portfolio, significant domestic market share, and presence in consumer healthcare make it closely comparable to Mankind Pharma’s brand-led, multi-therapy, and India-focused business model.</t>
  </si>
  <si>
    <t>Torrent Pharmaceuticals, part of the Torrent Group and based in Ahmedabad, is a major player in the branded generics space with a strong domestic presence. Its portfolio covers a wide range of therapy areas, including cardiovascular, central nervous system (CNS), gastrointestinal, diabetology, anti-infectives, and pain management, alongside niche areas like oncology, nephrology, respiratory, and pediatrics. Torrent operates in over 40 countries and has over 2,000 registered products globally. The company’s business model is built on brand-led growth in India, supported by strategic international markets. Torrent emphasizes specialty-focused marketing and deep relationships with healthcare professionals, enabling strong brand recall and prescription loyalty. While its exports contribute meaningfully, the company’s revenue is largely India-centric, making it a direct comparable to Mankind Pharma in terms of therapy mix and domestic dominance.</t>
  </si>
  <si>
    <t>EBITDA Margins (%)</t>
  </si>
  <si>
    <t>Net Profit Growth (%)</t>
  </si>
  <si>
    <t>Multiples</t>
  </si>
  <si>
    <t>EV/EBITDA</t>
  </si>
  <si>
    <t>NSE: MANKIND</t>
  </si>
  <si>
    <t>Revenue Growth (%)</t>
  </si>
  <si>
    <t>EV/Revenue</t>
  </si>
  <si>
    <t>Earnings</t>
  </si>
  <si>
    <t>Valuation Multiple</t>
  </si>
  <si>
    <t>P/E</t>
  </si>
  <si>
    <t>Mankind Pharma Limited was incorporated on July 3, 1991, as a Private Limited Company with the name "Mankind Pharma Private Limited", by the Registrar of Companies, Delhi and Haryana, at New Delhi. Pursuant to conversion of Company to a Public Limited dated July 14, 2005, name of the Company was changed to "Mankind Pharma Limited" and the RoC issued a fresh Certificate of Incorporation on April 13, 2006. The Company is engaged in developing, manufacturing and marketing a diverse range of pharmaceutical formulations and chronic therapeutic areas across, as well as several consumer healthcare products. It is present in several acute and chronic therapeutic areas in India, including anti-infectives, cardiovascular, gastrointestinal, anti-diabetic, neuro/CNS, vitamins /minerals / nutrients and respiratory. In 2004, the Company entered the chronic pharmaceutical segment with the launch of `Amlokind' tablets and `Glimestar' tablets amongst others. It set up their first manufacturing facility at Paonta Sahib, in Himachal Pradesh during year 2005. It entered the ophthalmic pharmaceutical segment with the launching of `Lubistar Eye Drops' and `Tobastar Eye Drops'. In 2007, the Company diversified into the consumer healthcare segment with the launch of `Manforce' brand and have since established several differentiated brands in condoms, pregnancy detection, emergency contraceptives, antacid powders, vitamin and mineral supplements and anti-acne preparations categories. It entered into the business of animal healthcare segment and launched `Bandykind' and `Ceftiforce'. It established their Unit II manufacturing facility at Paonta Sahib, Himachal Pradesh in year 2009. It launched the brand, `Preganews' into the consumer healthcare segment in year, 2010. In 2012, it set up their first R&amp;D centre at IMT Manesar, in Haryana. Thereafter, in year 2014, the Company acquired Shree Jee Laboratory Private Limited along with its API manufacturing site at Behror, Rajasthan. It set up the Unit II manufacturing facility at Paonta Sahib, Himachal Pradesh. In 2015, subsidiaries like Lifestar Pharma LLC in the US and Mankind Pharma Pte. Limited in Singapore were formed into with the Company. In 2017, a new manufacturing facility got established in Sikkim. In 2019, the Company entered into female infertility business segment and launched `Dydroboon' tablets. In 2020, a subsidiary, Lifestar Pharmaceuticals Private Limited was formed in Nepal. The Company introduced a specialty therapeutic division for cardiovascular diseases (CVD) drugs segment and launched `Cilaheart' tablets and `Statpure' tablets in the market. It launched `Zukanorm' tablets for diabetes pharmaceuticals segment. Another new subsidiary, Mankind Pharma FZ-LLC in Dubai, UAE got incorporated during the year 2021. It launched `Mlife' tablets in the specialty division for therapeutic respiratory pharmaceuticals. It entered into specialty therapeutic neuro/central nervous system pharmaceuticals segment business with the launch of `Trugaba-NT' tablets and `Prebris-MNT' tablets. In 2022, the Company acquired formulations brands in India and Nepal from Panacea Biotec Pharma Limited and Panacea Biotec Limited. Further, it entered into the transplant segment with the launch of `Pangraf Capsules' and `Mycept' tablets. It entered into the business of oncology segment with the launch of injection `Pacliall'. It acquired `Daffy' and `Combihale' brands from Dr. Reddy's Laboratories. The Company operate 23 manufacturing facilities across India and had 2,181 manufacturing personnel as of March 31, 2022. Their formulations manufacturing facilities have a total installed capacity of 40.77 billion units across a wide range of dosage forms including tablets, capsules, syrups, vials, ampoules, blow fill seal, soft and hard gels, eye drops, creams, contraceptives and other over-the-counter products, as of March 31, 2022. In April 2023, Company made an Initial Public Offer of 40,058,844 Equity Shares by raising funds aggregating to Rs 4326.35 Crore through Offer for Sale. During the FY 2022-23, the Company acquired 90% shareholding of Upakarma Ayurveda Private Limited, pursuant to which Upakarma Ayurveda became a step down subsidiary of the Company. Further, it also acquired 100% shareholding of Mankind Agritech Private Limited, making Mankind Agritech a wholly owned subsidiary of the Company. The Company also acquired minority stake of 6.30% in Actimed Therapeutics Limited. The erstwhile wholly owned subsidiaries, Lifestar Pharma Private Limited and Magnet Labs Private Limited got amalgamated with the Company and the Scheme of Amalgamation became effective from March 30, 2023. During the FY 2023-24, Mankind Medicare Private Limited was incorporated as the wholly owned subsidiary of the Company. The Company sold the Over the Counter (OTC) business of the Company to Mankind Consumer Products Private Limited, Wholly Owned Subsidiary Company as a going concern via slump sale on April 2, 2024. On October 23, 2024, Company acquired a 100% stake in Bharat Serums and Vaccines Limited (BSV), making it a wholly owned subsidiary of the Company. Urology Specialty Division launched in FY 2025.</t>
  </si>
  <si>
    <t>Mankind Pharma Limited was incorporated on July 3, 1991, as a Private Limited Company with the name "Mankind Pharma Private Limited", by the Registrar of Companies, Delhi and Haryana, at New Delhi.The Company is engaged in developing, manufacturing and marketing a diverse range of pharmaceutical formulations and chronic therapeutic areas across, as well as several consumer healthcare products.</t>
  </si>
  <si>
    <r>
      <t>The company operates</t>
    </r>
    <r>
      <rPr>
        <sz val="10"/>
        <color rgb="FF606F7B"/>
        <rFont val="Arial"/>
        <family val="2"/>
      </rPr>
      <t> 30 manufacturing units</t>
    </r>
    <r>
      <rPr>
        <sz val="10"/>
        <color rgb="FF606F7B"/>
        <rFont val="Arial"/>
        <family val="2"/>
      </rPr>
      <t> across various locations, including 22 units in Paonta Sahib (Himachal Pradesh), 2 units in Haridwar (Uttarakhand), and 2 units in Udaipur &amp; Behror (Rajasthan). Additionally, it has one unit each in South Sikkim (Sikkim) , Pune ( Maharashtra) , Vishakhapatnam (Andhara Pradesh) , Birgunj (Nepal)</t>
    </r>
  </si>
  <si>
    <t>Anti-infectives</t>
  </si>
  <si>
    <t>Manforce</t>
  </si>
  <si>
    <t>Telmikind</t>
  </si>
  <si>
    <t>Moxikind</t>
  </si>
  <si>
    <t>Amlokind</t>
  </si>
  <si>
    <t>Preganews</t>
  </si>
  <si>
    <t>Candiforce</t>
  </si>
  <si>
    <t>Unwanted 72</t>
  </si>
  <si>
    <t>Dydroboon</t>
  </si>
  <si>
    <t>Cefakind</t>
  </si>
  <si>
    <t>Gudcef</t>
  </si>
  <si>
    <t>Monticope</t>
  </si>
  <si>
    <t>Cardiovascular</t>
  </si>
  <si>
    <t>Gynaecology</t>
  </si>
  <si>
    <t>Gasto-Intestinal</t>
  </si>
  <si>
    <t>Respiratory</t>
  </si>
  <si>
    <t>Anti- Diabetic</t>
  </si>
  <si>
    <t>Date</t>
  </si>
  <si>
    <t>Price</t>
  </si>
  <si>
    <t>08/22/2025</t>
  </si>
  <si>
    <t>08/21/2025</t>
  </si>
  <si>
    <t>08/20/2025</t>
  </si>
  <si>
    <t>08/19/2025</t>
  </si>
  <si>
    <t>08/18/2025</t>
  </si>
  <si>
    <t>08/14/2025</t>
  </si>
  <si>
    <t>08/13/2025</t>
  </si>
  <si>
    <t>07/31/2025</t>
  </si>
  <si>
    <t>07/30/2025</t>
  </si>
  <si>
    <t>07/29/2025</t>
  </si>
  <si>
    <t>07/28/2025</t>
  </si>
  <si>
    <t>07/25/2025</t>
  </si>
  <si>
    <t>07/24/2025</t>
  </si>
  <si>
    <t>07/23/2025</t>
  </si>
  <si>
    <t>07/22/2025</t>
  </si>
  <si>
    <t>07/21/2025</t>
  </si>
  <si>
    <t>07/18/2025</t>
  </si>
  <si>
    <t>07/17/2025</t>
  </si>
  <si>
    <t>07/16/2025</t>
  </si>
  <si>
    <t>07/15/2025</t>
  </si>
  <si>
    <t>07/14/2025</t>
  </si>
  <si>
    <t>06/30/2025</t>
  </si>
  <si>
    <t>06/27/2025</t>
  </si>
  <si>
    <t>06/26/2025</t>
  </si>
  <si>
    <t>06/25/2025</t>
  </si>
  <si>
    <t>06/24/2025</t>
  </si>
  <si>
    <t>06/23/2025</t>
  </si>
  <si>
    <t>06/20/2025</t>
  </si>
  <si>
    <t>06/19/2025</t>
  </si>
  <si>
    <t>06/18/2025</t>
  </si>
  <si>
    <t>06/17/2025</t>
  </si>
  <si>
    <t>06/16/2025</t>
  </si>
  <si>
    <t>06/13/2025</t>
  </si>
  <si>
    <t>05/30/2025</t>
  </si>
  <si>
    <t>05/29/2025</t>
  </si>
  <si>
    <t>05/28/2025</t>
  </si>
  <si>
    <t>05/27/2025</t>
  </si>
  <si>
    <t>05/26/2025</t>
  </si>
  <si>
    <t>05/23/2025</t>
  </si>
  <si>
    <t>05/22/2025</t>
  </si>
  <si>
    <t>05/21/2025</t>
  </si>
  <si>
    <t>05/20/2025</t>
  </si>
  <si>
    <t>05/19/2025</t>
  </si>
  <si>
    <t>05/16/2025</t>
  </si>
  <si>
    <t>05/15/2025</t>
  </si>
  <si>
    <t>05/14/2025</t>
  </si>
  <si>
    <t>05/13/2025</t>
  </si>
  <si>
    <t>04/30/2025</t>
  </si>
  <si>
    <t>04/29/2025</t>
  </si>
  <si>
    <t>04/28/2025</t>
  </si>
  <si>
    <t>04/25/2025</t>
  </si>
  <si>
    <t>04/24/2025</t>
  </si>
  <si>
    <t>04/23/2025</t>
  </si>
  <si>
    <t>04/22/2025</t>
  </si>
  <si>
    <t>04/21/2025</t>
  </si>
  <si>
    <t>04/17/2025</t>
  </si>
  <si>
    <t>04/16/2025</t>
  </si>
  <si>
    <t>04/15/2025</t>
  </si>
  <si>
    <t>03/28/2025</t>
  </si>
  <si>
    <t>03/27/2025</t>
  </si>
  <si>
    <t>03/26/2025</t>
  </si>
  <si>
    <t>03/25/2025</t>
  </si>
  <si>
    <t>03/24/2025</t>
  </si>
  <si>
    <t>03/21/2025</t>
  </si>
  <si>
    <t>03/20/2025</t>
  </si>
  <si>
    <t>03/19/2025</t>
  </si>
  <si>
    <t>03/18/2025</t>
  </si>
  <si>
    <t>03/17/2025</t>
  </si>
  <si>
    <t>03/13/2025</t>
  </si>
  <si>
    <t>02/28/2025</t>
  </si>
  <si>
    <t>02/27/2025</t>
  </si>
  <si>
    <t>02/25/2025</t>
  </si>
  <si>
    <t>02/24/2025</t>
  </si>
  <si>
    <t>02/21/2025</t>
  </si>
  <si>
    <t>02/20/2025</t>
  </si>
  <si>
    <t>02/19/2025</t>
  </si>
  <si>
    <t>02/18/2025</t>
  </si>
  <si>
    <t>02/17/2025</t>
  </si>
  <si>
    <t>02/14/2025</t>
  </si>
  <si>
    <t>02/13/2025</t>
  </si>
  <si>
    <t>01/31/2025</t>
  </si>
  <si>
    <t>01/30/2025</t>
  </si>
  <si>
    <t>01/29/2025</t>
  </si>
  <si>
    <t>01/28/2025</t>
  </si>
  <si>
    <t>01/27/2025</t>
  </si>
  <si>
    <t>01/24/2025</t>
  </si>
  <si>
    <t>01/23/2025</t>
  </si>
  <si>
    <t>01/22/2025</t>
  </si>
  <si>
    <t>01/21/2025</t>
  </si>
  <si>
    <t>01/20/2025</t>
  </si>
  <si>
    <t>01/17/2025</t>
  </si>
  <si>
    <t>01/16/2025</t>
  </si>
  <si>
    <t>01/15/2025</t>
  </si>
  <si>
    <t>01/14/2025</t>
  </si>
  <si>
    <t>01/13/2025</t>
  </si>
  <si>
    <t>12/31/2024</t>
  </si>
  <si>
    <t>12/30/2024</t>
  </si>
  <si>
    <t>12/27/2024</t>
  </si>
  <si>
    <t>12/26/2024</t>
  </si>
  <si>
    <t>12/24/2024</t>
  </si>
  <si>
    <t>12/23/2024</t>
  </si>
  <si>
    <t>12/20/2024</t>
  </si>
  <si>
    <t>12/19/2024</t>
  </si>
  <si>
    <t>12/18/2024</t>
  </si>
  <si>
    <t>12/17/2024</t>
  </si>
  <si>
    <t>12/16/2024</t>
  </si>
  <si>
    <t>12/13/2024</t>
  </si>
  <si>
    <t>11/29/2024</t>
  </si>
  <si>
    <t>11/28/2024</t>
  </si>
  <si>
    <t>11/27/2024</t>
  </si>
  <si>
    <t>11/26/2024</t>
  </si>
  <si>
    <t>11/25/2024</t>
  </si>
  <si>
    <t>11/22/2024</t>
  </si>
  <si>
    <t>11/21/2024</t>
  </si>
  <si>
    <t>11/19/2024</t>
  </si>
  <si>
    <t>11/18/2024</t>
  </si>
  <si>
    <t>11/14/2024</t>
  </si>
  <si>
    <t>11/13/2024</t>
  </si>
  <si>
    <t>10/31/2024</t>
  </si>
  <si>
    <t>10/30/2024</t>
  </si>
  <si>
    <t>10/29/2024</t>
  </si>
  <si>
    <t>10/28/2024</t>
  </si>
  <si>
    <t>10/25/2024</t>
  </si>
  <si>
    <t>10/24/2024</t>
  </si>
  <si>
    <t>10/23/2024</t>
  </si>
  <si>
    <t>10/22/2024</t>
  </si>
  <si>
    <t>10/21/2024</t>
  </si>
  <si>
    <t>10/18/2024</t>
  </si>
  <si>
    <t>10/17/2024</t>
  </si>
  <si>
    <t>10/16/2024</t>
  </si>
  <si>
    <t>10/15/2024</t>
  </si>
  <si>
    <t>10/14/2024</t>
  </si>
  <si>
    <t>09/30/2024</t>
  </si>
  <si>
    <t>09/27/2024</t>
  </si>
  <si>
    <t>09/26/2024</t>
  </si>
  <si>
    <t>09/25/2024</t>
  </si>
  <si>
    <t>09/24/2024</t>
  </si>
  <si>
    <t>09/23/2024</t>
  </si>
  <si>
    <t>09/20/2024</t>
  </si>
  <si>
    <t>09/19/2024</t>
  </si>
  <si>
    <t>09/18/2024</t>
  </si>
  <si>
    <t>09/17/2024</t>
  </si>
  <si>
    <t>09/16/2024</t>
  </si>
  <si>
    <t>09/13/2024</t>
  </si>
  <si>
    <t>08/30/2024</t>
  </si>
  <si>
    <t>08/29/2024</t>
  </si>
  <si>
    <t>08/28/2024</t>
  </si>
  <si>
    <t>08/27/2024</t>
  </si>
  <si>
    <t>08/26/2024</t>
  </si>
  <si>
    <t>08/23/2024</t>
  </si>
  <si>
    <t>08/22/2024</t>
  </si>
  <si>
    <t>World</t>
  </si>
  <si>
    <t>Emerging Economies</t>
  </si>
  <si>
    <t>Advanced Economies</t>
  </si>
  <si>
    <t>Euro Area</t>
  </si>
  <si>
    <t>US</t>
  </si>
  <si>
    <t>UK</t>
  </si>
  <si>
    <t>2024A</t>
  </si>
  <si>
    <t>2025P</t>
  </si>
  <si>
    <t>2026P</t>
  </si>
  <si>
    <t>Global GDP Predictions</t>
  </si>
  <si>
    <t>Quarterly GDP</t>
  </si>
  <si>
    <t>Q2FY24</t>
  </si>
  <si>
    <t>Q3FY24</t>
  </si>
  <si>
    <t>Q4FY24</t>
  </si>
  <si>
    <t>Q1FY25</t>
  </si>
  <si>
    <t>Q2FY25</t>
  </si>
  <si>
    <t>Q3FY25</t>
  </si>
  <si>
    <t>Q4FY25</t>
  </si>
  <si>
    <t>Forcasted</t>
  </si>
  <si>
    <t>Q1FY24</t>
  </si>
  <si>
    <t>https://visiongain.com/report/indian-pharmaceutical-market-forecast-2019-2029/</t>
  </si>
  <si>
    <t>Revenue in billion $</t>
  </si>
  <si>
    <t>Capex/Sales</t>
  </si>
  <si>
    <t>CAPEX CHART</t>
  </si>
  <si>
    <t>Prega News</t>
  </si>
  <si>
    <t xml:space="preserve">Candiforce </t>
  </si>
  <si>
    <t>The Company has 32 state-of-the-art manufacturing and 6 R&amp;D facilities with over 95% raw materials being locally procured , The prices of the Company’s raw materials generally fluctuate in line with commodity cycles . Pharma companies purchase certain raw materials from sources outside India. This reliance on foreign suppliers can expose them to currency exchange risks, further increasing the cost of production</t>
  </si>
  <si>
    <t>SG&amp;A</t>
  </si>
  <si>
    <t>SG&amp;A%Revenue</t>
  </si>
  <si>
    <t xml:space="preserve">Trade receivables have increased to ` 1,538 crore in FY2025 from ` 848 crore in FY2024. The increase is primarily attributed to growth in Sales and consolidation of BSV business acquired during the year .Historically the company is maintaining inventory levels ~16% of revenues with inventory turnover ratio being consistent around 2.1 Further street estimate suggests , 
the inventory levels remain to flat from existing inventory days.
We assume our inventory levels go up by X days from XX days to XX days in year 2026 &amp; 2027 
</t>
  </si>
  <si>
    <t xml:space="preserve">Payable Days </t>
  </si>
  <si>
    <t>STB</t>
  </si>
  <si>
    <t>TB</t>
  </si>
  <si>
    <t>PE</t>
  </si>
  <si>
    <t>EV</t>
  </si>
  <si>
    <t>Valuation Summary</t>
  </si>
  <si>
    <t>Equity Value available for shareholders</t>
  </si>
  <si>
    <t>Discount/Premium</t>
  </si>
  <si>
    <t>Discount/Premium%</t>
  </si>
  <si>
    <t xml:space="preserve">Value per share </t>
  </si>
  <si>
    <t>Market Price</t>
  </si>
  <si>
    <t>Discounted Cash Flow - Perpetuity Growth</t>
  </si>
  <si>
    <t>Discounted Cash Flow - Exit Mutiple</t>
  </si>
  <si>
    <t>Relative Valuation - EV/Sales</t>
  </si>
  <si>
    <t>Relative Valuation - EV/EBITDA</t>
  </si>
  <si>
    <t>Explicit Forecasted Period</t>
  </si>
  <si>
    <t>Market Cap (in Cr)</t>
  </si>
  <si>
    <t xml:space="preserve">Current Case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</si>
</sst>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64" formatCode="#,##0;\(#,##0\);\-"/>
    <numFmt numFmtId="165" formatCode="0.0%"/>
    <numFmt numFmtId="166" formatCode="_(* #,##0_);_(* \(#,##0\);_(* &quot;-&quot;??_);_(@_)"/>
    <numFmt numFmtId="167" formatCode="&quot;FY&quot;0"/>
    <numFmt numFmtId="168" formatCode="&quot;₹&quot;\ #,##0.0"/>
    <numFmt numFmtId="169" formatCode="&quot;₹&quot;\ #,##0"/>
    <numFmt numFmtId="170" formatCode="&quot;₹&quot;\ #,##0;\(&quot;₹&quot;\ #,##0\)"/>
    <numFmt numFmtId="171" formatCode="0\ &quot;Days&quot;"/>
    <numFmt numFmtId="172" formatCode="0\ &quot;days&quot;"/>
    <numFmt numFmtId="173" formatCode="&quot;₹&quot;\ #,##0;\(&quot;₹&quot;\ #,##0\);\-"/>
    <numFmt numFmtId="174" formatCode="0.0&quot;x&quot;"/>
    <numFmt numFmtId="175" formatCode="0.000"/>
    <numFmt numFmtId="176" formatCode="0.00&quot;x&quot;"/>
    <numFmt numFmtId="177" formatCode="#,##0.0;\(#,##0.0\);\-"/>
    <numFmt numFmtId="178" formatCode="0.0"/>
    <numFmt numFmtId="179" formatCode="0&quot;x&quot;"/>
    <numFmt numFmtId="180" formatCode="&quot;₹&quot;\ #,##0;\(&quot;₹&quot;\ #,##0\);\ \-"/>
    <numFmt numFmtId="181" formatCode="&quot;Useful Life - &quot;0\ &quot;Years&quot;"/>
    <numFmt numFmtId="182" formatCode="&quot;₹&quot;\ #,##0.00"/>
    <numFmt numFmtId="183" formatCode="#,##0.000;\(#,##0.000\);\-"/>
    <numFmt numFmtId="184" formatCode="#,##0.0000;\(#,##0.0000\);\-"/>
    <numFmt numFmtId="185" formatCode="0&quot; Days&quot;"/>
    <numFmt numFmtId="186" formatCode="_(&quot;$&quot;* #,##0.00_);_(&quot;$&quot;* \(#,##0.00\);_(&quot;$&quot;* &quot;-&quot;??_);_(@_)"/>
    <numFmt numFmtId="187" formatCode="#,##0;\(\ #,##0\);\-"/>
    <numFmt numFmtId="188" formatCode="0.0000"/>
    <numFmt numFmtId="189" formatCode="_(* #,##0.00_);_(* \(#,##0.00\);_(* &quot;-&quot;??_);_(@_)"/>
    <numFmt numFmtId="190" formatCode="#,##0.0000000"/>
    <numFmt numFmtId="191" formatCode="0&quot;E&quot;"/>
    <numFmt numFmtId="192" formatCode="0&quot;A&quot;"/>
    <numFmt numFmtId="193" formatCode="0&quot;F&quot;"/>
    <numFmt numFmtId="194" formatCode="0&quot;P&quot;"/>
  </numFmts>
  <fonts count="80">
    <font>
      <sz val="11"/>
      <color theme="1"/>
      <name val="Calibri"/>
      <family val="2"/>
      <scheme val="minor"/>
    </font>
    <font>
      <sz val="11"/>
      <color theme="1"/>
      <name val="Calibri"/>
      <family val="2"/>
      <scheme val="minor"/>
    </font>
    <font>
      <sz val="12"/>
      <name val="Arial"/>
      <family val="2"/>
    </font>
    <font>
      <sz val="10"/>
      <name val="Arial"/>
      <family val="2"/>
    </font>
    <font>
      <sz val="11"/>
      <name val="Calibri"/>
      <family val="2"/>
      <scheme val="minor"/>
    </font>
    <font>
      <b/>
      <sz val="11"/>
      <color theme="1"/>
      <name val="Calibri"/>
      <family val="2"/>
      <scheme val="minor"/>
    </font>
    <font>
      <i/>
      <sz val="11"/>
      <color theme="1"/>
      <name val="Calibri"/>
      <family val="2"/>
      <scheme val="minor"/>
    </font>
    <font>
      <b/>
      <sz val="11"/>
      <color theme="0"/>
      <name val="Calibri"/>
      <family val="2"/>
      <scheme val="minor"/>
    </font>
    <font>
      <sz val="10"/>
      <name val="Calibri"/>
      <family val="2"/>
      <scheme val="minor"/>
    </font>
    <font>
      <sz val="10"/>
      <color rgb="FF000000"/>
      <name val="Calibri"/>
      <family val="2"/>
      <scheme val="minor"/>
    </font>
    <font>
      <b/>
      <sz val="10"/>
      <color rgb="FF000000"/>
      <name val="Calibri"/>
      <family val="2"/>
      <scheme val="minor"/>
    </font>
    <font>
      <b/>
      <sz val="10"/>
      <name val="Calibri"/>
      <family val="2"/>
      <scheme val="minor"/>
    </font>
    <font>
      <sz val="10"/>
      <color theme="1"/>
      <name val="Calibri"/>
      <family val="2"/>
      <scheme val="minor"/>
    </font>
    <font>
      <b/>
      <u/>
      <sz val="10"/>
      <color rgb="FF000000"/>
      <name val="Calibri"/>
      <family val="2"/>
      <scheme val="minor"/>
    </font>
    <font>
      <b/>
      <sz val="14"/>
      <color theme="1"/>
      <name val="Calibri"/>
      <family val="2"/>
      <scheme val="minor"/>
    </font>
    <font>
      <i/>
      <sz val="11"/>
      <color rgb="FF0070C0"/>
      <name val="Calibri"/>
      <family val="2"/>
      <scheme val="minor"/>
    </font>
    <font>
      <b/>
      <sz val="12"/>
      <color theme="0"/>
      <name val="Calibri"/>
      <family val="2"/>
      <scheme val="minor"/>
    </font>
    <font>
      <sz val="11"/>
      <color rgb="FF3333FF"/>
      <name val="Calibri"/>
      <family val="2"/>
      <scheme val="minor"/>
    </font>
    <font>
      <sz val="11"/>
      <color theme="1" tint="4.9989318521683403E-2"/>
      <name val="Calibri"/>
      <family val="2"/>
      <scheme val="minor"/>
    </font>
    <font>
      <sz val="11"/>
      <color theme="6" tint="-0.249977111117893"/>
      <name val="Calibri"/>
      <family val="2"/>
      <scheme val="minor"/>
    </font>
    <font>
      <b/>
      <sz val="11"/>
      <color theme="6" tint="-0.249977111117893"/>
      <name val="Calibri"/>
      <family val="2"/>
      <scheme val="minor"/>
    </font>
    <font>
      <b/>
      <u/>
      <sz val="11"/>
      <color theme="1"/>
      <name val="Calibri"/>
      <family val="2"/>
      <scheme val="minor"/>
    </font>
    <font>
      <b/>
      <sz val="11"/>
      <color rgb="FF3333FF"/>
      <name val="Calibri"/>
      <family val="2"/>
      <scheme val="minor"/>
    </font>
    <font>
      <b/>
      <sz val="11"/>
      <name val="Calibri"/>
      <family val="2"/>
      <scheme val="minor"/>
    </font>
    <font>
      <sz val="11"/>
      <color rgb="FF000000"/>
      <name val="Calibri"/>
      <family val="2"/>
      <scheme val="minor"/>
    </font>
    <font>
      <b/>
      <sz val="12"/>
      <color theme="1"/>
      <name val="Calibri"/>
      <family val="2"/>
      <scheme val="minor"/>
    </font>
    <font>
      <u/>
      <sz val="11"/>
      <color theme="10"/>
      <name val="Calibri"/>
      <family val="2"/>
      <scheme val="minor"/>
    </font>
    <font>
      <sz val="11"/>
      <color theme="10"/>
      <name val="Calibri"/>
      <family val="2"/>
      <scheme val="minor"/>
    </font>
    <font>
      <i/>
      <sz val="11"/>
      <color rgb="FF0A0A0A"/>
      <name val="Calibri"/>
      <family val="2"/>
      <scheme val="minor"/>
    </font>
    <font>
      <i/>
      <sz val="11"/>
      <color rgb="FF7F7F7F"/>
      <name val="Calibri"/>
      <family val="2"/>
    </font>
    <font>
      <sz val="12"/>
      <color theme="1"/>
      <name val="Calibri"/>
      <family val="2"/>
      <scheme val="minor"/>
    </font>
    <font>
      <u/>
      <sz val="12"/>
      <color theme="10"/>
      <name val="Calibri"/>
      <family val="2"/>
      <scheme val="minor"/>
    </font>
    <font>
      <b/>
      <sz val="9"/>
      <color indexed="81"/>
      <name val="Tahoma"/>
      <family val="2"/>
    </font>
    <font>
      <b/>
      <i/>
      <sz val="11"/>
      <color theme="1"/>
      <name val="Calibri"/>
      <family val="2"/>
      <scheme val="minor"/>
    </font>
    <font>
      <sz val="11"/>
      <color theme="0" tint="-0.249977111117893"/>
      <name val="Calibri"/>
      <family val="2"/>
      <scheme val="minor"/>
    </font>
    <font>
      <sz val="10"/>
      <color rgb="FF262626"/>
      <name val="Calibri"/>
      <family val="2"/>
      <scheme val="minor"/>
    </font>
    <font>
      <sz val="10"/>
      <color rgb="FF0A0A0A"/>
      <name val="Calibri"/>
      <family val="2"/>
      <scheme val="minor"/>
    </font>
    <font>
      <sz val="8"/>
      <color rgb="FF00AAD4"/>
      <name val="Calibri"/>
      <family val="2"/>
      <scheme val="minor"/>
    </font>
    <font>
      <sz val="11"/>
      <color rgb="FF22222F"/>
      <name val="Calibri"/>
      <family val="2"/>
      <scheme val="minor"/>
    </font>
    <font>
      <sz val="9.6"/>
      <color rgb="FF000000"/>
      <name val="Arial"/>
      <family val="2"/>
    </font>
    <font>
      <sz val="11"/>
      <color rgb="FF22222F"/>
      <name val="Arial"/>
      <family val="2"/>
    </font>
    <font>
      <i/>
      <sz val="11"/>
      <color theme="0" tint="-0.499984740745262"/>
      <name val="Calibri"/>
      <family val="2"/>
      <scheme val="minor"/>
    </font>
    <font>
      <b/>
      <i/>
      <sz val="11"/>
      <color theme="0" tint="-0.34998626667073579"/>
      <name val="Calibri"/>
      <family val="2"/>
      <scheme val="minor"/>
    </font>
    <font>
      <i/>
      <sz val="11"/>
      <color theme="0" tint="-0.34998626667073579"/>
      <name val="Calibri"/>
      <family val="2"/>
      <scheme val="minor"/>
    </font>
    <font>
      <b/>
      <i/>
      <sz val="11"/>
      <color theme="0" tint="-0.499984740745262"/>
      <name val="Calibri"/>
      <family val="2"/>
      <scheme val="minor"/>
    </font>
    <font>
      <sz val="11"/>
      <color theme="0"/>
      <name val="Calibri"/>
      <family val="2"/>
      <scheme val="minor"/>
    </font>
    <font>
      <i/>
      <sz val="11"/>
      <color theme="6" tint="-0.249977111117893"/>
      <name val="Calibri"/>
      <family val="2"/>
      <scheme val="minor"/>
    </font>
    <font>
      <i/>
      <sz val="12"/>
      <color rgb="FF0070C0"/>
      <name val="Calibri"/>
      <family val="2"/>
      <scheme val="minor"/>
    </font>
    <font>
      <sz val="11"/>
      <color rgb="FFFF0000"/>
      <name val="Calibri"/>
      <family val="2"/>
      <scheme val="minor"/>
    </font>
    <font>
      <sz val="11"/>
      <color theme="6"/>
      <name val="Calibri"/>
      <family val="2"/>
      <scheme val="minor"/>
    </font>
    <font>
      <b/>
      <sz val="11"/>
      <color theme="6"/>
      <name val="Calibri"/>
      <family val="2"/>
      <scheme val="minor"/>
    </font>
    <font>
      <b/>
      <sz val="14"/>
      <color rgb="FF0070C0"/>
      <name val="Calibri"/>
      <family val="2"/>
      <scheme val="minor"/>
    </font>
    <font>
      <sz val="9"/>
      <color indexed="81"/>
      <name val="Tahoma"/>
      <family val="2"/>
    </font>
    <font>
      <i/>
      <u/>
      <sz val="11"/>
      <color theme="10"/>
      <name val="Calibri"/>
      <family val="2"/>
      <scheme val="minor"/>
    </font>
    <font>
      <sz val="11"/>
      <color theme="0" tint="-4.9989318521683403E-2"/>
      <name val="Calibri"/>
      <family val="2"/>
      <scheme val="minor"/>
    </font>
    <font>
      <sz val="10"/>
      <name val="Geneva"/>
      <charset val="1"/>
    </font>
    <font>
      <sz val="10"/>
      <name val="Geneva"/>
      <family val="2"/>
      <charset val="1"/>
    </font>
    <font>
      <i/>
      <sz val="10"/>
      <name val="Times Roman"/>
    </font>
    <font>
      <sz val="10"/>
      <name val="Times Roman"/>
    </font>
    <font>
      <b/>
      <sz val="11"/>
      <color theme="0" tint="-4.9989318521683403E-2"/>
      <name val="Calibri"/>
      <family val="2"/>
      <scheme val="minor"/>
    </font>
    <font>
      <sz val="11"/>
      <name val="Arial"/>
      <family val="2"/>
    </font>
    <font>
      <b/>
      <sz val="11"/>
      <name val="Arial"/>
      <family val="2"/>
    </font>
    <font>
      <i/>
      <sz val="11"/>
      <color rgb="FFFF0000"/>
      <name val="Calibri"/>
      <family val="2"/>
      <scheme val="minor"/>
    </font>
    <font>
      <b/>
      <sz val="11"/>
      <color rgb="FF00B0F0"/>
      <name val="Calibri"/>
      <family val="2"/>
      <scheme val="minor"/>
    </font>
    <font>
      <sz val="9"/>
      <name val="Geneva"/>
      <family val="2"/>
    </font>
    <font>
      <sz val="10"/>
      <name val="Times"/>
      <family val="1"/>
    </font>
    <font>
      <i/>
      <sz val="10"/>
      <name val="Geneva"/>
      <family val="2"/>
    </font>
    <font>
      <i/>
      <sz val="11"/>
      <name val="Calibri"/>
      <family val="2"/>
      <scheme val="minor"/>
    </font>
    <font>
      <b/>
      <i/>
      <sz val="11"/>
      <name val="Calibri"/>
      <family val="2"/>
      <scheme val="minor"/>
    </font>
    <font>
      <b/>
      <sz val="14"/>
      <name val="Geneva"/>
      <family val="2"/>
    </font>
    <font>
      <sz val="9"/>
      <name val="Calibri"/>
      <family val="2"/>
      <scheme val="minor"/>
    </font>
    <font>
      <b/>
      <sz val="9"/>
      <name val="Calibri"/>
      <family val="2"/>
      <scheme val="minor"/>
    </font>
    <font>
      <i/>
      <sz val="10"/>
      <name val="Calibri"/>
      <family val="2"/>
      <scheme val="minor"/>
    </font>
    <font>
      <b/>
      <sz val="14"/>
      <color rgb="FF000000"/>
      <name val="Calibri"/>
      <family val="2"/>
      <scheme val="minor"/>
    </font>
    <font>
      <i/>
      <sz val="10"/>
      <color theme="1"/>
      <name val="Calibri"/>
      <family val="2"/>
      <scheme val="minor"/>
    </font>
    <font>
      <sz val="8"/>
      <color rgb="FF373A3C"/>
      <name val="Arial"/>
      <family val="2"/>
    </font>
    <font>
      <sz val="10"/>
      <color rgb="FF606F7B"/>
      <name val="Arial"/>
      <family val="2"/>
    </font>
    <font>
      <sz val="12"/>
      <color theme="10"/>
      <name val="Calibri"/>
      <family val="2"/>
      <scheme val="minor"/>
    </font>
    <font>
      <b/>
      <sz val="10"/>
      <color theme="0"/>
      <name val="Calibri"/>
      <family val="2"/>
      <scheme val="minor"/>
    </font>
    <font>
      <b/>
      <sz val="20"/>
      <color rgb="FF00B0F0"/>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
      <patternFill patternType="solid">
        <fgColor rgb="FF00B0F0"/>
        <bgColor indexed="64"/>
      </patternFill>
    </fill>
    <fill>
      <patternFill patternType="solid">
        <fgColor theme="0" tint="-0.34998626667073579"/>
        <bgColor indexed="64"/>
      </patternFill>
    </fill>
    <fill>
      <patternFill patternType="solid">
        <fgColor rgb="FFFFFFFF"/>
        <bgColor indexed="64"/>
      </patternFill>
    </fill>
    <fill>
      <patternFill patternType="solid">
        <fgColor rgb="FFF8F8FC"/>
        <bgColor indexed="64"/>
      </patternFill>
    </fill>
    <fill>
      <patternFill patternType="solid">
        <fgColor theme="0" tint="-0.249977111117893"/>
        <bgColor indexed="64"/>
      </patternFill>
    </fill>
    <fill>
      <patternFill patternType="solid">
        <fgColor rgb="FF3333FF"/>
        <bgColor indexed="64"/>
      </patternFill>
    </fill>
    <fill>
      <patternFill patternType="solid">
        <fgColor rgb="FFFFFF00"/>
        <bgColor indexed="64"/>
      </patternFill>
    </fill>
    <fill>
      <patternFill patternType="solid">
        <fgColor rgb="FF2C338B"/>
        <bgColor indexed="64"/>
      </patternFill>
    </fill>
  </fills>
  <borders count="26">
    <border>
      <left/>
      <right/>
      <top/>
      <bottom/>
      <diagonal/>
    </border>
    <border>
      <left/>
      <right/>
      <top/>
      <bottom style="thin">
        <color indexed="64"/>
      </bottom>
      <diagonal/>
    </border>
    <border>
      <left/>
      <right/>
      <top style="thin">
        <color indexed="64"/>
      </top>
      <bottom style="medium">
        <color indexed="64"/>
      </bottom>
      <diagonal/>
    </border>
    <border>
      <left/>
      <right/>
      <top style="thin">
        <color auto="1"/>
      </top>
      <bottom/>
      <diagonal/>
    </border>
    <border>
      <left/>
      <right/>
      <top style="hair">
        <color auto="1"/>
      </top>
      <bottom style="hair">
        <color auto="1"/>
      </bottom>
      <diagonal/>
    </border>
    <border>
      <left style="thin">
        <color auto="1"/>
      </left>
      <right style="thin">
        <color auto="1"/>
      </right>
      <top style="thin">
        <color auto="1"/>
      </top>
      <bottom style="thin">
        <color auto="1"/>
      </bottom>
      <diagonal/>
    </border>
    <border>
      <left/>
      <right/>
      <top/>
      <bottom style="medium">
        <color rgb="FFF3F0F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right/>
      <top style="hair">
        <color rgb="FF002060"/>
      </top>
      <bottom style="hair">
        <color rgb="FF002060"/>
      </bottom>
      <diagonal/>
    </border>
    <border>
      <left/>
      <right/>
      <top/>
      <bottom style="hair">
        <color rgb="FF002060"/>
      </bottom>
      <diagonal/>
    </border>
    <border>
      <left/>
      <right/>
      <top style="thin">
        <color auto="1"/>
      </top>
      <bottom style="hair">
        <color auto="1"/>
      </bottom>
      <diagonal/>
    </border>
    <border>
      <left/>
      <right/>
      <top style="hair">
        <color auto="1"/>
      </top>
      <bottom style="thin">
        <color auto="1"/>
      </bottom>
      <diagonal/>
    </border>
    <border>
      <left style="medium">
        <color indexed="64"/>
      </left>
      <right style="medium">
        <color indexed="64"/>
      </right>
      <top style="medium">
        <color indexed="64"/>
      </top>
      <bottom style="medium">
        <color indexed="64"/>
      </bottom>
      <diagonal/>
    </border>
    <border>
      <left/>
      <right/>
      <top style="hair">
        <color rgb="FF002060"/>
      </top>
      <bottom/>
      <diagonal/>
    </border>
    <border>
      <left/>
      <right/>
      <top/>
      <bottom style="dotted">
        <color auto="1"/>
      </bottom>
      <diagonal/>
    </border>
    <border>
      <left/>
      <right/>
      <top style="dotted">
        <color auto="1"/>
      </top>
      <bottom style="dotted">
        <color auto="1"/>
      </bottom>
      <diagonal/>
    </border>
    <border>
      <left/>
      <right/>
      <top style="dotted">
        <color auto="1"/>
      </top>
      <bottom/>
      <diagonal/>
    </border>
    <border>
      <left/>
      <right/>
      <top style="thin">
        <color indexed="64"/>
      </top>
      <bottom style="dotted">
        <color indexed="64"/>
      </bottom>
      <diagonal/>
    </border>
    <border>
      <left/>
      <right/>
      <top style="dotted">
        <color indexed="64"/>
      </top>
      <bottom style="thin">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thin">
        <color indexed="64"/>
      </top>
      <bottom style="thin">
        <color auto="1"/>
      </bottom>
      <diagonal/>
    </border>
    <border>
      <left/>
      <right/>
      <top/>
      <bottom style="hair">
        <color auto="1"/>
      </bottom>
      <diagonal/>
    </border>
    <border>
      <left/>
      <right/>
      <top style="hair">
        <color auto="1"/>
      </top>
      <bottom/>
      <diagonal/>
    </border>
  </borders>
  <cellStyleXfs count="15">
    <xf numFmtId="0" fontId="0" fillId="0" borderId="0"/>
    <xf numFmtId="9" fontId="1" fillId="0" borderId="0" applyFont="0" applyFill="0" applyBorder="0" applyAlignment="0" applyProtection="0"/>
    <xf numFmtId="0" fontId="2" fillId="0" borderId="0"/>
    <xf numFmtId="0" fontId="3" fillId="0" borderId="0"/>
    <xf numFmtId="0" fontId="26" fillId="0" borderId="0" applyNumberFormat="0" applyFill="0" applyBorder="0" applyAlignment="0" applyProtection="0"/>
    <xf numFmtId="0" fontId="29" fillId="0" borderId="0" applyNumberFormat="0" applyFill="0" applyBorder="0" applyAlignment="0" applyProtection="0"/>
    <xf numFmtId="0" fontId="30" fillId="0" borderId="0"/>
    <xf numFmtId="0" fontId="31" fillId="0" borderId="0" applyNumberFormat="0" applyFill="0" applyBorder="0" applyAlignment="0" applyProtection="0"/>
    <xf numFmtId="0" fontId="55" fillId="0" borderId="0"/>
    <xf numFmtId="186" fontId="56" fillId="0" borderId="0" applyFont="0" applyFill="0" applyBorder="0" applyAlignment="0" applyProtection="0"/>
    <xf numFmtId="9" fontId="56" fillId="0" borderId="0" applyFont="0" applyFill="0" applyBorder="0" applyAlignment="0" applyProtection="0"/>
    <xf numFmtId="0" fontId="64" fillId="0" borderId="0"/>
    <xf numFmtId="186" fontId="64" fillId="0" borderId="0" applyFont="0" applyFill="0" applyBorder="0" applyAlignment="0" applyProtection="0"/>
    <xf numFmtId="189" fontId="64" fillId="0" borderId="0" applyFont="0" applyFill="0" applyBorder="0" applyAlignment="0" applyProtection="0"/>
    <xf numFmtId="9" fontId="64" fillId="0" borderId="0" applyFont="0" applyFill="0" applyBorder="0" applyAlignment="0" applyProtection="0"/>
  </cellStyleXfs>
  <cellXfs count="550">
    <xf numFmtId="0" fontId="0" fillId="0" borderId="0" xfId="0"/>
    <xf numFmtId="0" fontId="8" fillId="0" borderId="0" xfId="3" applyFont="1"/>
    <xf numFmtId="164" fontId="9" fillId="0" borderId="0" xfId="2" applyNumberFormat="1" applyFont="1" applyAlignment="1">
      <alignment horizontal="left" vertical="center"/>
    </xf>
    <xf numFmtId="164" fontId="9" fillId="0" borderId="0" xfId="2" applyNumberFormat="1" applyFont="1" applyAlignment="1">
      <alignment vertical="center"/>
    </xf>
    <xf numFmtId="0" fontId="8" fillId="0" borderId="1" xfId="3" applyFont="1" applyBorder="1"/>
    <xf numFmtId="164" fontId="10" fillId="0" borderId="0" xfId="2" applyNumberFormat="1" applyFont="1" applyAlignment="1">
      <alignment vertical="center"/>
    </xf>
    <xf numFmtId="0" fontId="11" fillId="0" borderId="0" xfId="3" applyFont="1"/>
    <xf numFmtId="166" fontId="8" fillId="0" borderId="0" xfId="3" applyNumberFormat="1" applyFont="1"/>
    <xf numFmtId="165" fontId="12" fillId="0" borderId="0" xfId="1" applyNumberFormat="1" applyFont="1" applyFill="1"/>
    <xf numFmtId="164" fontId="13" fillId="0" borderId="0" xfId="2" applyNumberFormat="1" applyFont="1" applyAlignment="1">
      <alignment horizontal="left" vertical="center"/>
    </xf>
    <xf numFmtId="164" fontId="12" fillId="0" borderId="0" xfId="1" applyNumberFormat="1" applyFont="1" applyFill="1"/>
    <xf numFmtId="164" fontId="9" fillId="0" borderId="0" xfId="2" applyNumberFormat="1" applyFont="1" applyAlignment="1">
      <alignment horizontal="left" vertical="center" indent="1"/>
    </xf>
    <xf numFmtId="0" fontId="8" fillId="0" borderId="0" xfId="3" applyFont="1" applyAlignment="1">
      <alignment horizontal="left" indent="1"/>
    </xf>
    <xf numFmtId="164" fontId="10" fillId="0" borderId="2" xfId="2" applyNumberFormat="1" applyFont="1" applyBorder="1" applyAlignment="1">
      <alignment vertical="center"/>
    </xf>
    <xf numFmtId="0" fontId="14" fillId="0" borderId="0" xfId="0" applyFont="1"/>
    <xf numFmtId="0" fontId="0" fillId="0" borderId="1" xfId="0" applyBorder="1"/>
    <xf numFmtId="0" fontId="15" fillId="0" borderId="1" xfId="0" applyFont="1" applyBorder="1"/>
    <xf numFmtId="167" fontId="5" fillId="0" borderId="1" xfId="0" applyNumberFormat="1" applyFont="1" applyBorder="1"/>
    <xf numFmtId="0" fontId="0" fillId="2" borderId="0" xfId="0" applyFill="1"/>
    <xf numFmtId="0" fontId="0" fillId="0" borderId="3" xfId="0" applyBorder="1"/>
    <xf numFmtId="0" fontId="5" fillId="0" borderId="0" xfId="0" applyFont="1"/>
    <xf numFmtId="0" fontId="5" fillId="4" borderId="0" xfId="0" applyFont="1" applyFill="1"/>
    <xf numFmtId="0" fontId="0" fillId="4" borderId="0" xfId="0" applyFill="1"/>
    <xf numFmtId="0" fontId="0" fillId="0" borderId="4" xfId="0" applyBorder="1"/>
    <xf numFmtId="0" fontId="5" fillId="2" borderId="0" xfId="0" applyFont="1" applyFill="1"/>
    <xf numFmtId="0" fontId="17" fillId="0" borderId="4" xfId="0" applyFont="1" applyBorder="1"/>
    <xf numFmtId="0" fontId="5" fillId="5" borderId="0" xfId="0" applyFont="1" applyFill="1"/>
    <xf numFmtId="0" fontId="0" fillId="5" borderId="0" xfId="0" applyFill="1"/>
    <xf numFmtId="165" fontId="17" fillId="0" borderId="4" xfId="0" applyNumberFormat="1" applyFont="1" applyBorder="1"/>
    <xf numFmtId="0" fontId="17" fillId="5" borderId="0" xfId="0" applyFont="1" applyFill="1"/>
    <xf numFmtId="0" fontId="5" fillId="0" borderId="3" xfId="0" applyFont="1" applyBorder="1"/>
    <xf numFmtId="0" fontId="0" fillId="3" borderId="0" xfId="0" applyFill="1"/>
    <xf numFmtId="169" fontId="5" fillId="0" borderId="3" xfId="0" applyNumberFormat="1" applyFont="1" applyBorder="1"/>
    <xf numFmtId="165" fontId="19" fillId="3" borderId="0" xfId="1" applyNumberFormat="1" applyFont="1" applyFill="1" applyBorder="1"/>
    <xf numFmtId="0" fontId="5" fillId="5" borderId="3" xfId="0" applyFont="1" applyFill="1" applyBorder="1"/>
    <xf numFmtId="0" fontId="0" fillId="5" borderId="3" xfId="0" applyFill="1" applyBorder="1"/>
    <xf numFmtId="0" fontId="5" fillId="0" borderId="1" xfId="0" applyFont="1" applyBorder="1"/>
    <xf numFmtId="0" fontId="5" fillId="5" borderId="2" xfId="0" applyFont="1" applyFill="1" applyBorder="1"/>
    <xf numFmtId="169" fontId="5" fillId="5" borderId="3" xfId="0" applyNumberFormat="1" applyFont="1" applyFill="1" applyBorder="1"/>
    <xf numFmtId="169" fontId="0" fillId="5" borderId="0" xfId="0" applyNumberFormat="1" applyFill="1"/>
    <xf numFmtId="169" fontId="18" fillId="0" borderId="0" xfId="0" applyNumberFormat="1" applyFont="1"/>
    <xf numFmtId="0" fontId="0" fillId="5" borderId="2" xfId="0" applyFill="1" applyBorder="1"/>
    <xf numFmtId="169" fontId="5" fillId="0" borderId="0" xfId="0" applyNumberFormat="1" applyFont="1"/>
    <xf numFmtId="165" fontId="0" fillId="5" borderId="0" xfId="1" applyNumberFormat="1" applyFont="1" applyFill="1"/>
    <xf numFmtId="165" fontId="5" fillId="2" borderId="0" xfId="1" applyNumberFormat="1" applyFont="1" applyFill="1"/>
    <xf numFmtId="9" fontId="5" fillId="2" borderId="0" xfId="1" applyFont="1" applyFill="1"/>
    <xf numFmtId="0" fontId="0" fillId="5" borderId="0" xfId="0" applyFill="1" applyAlignment="1">
      <alignment horizontal="left" indent="1"/>
    </xf>
    <xf numFmtId="167" fontId="0" fillId="5" borderId="0" xfId="0" applyNumberFormat="1" applyFill="1" applyAlignment="1">
      <alignment horizontal="left"/>
    </xf>
    <xf numFmtId="169" fontId="19" fillId="5" borderId="0" xfId="0" applyNumberFormat="1" applyFont="1" applyFill="1"/>
    <xf numFmtId="0" fontId="19" fillId="2" borderId="0" xfId="0" applyFont="1" applyFill="1"/>
    <xf numFmtId="169" fontId="0" fillId="2" borderId="0" xfId="0" applyNumberFormat="1" applyFill="1"/>
    <xf numFmtId="170" fontId="0" fillId="5" borderId="0" xfId="0" applyNumberFormat="1" applyFill="1"/>
    <xf numFmtId="9" fontId="0" fillId="3" borderId="0" xfId="0" applyNumberFormat="1" applyFill="1"/>
    <xf numFmtId="9" fontId="19" fillId="3" borderId="0" xfId="0" applyNumberFormat="1" applyFont="1" applyFill="1"/>
    <xf numFmtId="170" fontId="5" fillId="5" borderId="3" xfId="0" applyNumberFormat="1" applyFont="1" applyFill="1" applyBorder="1"/>
    <xf numFmtId="170" fontId="20" fillId="5" borderId="3" xfId="0" applyNumberFormat="1" applyFont="1" applyFill="1" applyBorder="1"/>
    <xf numFmtId="171" fontId="17" fillId="5" borderId="0" xfId="0" applyNumberFormat="1" applyFont="1" applyFill="1"/>
    <xf numFmtId="165" fontId="0" fillId="3" borderId="0" xfId="1" applyNumberFormat="1" applyFont="1" applyFill="1"/>
    <xf numFmtId="0" fontId="5" fillId="3" borderId="0" xfId="0" applyFont="1" applyFill="1"/>
    <xf numFmtId="172" fontId="5" fillId="3" borderId="0" xfId="0" applyNumberFormat="1" applyFont="1" applyFill="1"/>
    <xf numFmtId="165" fontId="5" fillId="3" borderId="0" xfId="1" applyNumberFormat="1" applyFont="1" applyFill="1"/>
    <xf numFmtId="169" fontId="17" fillId="5" borderId="0" xfId="0" applyNumberFormat="1" applyFont="1" applyFill="1"/>
    <xf numFmtId="165" fontId="0" fillId="5" borderId="0" xfId="0" applyNumberFormat="1" applyFill="1"/>
    <xf numFmtId="165" fontId="17" fillId="5" borderId="0" xfId="0" applyNumberFormat="1" applyFont="1" applyFill="1"/>
    <xf numFmtId="167" fontId="22" fillId="0" borderId="1" xfId="0" applyNumberFormat="1" applyFont="1" applyBorder="1"/>
    <xf numFmtId="173" fontId="0" fillId="0" borderId="0" xfId="0" applyNumberFormat="1"/>
    <xf numFmtId="173" fontId="19" fillId="0" borderId="0" xfId="0" applyNumberFormat="1" applyFont="1"/>
    <xf numFmtId="164" fontId="10" fillId="0" borderId="3" xfId="2" applyNumberFormat="1" applyFont="1" applyBorder="1" applyAlignment="1">
      <alignment horizontal="left" vertical="center"/>
    </xf>
    <xf numFmtId="164" fontId="10" fillId="0" borderId="3" xfId="2" applyNumberFormat="1" applyFont="1" applyBorder="1" applyAlignment="1">
      <alignment vertical="center"/>
    </xf>
    <xf numFmtId="164" fontId="9" fillId="0" borderId="2" xfId="2" applyNumberFormat="1" applyFont="1" applyBorder="1" applyAlignment="1">
      <alignment vertical="center"/>
    </xf>
    <xf numFmtId="164" fontId="10" fillId="0" borderId="0" xfId="2" applyNumberFormat="1" applyFont="1" applyAlignment="1">
      <alignment horizontal="left" vertical="center"/>
    </xf>
    <xf numFmtId="173" fontId="23" fillId="0" borderId="0" xfId="0" applyNumberFormat="1" applyFont="1"/>
    <xf numFmtId="0" fontId="0" fillId="0" borderId="0" xfId="0" applyAlignment="1">
      <alignment horizontal="left"/>
    </xf>
    <xf numFmtId="0" fontId="0" fillId="5" borderId="0" xfId="0" applyFill="1" applyAlignment="1">
      <alignment horizontal="left"/>
    </xf>
    <xf numFmtId="0" fontId="0" fillId="0" borderId="3" xfId="0" applyBorder="1" applyAlignment="1">
      <alignment horizontal="left"/>
    </xf>
    <xf numFmtId="173" fontId="23" fillId="0" borderId="3" xfId="0" applyNumberFormat="1" applyFont="1" applyBorder="1" applyAlignment="1">
      <alignment horizontal="right"/>
    </xf>
    <xf numFmtId="165" fontId="0" fillId="0" borderId="0" xfId="1" applyNumberFormat="1" applyFont="1"/>
    <xf numFmtId="0" fontId="15" fillId="0" borderId="0" xfId="0" applyFont="1"/>
    <xf numFmtId="167" fontId="22" fillId="0" borderId="0" xfId="0" applyNumberFormat="1" applyFont="1"/>
    <xf numFmtId="167" fontId="5" fillId="0" borderId="0" xfId="0" applyNumberFormat="1" applyFont="1"/>
    <xf numFmtId="1" fontId="8" fillId="0" borderId="0" xfId="3" applyNumberFormat="1" applyFont="1"/>
    <xf numFmtId="173" fontId="0" fillId="3" borderId="0" xfId="0" applyNumberFormat="1" applyFill="1"/>
    <xf numFmtId="10" fontId="0" fillId="3" borderId="0" xfId="1" applyNumberFormat="1" applyFont="1" applyFill="1"/>
    <xf numFmtId="0" fontId="0" fillId="0" borderId="0" xfId="0" applyAlignment="1">
      <alignment horizontal="left" indent="1"/>
    </xf>
    <xf numFmtId="164" fontId="24" fillId="0" borderId="0" xfId="2" applyNumberFormat="1" applyFont="1" applyAlignment="1">
      <alignment horizontal="left" vertical="center"/>
    </xf>
    <xf numFmtId="0" fontId="8" fillId="0" borderId="0" xfId="3" applyFont="1" applyAlignment="1">
      <alignment horizontal="left"/>
    </xf>
    <xf numFmtId="173" fontId="5" fillId="0" borderId="3" xfId="0" applyNumberFormat="1" applyFont="1" applyBorder="1"/>
    <xf numFmtId="165" fontId="19" fillId="5" borderId="0" xfId="1" applyNumberFormat="1" applyFont="1" applyFill="1"/>
    <xf numFmtId="165" fontId="19" fillId="5" borderId="0" xfId="1" applyNumberFormat="1" applyFont="1" applyFill="1" applyBorder="1"/>
    <xf numFmtId="173" fontId="4" fillId="0" borderId="0" xfId="0" applyNumberFormat="1" applyFont="1"/>
    <xf numFmtId="174" fontId="5" fillId="0" borderId="3" xfId="0" applyNumberFormat="1" applyFont="1" applyBorder="1"/>
    <xf numFmtId="172" fontId="19" fillId="0" borderId="0" xfId="0" applyNumberFormat="1" applyFont="1"/>
    <xf numFmtId="172" fontId="5" fillId="0" borderId="3" xfId="0" applyNumberFormat="1" applyFont="1" applyBorder="1"/>
    <xf numFmtId="165" fontId="5" fillId="0" borderId="3" xfId="1" applyNumberFormat="1" applyFont="1" applyBorder="1"/>
    <xf numFmtId="165" fontId="5" fillId="0" borderId="0" xfId="1" applyNumberFormat="1" applyFont="1" applyBorder="1"/>
    <xf numFmtId="174" fontId="5" fillId="0" borderId="3" xfId="1" applyNumberFormat="1" applyFont="1" applyBorder="1"/>
    <xf numFmtId="173" fontId="0" fillId="0" borderId="3" xfId="0" applyNumberFormat="1" applyBorder="1"/>
    <xf numFmtId="0" fontId="5" fillId="0" borderId="3" xfId="0" applyFont="1" applyBorder="1" applyAlignment="1">
      <alignment horizontal="left"/>
    </xf>
    <xf numFmtId="169" fontId="0" fillId="0" borderId="0" xfId="0" applyNumberFormat="1"/>
    <xf numFmtId="0" fontId="5" fillId="5" borderId="0" xfId="0" applyFont="1" applyFill="1" applyAlignment="1">
      <alignment horizontal="left"/>
    </xf>
    <xf numFmtId="0" fontId="5" fillId="0" borderId="2" xfId="0" applyFont="1" applyBorder="1" applyAlignment="1">
      <alignment horizontal="left"/>
    </xf>
    <xf numFmtId="0" fontId="0" fillId="0" borderId="2" xfId="0" applyBorder="1"/>
    <xf numFmtId="9" fontId="0" fillId="0" borderId="0" xfId="0" applyNumberFormat="1"/>
    <xf numFmtId="10" fontId="0" fillId="0" borderId="0" xfId="1" applyNumberFormat="1" applyFont="1"/>
    <xf numFmtId="165" fontId="0" fillId="0" borderId="0" xfId="0" applyNumberFormat="1"/>
    <xf numFmtId="0" fontId="5" fillId="0" borderId="2" xfId="0" applyFont="1" applyBorder="1"/>
    <xf numFmtId="174" fontId="0" fillId="0" borderId="0" xfId="0" applyNumberFormat="1"/>
    <xf numFmtId="165" fontId="0" fillId="2" borderId="0" xfId="1" applyNumberFormat="1" applyFont="1" applyFill="1"/>
    <xf numFmtId="0" fontId="7" fillId="6" borderId="0" xfId="0" applyFont="1" applyFill="1"/>
    <xf numFmtId="0" fontId="5" fillId="0" borderId="0" xfId="0" applyFont="1" applyAlignment="1">
      <alignment horizontal="left"/>
    </xf>
    <xf numFmtId="164" fontId="5" fillId="0" borderId="0" xfId="0" applyNumberFormat="1" applyFont="1"/>
    <xf numFmtId="0" fontId="6" fillId="0" borderId="0" xfId="0" applyFont="1" applyAlignment="1">
      <alignment horizontal="left"/>
    </xf>
    <xf numFmtId="9" fontId="1" fillId="0" borderId="0" xfId="1" applyFont="1" applyAlignment="1"/>
    <xf numFmtId="164" fontId="0" fillId="0" borderId="0" xfId="0" applyNumberFormat="1"/>
    <xf numFmtId="164" fontId="5" fillId="0" borderId="2" xfId="0" applyNumberFormat="1" applyFont="1" applyBorder="1"/>
    <xf numFmtId="2" fontId="0" fillId="0" borderId="0" xfId="0" applyNumberFormat="1"/>
    <xf numFmtId="164" fontId="0" fillId="0" borderId="0" xfId="0" applyNumberFormat="1" applyAlignment="1">
      <alignment horizontal="right"/>
    </xf>
    <xf numFmtId="164" fontId="4" fillId="0" borderId="0" xfId="0" applyNumberFormat="1" applyFont="1" applyAlignment="1">
      <alignment horizontal="right"/>
    </xf>
    <xf numFmtId="2" fontId="5" fillId="0" borderId="0" xfId="0" applyNumberFormat="1" applyFont="1"/>
    <xf numFmtId="0" fontId="7" fillId="5" borderId="0" xfId="0" applyFont="1" applyFill="1"/>
    <xf numFmtId="0" fontId="5" fillId="0" borderId="0" xfId="0" applyFont="1" applyAlignment="1">
      <alignment horizontal="right"/>
    </xf>
    <xf numFmtId="1" fontId="5" fillId="0" borderId="0" xfId="0" applyNumberFormat="1" applyFont="1"/>
    <xf numFmtId="0" fontId="0" fillId="0" borderId="0" xfId="0" applyAlignment="1">
      <alignment horizontal="left" indent="2"/>
    </xf>
    <xf numFmtId="9" fontId="0" fillId="0" borderId="0" xfId="1" applyFont="1" applyAlignment="1"/>
    <xf numFmtId="9" fontId="0" fillId="0" borderId="0" xfId="1" applyFont="1"/>
    <xf numFmtId="10" fontId="5" fillId="0" borderId="0" xfId="0" applyNumberFormat="1" applyFont="1" applyAlignment="1">
      <alignment horizontal="right"/>
    </xf>
    <xf numFmtId="0" fontId="27" fillId="0" borderId="0" xfId="4" applyFont="1"/>
    <xf numFmtId="0" fontId="24" fillId="0" borderId="0" xfId="0" applyFont="1"/>
    <xf numFmtId="0" fontId="28" fillId="0" borderId="0" xfId="0" applyFont="1" applyAlignment="1">
      <alignment vertical="top" wrapText="1"/>
    </xf>
    <xf numFmtId="0" fontId="25" fillId="7" borderId="0" xfId="0" quotePrefix="1" applyFont="1" applyFill="1"/>
    <xf numFmtId="10" fontId="5" fillId="0" borderId="0" xfId="0" applyNumberFormat="1" applyFont="1"/>
    <xf numFmtId="9" fontId="5" fillId="0" borderId="0" xfId="0" applyNumberFormat="1" applyFont="1"/>
    <xf numFmtId="10" fontId="5" fillId="0" borderId="0" xfId="0" applyNumberFormat="1" applyFont="1" applyAlignment="1">
      <alignment horizontal="center" vertical="center"/>
    </xf>
    <xf numFmtId="0" fontId="29" fillId="0" borderId="0" xfId="5"/>
    <xf numFmtId="1" fontId="0" fillId="0" borderId="0" xfId="0" applyNumberFormat="1"/>
    <xf numFmtId="164" fontId="4" fillId="0" borderId="0" xfId="0" applyNumberFormat="1" applyFont="1"/>
    <xf numFmtId="0" fontId="5" fillId="0" borderId="0" xfId="0" applyFont="1" applyAlignment="1">
      <alignment horizontal="center"/>
    </xf>
    <xf numFmtId="10" fontId="0" fillId="0" borderId="0" xfId="0" applyNumberFormat="1"/>
    <xf numFmtId="10" fontId="0" fillId="0" borderId="0" xfId="0" applyNumberFormat="1" applyAlignment="1">
      <alignment horizontal="center" vertical="center" wrapText="1"/>
    </xf>
    <xf numFmtId="0" fontId="0" fillId="0" borderId="0" xfId="0" applyAlignment="1">
      <alignment horizontal="center"/>
    </xf>
    <xf numFmtId="178" fontId="0" fillId="0" borderId="0" xfId="0" applyNumberFormat="1"/>
    <xf numFmtId="3" fontId="0" fillId="0" borderId="0" xfId="0" applyNumberFormat="1" applyAlignment="1">
      <alignment horizontal="center" vertical="center"/>
    </xf>
    <xf numFmtId="0" fontId="5" fillId="0" borderId="0" xfId="0" applyFont="1" applyAlignment="1">
      <alignment horizontal="left" indent="5"/>
    </xf>
    <xf numFmtId="3" fontId="0" fillId="0" borderId="0" xfId="0" applyNumberFormat="1"/>
    <xf numFmtId="0" fontId="26" fillId="0" borderId="0" xfId="4"/>
    <xf numFmtId="0" fontId="5" fillId="0" borderId="0" xfId="0" applyFont="1" applyAlignment="1">
      <alignment horizontal="left" indent="6"/>
    </xf>
    <xf numFmtId="0" fontId="17" fillId="0" borderId="0" xfId="0" applyFont="1"/>
    <xf numFmtId="178" fontId="0" fillId="0" borderId="0" xfId="0" applyNumberFormat="1" applyAlignment="1">
      <alignment horizontal="center"/>
    </xf>
    <xf numFmtId="9" fontId="19" fillId="0" borderId="0" xfId="0" applyNumberFormat="1" applyFont="1"/>
    <xf numFmtId="9" fontId="0" fillId="0" borderId="4" xfId="0" applyNumberFormat="1" applyBorder="1"/>
    <xf numFmtId="9" fontId="19" fillId="0" borderId="4" xfId="0" applyNumberFormat="1" applyFont="1" applyBorder="1"/>
    <xf numFmtId="9" fontId="0" fillId="0" borderId="0" xfId="1" applyFont="1" applyAlignment="1">
      <alignment horizontal="center"/>
    </xf>
    <xf numFmtId="3" fontId="19" fillId="0" borderId="1" xfId="0" applyNumberFormat="1" applyFont="1" applyBorder="1"/>
    <xf numFmtId="3" fontId="0" fillId="0" borderId="1" xfId="0" applyNumberFormat="1" applyBorder="1"/>
    <xf numFmtId="3" fontId="19" fillId="0" borderId="0" xfId="0" applyNumberFormat="1" applyFont="1"/>
    <xf numFmtId="0" fontId="5" fillId="2" borderId="0" xfId="0" applyFont="1" applyFill="1" applyAlignment="1">
      <alignment horizontal="left"/>
    </xf>
    <xf numFmtId="165" fontId="5" fillId="2" borderId="0" xfId="1" applyNumberFormat="1" applyFont="1" applyFill="1" applyBorder="1" applyAlignment="1"/>
    <xf numFmtId="0" fontId="0" fillId="2" borderId="0" xfId="0" applyFill="1" applyAlignment="1">
      <alignment horizontal="left"/>
    </xf>
    <xf numFmtId="165" fontId="1" fillId="2" borderId="0" xfId="1" applyNumberFormat="1" applyFont="1" applyFill="1" applyBorder="1" applyAlignment="1"/>
    <xf numFmtId="165" fontId="0" fillId="0" borderId="0" xfId="1" applyNumberFormat="1" applyFont="1" applyAlignment="1"/>
    <xf numFmtId="165" fontId="5" fillId="0" borderId="0" xfId="1" applyNumberFormat="1" applyFont="1"/>
    <xf numFmtId="165" fontId="0" fillId="2" borderId="0" xfId="1" applyNumberFormat="1" applyFont="1" applyFill="1" applyBorder="1" applyAlignment="1"/>
    <xf numFmtId="165" fontId="5" fillId="0" borderId="0" xfId="0" applyNumberFormat="1" applyFont="1"/>
    <xf numFmtId="0" fontId="16" fillId="5" borderId="0" xfId="0" applyFont="1" applyFill="1"/>
    <xf numFmtId="165" fontId="5" fillId="2" borderId="0" xfId="1" applyNumberFormat="1" applyFont="1" applyFill="1" applyAlignment="1">
      <alignment horizontal="left"/>
    </xf>
    <xf numFmtId="165" fontId="5" fillId="0" borderId="2" xfId="1" applyNumberFormat="1" applyFont="1" applyBorder="1" applyAlignment="1"/>
    <xf numFmtId="165" fontId="0" fillId="2" borderId="0" xfId="1" applyNumberFormat="1" applyFont="1" applyFill="1" applyAlignment="1"/>
    <xf numFmtId="0" fontId="6" fillId="0" borderId="0" xfId="0" applyFont="1"/>
    <xf numFmtId="165" fontId="6" fillId="0" borderId="0" xfId="1" applyNumberFormat="1" applyFont="1" applyAlignment="1"/>
    <xf numFmtId="165" fontId="5" fillId="0" borderId="0" xfId="1" applyNumberFormat="1" applyFont="1" applyAlignment="1"/>
    <xf numFmtId="165" fontId="19" fillId="0" borderId="4" xfId="0" applyNumberFormat="1" applyFont="1" applyBorder="1"/>
    <xf numFmtId="165" fontId="0" fillId="0" borderId="4" xfId="0" applyNumberFormat="1" applyBorder="1"/>
    <xf numFmtId="165" fontId="33" fillId="0" borderId="0" xfId="0" applyNumberFormat="1" applyFont="1"/>
    <xf numFmtId="0" fontId="33" fillId="0" borderId="0" xfId="0" applyFont="1"/>
    <xf numFmtId="164" fontId="10" fillId="2" borderId="0" xfId="2" applyNumberFormat="1" applyFont="1" applyFill="1" applyAlignment="1">
      <alignment vertical="center"/>
    </xf>
    <xf numFmtId="165" fontId="23" fillId="2" borderId="0" xfId="1" applyNumberFormat="1" applyFont="1" applyFill="1" applyBorder="1"/>
    <xf numFmtId="169" fontId="23" fillId="0" borderId="0" xfId="0" applyNumberFormat="1" applyFont="1"/>
    <xf numFmtId="165" fontId="5" fillId="0" borderId="2" xfId="1" applyNumberFormat="1" applyFont="1" applyBorder="1"/>
    <xf numFmtId="165" fontId="6" fillId="0" borderId="0" xfId="1" applyNumberFormat="1" applyFont="1"/>
    <xf numFmtId="1" fontId="5" fillId="2" borderId="0" xfId="0" applyNumberFormat="1" applyFont="1" applyFill="1"/>
    <xf numFmtId="0" fontId="34" fillId="0" borderId="0" xfId="0" applyFont="1" applyAlignment="1">
      <alignment horizontal="left"/>
    </xf>
    <xf numFmtId="169" fontId="4" fillId="5" borderId="0" xfId="0" applyNumberFormat="1" applyFont="1" applyFill="1"/>
    <xf numFmtId="172" fontId="22" fillId="3" borderId="0" xfId="0" applyNumberFormat="1" applyFont="1" applyFill="1"/>
    <xf numFmtId="179" fontId="0" fillId="0" borderId="0" xfId="1" applyNumberFormat="1" applyFont="1"/>
    <xf numFmtId="0" fontId="7" fillId="6" borderId="0" xfId="0" applyFont="1" applyFill="1" applyAlignment="1">
      <alignment horizontal="center"/>
    </xf>
    <xf numFmtId="0" fontId="35" fillId="0" borderId="0" xfId="0" applyFont="1"/>
    <xf numFmtId="0" fontId="36" fillId="0" borderId="0" xfId="0" applyFont="1"/>
    <xf numFmtId="0" fontId="36" fillId="0" borderId="0" xfId="0" applyFont="1" applyAlignment="1">
      <alignment wrapText="1"/>
    </xf>
    <xf numFmtId="0" fontId="8" fillId="0" borderId="0" xfId="6" applyFont="1"/>
    <xf numFmtId="10" fontId="8" fillId="0" borderId="0" xfId="6" applyNumberFormat="1" applyFont="1" applyAlignment="1">
      <alignment horizontal="center"/>
    </xf>
    <xf numFmtId="0" fontId="0" fillId="0" borderId="0" xfId="0" applyAlignment="1">
      <alignment horizontal="right"/>
    </xf>
    <xf numFmtId="165" fontId="0" fillId="2" borderId="0" xfId="0" applyNumberFormat="1" applyFill="1"/>
    <xf numFmtId="1" fontId="0" fillId="0" borderId="4" xfId="0" applyNumberFormat="1" applyBorder="1"/>
    <xf numFmtId="0" fontId="38" fillId="8" borderId="4" xfId="0" applyFont="1" applyFill="1" applyBorder="1" applyAlignment="1">
      <alignment horizontal="right" vertical="center" wrapText="1"/>
    </xf>
    <xf numFmtId="0" fontId="6" fillId="2" borderId="0" xfId="0" applyFont="1" applyFill="1"/>
    <xf numFmtId="10" fontId="6" fillId="2" borderId="0" xfId="1" applyNumberFormat="1" applyFont="1" applyFill="1"/>
    <xf numFmtId="0" fontId="39" fillId="8" borderId="6" xfId="0" applyFont="1" applyFill="1" applyBorder="1" applyAlignment="1">
      <alignment horizontal="right" vertical="center" wrapText="1"/>
    </xf>
    <xf numFmtId="3" fontId="39" fillId="8" borderId="6" xfId="0" applyNumberFormat="1" applyFont="1" applyFill="1" applyBorder="1" applyAlignment="1">
      <alignment horizontal="right" vertical="center" wrapText="1"/>
    </xf>
    <xf numFmtId="10" fontId="6" fillId="0" borderId="0" xfId="1" applyNumberFormat="1" applyFont="1" applyFill="1"/>
    <xf numFmtId="179" fontId="0" fillId="0" borderId="0" xfId="0" applyNumberFormat="1"/>
    <xf numFmtId="10" fontId="33" fillId="0" borderId="0" xfId="1" applyNumberFormat="1" applyFont="1" applyFill="1"/>
    <xf numFmtId="174" fontId="0" fillId="2" borderId="0" xfId="0" applyNumberFormat="1" applyFill="1"/>
    <xf numFmtId="174" fontId="6" fillId="2" borderId="0" xfId="1" applyNumberFormat="1" applyFont="1" applyFill="1"/>
    <xf numFmtId="164" fontId="23" fillId="0" borderId="0" xfId="0" applyNumberFormat="1" applyFont="1" applyAlignment="1">
      <alignment horizontal="right"/>
    </xf>
    <xf numFmtId="169" fontId="18" fillId="0" borderId="2" xfId="0" applyNumberFormat="1" applyFont="1" applyBorder="1"/>
    <xf numFmtId="169" fontId="19" fillId="0" borderId="0" xfId="0" applyNumberFormat="1" applyFont="1"/>
    <xf numFmtId="180" fontId="19" fillId="0" borderId="0" xfId="0" applyNumberFormat="1" applyFont="1"/>
    <xf numFmtId="168" fontId="19" fillId="0" borderId="0" xfId="0" applyNumberFormat="1" applyFont="1"/>
    <xf numFmtId="164" fontId="5" fillId="0" borderId="3" xfId="0" applyNumberFormat="1" applyFont="1" applyBorder="1"/>
    <xf numFmtId="0" fontId="40" fillId="9" borderId="0" xfId="0" applyFont="1" applyFill="1" applyAlignment="1">
      <alignment horizontal="right" vertical="center" wrapText="1"/>
    </xf>
    <xf numFmtId="1" fontId="0" fillId="2" borderId="0" xfId="0" applyNumberFormat="1" applyFill="1"/>
    <xf numFmtId="1" fontId="0" fillId="2" borderId="0" xfId="0" applyNumberFormat="1" applyFill="1" applyAlignment="1">
      <alignment horizontal="center"/>
    </xf>
    <xf numFmtId="10" fontId="0" fillId="2" borderId="0" xfId="1" applyNumberFormat="1" applyFont="1" applyFill="1"/>
    <xf numFmtId="182" fontId="0" fillId="5" borderId="0" xfId="0" applyNumberFormat="1" applyFill="1"/>
    <xf numFmtId="181" fontId="22" fillId="0" borderId="5" xfId="0" applyNumberFormat="1" applyFont="1" applyBorder="1"/>
    <xf numFmtId="173" fontId="23" fillId="0" borderId="0" xfId="0" applyNumberFormat="1" applyFont="1" applyAlignment="1">
      <alignment horizontal="right"/>
    </xf>
    <xf numFmtId="164" fontId="23" fillId="10" borderId="0" xfId="0" applyNumberFormat="1" applyFont="1" applyFill="1" applyAlignment="1">
      <alignment horizontal="right"/>
    </xf>
    <xf numFmtId="10" fontId="5" fillId="10" borderId="0" xfId="1" applyNumberFormat="1" applyFont="1" applyFill="1"/>
    <xf numFmtId="3" fontId="20" fillId="10" borderId="0" xfId="0" applyNumberFormat="1" applyFont="1" applyFill="1"/>
    <xf numFmtId="181" fontId="22" fillId="0" borderId="0" xfId="0" applyNumberFormat="1" applyFont="1" applyAlignment="1">
      <alignment horizontal="center"/>
    </xf>
    <xf numFmtId="164" fontId="4" fillId="10" borderId="0" xfId="0" applyNumberFormat="1" applyFont="1" applyFill="1" applyAlignment="1">
      <alignment horizontal="right"/>
    </xf>
    <xf numFmtId="9" fontId="17" fillId="0" borderId="0" xfId="1" applyFont="1" applyAlignment="1">
      <alignment horizontal="right"/>
    </xf>
    <xf numFmtId="0" fontId="18" fillId="0" borderId="0" xfId="0" applyFont="1"/>
    <xf numFmtId="164" fontId="9" fillId="0" borderId="1" xfId="2" applyNumberFormat="1" applyFont="1" applyBorder="1" applyAlignment="1">
      <alignment horizontal="left" vertical="center"/>
    </xf>
    <xf numFmtId="177" fontId="0" fillId="0" borderId="0" xfId="0" applyNumberFormat="1"/>
    <xf numFmtId="173" fontId="23" fillId="0" borderId="2" xfId="0" applyNumberFormat="1" applyFont="1" applyBorder="1"/>
    <xf numFmtId="173" fontId="23" fillId="0" borderId="3" xfId="0" applyNumberFormat="1" applyFont="1" applyBorder="1" applyAlignment="1">
      <alignment horizontal="left"/>
    </xf>
    <xf numFmtId="0" fontId="11" fillId="0" borderId="3" xfId="3" applyFont="1" applyBorder="1"/>
    <xf numFmtId="173" fontId="23" fillId="0" borderId="2" xfId="0" applyNumberFormat="1" applyFont="1" applyBorder="1" applyAlignment="1">
      <alignment horizontal="right"/>
    </xf>
    <xf numFmtId="169" fontId="23" fillId="0" borderId="3" xfId="0" applyNumberFormat="1" applyFont="1" applyBorder="1"/>
    <xf numFmtId="173" fontId="23" fillId="0" borderId="3" xfId="0" applyNumberFormat="1" applyFont="1" applyBorder="1"/>
    <xf numFmtId="0" fontId="21" fillId="0" borderId="0" xfId="0" applyFont="1" applyAlignment="1">
      <alignment horizontal="left" indent="1"/>
    </xf>
    <xf numFmtId="0" fontId="21" fillId="0" borderId="0" xfId="0" applyFont="1"/>
    <xf numFmtId="0" fontId="23" fillId="0" borderId="0" xfId="3" applyFont="1"/>
    <xf numFmtId="0" fontId="11" fillId="0" borderId="2" xfId="3" applyFont="1" applyBorder="1"/>
    <xf numFmtId="182" fontId="0" fillId="0" borderId="0" xfId="0" applyNumberFormat="1"/>
    <xf numFmtId="164" fontId="23" fillId="0" borderId="0" xfId="0" applyNumberFormat="1" applyFont="1"/>
    <xf numFmtId="183" fontId="5" fillId="0" borderId="2" xfId="0" applyNumberFormat="1" applyFont="1" applyBorder="1"/>
    <xf numFmtId="183" fontId="0" fillId="0" borderId="0" xfId="0" applyNumberFormat="1"/>
    <xf numFmtId="184" fontId="0" fillId="0" borderId="0" xfId="0" applyNumberFormat="1"/>
    <xf numFmtId="0" fontId="41" fillId="0" borderId="0" xfId="0" applyFont="1"/>
    <xf numFmtId="165" fontId="41" fillId="0" borderId="0" xfId="1" applyNumberFormat="1" applyFont="1"/>
    <xf numFmtId="174" fontId="0" fillId="2" borderId="0" xfId="1" applyNumberFormat="1" applyFont="1" applyFill="1"/>
    <xf numFmtId="174" fontId="0" fillId="2" borderId="0" xfId="0" applyNumberFormat="1" applyFill="1" applyAlignment="1">
      <alignment horizontal="center"/>
    </xf>
    <xf numFmtId="9" fontId="0" fillId="2" borderId="0" xfId="1" applyFont="1" applyFill="1" applyAlignment="1">
      <alignment horizontal="center"/>
    </xf>
    <xf numFmtId="165" fontId="0" fillId="2" borderId="0" xfId="1" applyNumberFormat="1" applyFont="1" applyFill="1" applyAlignment="1">
      <alignment horizontal="center"/>
    </xf>
    <xf numFmtId="176" fontId="0" fillId="2" borderId="0" xfId="1" applyNumberFormat="1" applyFont="1" applyFill="1"/>
    <xf numFmtId="180" fontId="0" fillId="5" borderId="0" xfId="0" applyNumberFormat="1" applyFill="1"/>
    <xf numFmtId="180" fontId="5" fillId="5" borderId="3" xfId="0" applyNumberFormat="1" applyFont="1" applyFill="1" applyBorder="1"/>
    <xf numFmtId="180" fontId="5" fillId="5" borderId="0" xfId="0" applyNumberFormat="1" applyFont="1" applyFill="1"/>
    <xf numFmtId="0" fontId="6" fillId="5" borderId="0" xfId="0" applyFont="1" applyFill="1" applyAlignment="1">
      <alignment horizontal="left"/>
    </xf>
    <xf numFmtId="164" fontId="0" fillId="2" borderId="0" xfId="0" applyNumberFormat="1" applyFill="1"/>
    <xf numFmtId="178" fontId="0" fillId="2" borderId="0" xfId="0" applyNumberFormat="1" applyFill="1"/>
    <xf numFmtId="2" fontId="5" fillId="2" borderId="0" xfId="0" applyNumberFormat="1" applyFont="1" applyFill="1"/>
    <xf numFmtId="0" fontId="22" fillId="2" borderId="0" xfId="0" applyFont="1" applyFill="1"/>
    <xf numFmtId="178" fontId="23" fillId="2" borderId="0" xfId="0" applyNumberFormat="1" applyFont="1" applyFill="1"/>
    <xf numFmtId="3" fontId="20" fillId="0" borderId="0" xfId="0" applyNumberFormat="1" applyFont="1"/>
    <xf numFmtId="165" fontId="5" fillId="10" borderId="0" xfId="0" applyNumberFormat="1" applyFont="1" applyFill="1"/>
    <xf numFmtId="0" fontId="7" fillId="11" borderId="0" xfId="0" applyFont="1" applyFill="1"/>
    <xf numFmtId="178" fontId="5" fillId="10" borderId="0" xfId="0" applyNumberFormat="1" applyFont="1" applyFill="1"/>
    <xf numFmtId="165" fontId="17" fillId="0" borderId="4" xfId="1" applyNumberFormat="1" applyFont="1" applyBorder="1"/>
    <xf numFmtId="0" fontId="42" fillId="0" borderId="0" xfId="0" applyFont="1"/>
    <xf numFmtId="165" fontId="43" fillId="0" borderId="0" xfId="1" applyNumberFormat="1" applyFont="1"/>
    <xf numFmtId="165" fontId="5" fillId="10" borderId="0" xfId="1" applyNumberFormat="1" applyFont="1" applyFill="1"/>
    <xf numFmtId="1" fontId="22" fillId="3" borderId="0" xfId="0" applyNumberFormat="1" applyFont="1" applyFill="1"/>
    <xf numFmtId="1" fontId="5" fillId="3" borderId="0" xfId="0" applyNumberFormat="1" applyFont="1" applyFill="1"/>
    <xf numFmtId="165" fontId="20" fillId="3" borderId="0" xfId="1" applyNumberFormat="1" applyFont="1" applyFill="1"/>
    <xf numFmtId="180" fontId="19" fillId="5" borderId="0" xfId="0" applyNumberFormat="1" applyFont="1" applyFill="1"/>
    <xf numFmtId="180" fontId="0" fillId="2" borderId="0" xfId="0" applyNumberFormat="1" applyFill="1"/>
    <xf numFmtId="0" fontId="6" fillId="2" borderId="0" xfId="0" applyFont="1" applyFill="1" applyAlignment="1">
      <alignment horizontal="left"/>
    </xf>
    <xf numFmtId="10" fontId="5" fillId="12" borderId="0" xfId="0" applyNumberFormat="1" applyFont="1" applyFill="1"/>
    <xf numFmtId="180" fontId="20" fillId="5" borderId="3" xfId="0" applyNumberFormat="1" applyFont="1" applyFill="1" applyBorder="1"/>
    <xf numFmtId="173" fontId="0" fillId="5" borderId="0" xfId="0" applyNumberFormat="1" applyFill="1"/>
    <xf numFmtId="165" fontId="44" fillId="0" borderId="0" xfId="1" applyNumberFormat="1" applyFont="1"/>
    <xf numFmtId="165" fontId="44" fillId="12" borderId="0" xfId="0" applyNumberFormat="1" applyFont="1" applyFill="1"/>
    <xf numFmtId="165" fontId="5" fillId="5" borderId="0" xfId="1" applyNumberFormat="1" applyFont="1" applyFill="1"/>
    <xf numFmtId="165" fontId="20" fillId="5" borderId="0" xfId="1" applyNumberFormat="1" applyFont="1" applyFill="1" applyBorder="1"/>
    <xf numFmtId="1" fontId="5" fillId="12" borderId="0" xfId="0" applyNumberFormat="1" applyFont="1" applyFill="1"/>
    <xf numFmtId="10" fontId="5" fillId="2" borderId="0" xfId="1" applyNumberFormat="1" applyFont="1" applyFill="1"/>
    <xf numFmtId="173" fontId="5" fillId="0" borderId="2" xfId="0" applyNumberFormat="1" applyFont="1" applyBorder="1" applyAlignment="1">
      <alignment horizontal="right"/>
    </xf>
    <xf numFmtId="1" fontId="23" fillId="5" borderId="0" xfId="0" applyNumberFormat="1" applyFont="1" applyFill="1" applyAlignment="1">
      <alignment horizontal="right"/>
    </xf>
    <xf numFmtId="173" fontId="5" fillId="0" borderId="3" xfId="0" applyNumberFormat="1" applyFont="1" applyBorder="1" applyAlignment="1">
      <alignment horizontal="right"/>
    </xf>
    <xf numFmtId="169" fontId="4" fillId="0" borderId="0" xfId="0" applyNumberFormat="1" applyFont="1" applyAlignment="1">
      <alignment horizontal="right"/>
    </xf>
    <xf numFmtId="3" fontId="0" fillId="3" borderId="0" xfId="0" applyNumberFormat="1" applyFill="1"/>
    <xf numFmtId="0" fontId="45" fillId="0" borderId="0" xfId="0" applyFont="1"/>
    <xf numFmtId="9" fontId="6" fillId="0" borderId="0" xfId="1" applyFont="1"/>
    <xf numFmtId="165" fontId="46" fillId="0" borderId="0" xfId="1" applyNumberFormat="1" applyFont="1"/>
    <xf numFmtId="0" fontId="30" fillId="0" borderId="0" xfId="0" applyFont="1"/>
    <xf numFmtId="0" fontId="25" fillId="0" borderId="0" xfId="0" applyFont="1"/>
    <xf numFmtId="0" fontId="47" fillId="0" borderId="1" xfId="0" applyFont="1" applyBorder="1"/>
    <xf numFmtId="0" fontId="30" fillId="0" borderId="1" xfId="0" applyFont="1" applyBorder="1"/>
    <xf numFmtId="167" fontId="25" fillId="0" borderId="1" xfId="0" applyNumberFormat="1" applyFont="1" applyBorder="1"/>
    <xf numFmtId="165" fontId="4" fillId="3" borderId="0" xfId="1" applyNumberFormat="1" applyFont="1" applyFill="1" applyBorder="1"/>
    <xf numFmtId="165" fontId="1" fillId="3" borderId="0" xfId="1" applyNumberFormat="1" applyFont="1" applyFill="1" applyBorder="1"/>
    <xf numFmtId="165" fontId="49" fillId="3" borderId="0" xfId="1" applyNumberFormat="1" applyFont="1" applyFill="1" applyBorder="1"/>
    <xf numFmtId="170" fontId="49" fillId="5" borderId="0" xfId="0" applyNumberFormat="1" applyFont="1" applyFill="1"/>
    <xf numFmtId="169" fontId="49" fillId="5" borderId="0" xfId="0" applyNumberFormat="1" applyFont="1" applyFill="1"/>
    <xf numFmtId="172" fontId="50" fillId="3" borderId="0" xfId="0" applyNumberFormat="1" applyFont="1" applyFill="1"/>
    <xf numFmtId="180" fontId="49" fillId="5" borderId="0" xfId="0" applyNumberFormat="1" applyFont="1" applyFill="1"/>
    <xf numFmtId="1" fontId="0" fillId="2" borderId="0" xfId="1" applyNumberFormat="1" applyFont="1" applyFill="1"/>
    <xf numFmtId="185" fontId="5" fillId="12" borderId="0" xfId="0" applyNumberFormat="1" applyFont="1" applyFill="1"/>
    <xf numFmtId="165" fontId="49" fillId="5" borderId="0" xfId="0" applyNumberFormat="1" applyFont="1" applyFill="1"/>
    <xf numFmtId="165" fontId="50" fillId="3" borderId="0" xfId="1" applyNumberFormat="1" applyFont="1" applyFill="1"/>
    <xf numFmtId="169" fontId="49" fillId="0" borderId="0" xfId="0" applyNumberFormat="1" applyFont="1"/>
    <xf numFmtId="0" fontId="49" fillId="5" borderId="0" xfId="0" applyFont="1" applyFill="1"/>
    <xf numFmtId="0" fontId="49" fillId="0" borderId="0" xfId="0" applyFont="1"/>
    <xf numFmtId="1" fontId="20" fillId="3" borderId="0" xfId="0" applyNumberFormat="1" applyFont="1" applyFill="1"/>
    <xf numFmtId="173" fontId="48" fillId="0" borderId="0" xfId="0" applyNumberFormat="1" applyFont="1"/>
    <xf numFmtId="171" fontId="19" fillId="3" borderId="0" xfId="0" applyNumberFormat="1" applyFont="1" applyFill="1"/>
    <xf numFmtId="165" fontId="23" fillId="0" borderId="3" xfId="1" applyNumberFormat="1" applyFont="1" applyFill="1" applyBorder="1"/>
    <xf numFmtId="165" fontId="4" fillId="0" borderId="0" xfId="1" applyNumberFormat="1" applyFont="1"/>
    <xf numFmtId="165" fontId="23" fillId="0" borderId="2" xfId="1" applyNumberFormat="1" applyFont="1" applyFill="1" applyBorder="1"/>
    <xf numFmtId="165" fontId="4" fillId="0" borderId="2" xfId="1" applyNumberFormat="1" applyFont="1" applyBorder="1"/>
    <xf numFmtId="165" fontId="4" fillId="0" borderId="3" xfId="1" applyNumberFormat="1" applyFont="1" applyBorder="1"/>
    <xf numFmtId="165" fontId="1" fillId="0" borderId="0" xfId="1" applyNumberFormat="1" applyFont="1"/>
    <xf numFmtId="165" fontId="23" fillId="0" borderId="3" xfId="1" applyNumberFormat="1" applyFont="1" applyBorder="1"/>
    <xf numFmtId="0" fontId="0" fillId="0" borderId="8" xfId="0" applyBorder="1"/>
    <xf numFmtId="0" fontId="51" fillId="0" borderId="7" xfId="0" applyFont="1" applyBorder="1" applyAlignment="1">
      <alignment horizontal="left"/>
    </xf>
    <xf numFmtId="0" fontId="41" fillId="0" borderId="0" xfId="0" applyFont="1" applyAlignment="1">
      <alignment horizontal="right"/>
    </xf>
    <xf numFmtId="0" fontId="53" fillId="0" borderId="0" xfId="4" applyFont="1"/>
    <xf numFmtId="0" fontId="54" fillId="0" borderId="0" xfId="0" applyFont="1"/>
    <xf numFmtId="0" fontId="56" fillId="0" borderId="0" xfId="8" applyFont="1"/>
    <xf numFmtId="0" fontId="57" fillId="0" borderId="5" xfId="8" applyFont="1" applyBorder="1" applyAlignment="1">
      <alignment horizontal="centerContinuous"/>
    </xf>
    <xf numFmtId="0" fontId="57" fillId="0" borderId="5" xfId="8" applyFont="1" applyBorder="1"/>
    <xf numFmtId="0" fontId="57" fillId="0" borderId="5" xfId="8" applyFont="1" applyBorder="1" applyAlignment="1">
      <alignment horizontal="center"/>
    </xf>
    <xf numFmtId="0" fontId="58" fillId="0" borderId="5" xfId="8" applyFont="1" applyBorder="1" applyAlignment="1">
      <alignment horizontal="center"/>
    </xf>
    <xf numFmtId="2" fontId="58" fillId="0" borderId="5" xfId="8" applyNumberFormat="1" applyFont="1" applyBorder="1" applyAlignment="1">
      <alignment horizontal="center"/>
    </xf>
    <xf numFmtId="10" fontId="8" fillId="0" borderId="9" xfId="10" applyNumberFormat="1" applyFont="1" applyBorder="1" applyAlignment="1">
      <alignment horizontal="center"/>
    </xf>
    <xf numFmtId="0" fontId="56" fillId="0" borderId="0" xfId="8" applyFont="1" applyAlignment="1">
      <alignment horizontal="center"/>
    </xf>
    <xf numFmtId="0" fontId="5" fillId="2" borderId="2" xfId="0" applyFont="1" applyFill="1" applyBorder="1"/>
    <xf numFmtId="0" fontId="0" fillId="0" borderId="10" xfId="0" applyBorder="1"/>
    <xf numFmtId="0" fontId="0" fillId="0" borderId="11" xfId="0" applyBorder="1"/>
    <xf numFmtId="10" fontId="0" fillId="0" borderId="11" xfId="0" applyNumberFormat="1" applyBorder="1" applyAlignment="1">
      <alignment horizontal="center"/>
    </xf>
    <xf numFmtId="10" fontId="0" fillId="0" borderId="10" xfId="0" applyNumberFormat="1" applyBorder="1" applyAlignment="1">
      <alignment horizontal="center"/>
    </xf>
    <xf numFmtId="0" fontId="0" fillId="0" borderId="10" xfId="0" applyBorder="1" applyAlignment="1">
      <alignment horizontal="center"/>
    </xf>
    <xf numFmtId="165" fontId="5" fillId="2" borderId="2" xfId="0" applyNumberFormat="1" applyFont="1" applyFill="1" applyBorder="1" applyAlignment="1">
      <alignment horizontal="center"/>
    </xf>
    <xf numFmtId="10" fontId="0" fillId="0" borderId="0" xfId="1" applyNumberFormat="1" applyFont="1" applyBorder="1" applyAlignment="1">
      <alignment horizontal="center"/>
    </xf>
    <xf numFmtId="10" fontId="0" fillId="0" borderId="10" xfId="1" applyNumberFormat="1" applyFont="1" applyBorder="1" applyAlignment="1">
      <alignment horizontal="center"/>
    </xf>
    <xf numFmtId="10" fontId="5" fillId="2" borderId="2" xfId="0" applyNumberFormat="1" applyFont="1" applyFill="1" applyBorder="1" applyAlignment="1">
      <alignment horizontal="center"/>
    </xf>
    <xf numFmtId="165" fontId="0" fillId="0" borderId="0" xfId="1" applyNumberFormat="1" applyFont="1" applyAlignment="1">
      <alignment horizontal="center"/>
    </xf>
    <xf numFmtId="10" fontId="0" fillId="0" borderId="0" xfId="1" applyNumberFormat="1" applyFont="1" applyAlignment="1">
      <alignment horizontal="center"/>
    </xf>
    <xf numFmtId="10" fontId="0" fillId="0" borderId="0" xfId="0" applyNumberFormat="1" applyAlignment="1">
      <alignment horizontal="center"/>
    </xf>
    <xf numFmtId="9" fontId="0" fillId="0" borderId="10" xfId="0" applyNumberFormat="1" applyBorder="1" applyAlignment="1">
      <alignment horizontal="center"/>
    </xf>
    <xf numFmtId="165" fontId="5" fillId="2" borderId="2" xfId="1" applyNumberFormat="1" applyFont="1" applyFill="1" applyBorder="1" applyAlignment="1">
      <alignment horizontal="center"/>
    </xf>
    <xf numFmtId="0" fontId="60" fillId="0" borderId="10" xfId="0" applyFont="1" applyBorder="1"/>
    <xf numFmtId="0" fontId="4" fillId="0" borderId="10" xfId="4" applyFont="1" applyBorder="1" applyAlignment="1">
      <alignment horizontal="left"/>
    </xf>
    <xf numFmtId="3" fontId="0" fillId="0" borderId="10" xfId="0" applyNumberFormat="1" applyBorder="1" applyAlignment="1">
      <alignment horizontal="right"/>
    </xf>
    <xf numFmtId="2" fontId="0" fillId="0" borderId="10" xfId="0" applyNumberFormat="1" applyBorder="1" applyAlignment="1">
      <alignment horizontal="center"/>
    </xf>
    <xf numFmtId="0" fontId="61" fillId="0" borderId="12" xfId="0" applyFont="1" applyBorder="1"/>
    <xf numFmtId="0" fontId="5" fillId="0" borderId="12" xfId="0" applyFont="1" applyBorder="1"/>
    <xf numFmtId="2" fontId="5" fillId="0" borderId="12" xfId="0" applyNumberFormat="1" applyFont="1" applyBorder="1" applyAlignment="1">
      <alignment horizontal="center"/>
    </xf>
    <xf numFmtId="0" fontId="5" fillId="0" borderId="12" xfId="0" applyFont="1" applyBorder="1" applyAlignment="1">
      <alignment horizontal="center"/>
    </xf>
    <xf numFmtId="0" fontId="60" fillId="0" borderId="13" xfId="0" applyFont="1" applyBorder="1"/>
    <xf numFmtId="0" fontId="0" fillId="0" borderId="13" xfId="0" applyBorder="1"/>
    <xf numFmtId="2" fontId="0" fillId="0" borderId="13" xfId="0" applyNumberFormat="1" applyBorder="1" applyAlignment="1">
      <alignment horizontal="center"/>
    </xf>
    <xf numFmtId="0" fontId="0" fillId="0" borderId="13" xfId="0" applyBorder="1" applyAlignment="1">
      <alignment horizontal="center"/>
    </xf>
    <xf numFmtId="0" fontId="62" fillId="0" borderId="0" xfId="0" applyFont="1"/>
    <xf numFmtId="175" fontId="5" fillId="0" borderId="0" xfId="0" applyNumberFormat="1" applyFont="1"/>
    <xf numFmtId="2" fontId="19" fillId="0" borderId="10" xfId="0" applyNumberFormat="1" applyFont="1" applyBorder="1" applyAlignment="1">
      <alignment horizontal="center"/>
    </xf>
    <xf numFmtId="0" fontId="5" fillId="12" borderId="0" xfId="0" applyFont="1" applyFill="1" applyAlignment="1">
      <alignment horizontal="center"/>
    </xf>
    <xf numFmtId="2" fontId="0" fillId="2" borderId="0" xfId="0" applyNumberFormat="1" applyFill="1" applyAlignment="1">
      <alignment horizontal="center"/>
    </xf>
    <xf numFmtId="176" fontId="5" fillId="0" borderId="0" xfId="0" applyNumberFormat="1" applyFont="1"/>
    <xf numFmtId="174" fontId="0" fillId="0" borderId="10" xfId="0" applyNumberFormat="1" applyBorder="1" applyAlignment="1">
      <alignment horizontal="center"/>
    </xf>
    <xf numFmtId="0" fontId="0" fillId="0" borderId="0" xfId="0" applyAlignment="1">
      <alignment wrapText="1"/>
    </xf>
    <xf numFmtId="0" fontId="63" fillId="0" borderId="0" xfId="0" applyFont="1" applyAlignment="1">
      <alignment horizontal="left"/>
    </xf>
    <xf numFmtId="167" fontId="20" fillId="0" borderId="1" xfId="0" applyNumberFormat="1" applyFont="1" applyBorder="1"/>
    <xf numFmtId="0" fontId="6" fillId="0" borderId="0" xfId="0" applyFont="1" applyAlignment="1">
      <alignment horizontal="left" indent="1"/>
    </xf>
    <xf numFmtId="174" fontId="6" fillId="0" borderId="0" xfId="0" applyNumberFormat="1" applyFont="1"/>
    <xf numFmtId="187" fontId="19" fillId="0" borderId="0" xfId="0" applyNumberFormat="1" applyFont="1"/>
    <xf numFmtId="187" fontId="5" fillId="0" borderId="3" xfId="0" applyNumberFormat="1" applyFont="1" applyBorder="1"/>
    <xf numFmtId="187" fontId="0" fillId="0" borderId="0" xfId="0" applyNumberFormat="1"/>
    <xf numFmtId="187" fontId="5" fillId="0" borderId="2" xfId="0" applyNumberFormat="1" applyFont="1" applyBorder="1"/>
    <xf numFmtId="0" fontId="64" fillId="0" borderId="0" xfId="11"/>
    <xf numFmtId="0" fontId="4" fillId="0" borderId="0" xfId="11" applyFont="1"/>
    <xf numFmtId="0" fontId="65" fillId="0" borderId="0" xfId="11" applyFont="1"/>
    <xf numFmtId="186" fontId="4" fillId="0" borderId="0" xfId="12" applyFont="1"/>
    <xf numFmtId="188" fontId="4" fillId="0" borderId="0" xfId="11" applyNumberFormat="1" applyFont="1"/>
    <xf numFmtId="2" fontId="4" fillId="0" borderId="14" xfId="12" applyNumberFormat="1" applyFont="1" applyBorder="1" applyAlignment="1">
      <alignment horizontal="right"/>
    </xf>
    <xf numFmtId="2" fontId="4" fillId="0" borderId="5" xfId="11" applyNumberFormat="1" applyFont="1" applyBorder="1" applyAlignment="1">
      <alignment horizontal="right"/>
    </xf>
    <xf numFmtId="0" fontId="4" fillId="0" borderId="0" xfId="11" applyFont="1" applyAlignment="1">
      <alignment horizontal="right"/>
    </xf>
    <xf numFmtId="10" fontId="4" fillId="0" borderId="5" xfId="11" applyNumberFormat="1" applyFont="1" applyBorder="1"/>
    <xf numFmtId="0" fontId="23" fillId="0" borderId="0" xfId="11" applyFont="1"/>
    <xf numFmtId="10" fontId="23" fillId="0" borderId="5" xfId="11" applyNumberFormat="1" applyFont="1" applyBorder="1"/>
    <xf numFmtId="2" fontId="23" fillId="0" borderId="5" xfId="11" applyNumberFormat="1" applyFont="1" applyBorder="1" applyAlignment="1">
      <alignment horizontal="right"/>
    </xf>
    <xf numFmtId="10" fontId="23" fillId="0" borderId="0" xfId="11" applyNumberFormat="1" applyFont="1"/>
    <xf numFmtId="2" fontId="4" fillId="0" borderId="5" xfId="11" applyNumberFormat="1" applyFont="1" applyBorder="1"/>
    <xf numFmtId="0" fontId="66" fillId="0" borderId="0" xfId="11" applyFont="1"/>
    <xf numFmtId="0" fontId="67" fillId="0" borderId="0" xfId="11" applyFont="1"/>
    <xf numFmtId="0" fontId="68" fillId="0" borderId="0" xfId="11" applyFont="1"/>
    <xf numFmtId="2" fontId="22" fillId="0" borderId="5" xfId="11" applyNumberFormat="1" applyFont="1" applyBorder="1" applyAlignment="1">
      <alignment horizontal="right"/>
    </xf>
    <xf numFmtId="10" fontId="22" fillId="0" borderId="5" xfId="11" applyNumberFormat="1" applyFont="1" applyBorder="1" applyAlignment="1">
      <alignment horizontal="right"/>
    </xf>
    <xf numFmtId="10" fontId="22" fillId="0" borderId="5" xfId="14" applyNumberFormat="1" applyFont="1" applyFill="1" applyBorder="1" applyAlignment="1">
      <alignment horizontal="right"/>
    </xf>
    <xf numFmtId="2" fontId="22" fillId="0" borderId="5" xfId="12" applyNumberFormat="1" applyFont="1" applyFill="1" applyBorder="1" applyAlignment="1">
      <alignment horizontal="right"/>
    </xf>
    <xf numFmtId="0" fontId="69" fillId="0" borderId="0" xfId="11" applyFont="1"/>
    <xf numFmtId="0" fontId="23" fillId="0" borderId="0" xfId="11" applyFont="1" applyAlignment="1">
      <alignment horizontal="right"/>
    </xf>
    <xf numFmtId="0" fontId="70" fillId="0" borderId="0" xfId="11" applyFont="1"/>
    <xf numFmtId="0" fontId="71" fillId="0" borderId="0" xfId="11" applyFont="1"/>
    <xf numFmtId="0" fontId="71" fillId="0" borderId="0" xfId="11" applyFont="1" applyAlignment="1">
      <alignment horizontal="center"/>
    </xf>
    <xf numFmtId="14" fontId="70" fillId="0" borderId="0" xfId="11" applyNumberFormat="1" applyFont="1"/>
    <xf numFmtId="10" fontId="70" fillId="0" borderId="0" xfId="11" applyNumberFormat="1" applyFont="1"/>
    <xf numFmtId="10" fontId="8" fillId="0" borderId="0" xfId="11" applyNumberFormat="1" applyFont="1"/>
    <xf numFmtId="0" fontId="72" fillId="0" borderId="0" xfId="11" applyFont="1"/>
    <xf numFmtId="0" fontId="8" fillId="0" borderId="0" xfId="11" applyFont="1"/>
    <xf numFmtId="14" fontId="8" fillId="0" borderId="0" xfId="11" applyNumberFormat="1" applyFont="1"/>
    <xf numFmtId="0" fontId="11" fillId="0" borderId="0" xfId="11" applyFont="1"/>
    <xf numFmtId="178" fontId="11" fillId="0" borderId="0" xfId="11" applyNumberFormat="1" applyFont="1"/>
    <xf numFmtId="0" fontId="4" fillId="0" borderId="10" xfId="0" applyFont="1" applyBorder="1" applyAlignment="1">
      <alignment horizontal="center"/>
    </xf>
    <xf numFmtId="190" fontId="23" fillId="0" borderId="5" xfId="13" applyNumberFormat="1" applyFont="1" applyBorder="1"/>
    <xf numFmtId="1" fontId="4" fillId="0" borderId="14" xfId="11" applyNumberFormat="1" applyFont="1" applyBorder="1" applyAlignment="1">
      <alignment horizontal="right"/>
    </xf>
    <xf numFmtId="9" fontId="17" fillId="0" borderId="0" xfId="0" applyNumberFormat="1" applyFont="1"/>
    <xf numFmtId="187" fontId="54" fillId="0" borderId="0" xfId="0" applyNumberFormat="1" applyFont="1"/>
    <xf numFmtId="174" fontId="17" fillId="0" borderId="0" xfId="0" applyNumberFormat="1" applyFont="1"/>
    <xf numFmtId="187" fontId="54" fillId="0" borderId="0" xfId="0" applyNumberFormat="1" applyFont="1" applyAlignment="1">
      <alignment horizontal="center"/>
    </xf>
    <xf numFmtId="3" fontId="5" fillId="0" borderId="15" xfId="0" applyNumberFormat="1" applyFont="1" applyBorder="1"/>
    <xf numFmtId="0" fontId="6" fillId="0" borderId="11" xfId="0" applyFont="1" applyBorder="1"/>
    <xf numFmtId="165" fontId="6" fillId="0" borderId="11" xfId="1" applyNumberFormat="1" applyFont="1" applyFill="1" applyBorder="1"/>
    <xf numFmtId="165" fontId="5" fillId="2" borderId="3" xfId="0" applyNumberFormat="1" applyFont="1" applyFill="1" applyBorder="1"/>
    <xf numFmtId="165" fontId="5" fillId="2" borderId="1" xfId="0" applyNumberFormat="1" applyFont="1" applyFill="1" applyBorder="1"/>
    <xf numFmtId="0" fontId="5" fillId="2" borderId="1" xfId="0" applyFont="1" applyFill="1" applyBorder="1"/>
    <xf numFmtId="192" fontId="5" fillId="2" borderId="1" xfId="0" applyNumberFormat="1" applyFont="1" applyFill="1" applyBorder="1"/>
    <xf numFmtId="191" fontId="5" fillId="2" borderId="1" xfId="0" applyNumberFormat="1" applyFont="1" applyFill="1" applyBorder="1"/>
    <xf numFmtId="0" fontId="23" fillId="0" borderId="15" xfId="0" applyFont="1" applyBorder="1"/>
    <xf numFmtId="0" fontId="67" fillId="0" borderId="11" xfId="0" applyFont="1" applyBorder="1"/>
    <xf numFmtId="0" fontId="4" fillId="0" borderId="0" xfId="0" applyFont="1"/>
    <xf numFmtId="0" fontId="73" fillId="8" borderId="0" xfId="0" applyFont="1" applyFill="1" applyAlignment="1">
      <alignment horizontal="right" vertical="center"/>
    </xf>
    <xf numFmtId="0" fontId="23" fillId="2" borderId="3" xfId="0" applyFont="1" applyFill="1" applyBorder="1"/>
    <xf numFmtId="0" fontId="23" fillId="2" borderId="1" xfId="0" applyFont="1" applyFill="1" applyBorder="1"/>
    <xf numFmtId="0" fontId="38" fillId="9" borderId="0" xfId="0" applyFont="1" applyFill="1" applyAlignment="1">
      <alignment horizontal="right" vertical="center" wrapText="1"/>
    </xf>
    <xf numFmtId="191" fontId="5" fillId="2" borderId="1" xfId="0" applyNumberFormat="1" applyFont="1" applyFill="1" applyBorder="1" applyAlignment="1">
      <alignment horizontal="center"/>
    </xf>
    <xf numFmtId="0" fontId="74" fillId="0" borderId="0" xfId="0" applyFont="1"/>
    <xf numFmtId="0" fontId="0" fillId="2" borderId="16" xfId="0" applyFill="1" applyBorder="1"/>
    <xf numFmtId="0" fontId="0" fillId="2" borderId="17" xfId="0" applyFill="1" applyBorder="1"/>
    <xf numFmtId="0" fontId="0" fillId="2" borderId="18" xfId="0" applyFill="1" applyBorder="1"/>
    <xf numFmtId="0" fontId="5" fillId="0" borderId="19" xfId="0" applyFont="1" applyBorder="1" applyAlignment="1">
      <alignment horizontal="left" vertical="center"/>
    </xf>
    <xf numFmtId="0" fontId="0" fillId="0" borderId="19" xfId="0" applyBorder="1"/>
    <xf numFmtId="0" fontId="5" fillId="0" borderId="17" xfId="0" applyFont="1" applyBorder="1" applyAlignment="1">
      <alignment horizontal="left" vertical="center"/>
    </xf>
    <xf numFmtId="0" fontId="0" fillId="0" borderId="17" xfId="0" applyBorder="1"/>
    <xf numFmtId="0" fontId="5" fillId="0" borderId="20" xfId="0" applyFont="1" applyBorder="1" applyAlignment="1">
      <alignment horizontal="left" vertical="center"/>
    </xf>
    <xf numFmtId="0" fontId="0" fillId="0" borderId="20" xfId="0" applyBorder="1"/>
    <xf numFmtId="0" fontId="5" fillId="0" borderId="21" xfId="0" applyFont="1" applyBorder="1" applyAlignment="1">
      <alignment horizontal="center" vertical="center"/>
    </xf>
    <xf numFmtId="3" fontId="5" fillId="0" borderId="4" xfId="0" applyNumberFormat="1" applyFont="1" applyBorder="1" applyAlignment="1">
      <alignment horizontal="center" vertical="center"/>
    </xf>
    <xf numFmtId="0" fontId="5" fillId="0" borderId="4" xfId="0" applyFont="1" applyBorder="1" applyAlignment="1">
      <alignment horizontal="center" vertical="center"/>
    </xf>
    <xf numFmtId="0" fontId="0" fillId="0" borderId="22" xfId="0" applyBorder="1" applyAlignment="1">
      <alignment wrapText="1"/>
    </xf>
    <xf numFmtId="3" fontId="0" fillId="0" borderId="4" xfId="0" applyNumberFormat="1" applyBorder="1"/>
    <xf numFmtId="165" fontId="0" fillId="0" borderId="19" xfId="1" applyNumberFormat="1" applyFont="1" applyBorder="1"/>
    <xf numFmtId="0" fontId="19" fillId="0" borderId="19" xfId="0" applyFont="1" applyBorder="1"/>
    <xf numFmtId="3" fontId="19" fillId="0" borderId="19" xfId="0" applyNumberFormat="1" applyFont="1" applyBorder="1"/>
    <xf numFmtId="165" fontId="19" fillId="0" borderId="19" xfId="1" applyNumberFormat="1" applyFont="1" applyBorder="1"/>
    <xf numFmtId="0" fontId="19" fillId="0" borderId="17" xfId="0" applyFont="1" applyBorder="1"/>
    <xf numFmtId="3" fontId="19" fillId="0" borderId="17" xfId="0" applyNumberFormat="1" applyFont="1" applyBorder="1"/>
    <xf numFmtId="0" fontId="19" fillId="0" borderId="20" xfId="0" applyFont="1" applyBorder="1"/>
    <xf numFmtId="3" fontId="19" fillId="0" borderId="20" xfId="0" applyNumberFormat="1" applyFont="1" applyBorder="1"/>
    <xf numFmtId="165" fontId="0" fillId="0" borderId="0" xfId="1" applyNumberFormat="1" applyFont="1" applyFill="1"/>
    <xf numFmtId="165" fontId="0" fillId="0" borderId="17" xfId="1" applyNumberFormat="1" applyFont="1" applyBorder="1"/>
    <xf numFmtId="165" fontId="0" fillId="0" borderId="20" xfId="1" applyNumberFormat="1" applyFont="1" applyBorder="1"/>
    <xf numFmtId="165" fontId="19" fillId="0" borderId="17" xfId="1" applyNumberFormat="1" applyFont="1" applyBorder="1"/>
    <xf numFmtId="165" fontId="19" fillId="0" borderId="20" xfId="1" applyNumberFormat="1" applyFont="1" applyBorder="1"/>
    <xf numFmtId="174" fontId="0" fillId="0" borderId="12" xfId="0" applyNumberFormat="1" applyBorder="1"/>
    <xf numFmtId="174" fontId="0" fillId="0" borderId="4" xfId="0" applyNumberFormat="1" applyBorder="1"/>
    <xf numFmtId="174" fontId="0" fillId="0" borderId="13" xfId="0" applyNumberFormat="1" applyBorder="1"/>
    <xf numFmtId="174" fontId="5" fillId="2" borderId="4" xfId="0" applyNumberFormat="1" applyFont="1" applyFill="1" applyBorder="1"/>
    <xf numFmtId="0" fontId="0" fillId="2" borderId="24" xfId="0" applyFill="1" applyBorder="1" applyAlignment="1">
      <alignment horizontal="left" vertical="center"/>
    </xf>
    <xf numFmtId="0" fontId="0" fillId="2" borderId="24" xfId="0" applyFill="1" applyBorder="1"/>
    <xf numFmtId="0" fontId="0" fillId="2" borderId="4" xfId="0" applyFill="1" applyBorder="1" applyAlignment="1">
      <alignment horizontal="left" vertical="center"/>
    </xf>
    <xf numFmtId="0" fontId="0" fillId="2" borderId="4" xfId="0" applyFill="1" applyBorder="1"/>
    <xf numFmtId="0" fontId="5" fillId="2" borderId="4" xfId="0" applyFont="1" applyFill="1" applyBorder="1" applyAlignment="1">
      <alignment horizontal="left" vertical="center"/>
    </xf>
    <xf numFmtId="0" fontId="5" fillId="2" borderId="4" xfId="0" applyFont="1" applyFill="1" applyBorder="1"/>
    <xf numFmtId="0" fontId="0" fillId="2" borderId="25" xfId="0" applyFill="1" applyBorder="1" applyAlignment="1">
      <alignment horizontal="left" vertical="center"/>
    </xf>
    <xf numFmtId="0" fontId="0" fillId="2" borderId="25" xfId="0" applyFill="1" applyBorder="1"/>
    <xf numFmtId="174" fontId="0" fillId="2" borderId="4" xfId="0" applyNumberFormat="1" applyFill="1" applyBorder="1"/>
    <xf numFmtId="3" fontId="22" fillId="2" borderId="0" xfId="0" applyNumberFormat="1" applyFont="1" applyFill="1"/>
    <xf numFmtId="3" fontId="20" fillId="2" borderId="0" xfId="0" applyNumberFormat="1" applyFont="1" applyFill="1"/>
    <xf numFmtId="165" fontId="5" fillId="2" borderId="0" xfId="1" applyNumberFormat="1" applyFont="1" applyFill="1" applyBorder="1"/>
    <xf numFmtId="174" fontId="0" fillId="0" borderId="0" xfId="0" applyNumberFormat="1" applyAlignment="1">
      <alignment horizontal="right"/>
    </xf>
    <xf numFmtId="0" fontId="5" fillId="0" borderId="23" xfId="0" applyFont="1" applyBorder="1"/>
    <xf numFmtId="3" fontId="5" fillId="0" borderId="23" xfId="0" applyNumberFormat="1" applyFont="1" applyBorder="1"/>
    <xf numFmtId="0" fontId="75" fillId="0" borderId="0" xfId="0" applyFont="1" applyAlignment="1">
      <alignment wrapText="1"/>
    </xf>
    <xf numFmtId="4" fontId="0" fillId="0" borderId="0" xfId="0" applyNumberFormat="1"/>
    <xf numFmtId="14" fontId="0" fillId="0" borderId="0" xfId="0" applyNumberFormat="1"/>
    <xf numFmtId="17" fontId="0" fillId="0" borderId="0" xfId="0" applyNumberFormat="1"/>
    <xf numFmtId="17" fontId="5" fillId="0" borderId="0" xfId="0" applyNumberFormat="1" applyFont="1"/>
    <xf numFmtId="4" fontId="5" fillId="0" borderId="0" xfId="0" applyNumberFormat="1" applyFont="1"/>
    <xf numFmtId="0" fontId="5" fillId="0" borderId="0" xfId="0" applyFont="1" applyAlignment="1">
      <alignment horizontal="left" vertical="top" wrapText="1"/>
    </xf>
    <xf numFmtId="0" fontId="77" fillId="0" borderId="0" xfId="7" applyFont="1"/>
    <xf numFmtId="193" fontId="0" fillId="0" borderId="0" xfId="0" applyNumberFormat="1"/>
    <xf numFmtId="192" fontId="0" fillId="0" borderId="0" xfId="0" applyNumberFormat="1"/>
    <xf numFmtId="165" fontId="23" fillId="0" borderId="0" xfId="1" applyNumberFormat="1" applyFont="1" applyBorder="1"/>
    <xf numFmtId="194" fontId="0" fillId="0" borderId="0" xfId="0" applyNumberFormat="1"/>
    <xf numFmtId="192" fontId="5" fillId="0" borderId="0" xfId="0" applyNumberFormat="1" applyFont="1"/>
    <xf numFmtId="193" fontId="5" fillId="0" borderId="0" xfId="0" applyNumberFormat="1" applyFont="1"/>
    <xf numFmtId="165" fontId="8" fillId="0" borderId="0" xfId="3" applyNumberFormat="1" applyFont="1"/>
    <xf numFmtId="0" fontId="16" fillId="6" borderId="0" xfId="0" applyFont="1" applyFill="1"/>
    <xf numFmtId="0" fontId="0" fillId="6" borderId="0" xfId="0" applyFill="1"/>
    <xf numFmtId="1" fontId="0" fillId="0" borderId="0" xfId="0" applyNumberFormat="1" applyAlignment="1">
      <alignment horizontal="center"/>
    </xf>
    <xf numFmtId="9" fontId="25" fillId="0" borderId="0" xfId="1" applyFont="1" applyFill="1" applyAlignment="1">
      <alignment horizontal="center" vertical="center"/>
    </xf>
    <xf numFmtId="9" fontId="25" fillId="0" borderId="0" xfId="1" applyFont="1" applyFill="1" applyAlignment="1">
      <alignment horizontal="center"/>
    </xf>
    <xf numFmtId="179" fontId="25" fillId="0" borderId="0" xfId="1" applyNumberFormat="1" applyFont="1" applyFill="1" applyAlignment="1">
      <alignment horizontal="center"/>
    </xf>
    <xf numFmtId="0" fontId="7" fillId="6" borderId="0" xfId="0" applyFont="1" applyFill="1" applyAlignment="1">
      <alignment horizontal="left"/>
    </xf>
    <xf numFmtId="0" fontId="0" fillId="0" borderId="0" xfId="0" quotePrefix="1"/>
    <xf numFmtId="0" fontId="7" fillId="6" borderId="0" xfId="0" applyFont="1" applyFill="1" applyAlignment="1">
      <alignment horizontal="center" vertical="center"/>
    </xf>
    <xf numFmtId="0" fontId="0" fillId="0" borderId="24" xfId="0" applyBorder="1"/>
    <xf numFmtId="0" fontId="51" fillId="0" borderId="24" xfId="0" applyFont="1" applyBorder="1" applyAlignment="1">
      <alignment horizontal="left"/>
    </xf>
    <xf numFmtId="10" fontId="51" fillId="0" borderId="4" xfId="1" applyNumberFormat="1" applyFont="1" applyFill="1" applyBorder="1" applyAlignment="1">
      <alignment horizontal="left"/>
    </xf>
    <xf numFmtId="10" fontId="51" fillId="0" borderId="4" xfId="0" applyNumberFormat="1" applyFont="1" applyBorder="1" applyAlignment="1">
      <alignment horizontal="left"/>
    </xf>
    <xf numFmtId="2" fontId="51" fillId="0" borderId="4" xfId="0" applyNumberFormat="1" applyFont="1" applyBorder="1" applyAlignment="1">
      <alignment horizontal="left"/>
    </xf>
    <xf numFmtId="165" fontId="51" fillId="0" borderId="4" xfId="1" applyNumberFormat="1" applyFont="1" applyFill="1" applyBorder="1" applyAlignment="1">
      <alignment horizontal="left"/>
    </xf>
    <xf numFmtId="9" fontId="51" fillId="0" borderId="4" xfId="0" applyNumberFormat="1" applyFont="1" applyBorder="1" applyAlignment="1">
      <alignment horizontal="left"/>
    </xf>
    <xf numFmtId="0" fontId="51" fillId="0" borderId="4" xfId="0" applyFont="1" applyBorder="1" applyAlignment="1">
      <alignment horizontal="left"/>
    </xf>
    <xf numFmtId="178" fontId="51" fillId="0" borderId="4" xfId="1" applyNumberFormat="1" applyFont="1" applyFill="1" applyBorder="1" applyAlignment="1">
      <alignment horizontal="left"/>
    </xf>
    <xf numFmtId="0" fontId="0" fillId="0" borderId="25" xfId="0" applyBorder="1"/>
    <xf numFmtId="0" fontId="51" fillId="0" borderId="25" xfId="0" applyFont="1" applyBorder="1" applyAlignment="1">
      <alignment horizontal="left"/>
    </xf>
    <xf numFmtId="0" fontId="59" fillId="6" borderId="0" xfId="0" applyFont="1" applyFill="1"/>
    <xf numFmtId="0" fontId="59" fillId="6" borderId="0" xfId="0" applyFont="1" applyFill="1" applyAlignment="1">
      <alignment horizontal="center"/>
    </xf>
    <xf numFmtId="0" fontId="6" fillId="0" borderId="0" xfId="0" applyFont="1" applyAlignment="1">
      <alignment wrapText="1"/>
    </xf>
    <xf numFmtId="0" fontId="59" fillId="6" borderId="0" xfId="0" applyFont="1" applyFill="1" applyAlignment="1">
      <alignment horizontal="center" vertical="center"/>
    </xf>
    <xf numFmtId="0" fontId="59" fillId="6" borderId="0" xfId="0" applyFont="1" applyFill="1" applyAlignment="1">
      <alignment horizontal="center" vertical="center" wrapText="1"/>
    </xf>
    <xf numFmtId="3" fontId="5" fillId="0" borderId="0" xfId="0" applyNumberFormat="1" applyFont="1"/>
    <xf numFmtId="173" fontId="5" fillId="0" borderId="0" xfId="0" applyNumberFormat="1" applyFont="1"/>
    <xf numFmtId="0" fontId="21" fillId="0" borderId="0" xfId="0" applyFont="1" applyAlignment="1">
      <alignment horizontal="left"/>
    </xf>
    <xf numFmtId="176" fontId="5" fillId="0" borderId="3" xfId="0" applyNumberFormat="1" applyFont="1" applyBorder="1"/>
    <xf numFmtId="164" fontId="0" fillId="0" borderId="0" xfId="0" applyNumberFormat="1" applyAlignment="1">
      <alignment horizontal="center"/>
    </xf>
    <xf numFmtId="0" fontId="78" fillId="6" borderId="0" xfId="0" applyFont="1" applyFill="1" applyAlignment="1">
      <alignment horizontal="center" wrapText="1"/>
    </xf>
    <xf numFmtId="0" fontId="79" fillId="0" borderId="0" xfId="0" applyFont="1"/>
    <xf numFmtId="180" fontId="16" fillId="6" borderId="0" xfId="0" applyNumberFormat="1" applyFont="1" applyFill="1"/>
    <xf numFmtId="180" fontId="0" fillId="6" borderId="0" xfId="0" applyNumberFormat="1" applyFill="1"/>
    <xf numFmtId="192" fontId="7" fillId="6" borderId="0" xfId="0" applyNumberFormat="1" applyFont="1" applyFill="1" applyAlignment="1">
      <alignment horizontal="center"/>
    </xf>
    <xf numFmtId="191" fontId="7" fillId="6" borderId="0" xfId="0" applyNumberFormat="1" applyFont="1" applyFill="1" applyAlignment="1">
      <alignment horizontal="center"/>
    </xf>
    <xf numFmtId="192" fontId="7" fillId="6" borderId="0" xfId="0" applyNumberFormat="1" applyFont="1" applyFill="1" applyAlignment="1">
      <alignment horizontal="center" vertical="center"/>
    </xf>
    <xf numFmtId="191" fontId="7" fillId="6" borderId="0" xfId="0" applyNumberFormat="1" applyFont="1" applyFill="1" applyAlignment="1">
      <alignment horizontal="center" vertical="center"/>
    </xf>
    <xf numFmtId="0" fontId="7" fillId="13" borderId="0" xfId="0" applyFont="1" applyFill="1"/>
    <xf numFmtId="0" fontId="0" fillId="0" borderId="5" xfId="0" applyBorder="1" applyAlignment="1">
      <alignment horizontal="center"/>
    </xf>
    <xf numFmtId="9" fontId="0" fillId="0" borderId="5" xfId="0" applyNumberFormat="1" applyBorder="1" applyAlignment="1">
      <alignment horizontal="center"/>
    </xf>
    <xf numFmtId="0" fontId="0" fillId="0" borderId="0" xfId="0" applyAlignment="1">
      <alignment horizontal="center"/>
    </xf>
    <xf numFmtId="0" fontId="5" fillId="0" borderId="0" xfId="0" applyFont="1" applyAlignment="1">
      <alignment horizontal="center" vertical="center" textRotation="90" wrapText="1"/>
    </xf>
    <xf numFmtId="0" fontId="0" fillId="0" borderId="0" xfId="0" applyAlignment="1">
      <alignment horizontal="right"/>
    </xf>
    <xf numFmtId="0" fontId="5" fillId="10" borderId="0" xfId="0" applyFont="1" applyFill="1" applyAlignment="1">
      <alignment horizontal="center"/>
    </xf>
    <xf numFmtId="0" fontId="7" fillId="6" borderId="0" xfId="0" applyFont="1" applyFill="1" applyAlignment="1">
      <alignment horizontal="center"/>
    </xf>
    <xf numFmtId="0" fontId="5" fillId="2" borderId="0" xfId="0" applyFont="1" applyFill="1" applyAlignment="1">
      <alignment horizontal="center"/>
    </xf>
    <xf numFmtId="0" fontId="16" fillId="6" borderId="0" xfId="0" applyFont="1" applyFill="1" applyAlignment="1">
      <alignment horizontal="center"/>
    </xf>
    <xf numFmtId="0" fontId="25" fillId="2" borderId="0" xfId="0" applyFont="1" applyFill="1" applyAlignment="1">
      <alignment horizontal="center"/>
    </xf>
    <xf numFmtId="0" fontId="5" fillId="0" borderId="0" xfId="0" applyFont="1" applyAlignment="1">
      <alignment horizontal="center"/>
    </xf>
    <xf numFmtId="0" fontId="0" fillId="0" borderId="0" xfId="0" applyAlignment="1">
      <alignment horizontal="left" vertical="top" wrapText="1"/>
    </xf>
    <xf numFmtId="0" fontId="57" fillId="0" borderId="8" xfId="8" applyFont="1" applyBorder="1" applyAlignment="1">
      <alignment horizontal="center"/>
    </xf>
    <xf numFmtId="0" fontId="57" fillId="0" borderId="7" xfId="8" applyFont="1" applyBorder="1" applyAlignment="1">
      <alignment horizontal="center"/>
    </xf>
    <xf numFmtId="0" fontId="0" fillId="0" borderId="0" xfId="0" applyProtection="1">
      <protection locked="0"/>
    </xf>
    <xf numFmtId="0" fontId="0" fillId="0" borderId="0" xfId="0" applyAlignment="1" applyProtection="1">
      <alignment horizontal="right"/>
      <protection locked="0"/>
    </xf>
    <xf numFmtId="0" fontId="5" fillId="0" borderId="0" xfId="0" applyFont="1" applyAlignment="1" applyProtection="1">
      <alignment horizontal="right"/>
      <protection locked="0"/>
    </xf>
    <xf numFmtId="0" fontId="17" fillId="0" borderId="5" xfId="0" applyFont="1" applyBorder="1" applyAlignment="1" applyProtection="1">
      <alignment horizontal="center"/>
      <protection locked="0"/>
    </xf>
    <xf numFmtId="0" fontId="0" fillId="2" borderId="0" xfId="0" applyFill="1" applyAlignment="1" applyProtection="1">
      <alignment horizontal="right"/>
      <protection locked="0"/>
    </xf>
    <xf numFmtId="0" fontId="23" fillId="0" borderId="0" xfId="11" applyFont="1" applyProtection="1">
      <protection locked="0"/>
    </xf>
  </cellXfs>
  <cellStyles count="15">
    <cellStyle name="Comma 2" xfId="13" xr:uid="{00000000-0005-0000-0000-000000000000}"/>
    <cellStyle name="Currency 2" xfId="9" xr:uid="{00000000-0005-0000-0000-000001000000}"/>
    <cellStyle name="Currency 3" xfId="12" xr:uid="{00000000-0005-0000-0000-000002000000}"/>
    <cellStyle name="Explanatory Text" xfId="5" builtinId="53"/>
    <cellStyle name="Hyperlink" xfId="4" builtinId="8"/>
    <cellStyle name="Hyperlink 2" xfId="7" xr:uid="{00000000-0005-0000-0000-000005000000}"/>
    <cellStyle name="Normal" xfId="0" builtinId="0"/>
    <cellStyle name="Normal 2" xfId="2" xr:uid="{00000000-0005-0000-0000-000007000000}"/>
    <cellStyle name="Normal 3" xfId="3" xr:uid="{00000000-0005-0000-0000-000008000000}"/>
    <cellStyle name="Normal 4" xfId="6" xr:uid="{00000000-0005-0000-0000-000009000000}"/>
    <cellStyle name="Normal 5" xfId="8" xr:uid="{00000000-0005-0000-0000-00000A000000}"/>
    <cellStyle name="Normal 6" xfId="11" xr:uid="{00000000-0005-0000-0000-00000B000000}"/>
    <cellStyle name="Percent" xfId="1" builtinId="5"/>
    <cellStyle name="Percent 2" xfId="10" xr:uid="{00000000-0005-0000-0000-00000D000000}"/>
    <cellStyle name="Percent 5" xfId="14" xr:uid="{00000000-0005-0000-0000-00000E000000}"/>
  </cellStyles>
  <dxfs count="0"/>
  <tableStyles count="0" defaultTableStyle="TableStyleMedium2" defaultPivotStyle="PivotStyleMedium9"/>
  <colors>
    <mruColors>
      <color rgb="FF2C338B"/>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Wise Breakup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5">
                  <a:shade val="47000"/>
                </a:schemeClr>
              </a:solidFill>
              <a:ln w="19050">
                <a:solidFill>
                  <a:schemeClr val="lt1"/>
                </a:solidFill>
              </a:ln>
              <a:effectLst/>
            </c:spPr>
            <c:extLst>
              <c:ext xmlns:c16="http://schemas.microsoft.com/office/drawing/2014/chart" uri="{C3380CC4-5D6E-409C-BE32-E72D297353CC}">
                <c16:uniqueId val="{00000001-537D-4D89-942C-6EBDD89BA4BC}"/>
              </c:ext>
            </c:extLst>
          </c:dPt>
          <c:dPt>
            <c:idx val="1"/>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3-537D-4D89-942C-6EBDD89BA4BC}"/>
              </c:ext>
            </c:extLst>
          </c:dPt>
          <c:dPt>
            <c:idx val="2"/>
            <c:bubble3D val="0"/>
            <c:spPr>
              <a:solidFill>
                <a:schemeClr val="accent5">
                  <a:shade val="82000"/>
                </a:schemeClr>
              </a:solidFill>
              <a:ln w="19050">
                <a:solidFill>
                  <a:schemeClr val="lt1"/>
                </a:solidFill>
              </a:ln>
              <a:effectLst/>
            </c:spPr>
            <c:extLst>
              <c:ext xmlns:c16="http://schemas.microsoft.com/office/drawing/2014/chart" uri="{C3380CC4-5D6E-409C-BE32-E72D297353CC}">
                <c16:uniqueId val="{00000005-537D-4D89-942C-6EBDD89BA4BC}"/>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537D-4D89-942C-6EBDD89BA4BC}"/>
              </c:ext>
            </c:extLst>
          </c:dPt>
          <c:dPt>
            <c:idx val="4"/>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09-537D-4D89-942C-6EBDD89BA4BC}"/>
              </c:ext>
            </c:extLst>
          </c:dPt>
          <c:dPt>
            <c:idx val="5"/>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B-537D-4D89-942C-6EBDD89BA4BC}"/>
              </c:ext>
            </c:extLst>
          </c:dPt>
          <c:dPt>
            <c:idx val="6"/>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0D-537D-4D89-942C-6EBDD89BA4BC}"/>
              </c:ext>
            </c:extLst>
          </c:dPt>
          <c:dLbls>
            <c:dLbl>
              <c:idx val="0"/>
              <c:layout>
                <c:manualLayout>
                  <c:x val="3.611111111111110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7D-4D89-942C-6EBDD89BA4BC}"/>
                </c:ext>
              </c:extLst>
            </c:dLbl>
            <c:dLbl>
              <c:idx val="1"/>
              <c:layout>
                <c:manualLayout>
                  <c:x val="4.722222222222211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7D-4D89-942C-6EBDD89BA4BC}"/>
                </c:ext>
              </c:extLst>
            </c:dLbl>
            <c:dLbl>
              <c:idx val="2"/>
              <c:layout>
                <c:manualLayout>
                  <c:x val="3.3333333333333229E-2"/>
                  <c:y val="3.7037037037036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7D-4D89-942C-6EBDD89BA4BC}"/>
                </c:ext>
              </c:extLst>
            </c:dLbl>
            <c:dLbl>
              <c:idx val="3"/>
              <c:layout>
                <c:manualLayout>
                  <c:x val="2.7777777777777779E-3"/>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37D-4D89-942C-6EBDD89BA4BC}"/>
                </c:ext>
              </c:extLst>
            </c:dLbl>
            <c:dLbl>
              <c:idx val="4"/>
              <c:layout>
                <c:manualLayout>
                  <c:x val="-1.6666666666666718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37D-4D89-942C-6EBDD89BA4BC}"/>
                </c:ext>
              </c:extLst>
            </c:dLbl>
            <c:dLbl>
              <c:idx val="5"/>
              <c:layout>
                <c:manualLayout>
                  <c:x val="-3.6111111111111108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37D-4D89-942C-6EBDD89BA4BC}"/>
                </c:ext>
              </c:extLst>
            </c:dLbl>
            <c:dLbl>
              <c:idx val="6"/>
              <c:layout>
                <c:manualLayout>
                  <c:x val="-0.05"/>
                  <c:y val="-1.8518518518518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37D-4D89-942C-6EBDD89BA4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Report!$C$39:$C$45</c:f>
              <c:strCache>
                <c:ptCount val="7"/>
                <c:pt idx="0">
                  <c:v>Anti-infectives</c:v>
                </c:pt>
                <c:pt idx="1">
                  <c:v>Cardiovascular</c:v>
                </c:pt>
                <c:pt idx="2">
                  <c:v>Gynaecology</c:v>
                </c:pt>
                <c:pt idx="3">
                  <c:v>Gasto-Intestinal</c:v>
                </c:pt>
                <c:pt idx="4">
                  <c:v>Respiratory</c:v>
                </c:pt>
                <c:pt idx="5">
                  <c:v>Anti- Diabetic</c:v>
                </c:pt>
                <c:pt idx="6">
                  <c:v>Others</c:v>
                </c:pt>
              </c:strCache>
            </c:strRef>
          </c:cat>
          <c:val>
            <c:numRef>
              <c:f>Report!$D$39:$D$45</c:f>
              <c:numCache>
                <c:formatCode>0%</c:formatCode>
                <c:ptCount val="7"/>
                <c:pt idx="0">
                  <c:v>0.16</c:v>
                </c:pt>
                <c:pt idx="1">
                  <c:v>0.13</c:v>
                </c:pt>
                <c:pt idx="2">
                  <c:v>0.13</c:v>
                </c:pt>
                <c:pt idx="3">
                  <c:v>0.11</c:v>
                </c:pt>
                <c:pt idx="4">
                  <c:v>0.08</c:v>
                </c:pt>
                <c:pt idx="5">
                  <c:v>0.08</c:v>
                </c:pt>
                <c:pt idx="6">
                  <c:v>0.31000000000000005</c:v>
                </c:pt>
              </c:numCache>
            </c:numRef>
          </c:val>
          <c:extLst>
            <c:ext xmlns:c16="http://schemas.microsoft.com/office/drawing/2014/chart" uri="{C3380CC4-5D6E-409C-BE32-E72D297353CC}">
              <c16:uniqueId val="{0000000E-537D-4D89-942C-6EBDD89BA4B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Report!$X$16:$X$266</c:f>
              <c:numCache>
                <c:formatCode>mmm\-yy</c:formatCode>
                <c:ptCount val="251"/>
                <c:pt idx="0">
                  <c:v>45891</c:v>
                </c:pt>
                <c:pt idx="1">
                  <c:v>45890</c:v>
                </c:pt>
                <c:pt idx="2">
                  <c:v>45889</c:v>
                </c:pt>
                <c:pt idx="3">
                  <c:v>45888</c:v>
                </c:pt>
                <c:pt idx="4">
                  <c:v>45887</c:v>
                </c:pt>
                <c:pt idx="5">
                  <c:v>45883</c:v>
                </c:pt>
                <c:pt idx="6">
                  <c:v>45882</c:v>
                </c:pt>
                <c:pt idx="7">
                  <c:v>45881</c:v>
                </c:pt>
                <c:pt idx="8">
                  <c:v>45880</c:v>
                </c:pt>
                <c:pt idx="9">
                  <c:v>45877</c:v>
                </c:pt>
                <c:pt idx="10">
                  <c:v>45876</c:v>
                </c:pt>
                <c:pt idx="11">
                  <c:v>45875</c:v>
                </c:pt>
                <c:pt idx="12">
                  <c:v>45874</c:v>
                </c:pt>
                <c:pt idx="13">
                  <c:v>45873</c:v>
                </c:pt>
                <c:pt idx="14">
                  <c:v>45870</c:v>
                </c:pt>
                <c:pt idx="15">
                  <c:v>45869</c:v>
                </c:pt>
                <c:pt idx="16">
                  <c:v>45868</c:v>
                </c:pt>
                <c:pt idx="17">
                  <c:v>45867</c:v>
                </c:pt>
                <c:pt idx="18">
                  <c:v>45866</c:v>
                </c:pt>
                <c:pt idx="19">
                  <c:v>45863</c:v>
                </c:pt>
                <c:pt idx="20">
                  <c:v>45862</c:v>
                </c:pt>
                <c:pt idx="21">
                  <c:v>45861</c:v>
                </c:pt>
                <c:pt idx="22">
                  <c:v>45860</c:v>
                </c:pt>
                <c:pt idx="23">
                  <c:v>45859</c:v>
                </c:pt>
                <c:pt idx="24">
                  <c:v>45856</c:v>
                </c:pt>
                <c:pt idx="25">
                  <c:v>45855</c:v>
                </c:pt>
                <c:pt idx="26">
                  <c:v>45854</c:v>
                </c:pt>
                <c:pt idx="27">
                  <c:v>45853</c:v>
                </c:pt>
                <c:pt idx="28">
                  <c:v>45852</c:v>
                </c:pt>
                <c:pt idx="29">
                  <c:v>45849</c:v>
                </c:pt>
                <c:pt idx="30">
                  <c:v>45848</c:v>
                </c:pt>
                <c:pt idx="31">
                  <c:v>45847</c:v>
                </c:pt>
                <c:pt idx="32">
                  <c:v>45846</c:v>
                </c:pt>
                <c:pt idx="33">
                  <c:v>45845</c:v>
                </c:pt>
                <c:pt idx="34">
                  <c:v>45842</c:v>
                </c:pt>
                <c:pt idx="35">
                  <c:v>45841</c:v>
                </c:pt>
                <c:pt idx="36">
                  <c:v>45840</c:v>
                </c:pt>
                <c:pt idx="37">
                  <c:v>45839</c:v>
                </c:pt>
                <c:pt idx="38">
                  <c:v>45838</c:v>
                </c:pt>
                <c:pt idx="39">
                  <c:v>45835</c:v>
                </c:pt>
                <c:pt idx="40">
                  <c:v>45834</c:v>
                </c:pt>
                <c:pt idx="41">
                  <c:v>45833</c:v>
                </c:pt>
                <c:pt idx="42">
                  <c:v>45832</c:v>
                </c:pt>
                <c:pt idx="43">
                  <c:v>45831</c:v>
                </c:pt>
                <c:pt idx="44">
                  <c:v>45828</c:v>
                </c:pt>
                <c:pt idx="45">
                  <c:v>45827</c:v>
                </c:pt>
                <c:pt idx="46">
                  <c:v>45826</c:v>
                </c:pt>
                <c:pt idx="47">
                  <c:v>45825</c:v>
                </c:pt>
                <c:pt idx="48">
                  <c:v>45824</c:v>
                </c:pt>
                <c:pt idx="49">
                  <c:v>45821</c:v>
                </c:pt>
                <c:pt idx="50">
                  <c:v>45820</c:v>
                </c:pt>
                <c:pt idx="51">
                  <c:v>45819</c:v>
                </c:pt>
                <c:pt idx="52">
                  <c:v>45818</c:v>
                </c:pt>
                <c:pt idx="53">
                  <c:v>45817</c:v>
                </c:pt>
                <c:pt idx="54">
                  <c:v>45814</c:v>
                </c:pt>
                <c:pt idx="55">
                  <c:v>45813</c:v>
                </c:pt>
                <c:pt idx="56">
                  <c:v>45812</c:v>
                </c:pt>
                <c:pt idx="57">
                  <c:v>45811</c:v>
                </c:pt>
                <c:pt idx="58">
                  <c:v>45810</c:v>
                </c:pt>
                <c:pt idx="59">
                  <c:v>45807</c:v>
                </c:pt>
                <c:pt idx="60">
                  <c:v>45806</c:v>
                </c:pt>
                <c:pt idx="61">
                  <c:v>45805</c:v>
                </c:pt>
                <c:pt idx="62">
                  <c:v>45804</c:v>
                </c:pt>
                <c:pt idx="63">
                  <c:v>45803</c:v>
                </c:pt>
                <c:pt idx="64">
                  <c:v>45800</c:v>
                </c:pt>
                <c:pt idx="65">
                  <c:v>45799</c:v>
                </c:pt>
                <c:pt idx="66">
                  <c:v>45798</c:v>
                </c:pt>
                <c:pt idx="67">
                  <c:v>45797</c:v>
                </c:pt>
                <c:pt idx="68">
                  <c:v>45796</c:v>
                </c:pt>
                <c:pt idx="69">
                  <c:v>45793</c:v>
                </c:pt>
                <c:pt idx="70">
                  <c:v>45792</c:v>
                </c:pt>
                <c:pt idx="71">
                  <c:v>45791</c:v>
                </c:pt>
                <c:pt idx="72">
                  <c:v>45790</c:v>
                </c:pt>
                <c:pt idx="73">
                  <c:v>45789</c:v>
                </c:pt>
                <c:pt idx="74">
                  <c:v>45786</c:v>
                </c:pt>
                <c:pt idx="75">
                  <c:v>45785</c:v>
                </c:pt>
                <c:pt idx="76">
                  <c:v>45784</c:v>
                </c:pt>
                <c:pt idx="77">
                  <c:v>45783</c:v>
                </c:pt>
                <c:pt idx="78">
                  <c:v>45782</c:v>
                </c:pt>
                <c:pt idx="79">
                  <c:v>45779</c:v>
                </c:pt>
                <c:pt idx="80">
                  <c:v>45777</c:v>
                </c:pt>
                <c:pt idx="81">
                  <c:v>45776</c:v>
                </c:pt>
                <c:pt idx="82">
                  <c:v>45775</c:v>
                </c:pt>
                <c:pt idx="83">
                  <c:v>45772</c:v>
                </c:pt>
                <c:pt idx="84">
                  <c:v>45771</c:v>
                </c:pt>
                <c:pt idx="85">
                  <c:v>45770</c:v>
                </c:pt>
                <c:pt idx="86">
                  <c:v>45769</c:v>
                </c:pt>
                <c:pt idx="87">
                  <c:v>45768</c:v>
                </c:pt>
                <c:pt idx="88">
                  <c:v>45764</c:v>
                </c:pt>
                <c:pt idx="89">
                  <c:v>45763</c:v>
                </c:pt>
                <c:pt idx="90">
                  <c:v>45762</c:v>
                </c:pt>
                <c:pt idx="91">
                  <c:v>45758</c:v>
                </c:pt>
                <c:pt idx="92">
                  <c:v>45756</c:v>
                </c:pt>
                <c:pt idx="93">
                  <c:v>45755</c:v>
                </c:pt>
                <c:pt idx="94">
                  <c:v>45754</c:v>
                </c:pt>
                <c:pt idx="95">
                  <c:v>45751</c:v>
                </c:pt>
                <c:pt idx="96">
                  <c:v>45750</c:v>
                </c:pt>
                <c:pt idx="97">
                  <c:v>45749</c:v>
                </c:pt>
                <c:pt idx="98">
                  <c:v>45748</c:v>
                </c:pt>
                <c:pt idx="99">
                  <c:v>45744</c:v>
                </c:pt>
                <c:pt idx="100">
                  <c:v>45743</c:v>
                </c:pt>
                <c:pt idx="101">
                  <c:v>45742</c:v>
                </c:pt>
                <c:pt idx="102">
                  <c:v>45741</c:v>
                </c:pt>
                <c:pt idx="103">
                  <c:v>45740</c:v>
                </c:pt>
                <c:pt idx="104">
                  <c:v>45737</c:v>
                </c:pt>
                <c:pt idx="105">
                  <c:v>45736</c:v>
                </c:pt>
                <c:pt idx="106">
                  <c:v>45735</c:v>
                </c:pt>
                <c:pt idx="107">
                  <c:v>45734</c:v>
                </c:pt>
                <c:pt idx="108">
                  <c:v>45733</c:v>
                </c:pt>
                <c:pt idx="109">
                  <c:v>45729</c:v>
                </c:pt>
                <c:pt idx="110">
                  <c:v>45728</c:v>
                </c:pt>
                <c:pt idx="111">
                  <c:v>45727</c:v>
                </c:pt>
                <c:pt idx="112">
                  <c:v>45726</c:v>
                </c:pt>
                <c:pt idx="113">
                  <c:v>45723</c:v>
                </c:pt>
                <c:pt idx="114">
                  <c:v>45722</c:v>
                </c:pt>
                <c:pt idx="115">
                  <c:v>45721</c:v>
                </c:pt>
                <c:pt idx="116">
                  <c:v>45720</c:v>
                </c:pt>
                <c:pt idx="117">
                  <c:v>45719</c:v>
                </c:pt>
                <c:pt idx="118">
                  <c:v>45716</c:v>
                </c:pt>
                <c:pt idx="119">
                  <c:v>45715</c:v>
                </c:pt>
                <c:pt idx="120">
                  <c:v>45713</c:v>
                </c:pt>
                <c:pt idx="121">
                  <c:v>45712</c:v>
                </c:pt>
                <c:pt idx="122">
                  <c:v>45709</c:v>
                </c:pt>
                <c:pt idx="123">
                  <c:v>45708</c:v>
                </c:pt>
                <c:pt idx="124">
                  <c:v>45707</c:v>
                </c:pt>
                <c:pt idx="125">
                  <c:v>45706</c:v>
                </c:pt>
                <c:pt idx="126">
                  <c:v>45705</c:v>
                </c:pt>
                <c:pt idx="127">
                  <c:v>45702</c:v>
                </c:pt>
                <c:pt idx="128">
                  <c:v>45701</c:v>
                </c:pt>
                <c:pt idx="129">
                  <c:v>45700</c:v>
                </c:pt>
                <c:pt idx="130">
                  <c:v>45699</c:v>
                </c:pt>
                <c:pt idx="131">
                  <c:v>45698</c:v>
                </c:pt>
                <c:pt idx="132">
                  <c:v>45695</c:v>
                </c:pt>
                <c:pt idx="133">
                  <c:v>45694</c:v>
                </c:pt>
                <c:pt idx="134">
                  <c:v>45693</c:v>
                </c:pt>
                <c:pt idx="135">
                  <c:v>45692</c:v>
                </c:pt>
                <c:pt idx="136">
                  <c:v>45691</c:v>
                </c:pt>
                <c:pt idx="137">
                  <c:v>45690</c:v>
                </c:pt>
                <c:pt idx="138">
                  <c:v>45688</c:v>
                </c:pt>
                <c:pt idx="139">
                  <c:v>45687</c:v>
                </c:pt>
                <c:pt idx="140">
                  <c:v>45686</c:v>
                </c:pt>
                <c:pt idx="141">
                  <c:v>45685</c:v>
                </c:pt>
                <c:pt idx="142">
                  <c:v>45684</c:v>
                </c:pt>
                <c:pt idx="143">
                  <c:v>45681</c:v>
                </c:pt>
                <c:pt idx="144">
                  <c:v>45680</c:v>
                </c:pt>
                <c:pt idx="145">
                  <c:v>45679</c:v>
                </c:pt>
                <c:pt idx="146">
                  <c:v>45678</c:v>
                </c:pt>
                <c:pt idx="147">
                  <c:v>45677</c:v>
                </c:pt>
                <c:pt idx="148">
                  <c:v>45674</c:v>
                </c:pt>
                <c:pt idx="149">
                  <c:v>45673</c:v>
                </c:pt>
                <c:pt idx="150">
                  <c:v>45672</c:v>
                </c:pt>
                <c:pt idx="151">
                  <c:v>45671</c:v>
                </c:pt>
                <c:pt idx="152">
                  <c:v>45670</c:v>
                </c:pt>
                <c:pt idx="153">
                  <c:v>45667</c:v>
                </c:pt>
                <c:pt idx="154">
                  <c:v>45666</c:v>
                </c:pt>
                <c:pt idx="155">
                  <c:v>45665</c:v>
                </c:pt>
                <c:pt idx="156">
                  <c:v>45664</c:v>
                </c:pt>
                <c:pt idx="157">
                  <c:v>45663</c:v>
                </c:pt>
                <c:pt idx="158">
                  <c:v>45660</c:v>
                </c:pt>
                <c:pt idx="159">
                  <c:v>45659</c:v>
                </c:pt>
                <c:pt idx="160">
                  <c:v>45658</c:v>
                </c:pt>
                <c:pt idx="161">
                  <c:v>45657</c:v>
                </c:pt>
                <c:pt idx="162">
                  <c:v>45656</c:v>
                </c:pt>
                <c:pt idx="163">
                  <c:v>45653</c:v>
                </c:pt>
                <c:pt idx="164">
                  <c:v>45652</c:v>
                </c:pt>
                <c:pt idx="165">
                  <c:v>45650</c:v>
                </c:pt>
                <c:pt idx="166">
                  <c:v>45649</c:v>
                </c:pt>
                <c:pt idx="167">
                  <c:v>45646</c:v>
                </c:pt>
                <c:pt idx="168">
                  <c:v>45645</c:v>
                </c:pt>
                <c:pt idx="169">
                  <c:v>45644</c:v>
                </c:pt>
                <c:pt idx="170">
                  <c:v>45643</c:v>
                </c:pt>
                <c:pt idx="171">
                  <c:v>45642</c:v>
                </c:pt>
                <c:pt idx="172">
                  <c:v>45639</c:v>
                </c:pt>
                <c:pt idx="173">
                  <c:v>45638</c:v>
                </c:pt>
                <c:pt idx="174">
                  <c:v>45637</c:v>
                </c:pt>
                <c:pt idx="175">
                  <c:v>45636</c:v>
                </c:pt>
                <c:pt idx="176">
                  <c:v>45635</c:v>
                </c:pt>
                <c:pt idx="177">
                  <c:v>45632</c:v>
                </c:pt>
                <c:pt idx="178">
                  <c:v>45631</c:v>
                </c:pt>
                <c:pt idx="179">
                  <c:v>45630</c:v>
                </c:pt>
                <c:pt idx="180">
                  <c:v>45629</c:v>
                </c:pt>
                <c:pt idx="181">
                  <c:v>45628</c:v>
                </c:pt>
                <c:pt idx="182">
                  <c:v>45597</c:v>
                </c:pt>
                <c:pt idx="183">
                  <c:v>45624</c:v>
                </c:pt>
                <c:pt idx="184">
                  <c:v>45623</c:v>
                </c:pt>
                <c:pt idx="185">
                  <c:v>45622</c:v>
                </c:pt>
                <c:pt idx="186">
                  <c:v>45621</c:v>
                </c:pt>
                <c:pt idx="187">
                  <c:v>45620</c:v>
                </c:pt>
                <c:pt idx="188">
                  <c:v>45617</c:v>
                </c:pt>
                <c:pt idx="189">
                  <c:v>45615</c:v>
                </c:pt>
                <c:pt idx="190">
                  <c:v>45614</c:v>
                </c:pt>
                <c:pt idx="191">
                  <c:v>45610</c:v>
                </c:pt>
                <c:pt idx="192">
                  <c:v>45609</c:v>
                </c:pt>
                <c:pt idx="193">
                  <c:v>45608</c:v>
                </c:pt>
                <c:pt idx="194">
                  <c:v>45607</c:v>
                </c:pt>
                <c:pt idx="195">
                  <c:v>45604</c:v>
                </c:pt>
                <c:pt idx="196">
                  <c:v>45603</c:v>
                </c:pt>
                <c:pt idx="197">
                  <c:v>45602</c:v>
                </c:pt>
                <c:pt idx="198">
                  <c:v>45601</c:v>
                </c:pt>
                <c:pt idx="199">
                  <c:v>45600</c:v>
                </c:pt>
                <c:pt idx="200">
                  <c:v>45597</c:v>
                </c:pt>
                <c:pt idx="201">
                  <c:v>45596</c:v>
                </c:pt>
                <c:pt idx="202">
                  <c:v>45595</c:v>
                </c:pt>
                <c:pt idx="203">
                  <c:v>45594</c:v>
                </c:pt>
                <c:pt idx="204">
                  <c:v>45593</c:v>
                </c:pt>
                <c:pt idx="205">
                  <c:v>45590</c:v>
                </c:pt>
                <c:pt idx="206">
                  <c:v>45589</c:v>
                </c:pt>
                <c:pt idx="207">
                  <c:v>45588</c:v>
                </c:pt>
                <c:pt idx="208">
                  <c:v>45587</c:v>
                </c:pt>
                <c:pt idx="209">
                  <c:v>45586</c:v>
                </c:pt>
                <c:pt idx="210">
                  <c:v>45583</c:v>
                </c:pt>
                <c:pt idx="211">
                  <c:v>45582</c:v>
                </c:pt>
                <c:pt idx="212">
                  <c:v>45581</c:v>
                </c:pt>
                <c:pt idx="213">
                  <c:v>45580</c:v>
                </c:pt>
                <c:pt idx="214">
                  <c:v>45579</c:v>
                </c:pt>
                <c:pt idx="215">
                  <c:v>45576</c:v>
                </c:pt>
                <c:pt idx="216">
                  <c:v>45575</c:v>
                </c:pt>
                <c:pt idx="217">
                  <c:v>45574</c:v>
                </c:pt>
                <c:pt idx="218">
                  <c:v>45573</c:v>
                </c:pt>
                <c:pt idx="219">
                  <c:v>45572</c:v>
                </c:pt>
                <c:pt idx="220">
                  <c:v>45569</c:v>
                </c:pt>
                <c:pt idx="221">
                  <c:v>45568</c:v>
                </c:pt>
                <c:pt idx="222">
                  <c:v>45566</c:v>
                </c:pt>
                <c:pt idx="223">
                  <c:v>45565</c:v>
                </c:pt>
                <c:pt idx="224">
                  <c:v>45562</c:v>
                </c:pt>
                <c:pt idx="225">
                  <c:v>45561</c:v>
                </c:pt>
                <c:pt idx="226">
                  <c:v>45560</c:v>
                </c:pt>
                <c:pt idx="227">
                  <c:v>45559</c:v>
                </c:pt>
                <c:pt idx="228">
                  <c:v>45558</c:v>
                </c:pt>
                <c:pt idx="229">
                  <c:v>45555</c:v>
                </c:pt>
                <c:pt idx="230">
                  <c:v>45554</c:v>
                </c:pt>
                <c:pt idx="231">
                  <c:v>45553</c:v>
                </c:pt>
                <c:pt idx="232">
                  <c:v>45552</c:v>
                </c:pt>
                <c:pt idx="233">
                  <c:v>45551</c:v>
                </c:pt>
                <c:pt idx="234">
                  <c:v>45548</c:v>
                </c:pt>
                <c:pt idx="235">
                  <c:v>45547</c:v>
                </c:pt>
                <c:pt idx="236">
                  <c:v>45546</c:v>
                </c:pt>
                <c:pt idx="237">
                  <c:v>45545</c:v>
                </c:pt>
                <c:pt idx="238">
                  <c:v>45544</c:v>
                </c:pt>
                <c:pt idx="239">
                  <c:v>45541</c:v>
                </c:pt>
                <c:pt idx="240">
                  <c:v>45540</c:v>
                </c:pt>
                <c:pt idx="241">
                  <c:v>45539</c:v>
                </c:pt>
                <c:pt idx="242">
                  <c:v>45538</c:v>
                </c:pt>
                <c:pt idx="243">
                  <c:v>45537</c:v>
                </c:pt>
                <c:pt idx="244">
                  <c:v>45534</c:v>
                </c:pt>
                <c:pt idx="245">
                  <c:v>45533</c:v>
                </c:pt>
                <c:pt idx="246">
                  <c:v>45532</c:v>
                </c:pt>
                <c:pt idx="247">
                  <c:v>45531</c:v>
                </c:pt>
                <c:pt idx="248">
                  <c:v>45530</c:v>
                </c:pt>
                <c:pt idx="249">
                  <c:v>45527</c:v>
                </c:pt>
                <c:pt idx="250">
                  <c:v>45526</c:v>
                </c:pt>
              </c:numCache>
            </c:numRef>
          </c:cat>
          <c:val>
            <c:numRef>
              <c:f>Report!$Y$16:$Y$266</c:f>
              <c:numCache>
                <c:formatCode>#,##0.00</c:formatCode>
                <c:ptCount val="251"/>
                <c:pt idx="0">
                  <c:v>2606.8000000000002</c:v>
                </c:pt>
                <c:pt idx="1">
                  <c:v>2600.1</c:v>
                </c:pt>
                <c:pt idx="2">
                  <c:v>2506.6</c:v>
                </c:pt>
                <c:pt idx="3">
                  <c:v>2492.1999999999998</c:v>
                </c:pt>
                <c:pt idx="4">
                  <c:v>2472.4</c:v>
                </c:pt>
                <c:pt idx="5">
                  <c:v>2472.6</c:v>
                </c:pt>
                <c:pt idx="6">
                  <c:v>2466</c:v>
                </c:pt>
                <c:pt idx="7">
                  <c:v>2430.6999999999998</c:v>
                </c:pt>
                <c:pt idx="8">
                  <c:v>2437.5</c:v>
                </c:pt>
                <c:pt idx="9">
                  <c:v>2467.1</c:v>
                </c:pt>
                <c:pt idx="10">
                  <c:v>2537.8000000000002</c:v>
                </c:pt>
                <c:pt idx="11">
                  <c:v>2556.1999999999998</c:v>
                </c:pt>
                <c:pt idx="12">
                  <c:v>2618.9</c:v>
                </c:pt>
                <c:pt idx="13">
                  <c:v>2628.9</c:v>
                </c:pt>
                <c:pt idx="14">
                  <c:v>2566.3000000000002</c:v>
                </c:pt>
                <c:pt idx="15">
                  <c:v>2567.1999999999998</c:v>
                </c:pt>
                <c:pt idx="16">
                  <c:v>2575.5</c:v>
                </c:pt>
                <c:pt idx="17">
                  <c:v>2554.6999999999998</c:v>
                </c:pt>
                <c:pt idx="18">
                  <c:v>2541.6</c:v>
                </c:pt>
                <c:pt idx="19">
                  <c:v>2603.4</c:v>
                </c:pt>
                <c:pt idx="20">
                  <c:v>2589.5</c:v>
                </c:pt>
                <c:pt idx="21">
                  <c:v>2599</c:v>
                </c:pt>
                <c:pt idx="22">
                  <c:v>2670.5</c:v>
                </c:pt>
                <c:pt idx="23">
                  <c:v>2646</c:v>
                </c:pt>
                <c:pt idx="24">
                  <c:v>2652.3</c:v>
                </c:pt>
                <c:pt idx="25">
                  <c:v>2639.3</c:v>
                </c:pt>
                <c:pt idx="26">
                  <c:v>2625.5</c:v>
                </c:pt>
                <c:pt idx="27">
                  <c:v>2651</c:v>
                </c:pt>
                <c:pt idx="28">
                  <c:v>2696.5</c:v>
                </c:pt>
                <c:pt idx="29">
                  <c:v>2578.3000000000002</c:v>
                </c:pt>
                <c:pt idx="30">
                  <c:v>2544</c:v>
                </c:pt>
                <c:pt idx="31">
                  <c:v>2526.6</c:v>
                </c:pt>
                <c:pt idx="32">
                  <c:v>2431.6999999999998</c:v>
                </c:pt>
                <c:pt idx="33">
                  <c:v>2410.4</c:v>
                </c:pt>
                <c:pt idx="34">
                  <c:v>2439.5</c:v>
                </c:pt>
                <c:pt idx="35">
                  <c:v>2361.6999999999998</c:v>
                </c:pt>
                <c:pt idx="36">
                  <c:v>2384.6999999999998</c:v>
                </c:pt>
                <c:pt idx="37">
                  <c:v>2287</c:v>
                </c:pt>
                <c:pt idx="38">
                  <c:v>2319.8000000000002</c:v>
                </c:pt>
                <c:pt idx="39">
                  <c:v>2333.4</c:v>
                </c:pt>
                <c:pt idx="40">
                  <c:v>2303.5</c:v>
                </c:pt>
                <c:pt idx="41">
                  <c:v>2308.8000000000002</c:v>
                </c:pt>
                <c:pt idx="42">
                  <c:v>2307.5</c:v>
                </c:pt>
                <c:pt idx="43">
                  <c:v>2300.6</c:v>
                </c:pt>
                <c:pt idx="44">
                  <c:v>2288.8000000000002</c:v>
                </c:pt>
                <c:pt idx="45">
                  <c:v>2325.1999999999998</c:v>
                </c:pt>
                <c:pt idx="46">
                  <c:v>2358.3000000000002</c:v>
                </c:pt>
                <c:pt idx="47">
                  <c:v>2353.1999999999998</c:v>
                </c:pt>
                <c:pt idx="48">
                  <c:v>2370</c:v>
                </c:pt>
                <c:pt idx="49">
                  <c:v>2381.3000000000002</c:v>
                </c:pt>
                <c:pt idx="50">
                  <c:v>2390</c:v>
                </c:pt>
                <c:pt idx="51">
                  <c:v>2378.8000000000002</c:v>
                </c:pt>
                <c:pt idx="52">
                  <c:v>2376.4</c:v>
                </c:pt>
                <c:pt idx="53">
                  <c:v>2356.6999999999998</c:v>
                </c:pt>
                <c:pt idx="54">
                  <c:v>2352.4</c:v>
                </c:pt>
                <c:pt idx="55">
                  <c:v>2359.1999999999998</c:v>
                </c:pt>
                <c:pt idx="56">
                  <c:v>2345.9</c:v>
                </c:pt>
                <c:pt idx="57">
                  <c:v>2352.4</c:v>
                </c:pt>
                <c:pt idx="58">
                  <c:v>2414.3000000000002</c:v>
                </c:pt>
                <c:pt idx="59">
                  <c:v>2467.6999999999998</c:v>
                </c:pt>
                <c:pt idx="60">
                  <c:v>2461.8000000000002</c:v>
                </c:pt>
                <c:pt idx="61">
                  <c:v>2483.8000000000002</c:v>
                </c:pt>
                <c:pt idx="62">
                  <c:v>2454.8000000000002</c:v>
                </c:pt>
                <c:pt idx="63">
                  <c:v>2430.3000000000002</c:v>
                </c:pt>
                <c:pt idx="64">
                  <c:v>2432.4</c:v>
                </c:pt>
                <c:pt idx="65">
                  <c:v>2439.1999999999998</c:v>
                </c:pt>
                <c:pt idx="66">
                  <c:v>2531.4</c:v>
                </c:pt>
                <c:pt idx="67">
                  <c:v>2549.1999999999998</c:v>
                </c:pt>
                <c:pt idx="68">
                  <c:v>2564.1999999999998</c:v>
                </c:pt>
                <c:pt idx="69">
                  <c:v>2572.6999999999998</c:v>
                </c:pt>
                <c:pt idx="70">
                  <c:v>2559.9</c:v>
                </c:pt>
                <c:pt idx="71">
                  <c:v>2554.6</c:v>
                </c:pt>
                <c:pt idx="72">
                  <c:v>2547.3000000000002</c:v>
                </c:pt>
                <c:pt idx="73">
                  <c:v>2500</c:v>
                </c:pt>
                <c:pt idx="74">
                  <c:v>2408.1999999999998</c:v>
                </c:pt>
                <c:pt idx="75">
                  <c:v>2439.5</c:v>
                </c:pt>
                <c:pt idx="76">
                  <c:v>2432.4</c:v>
                </c:pt>
                <c:pt idx="77">
                  <c:v>2368.6999999999998</c:v>
                </c:pt>
                <c:pt idx="78">
                  <c:v>2415.4</c:v>
                </c:pt>
                <c:pt idx="79">
                  <c:v>2385.8000000000002</c:v>
                </c:pt>
                <c:pt idx="80">
                  <c:v>2465.3000000000002</c:v>
                </c:pt>
                <c:pt idx="81">
                  <c:v>2556.9</c:v>
                </c:pt>
                <c:pt idx="82">
                  <c:v>2560.4</c:v>
                </c:pt>
                <c:pt idx="83">
                  <c:v>2557.5</c:v>
                </c:pt>
                <c:pt idx="84">
                  <c:v>2599.1999999999998</c:v>
                </c:pt>
                <c:pt idx="85">
                  <c:v>2545.5</c:v>
                </c:pt>
                <c:pt idx="86">
                  <c:v>2579.5</c:v>
                </c:pt>
                <c:pt idx="87">
                  <c:v>2588.4</c:v>
                </c:pt>
                <c:pt idx="88">
                  <c:v>2581.6</c:v>
                </c:pt>
                <c:pt idx="89">
                  <c:v>2520</c:v>
                </c:pt>
                <c:pt idx="90">
                  <c:v>2426.1</c:v>
                </c:pt>
                <c:pt idx="91">
                  <c:v>2350.5</c:v>
                </c:pt>
                <c:pt idx="92">
                  <c:v>2313.9499999999998</c:v>
                </c:pt>
                <c:pt idx="93">
                  <c:v>2347.5</c:v>
                </c:pt>
                <c:pt idx="94">
                  <c:v>2383.4499999999998</c:v>
                </c:pt>
                <c:pt idx="95">
                  <c:v>2451.1999999999998</c:v>
                </c:pt>
                <c:pt idx="96">
                  <c:v>2427.6999999999998</c:v>
                </c:pt>
                <c:pt idx="97">
                  <c:v>2421.9</c:v>
                </c:pt>
                <c:pt idx="98">
                  <c:v>2458.1</c:v>
                </c:pt>
                <c:pt idx="99">
                  <c:v>2424.75</c:v>
                </c:pt>
                <c:pt idx="100">
                  <c:v>2452.15</c:v>
                </c:pt>
                <c:pt idx="101">
                  <c:v>2403.6999999999998</c:v>
                </c:pt>
                <c:pt idx="102">
                  <c:v>2398.0500000000002</c:v>
                </c:pt>
                <c:pt idx="103">
                  <c:v>2372.15</c:v>
                </c:pt>
                <c:pt idx="104">
                  <c:v>2415.0500000000002</c:v>
                </c:pt>
                <c:pt idx="105">
                  <c:v>2244.85</c:v>
                </c:pt>
                <c:pt idx="106">
                  <c:v>2161.6999999999998</c:v>
                </c:pt>
                <c:pt idx="107">
                  <c:v>2145.8000000000002</c:v>
                </c:pt>
                <c:pt idx="108">
                  <c:v>2170.9499999999998</c:v>
                </c:pt>
                <c:pt idx="109">
                  <c:v>2201.15</c:v>
                </c:pt>
                <c:pt idx="110">
                  <c:v>2166.4499999999998</c:v>
                </c:pt>
                <c:pt idx="111">
                  <c:v>2210.1999999999998</c:v>
                </c:pt>
                <c:pt idx="112">
                  <c:v>2259.3000000000002</c:v>
                </c:pt>
                <c:pt idx="113">
                  <c:v>2316.0500000000002</c:v>
                </c:pt>
                <c:pt idx="114">
                  <c:v>2274.3000000000002</c:v>
                </c:pt>
                <c:pt idx="115">
                  <c:v>2288.15</c:v>
                </c:pt>
                <c:pt idx="116">
                  <c:v>2284.1</c:v>
                </c:pt>
                <c:pt idx="117">
                  <c:v>2328.6999999999998</c:v>
                </c:pt>
                <c:pt idx="118">
                  <c:v>2290.6</c:v>
                </c:pt>
                <c:pt idx="119">
                  <c:v>2294.1999999999998</c:v>
                </c:pt>
                <c:pt idx="120">
                  <c:v>2342.1</c:v>
                </c:pt>
                <c:pt idx="121">
                  <c:v>2298.8000000000002</c:v>
                </c:pt>
                <c:pt idx="122">
                  <c:v>2327.75</c:v>
                </c:pt>
                <c:pt idx="123">
                  <c:v>2348.4499999999998</c:v>
                </c:pt>
                <c:pt idx="124">
                  <c:v>2364.5500000000002</c:v>
                </c:pt>
                <c:pt idx="125">
                  <c:v>2385</c:v>
                </c:pt>
                <c:pt idx="126">
                  <c:v>2345.9</c:v>
                </c:pt>
                <c:pt idx="127">
                  <c:v>2394.35</c:v>
                </c:pt>
                <c:pt idx="128">
                  <c:v>2501.15</c:v>
                </c:pt>
                <c:pt idx="129">
                  <c:v>2422.6</c:v>
                </c:pt>
                <c:pt idx="130">
                  <c:v>2450.3000000000002</c:v>
                </c:pt>
                <c:pt idx="131">
                  <c:v>2502.0500000000002</c:v>
                </c:pt>
                <c:pt idx="132">
                  <c:v>2518.6</c:v>
                </c:pt>
                <c:pt idx="133">
                  <c:v>2480.1</c:v>
                </c:pt>
                <c:pt idx="134">
                  <c:v>2483</c:v>
                </c:pt>
                <c:pt idx="135">
                  <c:v>2555.1</c:v>
                </c:pt>
                <c:pt idx="136">
                  <c:v>2581.8000000000002</c:v>
                </c:pt>
                <c:pt idx="137">
                  <c:v>2481.6</c:v>
                </c:pt>
                <c:pt idx="138">
                  <c:v>2435.4</c:v>
                </c:pt>
                <c:pt idx="139">
                  <c:v>2485.4</c:v>
                </c:pt>
                <c:pt idx="140">
                  <c:v>2477.4499999999998</c:v>
                </c:pt>
                <c:pt idx="141">
                  <c:v>2456.6999999999998</c:v>
                </c:pt>
                <c:pt idx="142">
                  <c:v>2453.9499999999998</c:v>
                </c:pt>
                <c:pt idx="143">
                  <c:v>2506.9</c:v>
                </c:pt>
                <c:pt idx="144">
                  <c:v>2635.05</c:v>
                </c:pt>
                <c:pt idx="145">
                  <c:v>2516.4</c:v>
                </c:pt>
                <c:pt idx="146">
                  <c:v>2563.5500000000002</c:v>
                </c:pt>
                <c:pt idx="147">
                  <c:v>2704.7</c:v>
                </c:pt>
                <c:pt idx="148">
                  <c:v>2600.4</c:v>
                </c:pt>
                <c:pt idx="149">
                  <c:v>2545.25</c:v>
                </c:pt>
                <c:pt idx="150">
                  <c:v>2596</c:v>
                </c:pt>
                <c:pt idx="151">
                  <c:v>2665.85</c:v>
                </c:pt>
                <c:pt idx="152">
                  <c:v>2595.9499999999998</c:v>
                </c:pt>
                <c:pt idx="153">
                  <c:v>2739.95</c:v>
                </c:pt>
                <c:pt idx="154">
                  <c:v>2828.05</c:v>
                </c:pt>
                <c:pt idx="155">
                  <c:v>2879.55</c:v>
                </c:pt>
                <c:pt idx="156">
                  <c:v>2919.7</c:v>
                </c:pt>
                <c:pt idx="157">
                  <c:v>2884.55</c:v>
                </c:pt>
                <c:pt idx="158">
                  <c:v>2937.55</c:v>
                </c:pt>
                <c:pt idx="159">
                  <c:v>2901.9</c:v>
                </c:pt>
                <c:pt idx="160">
                  <c:v>2881.05</c:v>
                </c:pt>
                <c:pt idx="161">
                  <c:v>2880.4</c:v>
                </c:pt>
                <c:pt idx="162">
                  <c:v>2857.4</c:v>
                </c:pt>
                <c:pt idx="163">
                  <c:v>2871.75</c:v>
                </c:pt>
                <c:pt idx="164">
                  <c:v>2916.65</c:v>
                </c:pt>
                <c:pt idx="165">
                  <c:v>2910.6</c:v>
                </c:pt>
                <c:pt idx="166">
                  <c:v>2998.4</c:v>
                </c:pt>
                <c:pt idx="167">
                  <c:v>2805.2</c:v>
                </c:pt>
                <c:pt idx="168">
                  <c:v>2891.05</c:v>
                </c:pt>
                <c:pt idx="169">
                  <c:v>2805.95</c:v>
                </c:pt>
                <c:pt idx="170">
                  <c:v>2661.8</c:v>
                </c:pt>
                <c:pt idx="171">
                  <c:v>2690.75</c:v>
                </c:pt>
                <c:pt idx="172">
                  <c:v>2641.85</c:v>
                </c:pt>
                <c:pt idx="173">
                  <c:v>2650.45</c:v>
                </c:pt>
                <c:pt idx="174">
                  <c:v>2624.35</c:v>
                </c:pt>
                <c:pt idx="175">
                  <c:v>2666.4</c:v>
                </c:pt>
                <c:pt idx="176">
                  <c:v>2639.35</c:v>
                </c:pt>
                <c:pt idx="177">
                  <c:v>2586.4499999999998</c:v>
                </c:pt>
                <c:pt idx="178">
                  <c:v>2615.5</c:v>
                </c:pt>
                <c:pt idx="179">
                  <c:v>2596.15</c:v>
                </c:pt>
                <c:pt idx="180">
                  <c:v>2559</c:v>
                </c:pt>
                <c:pt idx="181">
                  <c:v>2616.4499999999998</c:v>
                </c:pt>
                <c:pt idx="182">
                  <c:v>2561.1999999999998</c:v>
                </c:pt>
                <c:pt idx="183">
                  <c:v>2560.4</c:v>
                </c:pt>
                <c:pt idx="184">
                  <c:v>2557</c:v>
                </c:pt>
                <c:pt idx="185">
                  <c:v>2580.6</c:v>
                </c:pt>
                <c:pt idx="186">
                  <c:v>2610.1</c:v>
                </c:pt>
                <c:pt idx="187">
                  <c:v>2551.6</c:v>
                </c:pt>
                <c:pt idx="188">
                  <c:v>2558.65</c:v>
                </c:pt>
                <c:pt idx="189">
                  <c:v>2574.4</c:v>
                </c:pt>
                <c:pt idx="190">
                  <c:v>2597.9</c:v>
                </c:pt>
                <c:pt idx="191">
                  <c:v>2597.65</c:v>
                </c:pt>
                <c:pt idx="192">
                  <c:v>2532.15</c:v>
                </c:pt>
                <c:pt idx="193">
                  <c:v>2622.1</c:v>
                </c:pt>
                <c:pt idx="194">
                  <c:v>2646.65</c:v>
                </c:pt>
                <c:pt idx="195">
                  <c:v>2659.5</c:v>
                </c:pt>
                <c:pt idx="196">
                  <c:v>2727</c:v>
                </c:pt>
                <c:pt idx="197">
                  <c:v>2748.85</c:v>
                </c:pt>
                <c:pt idx="198">
                  <c:v>2714.25</c:v>
                </c:pt>
                <c:pt idx="199">
                  <c:v>2731.2</c:v>
                </c:pt>
                <c:pt idx="200">
                  <c:v>2680.7</c:v>
                </c:pt>
                <c:pt idx="201">
                  <c:v>2667.35</c:v>
                </c:pt>
                <c:pt idx="202">
                  <c:v>2627.8</c:v>
                </c:pt>
                <c:pt idx="203">
                  <c:v>2528.6999999999998</c:v>
                </c:pt>
                <c:pt idx="204">
                  <c:v>2426.8000000000002</c:v>
                </c:pt>
                <c:pt idx="205">
                  <c:v>2455.9</c:v>
                </c:pt>
                <c:pt idx="206">
                  <c:v>2504.25</c:v>
                </c:pt>
                <c:pt idx="207">
                  <c:v>2529.6</c:v>
                </c:pt>
                <c:pt idx="208">
                  <c:v>2565.9499999999998</c:v>
                </c:pt>
                <c:pt idx="209">
                  <c:v>2647</c:v>
                </c:pt>
                <c:pt idx="210">
                  <c:v>2647.2</c:v>
                </c:pt>
                <c:pt idx="211">
                  <c:v>2683.85</c:v>
                </c:pt>
                <c:pt idx="212">
                  <c:v>2711.4</c:v>
                </c:pt>
                <c:pt idx="213">
                  <c:v>2747.3</c:v>
                </c:pt>
                <c:pt idx="214">
                  <c:v>2759.6</c:v>
                </c:pt>
                <c:pt idx="215">
                  <c:v>2792.55</c:v>
                </c:pt>
                <c:pt idx="216">
                  <c:v>2684</c:v>
                </c:pt>
                <c:pt idx="217">
                  <c:v>2686.8</c:v>
                </c:pt>
                <c:pt idx="218">
                  <c:v>2603.5500000000002</c:v>
                </c:pt>
                <c:pt idx="219">
                  <c:v>2561.6999999999998</c:v>
                </c:pt>
                <c:pt idx="220">
                  <c:v>2611.65</c:v>
                </c:pt>
                <c:pt idx="221">
                  <c:v>2537.8000000000002</c:v>
                </c:pt>
                <c:pt idx="222">
                  <c:v>2578.9499999999998</c:v>
                </c:pt>
                <c:pt idx="223">
                  <c:v>2520.6999999999998</c:v>
                </c:pt>
                <c:pt idx="224">
                  <c:v>2592</c:v>
                </c:pt>
                <c:pt idx="225">
                  <c:v>2685.15</c:v>
                </c:pt>
                <c:pt idx="226">
                  <c:v>2701.3</c:v>
                </c:pt>
                <c:pt idx="227">
                  <c:v>2734.3</c:v>
                </c:pt>
                <c:pt idx="228">
                  <c:v>2650.25</c:v>
                </c:pt>
                <c:pt idx="229">
                  <c:v>2535.75</c:v>
                </c:pt>
                <c:pt idx="230">
                  <c:v>2426.0500000000002</c:v>
                </c:pt>
                <c:pt idx="231">
                  <c:v>2395.6</c:v>
                </c:pt>
                <c:pt idx="232">
                  <c:v>2455.4499999999998</c:v>
                </c:pt>
                <c:pt idx="233">
                  <c:v>2456.25</c:v>
                </c:pt>
                <c:pt idx="234">
                  <c:v>2498.8000000000002</c:v>
                </c:pt>
                <c:pt idx="235">
                  <c:v>2431.4</c:v>
                </c:pt>
                <c:pt idx="236">
                  <c:v>2432.75</c:v>
                </c:pt>
                <c:pt idx="237">
                  <c:v>2448.15</c:v>
                </c:pt>
                <c:pt idx="238">
                  <c:v>2411.9499999999998</c:v>
                </c:pt>
                <c:pt idx="239">
                  <c:v>2423.35</c:v>
                </c:pt>
                <c:pt idx="240">
                  <c:v>2473.15</c:v>
                </c:pt>
                <c:pt idx="241">
                  <c:v>2413.6999999999998</c:v>
                </c:pt>
                <c:pt idx="242">
                  <c:v>2391.1</c:v>
                </c:pt>
                <c:pt idx="243">
                  <c:v>2391.15</c:v>
                </c:pt>
                <c:pt idx="244">
                  <c:v>2487.75</c:v>
                </c:pt>
                <c:pt idx="245">
                  <c:v>2425.9499999999998</c:v>
                </c:pt>
                <c:pt idx="246">
                  <c:v>2428.5500000000002</c:v>
                </c:pt>
                <c:pt idx="247">
                  <c:v>2427.1</c:v>
                </c:pt>
                <c:pt idx="248">
                  <c:v>2352.9499999999998</c:v>
                </c:pt>
                <c:pt idx="249">
                  <c:v>2362.4499999999998</c:v>
                </c:pt>
                <c:pt idx="250">
                  <c:v>2319.6</c:v>
                </c:pt>
              </c:numCache>
            </c:numRef>
          </c:val>
          <c:smooth val="0"/>
          <c:extLst>
            <c:ext xmlns:c16="http://schemas.microsoft.com/office/drawing/2014/chart" uri="{C3380CC4-5D6E-409C-BE32-E72D297353CC}">
              <c16:uniqueId val="{00000000-0915-46A5-BFBC-795B8F4FE504}"/>
            </c:ext>
          </c:extLst>
        </c:ser>
        <c:dLbls>
          <c:showLegendKey val="0"/>
          <c:showVal val="0"/>
          <c:showCatName val="0"/>
          <c:showSerName val="0"/>
          <c:showPercent val="0"/>
          <c:showBubbleSize val="0"/>
        </c:dLbls>
        <c:smooth val="0"/>
        <c:axId val="976450400"/>
        <c:axId val="976450944"/>
      </c:lineChart>
      <c:dateAx>
        <c:axId val="976450400"/>
        <c:scaling>
          <c:orientation val="minMax"/>
        </c:scaling>
        <c:delete val="1"/>
        <c:axPos val="b"/>
        <c:numFmt formatCode="mmm\-yy" sourceLinked="1"/>
        <c:majorTickMark val="out"/>
        <c:minorTickMark val="none"/>
        <c:tickLblPos val="nextTo"/>
        <c:crossAx val="976450944"/>
        <c:crosses val="autoZero"/>
        <c:auto val="1"/>
        <c:lblOffset val="100"/>
        <c:baseTimeUnit val="days"/>
      </c:dateAx>
      <c:valAx>
        <c:axId val="976450944"/>
        <c:scaling>
          <c:orientation val="minMax"/>
          <c:max val="3100"/>
          <c:min val="200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504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Global</a:t>
            </a:r>
            <a:r>
              <a:rPr lang="en-IN" b="1" baseline="0"/>
              <a:t> GDP Projections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Report!$C$66</c:f>
              <c:strCache>
                <c:ptCount val="1"/>
                <c:pt idx="0">
                  <c:v>2024A</c:v>
                </c:pt>
              </c:strCache>
            </c:strRef>
          </c:tx>
          <c:spPr>
            <a:solidFill>
              <a:srgbClr val="002060"/>
            </a:solidFill>
            <a:ln>
              <a:solidFill>
                <a:schemeClr val="accent1"/>
              </a:solidFill>
            </a:ln>
            <a:effectLst/>
          </c:spPr>
          <c:invertIfNegative val="0"/>
          <c:cat>
            <c:strRef>
              <c:f>Report!$B$67:$B$75</c:f>
              <c:strCache>
                <c:ptCount val="9"/>
                <c:pt idx="0">
                  <c:v>World</c:v>
                </c:pt>
                <c:pt idx="1">
                  <c:v>Advanced Economies</c:v>
                </c:pt>
                <c:pt idx="2">
                  <c:v>Emerging Economies</c:v>
                </c:pt>
                <c:pt idx="3">
                  <c:v>Euro Area</c:v>
                </c:pt>
                <c:pt idx="4">
                  <c:v>US</c:v>
                </c:pt>
                <c:pt idx="5">
                  <c:v>Japan</c:v>
                </c:pt>
                <c:pt idx="6">
                  <c:v>UK</c:v>
                </c:pt>
                <c:pt idx="7">
                  <c:v>China</c:v>
                </c:pt>
                <c:pt idx="8">
                  <c:v>India</c:v>
                </c:pt>
              </c:strCache>
            </c:strRef>
          </c:cat>
          <c:val>
            <c:numRef>
              <c:f>Report!$C$67:$C$75</c:f>
              <c:numCache>
                <c:formatCode>0.00%</c:formatCode>
                <c:ptCount val="9"/>
                <c:pt idx="0">
                  <c:v>3.3000000000000002E-2</c:v>
                </c:pt>
                <c:pt idx="1">
                  <c:v>1.8000000000000002E-2</c:v>
                </c:pt>
                <c:pt idx="2">
                  <c:v>4.2999999999999997E-2</c:v>
                </c:pt>
                <c:pt idx="3">
                  <c:v>9.0000000000000011E-3</c:v>
                </c:pt>
                <c:pt idx="4">
                  <c:v>2.7999999999999997E-2</c:v>
                </c:pt>
                <c:pt idx="5">
                  <c:v>1E-3</c:v>
                </c:pt>
                <c:pt idx="6">
                  <c:v>1.1000000000000001E-2</c:v>
                </c:pt>
                <c:pt idx="7">
                  <c:v>0.05</c:v>
                </c:pt>
                <c:pt idx="8">
                  <c:v>6.5000000000000002E-2</c:v>
                </c:pt>
              </c:numCache>
            </c:numRef>
          </c:val>
          <c:extLst>
            <c:ext xmlns:c16="http://schemas.microsoft.com/office/drawing/2014/chart" uri="{C3380CC4-5D6E-409C-BE32-E72D297353CC}">
              <c16:uniqueId val="{00000000-6519-4775-A2F6-00970D21E22B}"/>
            </c:ext>
          </c:extLst>
        </c:ser>
        <c:ser>
          <c:idx val="1"/>
          <c:order val="1"/>
          <c:tx>
            <c:strRef>
              <c:f>Report!$D$66</c:f>
              <c:strCache>
                <c:ptCount val="1"/>
                <c:pt idx="0">
                  <c:v>2025P</c:v>
                </c:pt>
              </c:strCache>
            </c:strRef>
          </c:tx>
          <c:spPr>
            <a:solidFill>
              <a:srgbClr val="00B0F0"/>
            </a:solidFill>
            <a:ln>
              <a:noFill/>
            </a:ln>
            <a:effectLst/>
          </c:spPr>
          <c:invertIfNegative val="0"/>
          <c:cat>
            <c:strRef>
              <c:f>Report!$B$67:$B$75</c:f>
              <c:strCache>
                <c:ptCount val="9"/>
                <c:pt idx="0">
                  <c:v>World</c:v>
                </c:pt>
                <c:pt idx="1">
                  <c:v>Advanced Economies</c:v>
                </c:pt>
                <c:pt idx="2">
                  <c:v>Emerging Economies</c:v>
                </c:pt>
                <c:pt idx="3">
                  <c:v>Euro Area</c:v>
                </c:pt>
                <c:pt idx="4">
                  <c:v>US</c:v>
                </c:pt>
                <c:pt idx="5">
                  <c:v>Japan</c:v>
                </c:pt>
                <c:pt idx="6">
                  <c:v>UK</c:v>
                </c:pt>
                <c:pt idx="7">
                  <c:v>China</c:v>
                </c:pt>
                <c:pt idx="8">
                  <c:v>India</c:v>
                </c:pt>
              </c:strCache>
            </c:strRef>
          </c:cat>
          <c:val>
            <c:numRef>
              <c:f>Report!$D$67:$D$75</c:f>
              <c:numCache>
                <c:formatCode>0.00%</c:formatCode>
                <c:ptCount val="9"/>
                <c:pt idx="0">
                  <c:v>2.7999999999999997E-2</c:v>
                </c:pt>
                <c:pt idx="1">
                  <c:v>1.3999999999999999E-2</c:v>
                </c:pt>
                <c:pt idx="2">
                  <c:v>3.7000000000000005E-2</c:v>
                </c:pt>
                <c:pt idx="3">
                  <c:v>8.0000000000000002E-3</c:v>
                </c:pt>
                <c:pt idx="4">
                  <c:v>1.8000000000000002E-2</c:v>
                </c:pt>
                <c:pt idx="5">
                  <c:v>6.0000000000000001E-3</c:v>
                </c:pt>
                <c:pt idx="6">
                  <c:v>1.1000000000000001E-2</c:v>
                </c:pt>
                <c:pt idx="7">
                  <c:v>0.04</c:v>
                </c:pt>
                <c:pt idx="8">
                  <c:v>6.2E-2</c:v>
                </c:pt>
              </c:numCache>
            </c:numRef>
          </c:val>
          <c:extLst>
            <c:ext xmlns:c16="http://schemas.microsoft.com/office/drawing/2014/chart" uri="{C3380CC4-5D6E-409C-BE32-E72D297353CC}">
              <c16:uniqueId val="{00000001-6519-4775-A2F6-00970D21E22B}"/>
            </c:ext>
          </c:extLst>
        </c:ser>
        <c:ser>
          <c:idx val="2"/>
          <c:order val="2"/>
          <c:tx>
            <c:strRef>
              <c:f>Report!$E$66</c:f>
              <c:strCache>
                <c:ptCount val="1"/>
                <c:pt idx="0">
                  <c:v>2026P</c:v>
                </c:pt>
              </c:strCache>
            </c:strRef>
          </c:tx>
          <c:spPr>
            <a:solidFill>
              <a:schemeClr val="accent1">
                <a:lumMod val="40000"/>
                <a:lumOff val="60000"/>
              </a:schemeClr>
            </a:solidFill>
            <a:ln>
              <a:noFill/>
            </a:ln>
            <a:effectLst/>
          </c:spPr>
          <c:invertIfNegative val="0"/>
          <c:cat>
            <c:strRef>
              <c:f>Report!$B$67:$B$75</c:f>
              <c:strCache>
                <c:ptCount val="9"/>
                <c:pt idx="0">
                  <c:v>World</c:v>
                </c:pt>
                <c:pt idx="1">
                  <c:v>Advanced Economies</c:v>
                </c:pt>
                <c:pt idx="2">
                  <c:v>Emerging Economies</c:v>
                </c:pt>
                <c:pt idx="3">
                  <c:v>Euro Area</c:v>
                </c:pt>
                <c:pt idx="4">
                  <c:v>US</c:v>
                </c:pt>
                <c:pt idx="5">
                  <c:v>Japan</c:v>
                </c:pt>
                <c:pt idx="6">
                  <c:v>UK</c:v>
                </c:pt>
                <c:pt idx="7">
                  <c:v>China</c:v>
                </c:pt>
                <c:pt idx="8">
                  <c:v>India</c:v>
                </c:pt>
              </c:strCache>
            </c:strRef>
          </c:cat>
          <c:val>
            <c:numRef>
              <c:f>Report!$E$67:$E$75</c:f>
              <c:numCache>
                <c:formatCode>0.00%</c:formatCode>
                <c:ptCount val="9"/>
                <c:pt idx="0">
                  <c:v>0.03</c:v>
                </c:pt>
                <c:pt idx="1">
                  <c:v>1.4999999999999999E-2</c:v>
                </c:pt>
                <c:pt idx="2">
                  <c:v>3.9E-2</c:v>
                </c:pt>
                <c:pt idx="3">
                  <c:v>1.2E-2</c:v>
                </c:pt>
                <c:pt idx="4">
                  <c:v>1.7000000000000001E-2</c:v>
                </c:pt>
                <c:pt idx="5">
                  <c:v>6.0000000000000001E-3</c:v>
                </c:pt>
                <c:pt idx="6">
                  <c:v>1.3999999999999999E-2</c:v>
                </c:pt>
                <c:pt idx="7">
                  <c:v>0.04</c:v>
                </c:pt>
                <c:pt idx="8">
                  <c:v>6.3E-2</c:v>
                </c:pt>
              </c:numCache>
            </c:numRef>
          </c:val>
          <c:extLst>
            <c:ext xmlns:c16="http://schemas.microsoft.com/office/drawing/2014/chart" uri="{C3380CC4-5D6E-409C-BE32-E72D297353CC}">
              <c16:uniqueId val="{00000002-6519-4775-A2F6-00970D21E22B}"/>
            </c:ext>
          </c:extLst>
        </c:ser>
        <c:dLbls>
          <c:showLegendKey val="0"/>
          <c:showVal val="0"/>
          <c:showCatName val="0"/>
          <c:showSerName val="0"/>
          <c:showPercent val="0"/>
          <c:showBubbleSize val="0"/>
        </c:dLbls>
        <c:gapWidth val="182"/>
        <c:axId val="1121823440"/>
        <c:axId val="1121822352"/>
      </c:barChart>
      <c:catAx>
        <c:axId val="1121823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1822352"/>
        <c:crosses val="autoZero"/>
        <c:auto val="1"/>
        <c:lblAlgn val="ctr"/>
        <c:lblOffset val="100"/>
        <c:noMultiLvlLbl val="0"/>
      </c:catAx>
      <c:valAx>
        <c:axId val="1121822352"/>
        <c:scaling>
          <c:orientation val="minMax"/>
          <c:min val="5.000000000000001E-3"/>
        </c:scaling>
        <c:delete val="0"/>
        <c:axPos val="t"/>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1823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India</a:t>
            </a:r>
            <a:r>
              <a:rPr lang="en-IN" b="1" baseline="0"/>
              <a:t> vs Global GDP Growth</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Report!$C$79</c:f>
              <c:strCache>
                <c:ptCount val="1"/>
                <c:pt idx="0">
                  <c:v>India</c:v>
                </c:pt>
              </c:strCache>
            </c:strRef>
          </c:tx>
          <c:spPr>
            <a:solidFill>
              <a:schemeClr val="accent1"/>
            </a:solidFill>
            <a:ln>
              <a:noFill/>
            </a:ln>
            <a:effectLst/>
          </c:spPr>
          <c:invertIfNegative val="0"/>
          <c:cat>
            <c:strRef>
              <c:f>Report!$B$80:$B$87</c:f>
              <c:strCache>
                <c:ptCount val="8"/>
                <c:pt idx="0">
                  <c:v>2018</c:v>
                </c:pt>
                <c:pt idx="1">
                  <c:v>2019</c:v>
                </c:pt>
                <c:pt idx="2">
                  <c:v>2020</c:v>
                </c:pt>
                <c:pt idx="3">
                  <c:v>2021</c:v>
                </c:pt>
                <c:pt idx="4">
                  <c:v>2022</c:v>
                </c:pt>
                <c:pt idx="5">
                  <c:v>2023</c:v>
                </c:pt>
                <c:pt idx="6">
                  <c:v>2024</c:v>
                </c:pt>
                <c:pt idx="7">
                  <c:v>2025P</c:v>
                </c:pt>
              </c:strCache>
            </c:strRef>
          </c:cat>
          <c:val>
            <c:numRef>
              <c:f>Report!$C$80:$C$87</c:f>
              <c:numCache>
                <c:formatCode>0.0%</c:formatCode>
                <c:ptCount val="8"/>
                <c:pt idx="0">
                  <c:v>6.8000000000000005E-2</c:v>
                </c:pt>
                <c:pt idx="1">
                  <c:v>6.5000000000000002E-2</c:v>
                </c:pt>
                <c:pt idx="2">
                  <c:v>3.9E-2</c:v>
                </c:pt>
                <c:pt idx="3">
                  <c:v>-5.7999999999999996E-2</c:v>
                </c:pt>
                <c:pt idx="4">
                  <c:v>9.6999999999999989E-2</c:v>
                </c:pt>
                <c:pt idx="5">
                  <c:v>7.5999999999999998E-2</c:v>
                </c:pt>
                <c:pt idx="6">
                  <c:v>9.1999999999999998E-2</c:v>
                </c:pt>
                <c:pt idx="7">
                  <c:v>6.5000000000000002E-2</c:v>
                </c:pt>
              </c:numCache>
            </c:numRef>
          </c:val>
          <c:extLst>
            <c:ext xmlns:c16="http://schemas.microsoft.com/office/drawing/2014/chart" uri="{C3380CC4-5D6E-409C-BE32-E72D297353CC}">
              <c16:uniqueId val="{00000000-D7F7-477C-ABA3-54A704D2C8E1}"/>
            </c:ext>
          </c:extLst>
        </c:ser>
        <c:dLbls>
          <c:showLegendKey val="0"/>
          <c:showVal val="0"/>
          <c:showCatName val="0"/>
          <c:showSerName val="0"/>
          <c:showPercent val="0"/>
          <c:showBubbleSize val="0"/>
        </c:dLbls>
        <c:gapWidth val="219"/>
        <c:overlap val="-27"/>
        <c:axId val="1121828336"/>
        <c:axId val="1121817456"/>
      </c:barChart>
      <c:lineChart>
        <c:grouping val="standard"/>
        <c:varyColors val="0"/>
        <c:ser>
          <c:idx val="1"/>
          <c:order val="1"/>
          <c:tx>
            <c:strRef>
              <c:f>Report!$D$79</c:f>
              <c:strCache>
                <c:ptCount val="1"/>
                <c:pt idx="0">
                  <c:v>World</c:v>
                </c:pt>
              </c:strCache>
            </c:strRef>
          </c:tx>
          <c:spPr>
            <a:ln w="28575" cap="rnd">
              <a:solidFill>
                <a:schemeClr val="tx2">
                  <a:lumMod val="40000"/>
                  <a:lumOff val="60000"/>
                </a:schemeClr>
              </a:solidFill>
              <a:round/>
            </a:ln>
            <a:effectLst/>
          </c:spPr>
          <c:marker>
            <c:symbol val="square"/>
            <c:size val="3"/>
            <c:spPr>
              <a:solidFill>
                <a:schemeClr val="tx1">
                  <a:alpha val="59000"/>
                </a:schemeClr>
              </a:solidFill>
              <a:ln w="9525">
                <a:solidFill>
                  <a:schemeClr val="tx1"/>
                </a:solidFill>
              </a:ln>
              <a:effectLst/>
            </c:spPr>
          </c:marker>
          <c:cat>
            <c:strRef>
              <c:f>Report!$B$80:$B$87</c:f>
              <c:strCache>
                <c:ptCount val="8"/>
                <c:pt idx="0">
                  <c:v>2018</c:v>
                </c:pt>
                <c:pt idx="1">
                  <c:v>2019</c:v>
                </c:pt>
                <c:pt idx="2">
                  <c:v>2020</c:v>
                </c:pt>
                <c:pt idx="3">
                  <c:v>2021</c:v>
                </c:pt>
                <c:pt idx="4">
                  <c:v>2022</c:v>
                </c:pt>
                <c:pt idx="5">
                  <c:v>2023</c:v>
                </c:pt>
                <c:pt idx="6">
                  <c:v>2024</c:v>
                </c:pt>
                <c:pt idx="7">
                  <c:v>2025P</c:v>
                </c:pt>
              </c:strCache>
            </c:strRef>
          </c:cat>
          <c:val>
            <c:numRef>
              <c:f>Report!$D$80:$D$87</c:f>
              <c:numCache>
                <c:formatCode>0.00%</c:formatCode>
                <c:ptCount val="8"/>
                <c:pt idx="0">
                  <c:v>3.2800000000000003E-2</c:v>
                </c:pt>
                <c:pt idx="1">
                  <c:v>2.69E-2</c:v>
                </c:pt>
                <c:pt idx="2">
                  <c:v>-3.0700000000000002E-2</c:v>
                </c:pt>
                <c:pt idx="3">
                  <c:v>6.0199999999999997E-2</c:v>
                </c:pt>
                <c:pt idx="4">
                  <c:v>3.0800000000000001E-2</c:v>
                </c:pt>
                <c:pt idx="5">
                  <c:v>2.8299999999999999E-2</c:v>
                </c:pt>
                <c:pt idx="6">
                  <c:v>3.2000000000000001E-2</c:v>
                </c:pt>
                <c:pt idx="7">
                  <c:v>0.03</c:v>
                </c:pt>
              </c:numCache>
            </c:numRef>
          </c:val>
          <c:smooth val="0"/>
          <c:extLst>
            <c:ext xmlns:c16="http://schemas.microsoft.com/office/drawing/2014/chart" uri="{C3380CC4-5D6E-409C-BE32-E72D297353CC}">
              <c16:uniqueId val="{00000001-D7F7-477C-ABA3-54A704D2C8E1}"/>
            </c:ext>
          </c:extLst>
        </c:ser>
        <c:dLbls>
          <c:showLegendKey val="0"/>
          <c:showVal val="0"/>
          <c:showCatName val="0"/>
          <c:showSerName val="0"/>
          <c:showPercent val="0"/>
          <c:showBubbleSize val="0"/>
        </c:dLbls>
        <c:marker val="1"/>
        <c:smooth val="0"/>
        <c:axId val="1121828336"/>
        <c:axId val="1121817456"/>
      </c:lineChart>
      <c:catAx>
        <c:axId val="112182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1817456"/>
        <c:crosses val="autoZero"/>
        <c:auto val="1"/>
        <c:lblAlgn val="ctr"/>
        <c:lblOffset val="100"/>
        <c:noMultiLvlLbl val="0"/>
      </c:catAx>
      <c:valAx>
        <c:axId val="11218174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1828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Indian GDP Quarterly Growth - Actual vs Projected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Report!$D$90</c:f>
              <c:strCache>
                <c:ptCount val="1"/>
                <c:pt idx="0">
                  <c:v>Actual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t" anchorCtr="0">
                <a:spAutoFit/>
              </a:bodyPr>
              <a:lstStyle/>
              <a:p>
                <a:pPr algn="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Report!$C$91:$C$98</c:f>
              <c:strCache>
                <c:ptCount val="8"/>
                <c:pt idx="0">
                  <c:v>Q1FY24</c:v>
                </c:pt>
                <c:pt idx="1">
                  <c:v>Q2FY24</c:v>
                </c:pt>
                <c:pt idx="2">
                  <c:v>Q3FY24</c:v>
                </c:pt>
                <c:pt idx="3">
                  <c:v>Q4FY24</c:v>
                </c:pt>
                <c:pt idx="4">
                  <c:v>Q1FY25</c:v>
                </c:pt>
                <c:pt idx="5">
                  <c:v>Q2FY25</c:v>
                </c:pt>
                <c:pt idx="6">
                  <c:v>Q3FY25</c:v>
                </c:pt>
                <c:pt idx="7">
                  <c:v>Q4FY25</c:v>
                </c:pt>
              </c:strCache>
            </c:strRef>
          </c:cat>
          <c:val>
            <c:numRef>
              <c:f>Report!$D$91:$D$98</c:f>
              <c:numCache>
                <c:formatCode>0.00%</c:formatCode>
                <c:ptCount val="8"/>
                <c:pt idx="0">
                  <c:v>7.8E-2</c:v>
                </c:pt>
                <c:pt idx="1">
                  <c:v>7.5999999999999998E-2</c:v>
                </c:pt>
                <c:pt idx="2">
                  <c:v>8.4000000000000005E-2</c:v>
                </c:pt>
                <c:pt idx="3">
                  <c:v>7.8E-2</c:v>
                </c:pt>
                <c:pt idx="4">
                  <c:v>6.7000000000000004E-2</c:v>
                </c:pt>
                <c:pt idx="5">
                  <c:v>5.3999999999999999E-2</c:v>
                </c:pt>
                <c:pt idx="6">
                  <c:v>6.2E-2</c:v>
                </c:pt>
                <c:pt idx="7">
                  <c:v>7.3999999999999996E-2</c:v>
                </c:pt>
              </c:numCache>
            </c:numRef>
          </c:val>
          <c:extLst>
            <c:ext xmlns:c16="http://schemas.microsoft.com/office/drawing/2014/chart" uri="{C3380CC4-5D6E-409C-BE32-E72D297353CC}">
              <c16:uniqueId val="{00000000-D12C-4AF8-8D71-4C223CF23982}"/>
            </c:ext>
          </c:extLst>
        </c:ser>
        <c:ser>
          <c:idx val="1"/>
          <c:order val="1"/>
          <c:tx>
            <c:strRef>
              <c:f>Report!$E$90</c:f>
              <c:strCache>
                <c:ptCount val="1"/>
                <c:pt idx="0">
                  <c:v>Forcasted</c:v>
                </c:pt>
              </c:strCache>
            </c:strRef>
          </c:tx>
          <c:spPr>
            <a:solidFill>
              <a:schemeClr val="accent1">
                <a:lumMod val="40000"/>
                <a:lumOff val="6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Report!$C$91:$C$98</c:f>
              <c:strCache>
                <c:ptCount val="8"/>
                <c:pt idx="0">
                  <c:v>Q1FY24</c:v>
                </c:pt>
                <c:pt idx="1">
                  <c:v>Q2FY24</c:v>
                </c:pt>
                <c:pt idx="2">
                  <c:v>Q3FY24</c:v>
                </c:pt>
                <c:pt idx="3">
                  <c:v>Q4FY24</c:v>
                </c:pt>
                <c:pt idx="4">
                  <c:v>Q1FY25</c:v>
                </c:pt>
                <c:pt idx="5">
                  <c:v>Q2FY25</c:v>
                </c:pt>
                <c:pt idx="6">
                  <c:v>Q3FY25</c:v>
                </c:pt>
                <c:pt idx="7">
                  <c:v>Q4FY25</c:v>
                </c:pt>
              </c:strCache>
            </c:strRef>
          </c:cat>
          <c:val>
            <c:numRef>
              <c:f>Report!$E$91:$E$98</c:f>
              <c:numCache>
                <c:formatCode>0.00%</c:formatCode>
                <c:ptCount val="8"/>
                <c:pt idx="0">
                  <c:v>7.6999999999999999E-2</c:v>
                </c:pt>
                <c:pt idx="1">
                  <c:v>6.8000000000000005E-2</c:v>
                </c:pt>
                <c:pt idx="2">
                  <c:v>6.6000000000000003E-2</c:v>
                </c:pt>
                <c:pt idx="3">
                  <c:v>6.7000000000000004E-2</c:v>
                </c:pt>
                <c:pt idx="4">
                  <c:v>6.9000000000000006E-2</c:v>
                </c:pt>
                <c:pt idx="5">
                  <c:v>6.5000000000000002E-2</c:v>
                </c:pt>
                <c:pt idx="6">
                  <c:v>6.3E-2</c:v>
                </c:pt>
                <c:pt idx="7">
                  <c:v>6.7000000000000004E-2</c:v>
                </c:pt>
              </c:numCache>
            </c:numRef>
          </c:val>
          <c:extLst>
            <c:ext xmlns:c16="http://schemas.microsoft.com/office/drawing/2014/chart" uri="{C3380CC4-5D6E-409C-BE32-E72D297353CC}">
              <c16:uniqueId val="{00000001-D12C-4AF8-8D71-4C223CF23982}"/>
            </c:ext>
          </c:extLst>
        </c:ser>
        <c:dLbls>
          <c:dLblPos val="outEnd"/>
          <c:showLegendKey val="0"/>
          <c:showVal val="1"/>
          <c:showCatName val="0"/>
          <c:showSerName val="0"/>
          <c:showPercent val="0"/>
          <c:showBubbleSize val="0"/>
        </c:dLbls>
        <c:gapWidth val="219"/>
        <c:overlap val="-27"/>
        <c:axId val="1121826160"/>
        <c:axId val="1121819632"/>
      </c:barChart>
      <c:catAx>
        <c:axId val="112182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19632"/>
        <c:crosses val="autoZero"/>
        <c:auto val="1"/>
        <c:lblAlgn val="ctr"/>
        <c:lblOffset val="100"/>
        <c:noMultiLvlLbl val="0"/>
      </c:catAx>
      <c:valAx>
        <c:axId val="1121819632"/>
        <c:scaling>
          <c:orientation val="minMax"/>
          <c:min val="2.0000000000000004E-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26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Growth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Report!$J$123</c:f>
              <c:strCache>
                <c:ptCount val="1"/>
                <c:pt idx="0">
                  <c:v>Revenue in billion $</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D87B-4882-841F-159EE340702D}"/>
              </c:ext>
            </c:extLst>
          </c:dPt>
          <c:dPt>
            <c:idx val="1"/>
            <c:invertIfNegative val="0"/>
            <c:bubble3D val="0"/>
            <c:spPr>
              <a:solidFill>
                <a:srgbClr val="00B0F0"/>
              </a:solidFill>
              <a:ln>
                <a:noFill/>
              </a:ln>
              <a:effectLst/>
            </c:spPr>
            <c:extLst>
              <c:ext xmlns:c16="http://schemas.microsoft.com/office/drawing/2014/chart" uri="{C3380CC4-5D6E-409C-BE32-E72D297353CC}">
                <c16:uniqueId val="{00000003-D87B-4882-841F-159EE340702D}"/>
              </c:ext>
            </c:extLst>
          </c:dPt>
          <c:dPt>
            <c:idx val="2"/>
            <c:invertIfNegative val="0"/>
            <c:bubble3D val="0"/>
            <c:spPr>
              <a:solidFill>
                <a:srgbClr val="00B0F0"/>
              </a:solidFill>
              <a:ln>
                <a:noFill/>
              </a:ln>
              <a:effectLst/>
            </c:spPr>
            <c:extLst>
              <c:ext xmlns:c16="http://schemas.microsoft.com/office/drawing/2014/chart" uri="{C3380CC4-5D6E-409C-BE32-E72D297353CC}">
                <c16:uniqueId val="{00000005-D87B-4882-841F-159EE340702D}"/>
              </c:ext>
            </c:extLst>
          </c:dPt>
          <c:dPt>
            <c:idx val="3"/>
            <c:invertIfNegative val="0"/>
            <c:bubble3D val="0"/>
            <c:spPr>
              <a:solidFill>
                <a:srgbClr val="00B0F0"/>
              </a:solidFill>
              <a:ln>
                <a:noFill/>
              </a:ln>
              <a:effectLst/>
            </c:spPr>
            <c:extLst>
              <c:ext xmlns:c16="http://schemas.microsoft.com/office/drawing/2014/chart" uri="{C3380CC4-5D6E-409C-BE32-E72D297353CC}">
                <c16:uniqueId val="{00000007-D87B-4882-841F-159EE340702D}"/>
              </c:ext>
            </c:extLst>
          </c:dPt>
          <c:dPt>
            <c:idx val="4"/>
            <c:invertIfNegative val="0"/>
            <c:bubble3D val="0"/>
            <c:spPr>
              <a:solidFill>
                <a:srgbClr val="00B0F0"/>
              </a:solidFill>
              <a:ln>
                <a:noFill/>
              </a:ln>
              <a:effectLst/>
            </c:spPr>
            <c:extLst>
              <c:ext xmlns:c16="http://schemas.microsoft.com/office/drawing/2014/chart" uri="{C3380CC4-5D6E-409C-BE32-E72D297353CC}">
                <c16:uniqueId val="{00000009-D87B-4882-841F-159EE340702D}"/>
              </c:ext>
            </c:extLst>
          </c:dPt>
          <c:dPt>
            <c:idx val="5"/>
            <c:invertIfNegative val="0"/>
            <c:bubble3D val="0"/>
            <c:spPr>
              <a:solidFill>
                <a:srgbClr val="00B0F0"/>
              </a:solidFill>
              <a:ln>
                <a:noFill/>
              </a:ln>
              <a:effectLst/>
            </c:spPr>
            <c:extLst>
              <c:ext xmlns:c16="http://schemas.microsoft.com/office/drawing/2014/chart" uri="{C3380CC4-5D6E-409C-BE32-E72D297353CC}">
                <c16:uniqueId val="{0000000B-D87B-4882-841F-159EE340702D}"/>
              </c:ext>
            </c:extLst>
          </c:dPt>
          <c:dPt>
            <c:idx val="6"/>
            <c:invertIfNegative val="0"/>
            <c:bubble3D val="0"/>
            <c:spPr>
              <a:solidFill>
                <a:srgbClr val="00B0F0"/>
              </a:solidFill>
              <a:ln>
                <a:noFill/>
              </a:ln>
              <a:effectLst/>
            </c:spPr>
            <c:extLst>
              <c:ext xmlns:c16="http://schemas.microsoft.com/office/drawing/2014/chart" uri="{C3380CC4-5D6E-409C-BE32-E72D297353CC}">
                <c16:uniqueId val="{0000000D-D87B-4882-841F-159EE340702D}"/>
              </c:ext>
            </c:extLst>
          </c:dPt>
          <c:dPt>
            <c:idx val="7"/>
            <c:invertIfNegative val="0"/>
            <c:bubble3D val="0"/>
            <c:spPr>
              <a:solidFill>
                <a:srgbClr val="2C338B"/>
              </a:solidFill>
              <a:ln>
                <a:noFill/>
              </a:ln>
              <a:effectLst/>
            </c:spPr>
            <c:extLst>
              <c:ext xmlns:c16="http://schemas.microsoft.com/office/drawing/2014/chart" uri="{C3380CC4-5D6E-409C-BE32-E72D297353CC}">
                <c16:uniqueId val="{0000000F-D87B-4882-841F-159EE340702D}"/>
              </c:ext>
            </c:extLst>
          </c:dPt>
          <c:dPt>
            <c:idx val="8"/>
            <c:invertIfNegative val="0"/>
            <c:bubble3D val="0"/>
            <c:spPr>
              <a:solidFill>
                <a:srgbClr val="2C338B"/>
              </a:solidFill>
              <a:ln>
                <a:noFill/>
              </a:ln>
              <a:effectLst/>
            </c:spPr>
            <c:extLst>
              <c:ext xmlns:c16="http://schemas.microsoft.com/office/drawing/2014/chart" uri="{C3380CC4-5D6E-409C-BE32-E72D297353CC}">
                <c16:uniqueId val="{00000011-D87B-4882-841F-159EE340702D}"/>
              </c:ext>
            </c:extLst>
          </c:dPt>
          <c:dPt>
            <c:idx val="9"/>
            <c:invertIfNegative val="0"/>
            <c:bubble3D val="0"/>
            <c:spPr>
              <a:solidFill>
                <a:srgbClr val="2C338B"/>
              </a:solidFill>
              <a:ln>
                <a:noFill/>
              </a:ln>
              <a:effectLst/>
            </c:spPr>
            <c:extLst>
              <c:ext xmlns:c16="http://schemas.microsoft.com/office/drawing/2014/chart" uri="{C3380CC4-5D6E-409C-BE32-E72D297353CC}">
                <c16:uniqueId val="{00000013-D87B-4882-841F-159EE340702D}"/>
              </c:ext>
            </c:extLst>
          </c:dPt>
          <c:dPt>
            <c:idx val="10"/>
            <c:invertIfNegative val="0"/>
            <c:bubble3D val="0"/>
            <c:spPr>
              <a:solidFill>
                <a:srgbClr val="2C338B"/>
              </a:solidFill>
              <a:ln>
                <a:noFill/>
              </a:ln>
              <a:effectLst/>
            </c:spPr>
            <c:extLst>
              <c:ext xmlns:c16="http://schemas.microsoft.com/office/drawing/2014/chart" uri="{C3380CC4-5D6E-409C-BE32-E72D297353CC}">
                <c16:uniqueId val="{00000015-D87B-4882-841F-159EE340702D}"/>
              </c:ext>
            </c:extLst>
          </c:dPt>
          <c:dPt>
            <c:idx val="11"/>
            <c:invertIfNegative val="0"/>
            <c:bubble3D val="0"/>
            <c:spPr>
              <a:solidFill>
                <a:srgbClr val="2C338B"/>
              </a:solidFill>
              <a:ln>
                <a:noFill/>
              </a:ln>
              <a:effectLst/>
            </c:spPr>
            <c:extLst>
              <c:ext xmlns:c16="http://schemas.microsoft.com/office/drawing/2014/chart" uri="{C3380CC4-5D6E-409C-BE32-E72D297353CC}">
                <c16:uniqueId val="{00000017-D87B-4882-841F-159EE34070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Report!$I$124:$I$135</c:f>
              <c:numCache>
                <c:formatCode>0"A"</c:formatCode>
                <c:ptCount val="12"/>
                <c:pt idx="0">
                  <c:v>2018</c:v>
                </c:pt>
                <c:pt idx="1">
                  <c:v>2019</c:v>
                </c:pt>
                <c:pt idx="2">
                  <c:v>2020</c:v>
                </c:pt>
                <c:pt idx="3">
                  <c:v>2021</c:v>
                </c:pt>
                <c:pt idx="4">
                  <c:v>2022</c:v>
                </c:pt>
                <c:pt idx="5">
                  <c:v>2023</c:v>
                </c:pt>
                <c:pt idx="6">
                  <c:v>2024</c:v>
                </c:pt>
                <c:pt idx="7" formatCode="0&quot;F&quot;">
                  <c:v>2025</c:v>
                </c:pt>
                <c:pt idx="8" formatCode="0&quot;F&quot;">
                  <c:v>2026</c:v>
                </c:pt>
                <c:pt idx="9" formatCode="0&quot;F&quot;">
                  <c:v>2027</c:v>
                </c:pt>
                <c:pt idx="10" formatCode="0&quot;F&quot;">
                  <c:v>2028</c:v>
                </c:pt>
                <c:pt idx="11" formatCode="0&quot;F&quot;">
                  <c:v>2029</c:v>
                </c:pt>
              </c:numCache>
            </c:numRef>
          </c:cat>
          <c:val>
            <c:numRef>
              <c:f>Report!$J$124:$J$135</c:f>
              <c:numCache>
                <c:formatCode>General</c:formatCode>
                <c:ptCount val="12"/>
                <c:pt idx="0">
                  <c:v>1.71</c:v>
                </c:pt>
                <c:pt idx="1">
                  <c:v>1.91</c:v>
                </c:pt>
                <c:pt idx="2">
                  <c:v>2.13</c:v>
                </c:pt>
                <c:pt idx="3">
                  <c:v>2.38</c:v>
                </c:pt>
                <c:pt idx="4">
                  <c:v>2.67</c:v>
                </c:pt>
                <c:pt idx="5">
                  <c:v>3.01</c:v>
                </c:pt>
                <c:pt idx="6">
                  <c:v>3.41</c:v>
                </c:pt>
                <c:pt idx="7">
                  <c:v>3.91</c:v>
                </c:pt>
                <c:pt idx="8">
                  <c:v>4.47</c:v>
                </c:pt>
                <c:pt idx="9">
                  <c:v>5.14</c:v>
                </c:pt>
                <c:pt idx="10">
                  <c:v>5.96</c:v>
                </c:pt>
                <c:pt idx="11">
                  <c:v>6.67</c:v>
                </c:pt>
              </c:numCache>
            </c:numRef>
          </c:val>
          <c:extLst>
            <c:ext xmlns:c16="http://schemas.microsoft.com/office/drawing/2014/chart" uri="{C3380CC4-5D6E-409C-BE32-E72D297353CC}">
              <c16:uniqueId val="{00000018-D87B-4882-841F-159EE340702D}"/>
            </c:ext>
          </c:extLst>
        </c:ser>
        <c:dLbls>
          <c:dLblPos val="outEnd"/>
          <c:showLegendKey val="0"/>
          <c:showVal val="1"/>
          <c:showCatName val="0"/>
          <c:showSerName val="0"/>
          <c:showPercent val="0"/>
          <c:showBubbleSize val="0"/>
        </c:dLbls>
        <c:gapWidth val="219"/>
        <c:overlap val="-27"/>
        <c:axId val="1121827792"/>
        <c:axId val="1121821808"/>
      </c:barChart>
      <c:catAx>
        <c:axId val="1121827792"/>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1821808"/>
        <c:crosses val="autoZero"/>
        <c:auto val="1"/>
        <c:lblAlgn val="ctr"/>
        <c:lblOffset val="100"/>
        <c:noMultiLvlLbl val="0"/>
      </c:catAx>
      <c:valAx>
        <c:axId val="1121821808"/>
        <c:scaling>
          <c:orientation val="minMax"/>
          <c:min val="1"/>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27792"/>
        <c:crosses val="autoZero"/>
        <c:crossBetween val="between"/>
        <c:majorUnit val="1"/>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Report!$G$158</c:f>
              <c:strCache>
                <c:ptCount val="1"/>
                <c:pt idx="0">
                  <c:v>Capex</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8232-4E18-A734-4A52C1013907}"/>
              </c:ext>
            </c:extLst>
          </c:dPt>
          <c:dPt>
            <c:idx val="1"/>
            <c:invertIfNegative val="0"/>
            <c:bubble3D val="0"/>
            <c:spPr>
              <a:solidFill>
                <a:srgbClr val="00B0F0"/>
              </a:solidFill>
              <a:ln>
                <a:noFill/>
              </a:ln>
              <a:effectLst/>
            </c:spPr>
            <c:extLst>
              <c:ext xmlns:c16="http://schemas.microsoft.com/office/drawing/2014/chart" uri="{C3380CC4-5D6E-409C-BE32-E72D297353CC}">
                <c16:uniqueId val="{00000003-8232-4E18-A734-4A52C1013907}"/>
              </c:ext>
            </c:extLst>
          </c:dPt>
          <c:dPt>
            <c:idx val="2"/>
            <c:invertIfNegative val="0"/>
            <c:bubble3D val="0"/>
            <c:spPr>
              <a:solidFill>
                <a:srgbClr val="00B0F0"/>
              </a:solidFill>
              <a:ln>
                <a:noFill/>
              </a:ln>
              <a:effectLst/>
            </c:spPr>
            <c:extLst>
              <c:ext xmlns:c16="http://schemas.microsoft.com/office/drawing/2014/chart" uri="{C3380CC4-5D6E-409C-BE32-E72D297353CC}">
                <c16:uniqueId val="{00000005-8232-4E18-A734-4A52C1013907}"/>
              </c:ext>
            </c:extLst>
          </c:dPt>
          <c:dPt>
            <c:idx val="3"/>
            <c:invertIfNegative val="0"/>
            <c:bubble3D val="0"/>
            <c:spPr>
              <a:solidFill>
                <a:srgbClr val="00B0F0"/>
              </a:solidFill>
              <a:ln>
                <a:noFill/>
              </a:ln>
              <a:effectLst/>
            </c:spPr>
            <c:extLst>
              <c:ext xmlns:c16="http://schemas.microsoft.com/office/drawing/2014/chart" uri="{C3380CC4-5D6E-409C-BE32-E72D297353CC}">
                <c16:uniqueId val="{00000007-8232-4E18-A734-4A52C1013907}"/>
              </c:ext>
            </c:extLst>
          </c:dPt>
          <c:dPt>
            <c:idx val="4"/>
            <c:invertIfNegative val="0"/>
            <c:bubble3D val="0"/>
            <c:spPr>
              <a:solidFill>
                <a:srgbClr val="00B0F0"/>
              </a:solidFill>
              <a:ln>
                <a:noFill/>
              </a:ln>
              <a:effectLst/>
            </c:spPr>
            <c:extLst>
              <c:ext xmlns:c16="http://schemas.microsoft.com/office/drawing/2014/chart" uri="{C3380CC4-5D6E-409C-BE32-E72D297353CC}">
                <c16:uniqueId val="{00000009-8232-4E18-A734-4A52C1013907}"/>
              </c:ext>
            </c:extLst>
          </c:dPt>
          <c:dPt>
            <c:idx val="5"/>
            <c:invertIfNegative val="0"/>
            <c:bubble3D val="0"/>
            <c:spPr>
              <a:solidFill>
                <a:srgbClr val="2C338B"/>
              </a:solidFill>
              <a:ln>
                <a:noFill/>
              </a:ln>
              <a:effectLst/>
            </c:spPr>
            <c:extLst>
              <c:ext xmlns:c16="http://schemas.microsoft.com/office/drawing/2014/chart" uri="{C3380CC4-5D6E-409C-BE32-E72D297353CC}">
                <c16:uniqueId val="{0000000B-8232-4E18-A734-4A52C1013907}"/>
              </c:ext>
            </c:extLst>
          </c:dPt>
          <c:dPt>
            <c:idx val="6"/>
            <c:invertIfNegative val="0"/>
            <c:bubble3D val="0"/>
            <c:spPr>
              <a:solidFill>
                <a:srgbClr val="2C338B"/>
              </a:solidFill>
              <a:ln>
                <a:noFill/>
              </a:ln>
              <a:effectLst/>
            </c:spPr>
            <c:extLst>
              <c:ext xmlns:c16="http://schemas.microsoft.com/office/drawing/2014/chart" uri="{C3380CC4-5D6E-409C-BE32-E72D297353CC}">
                <c16:uniqueId val="{0000000D-8232-4E18-A734-4A52C10139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Report!$H$157:$N$157</c:f>
              <c:numCache>
                <c:formatCode>0"A"</c:formatCode>
                <c:ptCount val="7"/>
                <c:pt idx="0">
                  <c:v>2021</c:v>
                </c:pt>
                <c:pt idx="1">
                  <c:v>2022</c:v>
                </c:pt>
                <c:pt idx="2">
                  <c:v>2023</c:v>
                </c:pt>
                <c:pt idx="3">
                  <c:v>2024</c:v>
                </c:pt>
                <c:pt idx="4">
                  <c:v>2025</c:v>
                </c:pt>
                <c:pt idx="5" formatCode="0&quot;F&quot;">
                  <c:v>2026</c:v>
                </c:pt>
                <c:pt idx="6" formatCode="0&quot;F&quot;">
                  <c:v>2027</c:v>
                </c:pt>
              </c:numCache>
            </c:numRef>
          </c:cat>
          <c:val>
            <c:numRef>
              <c:f>Report!$H$158:$N$158</c:f>
              <c:numCache>
                <c:formatCode>0</c:formatCode>
                <c:ptCount val="7"/>
                <c:pt idx="0">
                  <c:v>307.6859</c:v>
                </c:pt>
                <c:pt idx="1">
                  <c:v>2325.3680000000004</c:v>
                </c:pt>
                <c:pt idx="2">
                  <c:v>826.02110000000005</c:v>
                </c:pt>
                <c:pt idx="3">
                  <c:v>381.7041999999999</c:v>
                </c:pt>
                <c:pt idx="4">
                  <c:v>519</c:v>
                </c:pt>
                <c:pt idx="5">
                  <c:v>652.91502000000003</c:v>
                </c:pt>
                <c:pt idx="6">
                  <c:v>717.08599830000003</c:v>
                </c:pt>
              </c:numCache>
            </c:numRef>
          </c:val>
          <c:extLst>
            <c:ext xmlns:c16="http://schemas.microsoft.com/office/drawing/2014/chart" uri="{C3380CC4-5D6E-409C-BE32-E72D297353CC}">
              <c16:uniqueId val="{0000000E-8232-4E18-A734-4A52C1013907}"/>
            </c:ext>
          </c:extLst>
        </c:ser>
        <c:dLbls>
          <c:dLblPos val="outEnd"/>
          <c:showLegendKey val="0"/>
          <c:showVal val="1"/>
          <c:showCatName val="0"/>
          <c:showSerName val="0"/>
          <c:showPercent val="0"/>
          <c:showBubbleSize val="0"/>
        </c:dLbls>
        <c:gapWidth val="219"/>
        <c:overlap val="-27"/>
        <c:axId val="1121819088"/>
        <c:axId val="1121825616"/>
      </c:barChart>
      <c:catAx>
        <c:axId val="112181908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1825616"/>
        <c:crosses val="autoZero"/>
        <c:auto val="1"/>
        <c:lblAlgn val="ctr"/>
        <c:lblOffset val="100"/>
        <c:noMultiLvlLbl val="0"/>
      </c:catAx>
      <c:valAx>
        <c:axId val="11218256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18190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21-4827-8AD6-6479969DA8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21-4827-8AD6-6479969DA8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21-4827-8AD6-6479969DA8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21-4827-8AD6-6479969DA8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21-4827-8AD6-6479969DA8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021-4827-8AD6-6479969DA84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021-4827-8AD6-6479969DA84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021-4827-8AD6-6479969DA84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021-4827-8AD6-6479969DA846}"/>
              </c:ext>
            </c:extLst>
          </c:dPt>
          <c:cat>
            <c:strRef>
              <c:f>Report!$G$192:$G$200</c:f>
              <c:strCache>
                <c:ptCount val="9"/>
                <c:pt idx="0">
                  <c:v>Manforce</c:v>
                </c:pt>
                <c:pt idx="1">
                  <c:v>Telmikind</c:v>
                </c:pt>
                <c:pt idx="2">
                  <c:v>Prega News</c:v>
                </c:pt>
                <c:pt idx="3">
                  <c:v>Unwanted 72</c:v>
                </c:pt>
                <c:pt idx="4">
                  <c:v>Amlokind</c:v>
                </c:pt>
                <c:pt idx="5">
                  <c:v>Candiforce </c:v>
                </c:pt>
                <c:pt idx="6">
                  <c:v>Moxikind</c:v>
                </c:pt>
                <c:pt idx="7">
                  <c:v>Dydroboon</c:v>
                </c:pt>
                <c:pt idx="8">
                  <c:v>Others</c:v>
                </c:pt>
              </c:strCache>
            </c:strRef>
          </c:cat>
          <c:val>
            <c:numRef>
              <c:f>Report!$H$192:$H$200</c:f>
              <c:numCache>
                <c:formatCode>0.0%</c:formatCode>
                <c:ptCount val="9"/>
                <c:pt idx="0">
                  <c:v>0.13300000000000001</c:v>
                </c:pt>
                <c:pt idx="1">
                  <c:v>0.11700000000000001</c:v>
                </c:pt>
                <c:pt idx="2">
                  <c:v>5.7000000000000002E-2</c:v>
                </c:pt>
                <c:pt idx="3">
                  <c:v>6.0999999999999999E-2</c:v>
                </c:pt>
                <c:pt idx="4">
                  <c:v>6.7000000000000004E-2</c:v>
                </c:pt>
                <c:pt idx="5">
                  <c:v>4.9000000000000002E-2</c:v>
                </c:pt>
                <c:pt idx="6">
                  <c:v>9.6000000000000002E-2</c:v>
                </c:pt>
                <c:pt idx="7">
                  <c:v>5.5E-2</c:v>
                </c:pt>
                <c:pt idx="8">
                  <c:v>0.36499999999999999</c:v>
                </c:pt>
              </c:numCache>
            </c:numRef>
          </c:val>
          <c:extLst>
            <c:ext xmlns:c16="http://schemas.microsoft.com/office/drawing/2014/chart" uri="{C3380CC4-5D6E-409C-BE32-E72D297353CC}">
              <c16:uniqueId val="{00000012-D021-4827-8AD6-6479969DA8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solidFill>
                  <a:srgbClr val="00B0F0"/>
                </a:solidFill>
              </a:rPr>
              <a:t>Revenue Growth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Report!$B$213</c:f>
              <c:strCache>
                <c:ptCount val="1"/>
                <c:pt idx="0">
                  <c:v>Revenue</c:v>
                </c:pt>
              </c:strCache>
            </c:strRef>
          </c:tx>
          <c:spPr>
            <a:solidFill>
              <a:schemeClr val="accent1"/>
            </a:solidFill>
            <a:ln>
              <a:noFill/>
            </a:ln>
            <a:effectLst/>
          </c:spPr>
          <c:invertIfNegative val="0"/>
          <c:dPt>
            <c:idx val="5"/>
            <c:invertIfNegative val="0"/>
            <c:bubble3D val="0"/>
            <c:spPr>
              <a:solidFill>
                <a:srgbClr val="2C338B"/>
              </a:solidFill>
              <a:ln>
                <a:noFill/>
              </a:ln>
              <a:effectLst/>
            </c:spPr>
            <c:extLst>
              <c:ext xmlns:c16="http://schemas.microsoft.com/office/drawing/2014/chart" uri="{C3380CC4-5D6E-409C-BE32-E72D297353CC}">
                <c16:uniqueId val="{00000001-3DAE-4E47-94D6-23E129B1F971}"/>
              </c:ext>
            </c:extLst>
          </c:dPt>
          <c:dPt>
            <c:idx val="6"/>
            <c:invertIfNegative val="0"/>
            <c:bubble3D val="0"/>
            <c:spPr>
              <a:solidFill>
                <a:srgbClr val="2C338B"/>
              </a:solidFill>
              <a:ln>
                <a:noFill/>
              </a:ln>
              <a:effectLst/>
            </c:spPr>
            <c:extLst>
              <c:ext xmlns:c16="http://schemas.microsoft.com/office/drawing/2014/chart" uri="{C3380CC4-5D6E-409C-BE32-E72D297353CC}">
                <c16:uniqueId val="{00000003-3DAE-4E47-94D6-23E129B1F971}"/>
              </c:ext>
            </c:extLst>
          </c:dPt>
          <c:dPt>
            <c:idx val="7"/>
            <c:invertIfNegative val="0"/>
            <c:bubble3D val="0"/>
            <c:spPr>
              <a:solidFill>
                <a:srgbClr val="2C338B"/>
              </a:solidFill>
              <a:ln>
                <a:noFill/>
              </a:ln>
              <a:effectLst/>
            </c:spPr>
            <c:extLst>
              <c:ext xmlns:c16="http://schemas.microsoft.com/office/drawing/2014/chart" uri="{C3380CC4-5D6E-409C-BE32-E72D297353CC}">
                <c16:uniqueId val="{00000005-3DAE-4E47-94D6-23E129B1F971}"/>
              </c:ext>
            </c:extLst>
          </c:dPt>
          <c:dPt>
            <c:idx val="8"/>
            <c:invertIfNegative val="0"/>
            <c:bubble3D val="0"/>
            <c:spPr>
              <a:solidFill>
                <a:srgbClr val="2C338B"/>
              </a:solidFill>
              <a:ln>
                <a:noFill/>
              </a:ln>
              <a:effectLst/>
            </c:spPr>
            <c:extLst>
              <c:ext xmlns:c16="http://schemas.microsoft.com/office/drawing/2014/chart" uri="{C3380CC4-5D6E-409C-BE32-E72D297353CC}">
                <c16:uniqueId val="{00000007-3DAE-4E47-94D6-23E129B1F971}"/>
              </c:ext>
            </c:extLst>
          </c:dPt>
          <c:dPt>
            <c:idx val="9"/>
            <c:invertIfNegative val="0"/>
            <c:bubble3D val="0"/>
            <c:spPr>
              <a:solidFill>
                <a:srgbClr val="2C338B"/>
              </a:solidFill>
              <a:ln>
                <a:noFill/>
              </a:ln>
              <a:effectLst/>
            </c:spPr>
            <c:extLst>
              <c:ext xmlns:c16="http://schemas.microsoft.com/office/drawing/2014/chart" uri="{C3380CC4-5D6E-409C-BE32-E72D297353CC}">
                <c16:uniqueId val="{00000009-3DAE-4E47-94D6-23E129B1F971}"/>
              </c:ext>
            </c:extLst>
          </c:dPt>
          <c:cat>
            <c:numRef>
              <c:f>Report!$C$212:$L$212</c:f>
              <c:numCache>
                <c:formatCode>0"A"</c:formatCode>
                <c:ptCount val="10"/>
                <c:pt idx="0">
                  <c:v>2021</c:v>
                </c:pt>
                <c:pt idx="1">
                  <c:v>2022</c:v>
                </c:pt>
                <c:pt idx="2">
                  <c:v>2023</c:v>
                </c:pt>
                <c:pt idx="3">
                  <c:v>2024</c:v>
                </c:pt>
                <c:pt idx="4">
                  <c:v>2025</c:v>
                </c:pt>
                <c:pt idx="5" formatCode="0&quot;P&quot;">
                  <c:v>2026</c:v>
                </c:pt>
                <c:pt idx="6" formatCode="0&quot;P&quot;">
                  <c:v>2027</c:v>
                </c:pt>
                <c:pt idx="7" formatCode="0&quot;P&quot;">
                  <c:v>2028</c:v>
                </c:pt>
                <c:pt idx="8" formatCode="0&quot;P&quot;">
                  <c:v>2029</c:v>
                </c:pt>
                <c:pt idx="9" formatCode="0&quot;P&quot;">
                  <c:v>2030</c:v>
                </c:pt>
              </c:numCache>
            </c:numRef>
          </c:cat>
          <c:val>
            <c:numRef>
              <c:f>Report!$C$213:$L$213</c:f>
              <c:numCache>
                <c:formatCode>#,##0</c:formatCode>
                <c:ptCount val="10"/>
                <c:pt idx="0">
                  <c:v>6223.8981999999996</c:v>
                </c:pt>
                <c:pt idx="1">
                  <c:v>7781.5551000000005</c:v>
                </c:pt>
                <c:pt idx="2">
                  <c:v>8749.4330000000009</c:v>
                </c:pt>
                <c:pt idx="3">
                  <c:v>10334.774599999999</c:v>
                </c:pt>
                <c:pt idx="4">
                  <c:v>12207</c:v>
                </c:pt>
                <c:pt idx="5">
                  <c:v>14404.259999999998</c:v>
                </c:pt>
                <c:pt idx="6">
                  <c:v>16780.962899999999</c:v>
                </c:pt>
                <c:pt idx="7">
                  <c:v>19298.107334999997</c:v>
                </c:pt>
                <c:pt idx="8">
                  <c:v>21903.351825224996</c:v>
                </c:pt>
                <c:pt idx="9">
                  <c:v>24531.754044251997</c:v>
                </c:pt>
              </c:numCache>
            </c:numRef>
          </c:val>
          <c:extLst>
            <c:ext xmlns:c16="http://schemas.microsoft.com/office/drawing/2014/chart" uri="{C3380CC4-5D6E-409C-BE32-E72D297353CC}">
              <c16:uniqueId val="{0000000A-3DAE-4E47-94D6-23E129B1F971}"/>
            </c:ext>
          </c:extLst>
        </c:ser>
        <c:dLbls>
          <c:showLegendKey val="0"/>
          <c:showVal val="0"/>
          <c:showCatName val="0"/>
          <c:showSerName val="0"/>
          <c:showPercent val="0"/>
          <c:showBubbleSize val="0"/>
        </c:dLbls>
        <c:gapWidth val="219"/>
        <c:overlap val="-27"/>
        <c:axId val="1121826704"/>
        <c:axId val="1121815824"/>
      </c:barChart>
      <c:lineChart>
        <c:grouping val="standard"/>
        <c:varyColors val="0"/>
        <c:ser>
          <c:idx val="1"/>
          <c:order val="1"/>
          <c:tx>
            <c:strRef>
              <c:f>Report!$B$214</c:f>
              <c:strCache>
                <c:ptCount val="1"/>
                <c:pt idx="0">
                  <c:v>YoY Growth %</c:v>
                </c:pt>
              </c:strCache>
            </c:strRef>
          </c:tx>
          <c:spPr>
            <a:ln w="28575" cap="rnd">
              <a:solidFill>
                <a:schemeClr val="bg1">
                  <a:lumMod val="50000"/>
                </a:schemeClr>
              </a:solidFill>
              <a:round/>
            </a:ln>
            <a:effectLst/>
          </c:spPr>
          <c:marker>
            <c:symbol val="circle"/>
            <c:size val="5"/>
            <c:spPr>
              <a:solidFill>
                <a:schemeClr val="bg1"/>
              </a:solidFill>
              <a:ln w="9525">
                <a:solidFill>
                  <a:schemeClr val="bg1">
                    <a:lumMod val="50000"/>
                  </a:schemeClr>
                </a:solidFill>
              </a:ln>
              <a:effectLst/>
            </c:spPr>
          </c:marker>
          <c:cat>
            <c:numRef>
              <c:f>Report!$C$212:$L$212</c:f>
              <c:numCache>
                <c:formatCode>0"A"</c:formatCode>
                <c:ptCount val="10"/>
                <c:pt idx="0">
                  <c:v>2021</c:v>
                </c:pt>
                <c:pt idx="1">
                  <c:v>2022</c:v>
                </c:pt>
                <c:pt idx="2">
                  <c:v>2023</c:v>
                </c:pt>
                <c:pt idx="3">
                  <c:v>2024</c:v>
                </c:pt>
                <c:pt idx="4">
                  <c:v>2025</c:v>
                </c:pt>
                <c:pt idx="5" formatCode="0&quot;P&quot;">
                  <c:v>2026</c:v>
                </c:pt>
                <c:pt idx="6" formatCode="0&quot;P&quot;">
                  <c:v>2027</c:v>
                </c:pt>
                <c:pt idx="7" formatCode="0&quot;P&quot;">
                  <c:v>2028</c:v>
                </c:pt>
                <c:pt idx="8" formatCode="0&quot;P&quot;">
                  <c:v>2029</c:v>
                </c:pt>
                <c:pt idx="9" formatCode="0&quot;P&quot;">
                  <c:v>2030</c:v>
                </c:pt>
              </c:numCache>
            </c:numRef>
          </c:cat>
          <c:val>
            <c:numRef>
              <c:f>Report!$C$214:$L$214</c:f>
              <c:numCache>
                <c:formatCode>0%</c:formatCode>
                <c:ptCount val="10"/>
                <c:pt idx="1">
                  <c:v>0.25027030487098911</c:v>
                </c:pt>
                <c:pt idx="2">
                  <c:v>0.12438103792389787</c:v>
                </c:pt>
                <c:pt idx="3">
                  <c:v>0.18119363849063097</c:v>
                </c:pt>
                <c:pt idx="4">
                  <c:v>0.18115783579837341</c:v>
                </c:pt>
                <c:pt idx="5">
                  <c:v>0.17999999999999994</c:v>
                </c:pt>
                <c:pt idx="6">
                  <c:v>0.16500000000000004</c:v>
                </c:pt>
                <c:pt idx="7">
                  <c:v>0.14999999999999991</c:v>
                </c:pt>
                <c:pt idx="8">
                  <c:v>0.13500000000000001</c:v>
                </c:pt>
                <c:pt idx="9">
                  <c:v>0.12000000000000011</c:v>
                </c:pt>
              </c:numCache>
            </c:numRef>
          </c:val>
          <c:smooth val="0"/>
          <c:extLst>
            <c:ext xmlns:c16="http://schemas.microsoft.com/office/drawing/2014/chart" uri="{C3380CC4-5D6E-409C-BE32-E72D297353CC}">
              <c16:uniqueId val="{0000000B-3DAE-4E47-94D6-23E129B1F971}"/>
            </c:ext>
          </c:extLst>
        </c:ser>
        <c:dLbls>
          <c:showLegendKey val="0"/>
          <c:showVal val="0"/>
          <c:showCatName val="0"/>
          <c:showSerName val="0"/>
          <c:showPercent val="0"/>
          <c:showBubbleSize val="0"/>
        </c:dLbls>
        <c:marker val="1"/>
        <c:smooth val="0"/>
        <c:axId val="1121827248"/>
        <c:axId val="1121824528"/>
      </c:lineChart>
      <c:catAx>
        <c:axId val="1121826704"/>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1815824"/>
        <c:crosses val="autoZero"/>
        <c:auto val="1"/>
        <c:lblAlgn val="ctr"/>
        <c:lblOffset val="100"/>
        <c:noMultiLvlLbl val="0"/>
      </c:catAx>
      <c:valAx>
        <c:axId val="11218158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1826704"/>
        <c:crosses val="autoZero"/>
        <c:crossBetween val="between"/>
      </c:valAx>
      <c:valAx>
        <c:axId val="112182452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1827248"/>
        <c:crosses val="max"/>
        <c:crossBetween val="between"/>
      </c:valAx>
      <c:catAx>
        <c:axId val="1121827248"/>
        <c:scaling>
          <c:orientation val="minMax"/>
        </c:scaling>
        <c:delete val="1"/>
        <c:axPos val="b"/>
        <c:numFmt formatCode="0&quot;A&quot;" sourceLinked="1"/>
        <c:majorTickMark val="none"/>
        <c:minorTickMark val="none"/>
        <c:tickLblPos val="nextTo"/>
        <c:crossAx val="11218245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1-A0A5-4292-A337-7436673D5FCC}"/>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A0A5-4292-A337-7436673D5F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Report!$C$193:$C$194</c:f>
              <c:strCache>
                <c:ptCount val="2"/>
                <c:pt idx="0">
                  <c:v>India</c:v>
                </c:pt>
                <c:pt idx="1">
                  <c:v>Others</c:v>
                </c:pt>
              </c:strCache>
            </c:strRef>
          </c:cat>
          <c:val>
            <c:numRef>
              <c:f>Report!$D$193:$D$194</c:f>
              <c:numCache>
                <c:formatCode>0%</c:formatCode>
                <c:ptCount val="2"/>
                <c:pt idx="0">
                  <c:v>0.83</c:v>
                </c:pt>
                <c:pt idx="1">
                  <c:v>0.17</c:v>
                </c:pt>
              </c:numCache>
            </c:numRef>
          </c:val>
          <c:extLst>
            <c:ext xmlns:c16="http://schemas.microsoft.com/office/drawing/2014/chart" uri="{C3380CC4-5D6E-409C-BE32-E72D297353CC}">
              <c16:uniqueId val="{00000004-A0A5-4292-A337-7436673D5FC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B0F0"/>
                </a:solidFill>
              </a:rPr>
              <a:t>Gross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Report!$C$219</c:f>
              <c:strCache>
                <c:ptCount val="1"/>
                <c:pt idx="0">
                  <c:v>Gross Margin</c:v>
                </c:pt>
              </c:strCache>
            </c:strRef>
          </c:tx>
          <c:spPr>
            <a:solidFill>
              <a:srgbClr val="00B0F0"/>
            </a:solidFill>
            <a:ln>
              <a:noFill/>
            </a:ln>
            <a:effectLst/>
          </c:spPr>
          <c:invertIfNegative val="0"/>
          <c:dPt>
            <c:idx val="5"/>
            <c:invertIfNegative val="0"/>
            <c:bubble3D val="0"/>
            <c:spPr>
              <a:solidFill>
                <a:srgbClr val="2C338B"/>
              </a:solidFill>
              <a:ln>
                <a:noFill/>
              </a:ln>
              <a:effectLst/>
            </c:spPr>
            <c:extLst>
              <c:ext xmlns:c16="http://schemas.microsoft.com/office/drawing/2014/chart" uri="{C3380CC4-5D6E-409C-BE32-E72D297353CC}">
                <c16:uniqueId val="{00000001-0FE4-4BD3-9BFD-BDDDFE9E4D69}"/>
              </c:ext>
            </c:extLst>
          </c:dPt>
          <c:dPt>
            <c:idx val="6"/>
            <c:invertIfNegative val="0"/>
            <c:bubble3D val="0"/>
            <c:spPr>
              <a:solidFill>
                <a:srgbClr val="2C338B"/>
              </a:solidFill>
              <a:ln>
                <a:noFill/>
              </a:ln>
              <a:effectLst/>
            </c:spPr>
            <c:extLst>
              <c:ext xmlns:c16="http://schemas.microsoft.com/office/drawing/2014/chart" uri="{C3380CC4-5D6E-409C-BE32-E72D297353CC}">
                <c16:uniqueId val="{00000003-0FE4-4BD3-9BFD-BDDDFE9E4D69}"/>
              </c:ext>
            </c:extLst>
          </c:dPt>
          <c:dPt>
            <c:idx val="7"/>
            <c:invertIfNegative val="0"/>
            <c:bubble3D val="0"/>
            <c:spPr>
              <a:solidFill>
                <a:srgbClr val="2C338B"/>
              </a:solidFill>
              <a:ln>
                <a:noFill/>
              </a:ln>
              <a:effectLst/>
            </c:spPr>
            <c:extLst>
              <c:ext xmlns:c16="http://schemas.microsoft.com/office/drawing/2014/chart" uri="{C3380CC4-5D6E-409C-BE32-E72D297353CC}">
                <c16:uniqueId val="{00000005-0FE4-4BD3-9BFD-BDDDFE9E4D69}"/>
              </c:ext>
            </c:extLst>
          </c:dPt>
          <c:dPt>
            <c:idx val="8"/>
            <c:invertIfNegative val="0"/>
            <c:bubble3D val="0"/>
            <c:spPr>
              <a:solidFill>
                <a:srgbClr val="2C338B"/>
              </a:solidFill>
              <a:ln>
                <a:noFill/>
              </a:ln>
              <a:effectLst/>
            </c:spPr>
            <c:extLst>
              <c:ext xmlns:c16="http://schemas.microsoft.com/office/drawing/2014/chart" uri="{C3380CC4-5D6E-409C-BE32-E72D297353CC}">
                <c16:uniqueId val="{00000007-0FE4-4BD3-9BFD-BDDDFE9E4D69}"/>
              </c:ext>
            </c:extLst>
          </c:dPt>
          <c:dPt>
            <c:idx val="9"/>
            <c:invertIfNegative val="0"/>
            <c:bubble3D val="0"/>
            <c:spPr>
              <a:solidFill>
                <a:srgbClr val="2C338B"/>
              </a:solidFill>
              <a:ln>
                <a:noFill/>
              </a:ln>
              <a:effectLst/>
            </c:spPr>
            <c:extLst>
              <c:ext xmlns:c16="http://schemas.microsoft.com/office/drawing/2014/chart" uri="{C3380CC4-5D6E-409C-BE32-E72D297353CC}">
                <c16:uniqueId val="{00000009-0FE4-4BD3-9BFD-BDDDFE9E4D69}"/>
              </c:ext>
            </c:extLst>
          </c:dPt>
          <c:cat>
            <c:numRef>
              <c:f>Report!$D$218:$M$218</c:f>
              <c:numCache>
                <c:formatCode>0"A"</c:formatCode>
                <c:ptCount val="10"/>
                <c:pt idx="0">
                  <c:v>2021</c:v>
                </c:pt>
                <c:pt idx="1">
                  <c:v>2022</c:v>
                </c:pt>
                <c:pt idx="2">
                  <c:v>2023</c:v>
                </c:pt>
                <c:pt idx="3">
                  <c:v>2024</c:v>
                </c:pt>
                <c:pt idx="4">
                  <c:v>2025</c:v>
                </c:pt>
                <c:pt idx="5" formatCode="0&quot;F&quot;">
                  <c:v>2026</c:v>
                </c:pt>
                <c:pt idx="6" formatCode="0&quot;F&quot;">
                  <c:v>2027</c:v>
                </c:pt>
                <c:pt idx="7" formatCode="0&quot;F&quot;">
                  <c:v>2028</c:v>
                </c:pt>
                <c:pt idx="8" formatCode="0&quot;F&quot;">
                  <c:v>2029</c:v>
                </c:pt>
                <c:pt idx="9" formatCode="0&quot;F&quot;">
                  <c:v>2030</c:v>
                </c:pt>
              </c:numCache>
            </c:numRef>
          </c:cat>
          <c:val>
            <c:numRef>
              <c:f>Report!$D$219:$M$219</c:f>
              <c:numCache>
                <c:formatCode>0.0%</c:formatCode>
                <c:ptCount val="10"/>
                <c:pt idx="0">
                  <c:v>0.71390772426194249</c:v>
                </c:pt>
                <c:pt idx="1">
                  <c:v>0.68878606282695343</c:v>
                </c:pt>
                <c:pt idx="2">
                  <c:v>0.66699076385864098</c:v>
                </c:pt>
                <c:pt idx="3">
                  <c:v>0.68942758558082151</c:v>
                </c:pt>
                <c:pt idx="4">
                  <c:v>0.68419431473744563</c:v>
                </c:pt>
                <c:pt idx="5">
                  <c:v>0.66</c:v>
                </c:pt>
                <c:pt idx="6">
                  <c:v>0.66600000000000004</c:v>
                </c:pt>
                <c:pt idx="7">
                  <c:v>0.67200000000000015</c:v>
                </c:pt>
                <c:pt idx="8">
                  <c:v>0.67800000000000005</c:v>
                </c:pt>
                <c:pt idx="9">
                  <c:v>0.68400000000000016</c:v>
                </c:pt>
              </c:numCache>
            </c:numRef>
          </c:val>
          <c:extLst>
            <c:ext xmlns:c16="http://schemas.microsoft.com/office/drawing/2014/chart" uri="{C3380CC4-5D6E-409C-BE32-E72D297353CC}">
              <c16:uniqueId val="{0000000A-0FE4-4BD3-9BFD-BDDDFE9E4D69}"/>
            </c:ext>
          </c:extLst>
        </c:ser>
        <c:dLbls>
          <c:showLegendKey val="0"/>
          <c:showVal val="0"/>
          <c:showCatName val="0"/>
          <c:showSerName val="0"/>
          <c:showPercent val="0"/>
          <c:showBubbleSize val="0"/>
        </c:dLbls>
        <c:gapWidth val="219"/>
        <c:overlap val="-27"/>
        <c:axId val="1123039344"/>
        <c:axId val="1123045328"/>
      </c:barChart>
      <c:catAx>
        <c:axId val="1123039344"/>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45328"/>
        <c:crosses val="autoZero"/>
        <c:auto val="1"/>
        <c:lblAlgn val="ctr"/>
        <c:lblOffset val="100"/>
        <c:noMultiLvlLbl val="0"/>
      </c:catAx>
      <c:valAx>
        <c:axId val="11230453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39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B0F0"/>
                </a:solidFill>
              </a:rPr>
              <a:t>SG&amp;A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Report!$B$223</c:f>
              <c:strCache>
                <c:ptCount val="1"/>
                <c:pt idx="0">
                  <c:v>SG&amp;A</c:v>
                </c:pt>
              </c:strCache>
            </c:strRef>
          </c:tx>
          <c:spPr>
            <a:solidFill>
              <a:srgbClr val="00B0F0"/>
            </a:solidFill>
            <a:ln>
              <a:noFill/>
            </a:ln>
            <a:effectLst/>
          </c:spPr>
          <c:invertIfNegative val="0"/>
          <c:cat>
            <c:numRef>
              <c:f>Report!$C$222:$L$222</c:f>
              <c:numCache>
                <c:formatCode>0"A"</c:formatCode>
                <c:ptCount val="10"/>
                <c:pt idx="0">
                  <c:v>2021</c:v>
                </c:pt>
                <c:pt idx="1">
                  <c:v>2022</c:v>
                </c:pt>
                <c:pt idx="2">
                  <c:v>2023</c:v>
                </c:pt>
                <c:pt idx="3">
                  <c:v>2024</c:v>
                </c:pt>
                <c:pt idx="4">
                  <c:v>2025</c:v>
                </c:pt>
                <c:pt idx="5" formatCode="0&quot;F&quot;">
                  <c:v>2026</c:v>
                </c:pt>
                <c:pt idx="6" formatCode="0&quot;F&quot;">
                  <c:v>2027</c:v>
                </c:pt>
                <c:pt idx="7" formatCode="0&quot;F&quot;">
                  <c:v>2028</c:v>
                </c:pt>
                <c:pt idx="8" formatCode="0&quot;F&quot;">
                  <c:v>2029</c:v>
                </c:pt>
                <c:pt idx="9" formatCode="0&quot;F&quot;">
                  <c:v>2030</c:v>
                </c:pt>
              </c:numCache>
            </c:numRef>
          </c:cat>
          <c:val>
            <c:numRef>
              <c:f>Report!$C$223:$L$223</c:f>
              <c:numCache>
                <c:formatCode>0</c:formatCode>
                <c:ptCount val="10"/>
                <c:pt idx="0">
                  <c:v>2785.6961999999999</c:v>
                </c:pt>
                <c:pt idx="1">
                  <c:v>3370.4605000000001</c:v>
                </c:pt>
                <c:pt idx="2">
                  <c:v>3935.1329000000005</c:v>
                </c:pt>
                <c:pt idx="3">
                  <c:v>4589.9753999999994</c:v>
                </c:pt>
                <c:pt idx="4">
                  <c:v>5700.1</c:v>
                </c:pt>
                <c:pt idx="5">
                  <c:v>6409.8957</c:v>
                </c:pt>
                <c:pt idx="6">
                  <c:v>7467.5284905000008</c:v>
                </c:pt>
                <c:pt idx="7">
                  <c:v>8587.6577640749983</c:v>
                </c:pt>
                <c:pt idx="8">
                  <c:v>9746.9915622251228</c:v>
                </c:pt>
                <c:pt idx="9">
                  <c:v>10916.63054969214</c:v>
                </c:pt>
              </c:numCache>
            </c:numRef>
          </c:val>
          <c:extLst>
            <c:ext xmlns:c16="http://schemas.microsoft.com/office/drawing/2014/chart" uri="{C3380CC4-5D6E-409C-BE32-E72D297353CC}">
              <c16:uniqueId val="{00000000-1331-4872-85B9-08E279C08DAA}"/>
            </c:ext>
          </c:extLst>
        </c:ser>
        <c:dLbls>
          <c:showLegendKey val="0"/>
          <c:showVal val="0"/>
          <c:showCatName val="0"/>
          <c:showSerName val="0"/>
          <c:showPercent val="0"/>
          <c:showBubbleSize val="0"/>
        </c:dLbls>
        <c:gapWidth val="219"/>
        <c:overlap val="-27"/>
        <c:axId val="1123043152"/>
        <c:axId val="1123040432"/>
      </c:barChart>
      <c:lineChart>
        <c:grouping val="standard"/>
        <c:varyColors val="0"/>
        <c:ser>
          <c:idx val="1"/>
          <c:order val="1"/>
          <c:tx>
            <c:strRef>
              <c:f>Report!$B$224</c:f>
              <c:strCache>
                <c:ptCount val="1"/>
                <c:pt idx="0">
                  <c:v>SG&amp;A%Revenue</c:v>
                </c:pt>
              </c:strCache>
            </c:strRef>
          </c:tx>
          <c:spPr>
            <a:ln w="28575" cap="rnd">
              <a:solidFill>
                <a:srgbClr val="2C338B"/>
              </a:solidFill>
              <a:round/>
            </a:ln>
            <a:effectLst/>
          </c:spPr>
          <c:marker>
            <c:symbol val="square"/>
            <c:size val="5"/>
            <c:spPr>
              <a:solidFill>
                <a:schemeClr val="bg1">
                  <a:lumMod val="95000"/>
                </a:schemeClr>
              </a:solidFill>
              <a:ln w="9525">
                <a:solidFill>
                  <a:schemeClr val="accent2"/>
                </a:solidFill>
              </a:ln>
              <a:effectLst/>
            </c:spPr>
          </c:marker>
          <c:cat>
            <c:numRef>
              <c:f>Report!$C$222:$L$222</c:f>
              <c:numCache>
                <c:formatCode>0"A"</c:formatCode>
                <c:ptCount val="10"/>
                <c:pt idx="0">
                  <c:v>2021</c:v>
                </c:pt>
                <c:pt idx="1">
                  <c:v>2022</c:v>
                </c:pt>
                <c:pt idx="2">
                  <c:v>2023</c:v>
                </c:pt>
                <c:pt idx="3">
                  <c:v>2024</c:v>
                </c:pt>
                <c:pt idx="4">
                  <c:v>2025</c:v>
                </c:pt>
                <c:pt idx="5" formatCode="0&quot;F&quot;">
                  <c:v>2026</c:v>
                </c:pt>
                <c:pt idx="6" formatCode="0&quot;F&quot;">
                  <c:v>2027</c:v>
                </c:pt>
                <c:pt idx="7" formatCode="0&quot;F&quot;">
                  <c:v>2028</c:v>
                </c:pt>
                <c:pt idx="8" formatCode="0&quot;F&quot;">
                  <c:v>2029</c:v>
                </c:pt>
                <c:pt idx="9" formatCode="0&quot;F&quot;">
                  <c:v>2030</c:v>
                </c:pt>
              </c:numCache>
            </c:numRef>
          </c:cat>
          <c:val>
            <c:numRef>
              <c:f>Report!$C$224:$L$224</c:f>
              <c:numCache>
                <c:formatCode>0.0%</c:formatCode>
                <c:ptCount val="10"/>
                <c:pt idx="0">
                  <c:v>0.44758061756215745</c:v>
                </c:pt>
                <c:pt idx="1">
                  <c:v>0.43313456715097987</c:v>
                </c:pt>
                <c:pt idx="2">
                  <c:v>0.44975861864420247</c:v>
                </c:pt>
                <c:pt idx="3">
                  <c:v>0.44412922174422653</c:v>
                </c:pt>
                <c:pt idx="4">
                  <c:v>0.46695338740067177</c:v>
                </c:pt>
                <c:pt idx="5">
                  <c:v>0.44500000000000006</c:v>
                </c:pt>
                <c:pt idx="6">
                  <c:v>0.44500000000000006</c:v>
                </c:pt>
                <c:pt idx="7">
                  <c:v>0.44500000000000001</c:v>
                </c:pt>
                <c:pt idx="8">
                  <c:v>0.44500000000000001</c:v>
                </c:pt>
                <c:pt idx="9">
                  <c:v>0.44500000000000006</c:v>
                </c:pt>
              </c:numCache>
            </c:numRef>
          </c:val>
          <c:smooth val="0"/>
          <c:extLst>
            <c:ext xmlns:c16="http://schemas.microsoft.com/office/drawing/2014/chart" uri="{C3380CC4-5D6E-409C-BE32-E72D297353CC}">
              <c16:uniqueId val="{00000001-1331-4872-85B9-08E279C08DAA}"/>
            </c:ext>
          </c:extLst>
        </c:ser>
        <c:dLbls>
          <c:showLegendKey val="0"/>
          <c:showVal val="0"/>
          <c:showCatName val="0"/>
          <c:showSerName val="0"/>
          <c:showPercent val="0"/>
          <c:showBubbleSize val="0"/>
        </c:dLbls>
        <c:marker val="1"/>
        <c:smooth val="0"/>
        <c:axId val="1123040976"/>
        <c:axId val="1123046960"/>
      </c:lineChart>
      <c:catAx>
        <c:axId val="1123043152"/>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40432"/>
        <c:crosses val="autoZero"/>
        <c:auto val="1"/>
        <c:lblAlgn val="ctr"/>
        <c:lblOffset val="100"/>
        <c:noMultiLvlLbl val="0"/>
      </c:catAx>
      <c:valAx>
        <c:axId val="11230404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43152"/>
        <c:crosses val="autoZero"/>
        <c:crossBetween val="between"/>
      </c:valAx>
      <c:valAx>
        <c:axId val="1123046960"/>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40976"/>
        <c:crosses val="max"/>
        <c:crossBetween val="between"/>
      </c:valAx>
      <c:catAx>
        <c:axId val="1123040976"/>
        <c:scaling>
          <c:orientation val="minMax"/>
        </c:scaling>
        <c:delete val="1"/>
        <c:axPos val="b"/>
        <c:numFmt formatCode="0&quot;A&quot;" sourceLinked="1"/>
        <c:majorTickMark val="none"/>
        <c:minorTickMark val="none"/>
        <c:tickLblPos val="nextTo"/>
        <c:crossAx val="11230469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Inventory</a:t>
            </a:r>
            <a:r>
              <a:rPr lang="en-IN" baseline="0"/>
              <a:t> Days</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Report!$B$242</c:f>
              <c:strCache>
                <c:ptCount val="1"/>
                <c:pt idx="0">
                  <c:v>Inventory</c:v>
                </c:pt>
              </c:strCache>
            </c:strRef>
          </c:tx>
          <c:spPr>
            <a:solidFill>
              <a:srgbClr val="00B0F0"/>
            </a:solidFill>
            <a:ln>
              <a:noFill/>
            </a:ln>
            <a:effectLst/>
          </c:spPr>
          <c:invertIfNegative val="0"/>
          <c:cat>
            <c:numRef>
              <c:f>Report!$C$241:$I$241</c:f>
              <c:numCache>
                <c:formatCode>0"A"</c:formatCode>
                <c:ptCount val="7"/>
                <c:pt idx="0">
                  <c:v>2019</c:v>
                </c:pt>
                <c:pt idx="1">
                  <c:v>2020</c:v>
                </c:pt>
                <c:pt idx="2">
                  <c:v>2021</c:v>
                </c:pt>
                <c:pt idx="3">
                  <c:v>2022</c:v>
                </c:pt>
                <c:pt idx="4">
                  <c:v>2023</c:v>
                </c:pt>
                <c:pt idx="5">
                  <c:v>2024</c:v>
                </c:pt>
                <c:pt idx="6">
                  <c:v>2025</c:v>
                </c:pt>
              </c:numCache>
            </c:numRef>
          </c:cat>
          <c:val>
            <c:numRef>
              <c:f>Report!$C$242:$I$242</c:f>
              <c:numCache>
                <c:formatCode>General</c:formatCode>
                <c:ptCount val="7"/>
                <c:pt idx="0">
                  <c:v>821</c:v>
                </c:pt>
                <c:pt idx="1">
                  <c:v>899</c:v>
                </c:pt>
                <c:pt idx="2">
                  <c:v>1184</c:v>
                </c:pt>
                <c:pt idx="3">
                  <c:v>1760</c:v>
                </c:pt>
                <c:pt idx="4">
                  <c:v>1498</c:v>
                </c:pt>
                <c:pt idx="5">
                  <c:v>1553</c:v>
                </c:pt>
                <c:pt idx="6">
                  <c:v>2093</c:v>
                </c:pt>
              </c:numCache>
            </c:numRef>
          </c:val>
          <c:extLst>
            <c:ext xmlns:c16="http://schemas.microsoft.com/office/drawing/2014/chart" uri="{C3380CC4-5D6E-409C-BE32-E72D297353CC}">
              <c16:uniqueId val="{00000000-9B2D-44DE-B036-A94585EC2D56}"/>
            </c:ext>
          </c:extLst>
        </c:ser>
        <c:dLbls>
          <c:showLegendKey val="0"/>
          <c:showVal val="0"/>
          <c:showCatName val="0"/>
          <c:showSerName val="0"/>
          <c:showPercent val="0"/>
          <c:showBubbleSize val="0"/>
        </c:dLbls>
        <c:gapWidth val="219"/>
        <c:overlap val="-27"/>
        <c:axId val="1123046416"/>
        <c:axId val="1123036080"/>
      </c:barChart>
      <c:lineChart>
        <c:grouping val="standard"/>
        <c:varyColors val="0"/>
        <c:ser>
          <c:idx val="1"/>
          <c:order val="1"/>
          <c:tx>
            <c:strRef>
              <c:f>Report!$B$243</c:f>
              <c:strCache>
                <c:ptCount val="1"/>
                <c:pt idx="0">
                  <c:v>Inventory Days</c:v>
                </c:pt>
              </c:strCache>
            </c:strRef>
          </c:tx>
          <c:spPr>
            <a:ln w="28575" cap="rnd">
              <a:solidFill>
                <a:schemeClr val="accent2"/>
              </a:solidFill>
              <a:round/>
            </a:ln>
            <a:effectLst/>
          </c:spPr>
          <c:marker>
            <c:symbol val="none"/>
          </c:marker>
          <c:cat>
            <c:numRef>
              <c:f>Report!$C$241:$I$241</c:f>
              <c:numCache>
                <c:formatCode>0"A"</c:formatCode>
                <c:ptCount val="7"/>
                <c:pt idx="0">
                  <c:v>2019</c:v>
                </c:pt>
                <c:pt idx="1">
                  <c:v>2020</c:v>
                </c:pt>
                <c:pt idx="2">
                  <c:v>2021</c:v>
                </c:pt>
                <c:pt idx="3">
                  <c:v>2022</c:v>
                </c:pt>
                <c:pt idx="4">
                  <c:v>2023</c:v>
                </c:pt>
                <c:pt idx="5">
                  <c:v>2024</c:v>
                </c:pt>
                <c:pt idx="6">
                  <c:v>2025</c:v>
                </c:pt>
              </c:numCache>
            </c:numRef>
          </c:cat>
          <c:val>
            <c:numRef>
              <c:f>Report!$C$243:$I$243</c:f>
              <c:numCache>
                <c:formatCode>0</c:formatCode>
                <c:ptCount val="7"/>
                <c:pt idx="0">
                  <c:v>59.001004016064257</c:v>
                </c:pt>
                <c:pt idx="1">
                  <c:v>53.457084468664846</c:v>
                </c:pt>
                <c:pt idx="2">
                  <c:v>61.077683161953729</c:v>
                </c:pt>
                <c:pt idx="3">
                  <c:v>69.041377537907991</c:v>
                </c:pt>
                <c:pt idx="4">
                  <c:v>67.960338324379919</c:v>
                </c:pt>
                <c:pt idx="5">
                  <c:v>53.875907111756163</c:v>
                </c:pt>
                <c:pt idx="6">
                  <c:v>54.509297943802736</c:v>
                </c:pt>
              </c:numCache>
            </c:numRef>
          </c:val>
          <c:smooth val="0"/>
          <c:extLst>
            <c:ext xmlns:c16="http://schemas.microsoft.com/office/drawing/2014/chart" uri="{C3380CC4-5D6E-409C-BE32-E72D297353CC}">
              <c16:uniqueId val="{00000001-9B2D-44DE-B036-A94585EC2D56}"/>
            </c:ext>
          </c:extLst>
        </c:ser>
        <c:dLbls>
          <c:showLegendKey val="0"/>
          <c:showVal val="0"/>
          <c:showCatName val="0"/>
          <c:showSerName val="0"/>
          <c:showPercent val="0"/>
          <c:showBubbleSize val="0"/>
        </c:dLbls>
        <c:marker val="1"/>
        <c:smooth val="0"/>
        <c:axId val="1123038800"/>
        <c:axId val="1123047504"/>
      </c:lineChart>
      <c:catAx>
        <c:axId val="1123046416"/>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36080"/>
        <c:crosses val="autoZero"/>
        <c:auto val="1"/>
        <c:lblAlgn val="ctr"/>
        <c:lblOffset val="100"/>
        <c:noMultiLvlLbl val="0"/>
      </c:catAx>
      <c:valAx>
        <c:axId val="112303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46416"/>
        <c:crosses val="autoZero"/>
        <c:crossBetween val="between"/>
      </c:valAx>
      <c:valAx>
        <c:axId val="112304750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38800"/>
        <c:crosses val="max"/>
        <c:crossBetween val="between"/>
      </c:valAx>
      <c:catAx>
        <c:axId val="1123038800"/>
        <c:scaling>
          <c:orientation val="minMax"/>
        </c:scaling>
        <c:delete val="1"/>
        <c:axPos val="b"/>
        <c:numFmt formatCode="0&quot;A&quot;" sourceLinked="1"/>
        <c:majorTickMark val="out"/>
        <c:minorTickMark val="none"/>
        <c:tickLblPos val="nextTo"/>
        <c:crossAx val="11230475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800">
                <a:solidFill>
                  <a:srgbClr val="00B0F0"/>
                </a:solidFill>
              </a:rPr>
              <a:t>Trade</a:t>
            </a:r>
            <a:r>
              <a:rPr lang="en-IN" sz="1800" baseline="0">
                <a:solidFill>
                  <a:srgbClr val="00B0F0"/>
                </a:solidFill>
              </a:rPr>
              <a:t> Receivable</a:t>
            </a:r>
            <a:endParaRPr lang="en-IN" sz="1800">
              <a:solidFill>
                <a:srgbClr val="00B0F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Report!$B$252</c:f>
              <c:strCache>
                <c:ptCount val="1"/>
                <c:pt idx="0">
                  <c:v>Trade Receivable</c:v>
                </c:pt>
              </c:strCache>
            </c:strRef>
          </c:tx>
          <c:spPr>
            <a:solidFill>
              <a:srgbClr val="00B0F0"/>
            </a:solidFill>
            <a:ln>
              <a:noFill/>
            </a:ln>
            <a:effectLst/>
          </c:spPr>
          <c:invertIfNegative val="0"/>
          <c:dPt>
            <c:idx val="5"/>
            <c:invertIfNegative val="0"/>
            <c:bubble3D val="0"/>
            <c:spPr>
              <a:solidFill>
                <a:srgbClr val="2C338B"/>
              </a:solidFill>
              <a:ln>
                <a:noFill/>
              </a:ln>
              <a:effectLst/>
            </c:spPr>
            <c:extLst>
              <c:ext xmlns:c16="http://schemas.microsoft.com/office/drawing/2014/chart" uri="{C3380CC4-5D6E-409C-BE32-E72D297353CC}">
                <c16:uniqueId val="{00000001-53B7-42B0-BE48-8EB227ED2872}"/>
              </c:ext>
            </c:extLst>
          </c:dPt>
          <c:dPt>
            <c:idx val="6"/>
            <c:invertIfNegative val="0"/>
            <c:bubble3D val="0"/>
            <c:spPr>
              <a:solidFill>
                <a:srgbClr val="2C338B"/>
              </a:solidFill>
              <a:ln>
                <a:noFill/>
              </a:ln>
              <a:effectLst/>
            </c:spPr>
            <c:extLst>
              <c:ext xmlns:c16="http://schemas.microsoft.com/office/drawing/2014/chart" uri="{C3380CC4-5D6E-409C-BE32-E72D297353CC}">
                <c16:uniqueId val="{00000003-53B7-42B0-BE48-8EB227ED2872}"/>
              </c:ext>
            </c:extLst>
          </c:dPt>
          <c:dPt>
            <c:idx val="7"/>
            <c:invertIfNegative val="0"/>
            <c:bubble3D val="0"/>
            <c:spPr>
              <a:solidFill>
                <a:srgbClr val="2C338B"/>
              </a:solidFill>
              <a:ln>
                <a:noFill/>
              </a:ln>
              <a:effectLst/>
            </c:spPr>
            <c:extLst>
              <c:ext xmlns:c16="http://schemas.microsoft.com/office/drawing/2014/chart" uri="{C3380CC4-5D6E-409C-BE32-E72D297353CC}">
                <c16:uniqueId val="{00000005-53B7-42B0-BE48-8EB227ED2872}"/>
              </c:ext>
            </c:extLst>
          </c:dPt>
          <c:dPt>
            <c:idx val="8"/>
            <c:invertIfNegative val="0"/>
            <c:bubble3D val="0"/>
            <c:spPr>
              <a:solidFill>
                <a:srgbClr val="2C338B"/>
              </a:solidFill>
              <a:ln>
                <a:noFill/>
              </a:ln>
              <a:effectLst/>
            </c:spPr>
            <c:extLst>
              <c:ext xmlns:c16="http://schemas.microsoft.com/office/drawing/2014/chart" uri="{C3380CC4-5D6E-409C-BE32-E72D297353CC}">
                <c16:uniqueId val="{00000007-53B7-42B0-BE48-8EB227ED2872}"/>
              </c:ext>
            </c:extLst>
          </c:dPt>
          <c:dPt>
            <c:idx val="9"/>
            <c:invertIfNegative val="0"/>
            <c:bubble3D val="0"/>
            <c:spPr>
              <a:solidFill>
                <a:srgbClr val="2C338B"/>
              </a:solidFill>
              <a:ln>
                <a:noFill/>
              </a:ln>
              <a:effectLst/>
            </c:spPr>
            <c:extLst>
              <c:ext xmlns:c16="http://schemas.microsoft.com/office/drawing/2014/chart" uri="{C3380CC4-5D6E-409C-BE32-E72D297353CC}">
                <c16:uniqueId val="{00000009-53B7-42B0-BE48-8EB227ED2872}"/>
              </c:ext>
            </c:extLst>
          </c:dPt>
          <c:cat>
            <c:numRef>
              <c:f>Report!$C$251:$L$251</c:f>
              <c:numCache>
                <c:formatCode>0"A"</c:formatCode>
                <c:ptCount val="10"/>
                <c:pt idx="0">
                  <c:v>2021</c:v>
                </c:pt>
                <c:pt idx="1">
                  <c:v>2022</c:v>
                </c:pt>
                <c:pt idx="2">
                  <c:v>2023</c:v>
                </c:pt>
                <c:pt idx="3">
                  <c:v>2024</c:v>
                </c:pt>
                <c:pt idx="4">
                  <c:v>2025</c:v>
                </c:pt>
                <c:pt idx="5" formatCode="0&quot;F&quot;">
                  <c:v>2026</c:v>
                </c:pt>
                <c:pt idx="6" formatCode="0&quot;F&quot;">
                  <c:v>2027</c:v>
                </c:pt>
                <c:pt idx="7" formatCode="0&quot;F&quot;">
                  <c:v>2028</c:v>
                </c:pt>
                <c:pt idx="8" formatCode="0&quot;F&quot;">
                  <c:v>2029</c:v>
                </c:pt>
                <c:pt idx="9" formatCode="0&quot;F&quot;">
                  <c:v>2030</c:v>
                </c:pt>
              </c:numCache>
            </c:numRef>
          </c:cat>
          <c:val>
            <c:numRef>
              <c:f>Report!$C$252:$L$252</c:f>
              <c:numCache>
                <c:formatCode>General</c:formatCode>
                <c:ptCount val="10"/>
                <c:pt idx="0">
                  <c:v>331</c:v>
                </c:pt>
                <c:pt idx="1">
                  <c:v>388</c:v>
                </c:pt>
                <c:pt idx="2">
                  <c:v>576</c:v>
                </c:pt>
                <c:pt idx="3">
                  <c:v>848</c:v>
                </c:pt>
                <c:pt idx="4">
                  <c:v>1538</c:v>
                </c:pt>
                <c:pt idx="5" formatCode="0">
                  <c:v>940.18059535786006</c:v>
                </c:pt>
                <c:pt idx="6" formatCode="0">
                  <c:v>1095.3103935919071</c:v>
                </c:pt>
                <c:pt idx="7" formatCode="0">
                  <c:v>1259.6069526306931</c:v>
                </c:pt>
                <c:pt idx="8" formatCode="0">
                  <c:v>1429.6538912358365</c:v>
                </c:pt>
                <c:pt idx="9" formatCode="0">
                  <c:v>1601.2123581841367</c:v>
                </c:pt>
              </c:numCache>
            </c:numRef>
          </c:val>
          <c:extLst>
            <c:ext xmlns:c16="http://schemas.microsoft.com/office/drawing/2014/chart" uri="{C3380CC4-5D6E-409C-BE32-E72D297353CC}">
              <c16:uniqueId val="{0000000A-53B7-42B0-BE48-8EB227ED2872}"/>
            </c:ext>
          </c:extLst>
        </c:ser>
        <c:dLbls>
          <c:showLegendKey val="0"/>
          <c:showVal val="0"/>
          <c:showCatName val="0"/>
          <c:showSerName val="0"/>
          <c:showPercent val="0"/>
          <c:showBubbleSize val="0"/>
        </c:dLbls>
        <c:gapWidth val="219"/>
        <c:overlap val="-27"/>
        <c:axId val="1123032272"/>
        <c:axId val="1123036624"/>
      </c:barChart>
      <c:lineChart>
        <c:grouping val="standard"/>
        <c:varyColors val="0"/>
        <c:ser>
          <c:idx val="1"/>
          <c:order val="1"/>
          <c:tx>
            <c:strRef>
              <c:f>Report!$B$253</c:f>
              <c:strCache>
                <c:ptCount val="1"/>
                <c:pt idx="0">
                  <c:v>Receivable Days </c:v>
                </c:pt>
              </c:strCache>
            </c:strRef>
          </c:tx>
          <c:spPr>
            <a:ln w="28575" cap="rnd">
              <a:solidFill>
                <a:schemeClr val="bg1">
                  <a:lumMod val="75000"/>
                </a:schemeClr>
              </a:solidFill>
              <a:round/>
            </a:ln>
            <a:effectLst/>
          </c:spPr>
          <c:marker>
            <c:symbol val="circle"/>
            <c:size val="5"/>
            <c:spPr>
              <a:solidFill>
                <a:schemeClr val="bg1"/>
              </a:solidFill>
              <a:ln w="9525">
                <a:solidFill>
                  <a:srgbClr val="2C338B"/>
                </a:solidFill>
              </a:ln>
              <a:effectLst/>
            </c:spPr>
          </c:marker>
          <c:cat>
            <c:numRef>
              <c:f>Report!$C$251:$L$251</c:f>
              <c:numCache>
                <c:formatCode>0"A"</c:formatCode>
                <c:ptCount val="10"/>
                <c:pt idx="0">
                  <c:v>2021</c:v>
                </c:pt>
                <c:pt idx="1">
                  <c:v>2022</c:v>
                </c:pt>
                <c:pt idx="2">
                  <c:v>2023</c:v>
                </c:pt>
                <c:pt idx="3">
                  <c:v>2024</c:v>
                </c:pt>
                <c:pt idx="4">
                  <c:v>2025</c:v>
                </c:pt>
                <c:pt idx="5" formatCode="0&quot;F&quot;">
                  <c:v>2026</c:v>
                </c:pt>
                <c:pt idx="6" formatCode="0&quot;F&quot;">
                  <c:v>2027</c:v>
                </c:pt>
                <c:pt idx="7" formatCode="0&quot;F&quot;">
                  <c:v>2028</c:v>
                </c:pt>
                <c:pt idx="8" formatCode="0&quot;F&quot;">
                  <c:v>2029</c:v>
                </c:pt>
                <c:pt idx="9" formatCode="0&quot;F&quot;">
                  <c:v>2030</c:v>
                </c:pt>
              </c:numCache>
            </c:numRef>
          </c:cat>
          <c:val>
            <c:numRef>
              <c:f>Report!$C$253:$L$253</c:f>
              <c:numCache>
                <c:formatCode>0</c:formatCode>
                <c:ptCount val="10"/>
                <c:pt idx="0">
                  <c:v>19.411150385604113</c:v>
                </c:pt>
                <c:pt idx="1">
                  <c:v>18.198406579285528</c:v>
                </c:pt>
                <c:pt idx="2">
                  <c:v>24.030174877128815</c:v>
                </c:pt>
                <c:pt idx="3">
                  <c:v>29.948717948717949</c:v>
                </c:pt>
                <c:pt idx="4">
                  <c:v>45.987548128123208</c:v>
                </c:pt>
                <c:pt idx="5" formatCode="General">
                  <c:v>24</c:v>
                </c:pt>
                <c:pt idx="6" formatCode="General">
                  <c:v>24</c:v>
                </c:pt>
                <c:pt idx="7" formatCode="General">
                  <c:v>25</c:v>
                </c:pt>
                <c:pt idx="8" formatCode="General">
                  <c:v>25</c:v>
                </c:pt>
                <c:pt idx="9" formatCode="General">
                  <c:v>25</c:v>
                </c:pt>
              </c:numCache>
            </c:numRef>
          </c:val>
          <c:smooth val="0"/>
          <c:extLst>
            <c:ext xmlns:c16="http://schemas.microsoft.com/office/drawing/2014/chart" uri="{C3380CC4-5D6E-409C-BE32-E72D297353CC}">
              <c16:uniqueId val="{0000000B-53B7-42B0-BE48-8EB227ED2872}"/>
            </c:ext>
          </c:extLst>
        </c:ser>
        <c:dLbls>
          <c:showLegendKey val="0"/>
          <c:showVal val="0"/>
          <c:showCatName val="0"/>
          <c:showSerName val="0"/>
          <c:showPercent val="0"/>
          <c:showBubbleSize val="0"/>
        </c:dLbls>
        <c:marker val="1"/>
        <c:smooth val="0"/>
        <c:axId val="1123033904"/>
        <c:axId val="1123041520"/>
      </c:lineChart>
      <c:catAx>
        <c:axId val="1123032272"/>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36624"/>
        <c:crosses val="autoZero"/>
        <c:auto val="1"/>
        <c:lblAlgn val="ctr"/>
        <c:lblOffset val="100"/>
        <c:noMultiLvlLbl val="0"/>
      </c:catAx>
      <c:valAx>
        <c:axId val="112303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32272"/>
        <c:crosses val="autoZero"/>
        <c:crossBetween val="between"/>
      </c:valAx>
      <c:valAx>
        <c:axId val="11230415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33904"/>
        <c:crosses val="max"/>
        <c:crossBetween val="between"/>
      </c:valAx>
      <c:catAx>
        <c:axId val="1123033904"/>
        <c:scaling>
          <c:orientation val="minMax"/>
        </c:scaling>
        <c:delete val="1"/>
        <c:axPos val="b"/>
        <c:numFmt formatCode="0&quot;A&quot;" sourceLinked="1"/>
        <c:majorTickMark val="out"/>
        <c:minorTickMark val="none"/>
        <c:tickLblPos val="nextTo"/>
        <c:crossAx val="1123041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B0F0"/>
                </a:solidFill>
              </a:rPr>
              <a:t>Trade</a:t>
            </a:r>
            <a:r>
              <a:rPr lang="en-IN" sz="1800" b="1" baseline="0">
                <a:solidFill>
                  <a:srgbClr val="00B0F0"/>
                </a:solidFill>
              </a:rPr>
              <a:t> Payables</a:t>
            </a:r>
            <a:endParaRPr lang="en-IN" sz="1800" b="1">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Report!$B$262</c:f>
              <c:strCache>
                <c:ptCount val="1"/>
                <c:pt idx="0">
                  <c:v>Trade Payables</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6FF3-45C3-9175-AEE80F38DEB3}"/>
              </c:ext>
            </c:extLst>
          </c:dPt>
          <c:dPt>
            <c:idx val="1"/>
            <c:invertIfNegative val="0"/>
            <c:bubble3D val="0"/>
            <c:spPr>
              <a:solidFill>
                <a:srgbClr val="00B0F0"/>
              </a:solidFill>
              <a:ln>
                <a:noFill/>
              </a:ln>
              <a:effectLst/>
            </c:spPr>
            <c:extLst>
              <c:ext xmlns:c16="http://schemas.microsoft.com/office/drawing/2014/chart" uri="{C3380CC4-5D6E-409C-BE32-E72D297353CC}">
                <c16:uniqueId val="{00000003-6FF3-45C3-9175-AEE80F38DEB3}"/>
              </c:ext>
            </c:extLst>
          </c:dPt>
          <c:dPt>
            <c:idx val="2"/>
            <c:invertIfNegative val="0"/>
            <c:bubble3D val="0"/>
            <c:spPr>
              <a:solidFill>
                <a:srgbClr val="00B0F0"/>
              </a:solidFill>
              <a:ln>
                <a:noFill/>
              </a:ln>
              <a:effectLst/>
            </c:spPr>
            <c:extLst>
              <c:ext xmlns:c16="http://schemas.microsoft.com/office/drawing/2014/chart" uri="{C3380CC4-5D6E-409C-BE32-E72D297353CC}">
                <c16:uniqueId val="{00000005-6FF3-45C3-9175-AEE80F38DEB3}"/>
              </c:ext>
            </c:extLst>
          </c:dPt>
          <c:dPt>
            <c:idx val="3"/>
            <c:invertIfNegative val="0"/>
            <c:bubble3D val="0"/>
            <c:spPr>
              <a:solidFill>
                <a:srgbClr val="00B0F0"/>
              </a:solidFill>
              <a:ln>
                <a:noFill/>
              </a:ln>
              <a:effectLst/>
            </c:spPr>
            <c:extLst>
              <c:ext xmlns:c16="http://schemas.microsoft.com/office/drawing/2014/chart" uri="{C3380CC4-5D6E-409C-BE32-E72D297353CC}">
                <c16:uniqueId val="{00000007-6FF3-45C3-9175-AEE80F38DEB3}"/>
              </c:ext>
            </c:extLst>
          </c:dPt>
          <c:dPt>
            <c:idx val="4"/>
            <c:invertIfNegative val="0"/>
            <c:bubble3D val="0"/>
            <c:spPr>
              <a:solidFill>
                <a:srgbClr val="00B0F0"/>
              </a:solidFill>
              <a:ln>
                <a:noFill/>
              </a:ln>
              <a:effectLst/>
            </c:spPr>
            <c:extLst>
              <c:ext xmlns:c16="http://schemas.microsoft.com/office/drawing/2014/chart" uri="{C3380CC4-5D6E-409C-BE32-E72D297353CC}">
                <c16:uniqueId val="{00000009-6FF3-45C3-9175-AEE80F38DEB3}"/>
              </c:ext>
            </c:extLst>
          </c:dPt>
          <c:dPt>
            <c:idx val="5"/>
            <c:invertIfNegative val="0"/>
            <c:bubble3D val="0"/>
            <c:spPr>
              <a:solidFill>
                <a:srgbClr val="2C338B"/>
              </a:solidFill>
              <a:ln>
                <a:noFill/>
              </a:ln>
              <a:effectLst/>
            </c:spPr>
            <c:extLst>
              <c:ext xmlns:c16="http://schemas.microsoft.com/office/drawing/2014/chart" uri="{C3380CC4-5D6E-409C-BE32-E72D297353CC}">
                <c16:uniqueId val="{0000000B-6FF3-45C3-9175-AEE80F38DEB3}"/>
              </c:ext>
            </c:extLst>
          </c:dPt>
          <c:dPt>
            <c:idx val="6"/>
            <c:invertIfNegative val="0"/>
            <c:bubble3D val="0"/>
            <c:spPr>
              <a:solidFill>
                <a:srgbClr val="2C338B"/>
              </a:solidFill>
              <a:ln>
                <a:noFill/>
              </a:ln>
              <a:effectLst/>
            </c:spPr>
            <c:extLst>
              <c:ext xmlns:c16="http://schemas.microsoft.com/office/drawing/2014/chart" uri="{C3380CC4-5D6E-409C-BE32-E72D297353CC}">
                <c16:uniqueId val="{0000000D-6FF3-45C3-9175-AEE80F38DEB3}"/>
              </c:ext>
            </c:extLst>
          </c:dPt>
          <c:dPt>
            <c:idx val="7"/>
            <c:invertIfNegative val="0"/>
            <c:bubble3D val="0"/>
            <c:spPr>
              <a:solidFill>
                <a:srgbClr val="2C338B"/>
              </a:solidFill>
              <a:ln>
                <a:noFill/>
              </a:ln>
              <a:effectLst/>
            </c:spPr>
            <c:extLst>
              <c:ext xmlns:c16="http://schemas.microsoft.com/office/drawing/2014/chart" uri="{C3380CC4-5D6E-409C-BE32-E72D297353CC}">
                <c16:uniqueId val="{0000000F-6FF3-45C3-9175-AEE80F38DEB3}"/>
              </c:ext>
            </c:extLst>
          </c:dPt>
          <c:dPt>
            <c:idx val="8"/>
            <c:invertIfNegative val="0"/>
            <c:bubble3D val="0"/>
            <c:spPr>
              <a:solidFill>
                <a:srgbClr val="2C338B"/>
              </a:solidFill>
              <a:ln>
                <a:noFill/>
              </a:ln>
              <a:effectLst/>
            </c:spPr>
            <c:extLst>
              <c:ext xmlns:c16="http://schemas.microsoft.com/office/drawing/2014/chart" uri="{C3380CC4-5D6E-409C-BE32-E72D297353CC}">
                <c16:uniqueId val="{00000011-6FF3-45C3-9175-AEE80F38DEB3}"/>
              </c:ext>
            </c:extLst>
          </c:dPt>
          <c:dPt>
            <c:idx val="9"/>
            <c:invertIfNegative val="0"/>
            <c:bubble3D val="0"/>
            <c:spPr>
              <a:solidFill>
                <a:srgbClr val="2C338B"/>
              </a:solidFill>
              <a:ln>
                <a:noFill/>
              </a:ln>
              <a:effectLst/>
            </c:spPr>
            <c:extLst>
              <c:ext xmlns:c16="http://schemas.microsoft.com/office/drawing/2014/chart" uri="{C3380CC4-5D6E-409C-BE32-E72D297353CC}">
                <c16:uniqueId val="{00000013-6FF3-45C3-9175-AEE80F38DEB3}"/>
              </c:ext>
            </c:extLst>
          </c:dPt>
          <c:cat>
            <c:numRef>
              <c:f>Report!$C$261:$L$261</c:f>
              <c:numCache>
                <c:formatCode>0"A"</c:formatCode>
                <c:ptCount val="10"/>
                <c:pt idx="0">
                  <c:v>2021</c:v>
                </c:pt>
                <c:pt idx="1">
                  <c:v>2022</c:v>
                </c:pt>
                <c:pt idx="2">
                  <c:v>2023</c:v>
                </c:pt>
                <c:pt idx="3">
                  <c:v>2024</c:v>
                </c:pt>
                <c:pt idx="4">
                  <c:v>2025</c:v>
                </c:pt>
                <c:pt idx="5" formatCode="0&quot;F&quot;">
                  <c:v>2026</c:v>
                </c:pt>
                <c:pt idx="6" formatCode="0&quot;F&quot;">
                  <c:v>2027</c:v>
                </c:pt>
                <c:pt idx="7" formatCode="0&quot;F&quot;">
                  <c:v>2028</c:v>
                </c:pt>
                <c:pt idx="8" formatCode="0&quot;F&quot;">
                  <c:v>2029</c:v>
                </c:pt>
                <c:pt idx="9" formatCode="0&quot;F&quot;">
                  <c:v>2030</c:v>
                </c:pt>
              </c:numCache>
            </c:numRef>
          </c:cat>
          <c:val>
            <c:numRef>
              <c:f>Report!$C$262:$L$262</c:f>
              <c:numCache>
                <c:formatCode>0</c:formatCode>
                <c:ptCount val="10"/>
                <c:pt idx="0">
                  <c:v>667.16750000000002</c:v>
                </c:pt>
                <c:pt idx="1">
                  <c:v>1076.4388000000001</c:v>
                </c:pt>
                <c:pt idx="2">
                  <c:v>1007.7633</c:v>
                </c:pt>
                <c:pt idx="3">
                  <c:v>1102.9988000000001</c:v>
                </c:pt>
                <c:pt idx="4">
                  <c:v>1133.4605000000001</c:v>
                </c:pt>
                <c:pt idx="5">
                  <c:v>1610.1200219178081</c:v>
                </c:pt>
                <c:pt idx="6">
                  <c:v>1842.6876521424654</c:v>
                </c:pt>
                <c:pt idx="7">
                  <c:v>2081.0233005632867</c:v>
                </c:pt>
                <c:pt idx="8">
                  <c:v>2318.7548343197091</c:v>
                </c:pt>
                <c:pt idx="9">
                  <c:v>2548.6140092000974</c:v>
                </c:pt>
              </c:numCache>
            </c:numRef>
          </c:val>
          <c:extLst>
            <c:ext xmlns:c16="http://schemas.microsoft.com/office/drawing/2014/chart" uri="{C3380CC4-5D6E-409C-BE32-E72D297353CC}">
              <c16:uniqueId val="{00000014-6FF3-45C3-9175-AEE80F38DEB3}"/>
            </c:ext>
          </c:extLst>
        </c:ser>
        <c:dLbls>
          <c:showLegendKey val="0"/>
          <c:showVal val="0"/>
          <c:showCatName val="0"/>
          <c:showSerName val="0"/>
          <c:showPercent val="0"/>
          <c:showBubbleSize val="0"/>
        </c:dLbls>
        <c:gapWidth val="219"/>
        <c:overlap val="-27"/>
        <c:axId val="1123035536"/>
        <c:axId val="1123037168"/>
      </c:barChart>
      <c:lineChart>
        <c:grouping val="standard"/>
        <c:varyColors val="0"/>
        <c:ser>
          <c:idx val="1"/>
          <c:order val="1"/>
          <c:tx>
            <c:strRef>
              <c:f>Report!$B$263</c:f>
              <c:strCache>
                <c:ptCount val="1"/>
                <c:pt idx="0">
                  <c:v>Payable Days </c:v>
                </c:pt>
              </c:strCache>
            </c:strRef>
          </c:tx>
          <c:spPr>
            <a:ln w="28575" cap="rnd">
              <a:solidFill>
                <a:schemeClr val="bg1">
                  <a:lumMod val="65000"/>
                </a:schemeClr>
              </a:solidFill>
              <a:round/>
            </a:ln>
            <a:effectLst/>
          </c:spPr>
          <c:marker>
            <c:symbol val="circle"/>
            <c:size val="5"/>
            <c:spPr>
              <a:solidFill>
                <a:schemeClr val="tx1">
                  <a:lumMod val="65000"/>
                  <a:lumOff val="35000"/>
                </a:schemeClr>
              </a:solidFill>
              <a:ln w="9525">
                <a:solidFill>
                  <a:schemeClr val="bg1">
                    <a:lumMod val="50000"/>
                  </a:schemeClr>
                </a:solidFill>
              </a:ln>
              <a:effectLst/>
            </c:spPr>
          </c:marker>
          <c:cat>
            <c:numRef>
              <c:f>Report!$C$261:$L$261</c:f>
              <c:numCache>
                <c:formatCode>0"A"</c:formatCode>
                <c:ptCount val="10"/>
                <c:pt idx="0">
                  <c:v>2021</c:v>
                </c:pt>
                <c:pt idx="1">
                  <c:v>2022</c:v>
                </c:pt>
                <c:pt idx="2">
                  <c:v>2023</c:v>
                </c:pt>
                <c:pt idx="3">
                  <c:v>2024</c:v>
                </c:pt>
                <c:pt idx="4">
                  <c:v>2025</c:v>
                </c:pt>
                <c:pt idx="5" formatCode="0&quot;F&quot;">
                  <c:v>2026</c:v>
                </c:pt>
                <c:pt idx="6" formatCode="0&quot;F&quot;">
                  <c:v>2027</c:v>
                </c:pt>
                <c:pt idx="7" formatCode="0&quot;F&quot;">
                  <c:v>2028</c:v>
                </c:pt>
                <c:pt idx="8" formatCode="0&quot;F&quot;">
                  <c:v>2029</c:v>
                </c:pt>
                <c:pt idx="9" formatCode="0&quot;F&quot;">
                  <c:v>2030</c:v>
                </c:pt>
              </c:numCache>
            </c:numRef>
          </c:cat>
          <c:val>
            <c:numRef>
              <c:f>Report!$C$263:$L$263</c:f>
              <c:numCache>
                <c:formatCode>0</c:formatCode>
                <c:ptCount val="10"/>
                <c:pt idx="0">
                  <c:v>0</c:v>
                </c:pt>
                <c:pt idx="1">
                  <c:v>131.39712518959598</c:v>
                </c:pt>
                <c:pt idx="2">
                  <c:v>130.54688367685532</c:v>
                </c:pt>
                <c:pt idx="3">
                  <c:v>120.01575702233973</c:v>
                </c:pt>
                <c:pt idx="4">
                  <c:v>105.87537930864534</c:v>
                </c:pt>
                <c:pt idx="5">
                  <c:v>120</c:v>
                </c:pt>
                <c:pt idx="6">
                  <c:v>120</c:v>
                </c:pt>
                <c:pt idx="7">
                  <c:v>120</c:v>
                </c:pt>
                <c:pt idx="8">
                  <c:v>120</c:v>
                </c:pt>
                <c:pt idx="9">
                  <c:v>120</c:v>
                </c:pt>
              </c:numCache>
            </c:numRef>
          </c:val>
          <c:smooth val="0"/>
          <c:extLst>
            <c:ext xmlns:c16="http://schemas.microsoft.com/office/drawing/2014/chart" uri="{C3380CC4-5D6E-409C-BE32-E72D297353CC}">
              <c16:uniqueId val="{00000015-6FF3-45C3-9175-AEE80F38DEB3}"/>
            </c:ext>
          </c:extLst>
        </c:ser>
        <c:dLbls>
          <c:showLegendKey val="0"/>
          <c:showVal val="0"/>
          <c:showCatName val="0"/>
          <c:showSerName val="0"/>
          <c:showPercent val="0"/>
          <c:showBubbleSize val="0"/>
        </c:dLbls>
        <c:marker val="1"/>
        <c:smooth val="0"/>
        <c:axId val="1123042064"/>
        <c:axId val="1123038256"/>
      </c:lineChart>
      <c:catAx>
        <c:axId val="1123035536"/>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37168"/>
        <c:crosses val="autoZero"/>
        <c:auto val="1"/>
        <c:lblAlgn val="ctr"/>
        <c:lblOffset val="100"/>
        <c:noMultiLvlLbl val="0"/>
      </c:catAx>
      <c:valAx>
        <c:axId val="1123037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35536"/>
        <c:crosses val="autoZero"/>
        <c:crossBetween val="between"/>
      </c:valAx>
      <c:valAx>
        <c:axId val="11230382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042064"/>
        <c:crosses val="max"/>
        <c:crossBetween val="between"/>
      </c:valAx>
      <c:catAx>
        <c:axId val="1123042064"/>
        <c:scaling>
          <c:orientation val="minMax"/>
        </c:scaling>
        <c:delete val="1"/>
        <c:axPos val="b"/>
        <c:numFmt formatCode="0&quot;A&quot;" sourceLinked="1"/>
        <c:majorTickMark val="out"/>
        <c:minorTickMark val="none"/>
        <c:tickLblPos val="nextTo"/>
        <c:crossAx val="1123038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B0F0"/>
                </a:solidFill>
              </a:rPr>
              <a:t>Long</a:t>
            </a:r>
            <a:r>
              <a:rPr lang="en-IN" sz="1800" b="1" baseline="0">
                <a:solidFill>
                  <a:srgbClr val="00B0F0"/>
                </a:solidFill>
              </a:rPr>
              <a:t> Term and Short Term Borrowings</a:t>
            </a:r>
            <a:endParaRPr lang="en-IN" sz="1800" b="1">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Report!$A$274</c:f>
              <c:strCache>
                <c:ptCount val="1"/>
                <c:pt idx="0">
                  <c:v>LTB%TB</c:v>
                </c:pt>
              </c:strCache>
            </c:strRef>
          </c:tx>
          <c:spPr>
            <a:solidFill>
              <a:srgbClr val="00B0F0"/>
            </a:solidFill>
            <a:ln>
              <a:noFill/>
            </a:ln>
            <a:effectLst/>
          </c:spPr>
          <c:invertIfNegative val="0"/>
          <c:cat>
            <c:numRef>
              <c:f>Report!$B$273:$H$273</c:f>
              <c:numCache>
                <c:formatCode>General</c:formatCode>
                <c:ptCount val="7"/>
                <c:pt idx="0">
                  <c:v>2019</c:v>
                </c:pt>
                <c:pt idx="1">
                  <c:v>2020</c:v>
                </c:pt>
                <c:pt idx="2">
                  <c:v>2021</c:v>
                </c:pt>
                <c:pt idx="3">
                  <c:v>2022</c:v>
                </c:pt>
                <c:pt idx="4">
                  <c:v>2023</c:v>
                </c:pt>
                <c:pt idx="5">
                  <c:v>2024</c:v>
                </c:pt>
                <c:pt idx="6">
                  <c:v>2025</c:v>
                </c:pt>
              </c:numCache>
            </c:numRef>
          </c:cat>
          <c:val>
            <c:numRef>
              <c:f>Report!$B$274:$H$274</c:f>
              <c:numCache>
                <c:formatCode>0%</c:formatCode>
                <c:ptCount val="7"/>
                <c:pt idx="0">
                  <c:v>9.4201653562211149E-2</c:v>
                </c:pt>
                <c:pt idx="1">
                  <c:v>0.56788380147336515</c:v>
                </c:pt>
                <c:pt idx="2">
                  <c:v>0.26580358275338178</c:v>
                </c:pt>
                <c:pt idx="3">
                  <c:v>5.6673339268631211E-2</c:v>
                </c:pt>
                <c:pt idx="4">
                  <c:v>0.14253143049637193</c:v>
                </c:pt>
                <c:pt idx="5">
                  <c:v>0.12685285034672239</c:v>
                </c:pt>
                <c:pt idx="6">
                  <c:v>0.65144058196186982</c:v>
                </c:pt>
              </c:numCache>
            </c:numRef>
          </c:val>
          <c:extLst>
            <c:ext xmlns:c16="http://schemas.microsoft.com/office/drawing/2014/chart" uri="{C3380CC4-5D6E-409C-BE32-E72D297353CC}">
              <c16:uniqueId val="{00000000-0EB3-4590-9F4C-9DB6B0BEC465}"/>
            </c:ext>
          </c:extLst>
        </c:ser>
        <c:ser>
          <c:idx val="1"/>
          <c:order val="1"/>
          <c:tx>
            <c:strRef>
              <c:f>Report!$A$275</c:f>
              <c:strCache>
                <c:ptCount val="1"/>
                <c:pt idx="0">
                  <c:v>STB%TB</c:v>
                </c:pt>
              </c:strCache>
            </c:strRef>
          </c:tx>
          <c:spPr>
            <a:solidFill>
              <a:srgbClr val="2C338B"/>
            </a:solidFill>
            <a:ln>
              <a:noFill/>
            </a:ln>
            <a:effectLst/>
          </c:spPr>
          <c:invertIfNegative val="0"/>
          <c:cat>
            <c:numRef>
              <c:f>Report!$B$273:$H$273</c:f>
              <c:numCache>
                <c:formatCode>General</c:formatCode>
                <c:ptCount val="7"/>
                <c:pt idx="0">
                  <c:v>2019</c:v>
                </c:pt>
                <c:pt idx="1">
                  <c:v>2020</c:v>
                </c:pt>
                <c:pt idx="2">
                  <c:v>2021</c:v>
                </c:pt>
                <c:pt idx="3">
                  <c:v>2022</c:v>
                </c:pt>
                <c:pt idx="4">
                  <c:v>2023</c:v>
                </c:pt>
                <c:pt idx="5">
                  <c:v>2024</c:v>
                </c:pt>
                <c:pt idx="6">
                  <c:v>2025</c:v>
                </c:pt>
              </c:numCache>
            </c:numRef>
          </c:cat>
          <c:val>
            <c:numRef>
              <c:f>Report!$B$275:$H$275</c:f>
              <c:numCache>
                <c:formatCode>0%</c:formatCode>
                <c:ptCount val="7"/>
                <c:pt idx="0">
                  <c:v>0.90579834643778878</c:v>
                </c:pt>
                <c:pt idx="1">
                  <c:v>0.43211619852663485</c:v>
                </c:pt>
                <c:pt idx="2">
                  <c:v>0.7341964172466181</c:v>
                </c:pt>
                <c:pt idx="3">
                  <c:v>0.94332666073136884</c:v>
                </c:pt>
                <c:pt idx="4">
                  <c:v>0.85746856950362804</c:v>
                </c:pt>
                <c:pt idx="5">
                  <c:v>0.87314714965327767</c:v>
                </c:pt>
                <c:pt idx="6">
                  <c:v>0.34855941803813029</c:v>
                </c:pt>
              </c:numCache>
            </c:numRef>
          </c:val>
          <c:extLst>
            <c:ext xmlns:c16="http://schemas.microsoft.com/office/drawing/2014/chart" uri="{C3380CC4-5D6E-409C-BE32-E72D297353CC}">
              <c16:uniqueId val="{00000001-0EB3-4590-9F4C-9DB6B0BEC465}"/>
            </c:ext>
          </c:extLst>
        </c:ser>
        <c:dLbls>
          <c:showLegendKey val="0"/>
          <c:showVal val="0"/>
          <c:showCatName val="0"/>
          <c:showSerName val="0"/>
          <c:showPercent val="0"/>
          <c:showBubbleSize val="0"/>
        </c:dLbls>
        <c:gapWidth val="150"/>
        <c:overlap val="100"/>
        <c:axId val="1123228304"/>
        <c:axId val="1123232112"/>
      </c:barChart>
      <c:catAx>
        <c:axId val="112322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232112"/>
        <c:crosses val="autoZero"/>
        <c:auto val="1"/>
        <c:lblAlgn val="ctr"/>
        <c:lblOffset val="100"/>
        <c:noMultiLvlLbl val="0"/>
      </c:catAx>
      <c:valAx>
        <c:axId val="11232321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28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 Working'!$B$408</c:f>
              <c:strCache>
                <c:ptCount val="1"/>
                <c:pt idx="0">
                  <c:v>Revenue Growth YoY %</c:v>
                </c:pt>
              </c:strCache>
            </c:strRef>
          </c:tx>
          <c:spPr>
            <a:ln w="28575" cap="rnd">
              <a:solidFill>
                <a:schemeClr val="accent1"/>
              </a:solidFill>
              <a:round/>
            </a:ln>
            <a:effectLst/>
          </c:spPr>
          <c:marker>
            <c:symbol val="none"/>
          </c:marker>
          <c:cat>
            <c:numRef>
              <c:f>'Assumptions Working'!$C$406:$M$406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'Assumptions Working'!$C$408:$M$408</c:f>
              <c:numCache>
                <c:formatCode>0.0%</c:formatCode>
                <c:ptCount val="11"/>
                <c:pt idx="1">
                  <c:v>0.18687932591032208</c:v>
                </c:pt>
                <c:pt idx="2">
                  <c:v>0.11105476673427983</c:v>
                </c:pt>
                <c:pt idx="3">
                  <c:v>0.1230031948881789</c:v>
                </c:pt>
                <c:pt idx="4">
                  <c:v>1.1989433042064679E-2</c:v>
                </c:pt>
                <c:pt idx="5">
                  <c:v>0.17911646586345387</c:v>
                </c:pt>
                <c:pt idx="6">
                  <c:v>5.9945504087193457E-2</c:v>
                </c:pt>
                <c:pt idx="7">
                  <c:v>0.25032133676092538</c:v>
                </c:pt>
                <c:pt idx="8">
                  <c:v>0.12426111539450013</c:v>
                </c:pt>
                <c:pt idx="9">
                  <c:v>0.18127786032689452</c:v>
                </c:pt>
                <c:pt idx="10">
                  <c:v>0.18113207547169807</c:v>
                </c:pt>
              </c:numCache>
            </c:numRef>
          </c:val>
          <c:smooth val="0"/>
          <c:extLst>
            <c:ext xmlns:c16="http://schemas.microsoft.com/office/drawing/2014/chart" uri="{C3380CC4-5D6E-409C-BE32-E72D297353CC}">
              <c16:uniqueId val="{00000000-4207-4646-81BC-54E4D6B04DF7}"/>
            </c:ext>
          </c:extLst>
        </c:ser>
        <c:ser>
          <c:idx val="1"/>
          <c:order val="1"/>
          <c:tx>
            <c:strRef>
              <c:f>'Assumptions Working'!$B$411</c:f>
              <c:strCache>
                <c:ptCount val="1"/>
                <c:pt idx="0">
                  <c:v>Inventories Growth YoY %</c:v>
                </c:pt>
              </c:strCache>
            </c:strRef>
          </c:tx>
          <c:spPr>
            <a:ln w="28575" cap="rnd">
              <a:solidFill>
                <a:schemeClr val="accent2"/>
              </a:solidFill>
              <a:round/>
            </a:ln>
            <a:effectLst/>
          </c:spPr>
          <c:marker>
            <c:symbol val="none"/>
          </c:marker>
          <c:cat>
            <c:numRef>
              <c:f>'Assumptions Working'!$C$406:$M$406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'Assumptions Working'!$C$411:$M$411</c:f>
              <c:numCache>
                <c:formatCode>0.0%</c:formatCode>
                <c:ptCount val="11"/>
                <c:pt idx="1">
                  <c:v>3.8590604026845554E-2</c:v>
                </c:pt>
                <c:pt idx="2">
                  <c:v>0.27463651050080773</c:v>
                </c:pt>
                <c:pt idx="3">
                  <c:v>0</c:v>
                </c:pt>
                <c:pt idx="4">
                  <c:v>4.0557667934093766E-2</c:v>
                </c:pt>
                <c:pt idx="5">
                  <c:v>9.5006090133982868E-2</c:v>
                </c:pt>
                <c:pt idx="6">
                  <c:v>0.31701890989988879</c:v>
                </c:pt>
                <c:pt idx="7">
                  <c:v>0.4864864864864864</c:v>
                </c:pt>
                <c:pt idx="8">
                  <c:v>-0.14886363636363631</c:v>
                </c:pt>
                <c:pt idx="9">
                  <c:v>3.6715620827770357E-2</c:v>
                </c:pt>
                <c:pt idx="10">
                  <c:v>0.34771410173857054</c:v>
                </c:pt>
              </c:numCache>
            </c:numRef>
          </c:val>
          <c:smooth val="0"/>
          <c:extLst>
            <c:ext xmlns:c16="http://schemas.microsoft.com/office/drawing/2014/chart" uri="{C3380CC4-5D6E-409C-BE32-E72D297353CC}">
              <c16:uniqueId val="{00000001-4207-4646-81BC-54E4D6B04DF7}"/>
            </c:ext>
          </c:extLst>
        </c:ser>
        <c:dLbls>
          <c:showLegendKey val="0"/>
          <c:showVal val="0"/>
          <c:showCatName val="0"/>
          <c:showSerName val="0"/>
          <c:showPercent val="0"/>
          <c:showBubbleSize val="0"/>
        </c:dLbls>
        <c:smooth val="0"/>
        <c:axId val="1123233744"/>
        <c:axId val="1123230480"/>
      </c:lineChart>
      <c:catAx>
        <c:axId val="11232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30480"/>
        <c:crosses val="autoZero"/>
        <c:auto val="1"/>
        <c:lblAlgn val="ctr"/>
        <c:lblOffset val="100"/>
        <c:noMultiLvlLbl val="0"/>
      </c:catAx>
      <c:valAx>
        <c:axId val="1123230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33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 Working'!$B$462</c:f>
              <c:strCache>
                <c:ptCount val="1"/>
                <c:pt idx="0">
                  <c:v>Revenue Growth YoY %</c:v>
                </c:pt>
              </c:strCache>
            </c:strRef>
          </c:tx>
          <c:spPr>
            <a:ln w="28575" cap="rnd">
              <a:solidFill>
                <a:schemeClr val="accent1"/>
              </a:solidFill>
              <a:round/>
            </a:ln>
            <a:effectLst/>
          </c:spPr>
          <c:marker>
            <c:symbol val="none"/>
          </c:marker>
          <c:cat>
            <c:numRef>
              <c:f>'Assumptions Working'!$C$460:$M$460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'Assumptions Working'!$C$462:$M$462</c:f>
              <c:numCache>
                <c:formatCode>0.0%</c:formatCode>
                <c:ptCount val="11"/>
                <c:pt idx="1">
                  <c:v>0.18687932591032208</c:v>
                </c:pt>
                <c:pt idx="2">
                  <c:v>0.11105476673427983</c:v>
                </c:pt>
                <c:pt idx="3">
                  <c:v>0.1230031948881789</c:v>
                </c:pt>
                <c:pt idx="4">
                  <c:v>1.1989433042064679E-2</c:v>
                </c:pt>
                <c:pt idx="5">
                  <c:v>0.17911646586345387</c:v>
                </c:pt>
                <c:pt idx="6">
                  <c:v>5.9945504087193457E-2</c:v>
                </c:pt>
                <c:pt idx="7">
                  <c:v>0.25032133676092538</c:v>
                </c:pt>
                <c:pt idx="8">
                  <c:v>0.12426111539450013</c:v>
                </c:pt>
                <c:pt idx="9">
                  <c:v>0.18127786032689452</c:v>
                </c:pt>
                <c:pt idx="10">
                  <c:v>0.18113207547169807</c:v>
                </c:pt>
              </c:numCache>
            </c:numRef>
          </c:val>
          <c:smooth val="0"/>
          <c:extLst>
            <c:ext xmlns:c16="http://schemas.microsoft.com/office/drawing/2014/chart" uri="{C3380CC4-5D6E-409C-BE32-E72D297353CC}">
              <c16:uniqueId val="{00000000-0757-4EEB-9E1C-16BFB38F8E0F}"/>
            </c:ext>
          </c:extLst>
        </c:ser>
        <c:ser>
          <c:idx val="1"/>
          <c:order val="1"/>
          <c:tx>
            <c:strRef>
              <c:f>'Assumptions Working'!$B$465</c:f>
              <c:strCache>
                <c:ptCount val="1"/>
                <c:pt idx="0">
                  <c:v>Trade Receivable Growth YoY %</c:v>
                </c:pt>
              </c:strCache>
            </c:strRef>
          </c:tx>
          <c:spPr>
            <a:ln w="28575" cap="rnd">
              <a:solidFill>
                <a:schemeClr val="accent2"/>
              </a:solidFill>
              <a:round/>
            </a:ln>
            <a:effectLst/>
          </c:spPr>
          <c:marker>
            <c:symbol val="none"/>
          </c:marker>
          <c:cat>
            <c:numRef>
              <c:f>'Assumptions Working'!$C$460:$M$460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'Assumptions Working'!$C$465:$M$465</c:f>
              <c:numCache>
                <c:formatCode>0.0%</c:formatCode>
                <c:ptCount val="11"/>
                <c:pt idx="1">
                  <c:v>-2.0304568527918732E-2</c:v>
                </c:pt>
                <c:pt idx="2">
                  <c:v>-0.13989637305699487</c:v>
                </c:pt>
                <c:pt idx="3">
                  <c:v>0.78915662650602414</c:v>
                </c:pt>
                <c:pt idx="4">
                  <c:v>-0.2592592592592593</c:v>
                </c:pt>
                <c:pt idx="5">
                  <c:v>1.4136363636363636</c:v>
                </c:pt>
                <c:pt idx="6">
                  <c:v>-0.37664783427495296</c:v>
                </c:pt>
                <c:pt idx="7">
                  <c:v>0.17220543806646527</c:v>
                </c:pt>
                <c:pt idx="8">
                  <c:v>0.48453608247422686</c:v>
                </c:pt>
                <c:pt idx="9">
                  <c:v>0.47222222222222232</c:v>
                </c:pt>
                <c:pt idx="10">
                  <c:v>0.81367924528301883</c:v>
                </c:pt>
              </c:numCache>
            </c:numRef>
          </c:val>
          <c:smooth val="0"/>
          <c:extLst>
            <c:ext xmlns:c16="http://schemas.microsoft.com/office/drawing/2014/chart" uri="{C3380CC4-5D6E-409C-BE32-E72D297353CC}">
              <c16:uniqueId val="{00000001-0757-4EEB-9E1C-16BFB38F8E0F}"/>
            </c:ext>
          </c:extLst>
        </c:ser>
        <c:dLbls>
          <c:showLegendKey val="0"/>
          <c:showVal val="0"/>
          <c:showCatName val="0"/>
          <c:showSerName val="0"/>
          <c:showPercent val="0"/>
          <c:showBubbleSize val="0"/>
        </c:dLbls>
        <c:smooth val="0"/>
        <c:axId val="1123234288"/>
        <c:axId val="1123231024"/>
      </c:lineChart>
      <c:catAx>
        <c:axId val="112323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31024"/>
        <c:crosses val="autoZero"/>
        <c:auto val="1"/>
        <c:lblAlgn val="ctr"/>
        <c:lblOffset val="100"/>
        <c:noMultiLvlLbl val="0"/>
      </c:catAx>
      <c:valAx>
        <c:axId val="112323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3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'Assumptions Working'!$B$914</c:f>
              <c:strCache>
                <c:ptCount val="1"/>
                <c:pt idx="0">
                  <c:v>Operating Cash</c:v>
                </c:pt>
              </c:strCache>
            </c:strRef>
          </c:tx>
          <c:spPr>
            <a:solidFill>
              <a:schemeClr val="accent1"/>
            </a:solidFill>
            <a:ln>
              <a:noFill/>
            </a:ln>
            <a:effectLst/>
          </c:spPr>
          <c:invertIfNegative val="0"/>
          <c:cat>
            <c:numRef>
              <c:f>'Assumptions Working'!$C$901:$N$901</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'Assumptions Working'!$C$914:$N$914</c:f>
              <c:numCache>
                <c:formatCode>#,##0</c:formatCode>
                <c:ptCount val="12"/>
                <c:pt idx="0">
                  <c:v>116.39030000000001</c:v>
                </c:pt>
                <c:pt idx="1">
                  <c:v>226.0753</c:v>
                </c:pt>
                <c:pt idx="2">
                  <c:v>167.18200000000002</c:v>
                </c:pt>
                <c:pt idx="3">
                  <c:v>302.53469999999999</c:v>
                </c:pt>
                <c:pt idx="4">
                  <c:v>304.82069999999999</c:v>
                </c:pt>
                <c:pt idx="5">
                  <c:v>382.00749999999999</c:v>
                </c:pt>
                <c:pt idx="6">
                  <c:v>407.36</c:v>
                </c:pt>
                <c:pt idx="7">
                  <c:v>432.12779999999992</c:v>
                </c:pt>
                <c:pt idx="8">
                  <c:v>503.42888699999992</c:v>
                </c:pt>
                <c:pt idx="9">
                  <c:v>578.94322004999992</c:v>
                </c:pt>
                <c:pt idx="10">
                  <c:v>657.10055475674983</c:v>
                </c:pt>
                <c:pt idx="11">
                  <c:v>735.95262132755988</c:v>
                </c:pt>
              </c:numCache>
            </c:numRef>
          </c:val>
          <c:extLst>
            <c:ext xmlns:c16="http://schemas.microsoft.com/office/drawing/2014/chart" uri="{C3380CC4-5D6E-409C-BE32-E72D297353CC}">
              <c16:uniqueId val="{00000000-E48E-41A0-81D8-C0C312E634A1}"/>
            </c:ext>
          </c:extLst>
        </c:ser>
        <c:ser>
          <c:idx val="1"/>
          <c:order val="1"/>
          <c:tx>
            <c:strRef>
              <c:f>'Assumptions Working'!$B$916</c:f>
              <c:strCache>
                <c:ptCount val="1"/>
                <c:pt idx="0">
                  <c:v>Excess Cash</c:v>
                </c:pt>
              </c:strCache>
            </c:strRef>
          </c:tx>
          <c:spPr>
            <a:solidFill>
              <a:schemeClr val="accent2"/>
            </a:solidFill>
            <a:ln>
              <a:noFill/>
            </a:ln>
            <a:effectLst/>
          </c:spPr>
          <c:invertIfNegative val="0"/>
          <c:cat>
            <c:numRef>
              <c:f>'Assumptions Working'!$C$901:$N$901</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'Assumptions Working'!$C$916:$N$916</c:f>
              <c:numCache>
                <c:formatCode>#,##0</c:formatCode>
                <c:ptCount val="12"/>
                <c:pt idx="0">
                  <c:v>0</c:v>
                </c:pt>
                <c:pt idx="1">
                  <c:v>0</c:v>
                </c:pt>
                <c:pt idx="2">
                  <c:v>0</c:v>
                </c:pt>
                <c:pt idx="3">
                  <c:v>0</c:v>
                </c:pt>
                <c:pt idx="4">
                  <c:v>0</c:v>
                </c:pt>
                <c:pt idx="5">
                  <c:v>0</c:v>
                </c:pt>
                <c:pt idx="6">
                  <c:v>0</c:v>
                </c:pt>
                <c:pt idx="7">
                  <c:v>728.60992557584427</c:v>
                </c:pt>
                <c:pt idx="8">
                  <c:v>2510.0773410800871</c:v>
                </c:pt>
                <c:pt idx="9">
                  <c:v>4718.3481334095759</c:v>
                </c:pt>
                <c:pt idx="10">
                  <c:v>7592.5805985067482</c:v>
                </c:pt>
                <c:pt idx="11">
                  <c:v>10673.689956084483</c:v>
                </c:pt>
              </c:numCache>
            </c:numRef>
          </c:val>
          <c:extLst>
            <c:ext xmlns:c16="http://schemas.microsoft.com/office/drawing/2014/chart" uri="{C3380CC4-5D6E-409C-BE32-E72D297353CC}">
              <c16:uniqueId val="{00000001-E48E-41A0-81D8-C0C312E634A1}"/>
            </c:ext>
          </c:extLst>
        </c:ser>
        <c:dLbls>
          <c:showLegendKey val="0"/>
          <c:showVal val="0"/>
          <c:showCatName val="0"/>
          <c:showSerName val="0"/>
          <c:showPercent val="0"/>
          <c:showBubbleSize val="0"/>
        </c:dLbls>
        <c:gapWidth val="150"/>
        <c:overlap val="100"/>
        <c:axId val="1123221776"/>
        <c:axId val="1123228848"/>
      </c:barChart>
      <c:catAx>
        <c:axId val="112322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28848"/>
        <c:crosses val="autoZero"/>
        <c:auto val="1"/>
        <c:lblAlgn val="ctr"/>
        <c:lblOffset val="100"/>
        <c:noMultiLvlLbl val="0"/>
      </c:catAx>
      <c:valAx>
        <c:axId val="1123228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21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Young Population 18-24 Years</a:t>
            </a:r>
          </a:p>
          <a:p>
            <a:pPr>
              <a:defRPr b="1"/>
            </a:pPr>
            <a:r>
              <a:rPr lang="en-US" b="1"/>
              <a:t>(Working)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'Growth Drivers'!$D$13</c:f>
              <c:strCache>
                <c:ptCount val="1"/>
                <c:pt idx="0">
                  <c:v>Young Population Working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'Growth Drivers'!$C$14:$C$18</c:f>
              <c:numCache>
                <c:formatCode>General</c:formatCode>
                <c:ptCount val="5"/>
                <c:pt idx="0">
                  <c:v>2019</c:v>
                </c:pt>
                <c:pt idx="1">
                  <c:v>2020</c:v>
                </c:pt>
                <c:pt idx="2">
                  <c:v>2021</c:v>
                </c:pt>
                <c:pt idx="3">
                  <c:v>2022</c:v>
                </c:pt>
                <c:pt idx="4">
                  <c:v>2023</c:v>
                </c:pt>
              </c:numCache>
            </c:numRef>
          </c:cat>
          <c:val>
            <c:numRef>
              <c:f>'Growth Drivers'!$D$14:$D$18</c:f>
              <c:numCache>
                <c:formatCode>0.00%</c:formatCode>
                <c:ptCount val="5"/>
                <c:pt idx="0">
                  <c:v>0.6694</c:v>
                </c:pt>
                <c:pt idx="1">
                  <c:v>0.6724</c:v>
                </c:pt>
                <c:pt idx="2">
                  <c:v>0.67549999999999999</c:v>
                </c:pt>
                <c:pt idx="3">
                  <c:v>0.67810000000000004</c:v>
                </c:pt>
                <c:pt idx="4">
                  <c:v>0.68020000000000003</c:v>
                </c:pt>
              </c:numCache>
            </c:numRef>
          </c:val>
          <c:extLst>
            <c:ext xmlns:c16="http://schemas.microsoft.com/office/drawing/2014/chart" uri="{C3380CC4-5D6E-409C-BE32-E72D297353CC}">
              <c16:uniqueId val="{00000000-B81A-4B22-A6FC-135C3164A2C8}"/>
            </c:ext>
          </c:extLst>
        </c:ser>
        <c:dLbls>
          <c:dLblPos val="outEnd"/>
          <c:showLegendKey val="0"/>
          <c:showVal val="1"/>
          <c:showCatName val="0"/>
          <c:showSerName val="0"/>
          <c:showPercent val="0"/>
          <c:showBubbleSize val="0"/>
        </c:dLbls>
        <c:gapWidth val="219"/>
        <c:overlap val="-27"/>
        <c:axId val="1123234832"/>
        <c:axId val="1123221232"/>
      </c:barChart>
      <c:catAx>
        <c:axId val="112323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221232"/>
        <c:crosses val="autoZero"/>
        <c:auto val="0"/>
        <c:lblAlgn val="ctr"/>
        <c:lblOffset val="100"/>
        <c:noMultiLvlLbl val="0"/>
      </c:catAx>
      <c:valAx>
        <c:axId val="1123221232"/>
        <c:scaling>
          <c:orientation val="minMax"/>
        </c:scaling>
        <c:delete val="1"/>
        <c:axPos val="l"/>
        <c:numFmt formatCode="0.00%" sourceLinked="1"/>
        <c:majorTickMark val="none"/>
        <c:minorTickMark val="none"/>
        <c:tickLblPos val="nextTo"/>
        <c:crossAx val="11232348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Accelerated</a:t>
            </a:r>
            <a:r>
              <a:rPr lang="en-IN" baseline="0"/>
              <a:t> Urbaniztion</a:t>
            </a:r>
            <a:r>
              <a:rPr lang="en-IN"/>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'Growth Drivers'!$I$23</c:f>
              <c:strCache>
                <c:ptCount val="1"/>
                <c:pt idx="0">
                  <c:v>Urban</c:v>
                </c:pt>
              </c:strCache>
            </c:strRef>
          </c:tx>
          <c:spPr>
            <a:solidFill>
              <a:schemeClr val="accent1"/>
            </a:solidFill>
            <a:ln>
              <a:noFill/>
            </a:ln>
            <a:effectLst/>
          </c:spPr>
          <c:invertIfNegative val="0"/>
          <c:cat>
            <c:numRef>
              <c:f>'Growth Drivers'!$H$24:$H$28</c:f>
              <c:numCache>
                <c:formatCode>General</c:formatCode>
                <c:ptCount val="5"/>
                <c:pt idx="0">
                  <c:v>2019</c:v>
                </c:pt>
                <c:pt idx="1">
                  <c:v>2020</c:v>
                </c:pt>
                <c:pt idx="2">
                  <c:v>2021</c:v>
                </c:pt>
                <c:pt idx="3">
                  <c:v>2022</c:v>
                </c:pt>
                <c:pt idx="4">
                  <c:v>2023</c:v>
                </c:pt>
              </c:numCache>
            </c:numRef>
          </c:cat>
          <c:val>
            <c:numRef>
              <c:f>'Growth Drivers'!$I$24:$I$28</c:f>
              <c:numCache>
                <c:formatCode>#,##0</c:formatCode>
                <c:ptCount val="5"/>
                <c:pt idx="0">
                  <c:v>46.587182499999997</c:v>
                </c:pt>
                <c:pt idx="1">
                  <c:v>48.7702168</c:v>
                </c:pt>
                <c:pt idx="2">
                  <c:v>49.817907099999999</c:v>
                </c:pt>
                <c:pt idx="3">
                  <c:v>50.836836099999999</c:v>
                </c:pt>
                <c:pt idx="4">
                  <c:v>52.293962800000003</c:v>
                </c:pt>
              </c:numCache>
            </c:numRef>
          </c:val>
          <c:extLst>
            <c:ext xmlns:c16="http://schemas.microsoft.com/office/drawing/2014/chart" uri="{C3380CC4-5D6E-409C-BE32-E72D297353CC}">
              <c16:uniqueId val="{00000000-4B15-46C6-9D23-B11C87578BB9}"/>
            </c:ext>
          </c:extLst>
        </c:ser>
        <c:dLbls>
          <c:showLegendKey val="0"/>
          <c:showVal val="0"/>
          <c:showCatName val="0"/>
          <c:showSerName val="0"/>
          <c:showPercent val="0"/>
          <c:showBubbleSize val="0"/>
        </c:dLbls>
        <c:gapWidth val="219"/>
        <c:overlap val="-27"/>
        <c:axId val="1123235376"/>
        <c:axId val="1123222864"/>
      </c:barChart>
      <c:lineChart>
        <c:grouping val="standard"/>
        <c:varyColors val="0"/>
        <c:ser>
          <c:idx val="1"/>
          <c:order val="1"/>
          <c:tx>
            <c:strRef>
              <c:f>'Growth Drivers'!$L$23</c:f>
              <c:strCache>
                <c:ptCount val="1"/>
                <c:pt idx="0">
                  <c:v>% of Total</c:v>
                </c:pt>
              </c:strCache>
            </c:strRef>
          </c:tx>
          <c:spPr>
            <a:ln w="28575" cap="rnd">
              <a:solidFill>
                <a:schemeClr val="accent2"/>
              </a:solidFill>
              <a:round/>
            </a:ln>
            <a:effectLst/>
          </c:spPr>
          <c:marker>
            <c:symbol val="none"/>
          </c:marker>
          <c:cat>
            <c:numRef>
              <c:f>'Growth Drivers'!$H$24:$H$28</c:f>
              <c:numCache>
                <c:formatCode>General</c:formatCode>
                <c:ptCount val="5"/>
                <c:pt idx="0">
                  <c:v>2019</c:v>
                </c:pt>
                <c:pt idx="1">
                  <c:v>2020</c:v>
                </c:pt>
                <c:pt idx="2">
                  <c:v>2021</c:v>
                </c:pt>
                <c:pt idx="3">
                  <c:v>2022</c:v>
                </c:pt>
                <c:pt idx="4">
                  <c:v>2023</c:v>
                </c:pt>
              </c:numCache>
            </c:numRef>
          </c:cat>
          <c:val>
            <c:numRef>
              <c:f>'Growth Drivers'!$L$24:$L$28</c:f>
              <c:numCache>
                <c:formatCode>0.0%</c:formatCode>
                <c:ptCount val="5"/>
                <c:pt idx="0">
                  <c:v>0.33799545959535915</c:v>
                </c:pt>
                <c:pt idx="1">
                  <c:v>0.34824884205257689</c:v>
                </c:pt>
                <c:pt idx="2">
                  <c:v>0.35285457839287776</c:v>
                </c:pt>
                <c:pt idx="3">
                  <c:v>0.35738580905201522</c:v>
                </c:pt>
                <c:pt idx="4">
                  <c:v>0.36364000007688085</c:v>
                </c:pt>
              </c:numCache>
            </c:numRef>
          </c:val>
          <c:smooth val="0"/>
          <c:extLst>
            <c:ext xmlns:c16="http://schemas.microsoft.com/office/drawing/2014/chart" uri="{C3380CC4-5D6E-409C-BE32-E72D297353CC}">
              <c16:uniqueId val="{00000001-4B15-46C6-9D23-B11C87578BB9}"/>
            </c:ext>
          </c:extLst>
        </c:ser>
        <c:dLbls>
          <c:showLegendKey val="0"/>
          <c:showVal val="0"/>
          <c:showCatName val="0"/>
          <c:showSerName val="0"/>
          <c:showPercent val="0"/>
          <c:showBubbleSize val="0"/>
        </c:dLbls>
        <c:marker val="1"/>
        <c:smooth val="0"/>
        <c:axId val="1123235920"/>
        <c:axId val="1123236464"/>
      </c:lineChart>
      <c:catAx>
        <c:axId val="112323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222864"/>
        <c:crosses val="autoZero"/>
        <c:auto val="1"/>
        <c:lblAlgn val="ctr"/>
        <c:lblOffset val="100"/>
        <c:noMultiLvlLbl val="0"/>
      </c:catAx>
      <c:valAx>
        <c:axId val="11232228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235376"/>
        <c:crosses val="autoZero"/>
        <c:crossBetween val="between"/>
      </c:valAx>
      <c:valAx>
        <c:axId val="1123236464"/>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3235920"/>
        <c:crosses val="max"/>
        <c:crossBetween val="between"/>
      </c:valAx>
      <c:catAx>
        <c:axId val="1123235920"/>
        <c:scaling>
          <c:orientation val="minMax"/>
        </c:scaling>
        <c:delete val="1"/>
        <c:axPos val="b"/>
        <c:numFmt formatCode="General" sourceLinked="1"/>
        <c:majorTickMark val="none"/>
        <c:minorTickMark val="none"/>
        <c:tickLblPos val="nextTo"/>
        <c:crossAx val="11232364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0" fmlaLink="$K$4" fmlaRange="$R$3:$R$5" noThreeD="1" sel="1" val="0"/>
</file>

<file path=xl/ctrlProps/ctrlProp2.xml><?xml version="1.0" encoding="utf-8"?>
<formControlPr xmlns="http://schemas.microsoft.com/office/spreadsheetml/2009/9/main" objectType="Drop" dropStyle="combo" dx="20" fmlaLink="'ControlSheet '!$K$4" fmlaRange="'ControlSheet '!$R$3:$R$5" noThreeD="1" sel="1" val="0"/>
</file>

<file path=xl/ctrlProps/ctrlProp3.xml><?xml version="1.0" encoding="utf-8"?>
<formControlPr xmlns="http://schemas.microsoft.com/office/spreadsheetml/2009/9/main" objectType="Drop" dropStyle="combo" dx="20" fmlaLink="'ControlSheet '!$K$4" fmlaRange="'ControlSheet '!$R$3:$R$5" noThreeD="1" sel="1" val="0"/>
</file>

<file path=xl/ctrlProps/ctrlProp4.xml><?xml version="1.0" encoding="utf-8"?>
<formControlPr xmlns="http://schemas.microsoft.com/office/spreadsheetml/2009/9/main" objectType="Drop" dropStyle="combo" dx="20" fmlaLink="'ControlSheet '!$K$4" fmlaRange="'ControlSheet '!$R$3:$R$5" noThreeD="1" sel="1" val="0"/>
</file>

<file path=xl/ctrlProps/ctrlProp5.xml><?xml version="1.0" encoding="utf-8"?>
<formControlPr xmlns="http://schemas.microsoft.com/office/spreadsheetml/2009/9/main" objectType="Drop" dropStyle="combo" dx="20" fmlaLink="'ControlSheet '!$K$4" fmlaRange="'ControlSheet '!$R$3:$R$5" noThreeD="1" sel="1" val="0"/>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9.xml"/><Relationship Id="rId18" Type="http://schemas.openxmlformats.org/officeDocument/2006/relationships/chart" Target="../charts/chart14.xml"/><Relationship Id="rId3" Type="http://schemas.openxmlformats.org/officeDocument/2006/relationships/image" Target="../media/image6.png"/><Relationship Id="rId7" Type="http://schemas.openxmlformats.org/officeDocument/2006/relationships/chart" Target="../charts/chart4.xml"/><Relationship Id="rId12" Type="http://schemas.openxmlformats.org/officeDocument/2006/relationships/chart" Target="../charts/chart8.xml"/><Relationship Id="rId17" Type="http://schemas.openxmlformats.org/officeDocument/2006/relationships/chart" Target="../charts/chart13.xml"/><Relationship Id="rId2" Type="http://schemas.openxmlformats.org/officeDocument/2006/relationships/image" Target="../media/image5.png"/><Relationship Id="rId16" Type="http://schemas.openxmlformats.org/officeDocument/2006/relationships/chart" Target="../charts/chart12.xml"/><Relationship Id="rId20" Type="http://schemas.openxmlformats.org/officeDocument/2006/relationships/chart" Target="../charts/chart16.xml"/><Relationship Id="rId1" Type="http://schemas.openxmlformats.org/officeDocument/2006/relationships/image" Target="../media/image4.png"/><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chart" Target="../charts/chart2.xml"/><Relationship Id="rId15" Type="http://schemas.openxmlformats.org/officeDocument/2006/relationships/chart" Target="../charts/chart11.xml"/><Relationship Id="rId10" Type="http://schemas.openxmlformats.org/officeDocument/2006/relationships/chart" Target="../charts/chart6.xml"/><Relationship Id="rId19" Type="http://schemas.openxmlformats.org/officeDocument/2006/relationships/chart" Target="../charts/chart15.xml"/><Relationship Id="rId4" Type="http://schemas.openxmlformats.org/officeDocument/2006/relationships/chart" Target="../charts/chart1.xml"/><Relationship Id="rId9" Type="http://schemas.openxmlformats.org/officeDocument/2006/relationships/image" Target="../media/image7.png"/><Relationship Id="rId14"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3" Type="http://schemas.openxmlformats.org/officeDocument/2006/relationships/image" Target="../media/image18.png"/><Relationship Id="rId18" Type="http://schemas.openxmlformats.org/officeDocument/2006/relationships/image" Target="../media/image23.png"/><Relationship Id="rId26" Type="http://schemas.openxmlformats.org/officeDocument/2006/relationships/image" Target="../media/image29.png"/><Relationship Id="rId3" Type="http://schemas.openxmlformats.org/officeDocument/2006/relationships/image" Target="../media/image8.png"/><Relationship Id="rId21" Type="http://schemas.openxmlformats.org/officeDocument/2006/relationships/image" Target="../media/image25.png"/><Relationship Id="rId34" Type="http://schemas.openxmlformats.org/officeDocument/2006/relationships/chart" Target="../charts/chart19.xml"/><Relationship Id="rId7" Type="http://schemas.openxmlformats.org/officeDocument/2006/relationships/image" Target="../media/image12.png"/><Relationship Id="rId12" Type="http://schemas.openxmlformats.org/officeDocument/2006/relationships/image" Target="../media/image17.png"/><Relationship Id="rId17" Type="http://schemas.openxmlformats.org/officeDocument/2006/relationships/image" Target="../media/image22.png"/><Relationship Id="rId25" Type="http://schemas.openxmlformats.org/officeDocument/2006/relationships/image" Target="../media/image28.png"/><Relationship Id="rId33" Type="http://schemas.openxmlformats.org/officeDocument/2006/relationships/image" Target="../media/image36.png"/><Relationship Id="rId2" Type="http://schemas.openxmlformats.org/officeDocument/2006/relationships/image" Target="../media/image5.png"/><Relationship Id="rId16" Type="http://schemas.openxmlformats.org/officeDocument/2006/relationships/image" Target="../media/image21.png"/><Relationship Id="rId20" Type="http://schemas.openxmlformats.org/officeDocument/2006/relationships/chart" Target="../charts/chart17.xml"/><Relationship Id="rId29" Type="http://schemas.openxmlformats.org/officeDocument/2006/relationships/image" Target="../media/image32.png"/><Relationship Id="rId1" Type="http://schemas.openxmlformats.org/officeDocument/2006/relationships/image" Target="../media/image4.png"/><Relationship Id="rId6" Type="http://schemas.openxmlformats.org/officeDocument/2006/relationships/image" Target="../media/image11.png"/><Relationship Id="rId11" Type="http://schemas.openxmlformats.org/officeDocument/2006/relationships/image" Target="../media/image16.png"/><Relationship Id="rId24" Type="http://schemas.openxmlformats.org/officeDocument/2006/relationships/image" Target="../media/image27.png"/><Relationship Id="rId32" Type="http://schemas.openxmlformats.org/officeDocument/2006/relationships/image" Target="../media/image35.png"/><Relationship Id="rId5" Type="http://schemas.openxmlformats.org/officeDocument/2006/relationships/image" Target="../media/image10.png"/><Relationship Id="rId15" Type="http://schemas.openxmlformats.org/officeDocument/2006/relationships/image" Target="../media/image20.png"/><Relationship Id="rId23" Type="http://schemas.openxmlformats.org/officeDocument/2006/relationships/image" Target="../media/image26.png"/><Relationship Id="rId28" Type="http://schemas.openxmlformats.org/officeDocument/2006/relationships/image" Target="../media/image31.png"/><Relationship Id="rId36" Type="http://schemas.openxmlformats.org/officeDocument/2006/relationships/image" Target="../media/image7.png"/><Relationship Id="rId10" Type="http://schemas.openxmlformats.org/officeDocument/2006/relationships/image" Target="../media/image15.png"/><Relationship Id="rId19" Type="http://schemas.openxmlformats.org/officeDocument/2006/relationships/image" Target="../media/image24.png"/><Relationship Id="rId31" Type="http://schemas.openxmlformats.org/officeDocument/2006/relationships/image" Target="../media/image34.png"/><Relationship Id="rId4" Type="http://schemas.openxmlformats.org/officeDocument/2006/relationships/image" Target="../media/image9.png"/><Relationship Id="rId9" Type="http://schemas.openxmlformats.org/officeDocument/2006/relationships/image" Target="../media/image14.png"/><Relationship Id="rId14" Type="http://schemas.openxmlformats.org/officeDocument/2006/relationships/image" Target="../media/image19.png"/><Relationship Id="rId22" Type="http://schemas.openxmlformats.org/officeDocument/2006/relationships/chart" Target="../charts/chart18.xml"/><Relationship Id="rId27" Type="http://schemas.openxmlformats.org/officeDocument/2006/relationships/image" Target="../media/image30.png"/><Relationship Id="rId30" Type="http://schemas.openxmlformats.org/officeDocument/2006/relationships/image" Target="../media/image33.png"/><Relationship Id="rId35" Type="http://schemas.openxmlformats.org/officeDocument/2006/relationships/image" Target="../media/image6.png"/><Relationship Id="rId8"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image" Target="../media/image37.png"/><Relationship Id="rId6" Type="http://schemas.openxmlformats.org/officeDocument/2006/relationships/image" Target="../media/image40.png"/><Relationship Id="rId5" Type="http://schemas.openxmlformats.org/officeDocument/2006/relationships/image" Target="../media/image39.png"/><Relationship Id="rId4"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579743</xdr:colOff>
          <xdr:row>3</xdr:row>
          <xdr:rowOff>6532</xdr:rowOff>
        </xdr:from>
        <xdr:to>
          <xdr:col>11</xdr:col>
          <xdr:colOff>503542</xdr:colOff>
          <xdr:row>3</xdr:row>
          <xdr:rowOff>209162</xdr:rowOff>
        </xdr:to>
        <xdr:sp macro="" textlink="">
          <xdr:nvSpPr>
            <xdr:cNvPr id="70657" name="Drop Down 1" hidden="1">
              <a:extLst>
                <a:ext uri="{63B3BB69-23CF-44E3-9099-C40C66FF867C}">
                  <a14:compatExt spid="_x0000_s70657"/>
                </a:ext>
                <a:ext uri="{FF2B5EF4-FFF2-40B4-BE49-F238E27FC236}">
                  <a16:creationId xmlns:a16="http://schemas.microsoft.com/office/drawing/2014/main" id="{4D8392DF-C7AA-5C01-9467-B45074F47C0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114300</xdr:colOff>
          <xdr:row>3</xdr:row>
          <xdr:rowOff>60960</xdr:rowOff>
        </xdr:from>
        <xdr:to>
          <xdr:col>11</xdr:col>
          <xdr:colOff>609600</xdr:colOff>
          <xdr:row>4</xdr:row>
          <xdr:rowOff>38100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114300</xdr:colOff>
          <xdr:row>3</xdr:row>
          <xdr:rowOff>60960</xdr:rowOff>
        </xdr:from>
        <xdr:to>
          <xdr:col>10</xdr:col>
          <xdr:colOff>441960</xdr:colOff>
          <xdr:row>4</xdr:row>
          <xdr:rowOff>38100</xdr:rowOff>
        </xdr:to>
        <xdr:sp macro="" textlink="">
          <xdr:nvSpPr>
            <xdr:cNvPr id="12289" name="Drop Down 1" hidden="1">
              <a:extLst>
                <a:ext uri="{63B3BB69-23CF-44E3-9099-C40C66FF867C}">
                  <a14:compatExt spid="_x0000_s12289"/>
                </a:ext>
                <a:ext uri="{FF2B5EF4-FFF2-40B4-BE49-F238E27FC236}">
                  <a16:creationId xmlns:a16="http://schemas.microsoft.com/office/drawing/2014/main" id="{00000000-0008-0000-0300-0000013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114300</xdr:colOff>
          <xdr:row>3</xdr:row>
          <xdr:rowOff>60960</xdr:rowOff>
        </xdr:from>
        <xdr:to>
          <xdr:col>10</xdr:col>
          <xdr:colOff>441960</xdr:colOff>
          <xdr:row>4</xdr:row>
          <xdr:rowOff>38100</xdr:rowOff>
        </xdr:to>
        <xdr:sp macro="" textlink="">
          <xdr:nvSpPr>
            <xdr:cNvPr id="36865" name="Drop Down 1" hidden="1">
              <a:extLst>
                <a:ext uri="{63B3BB69-23CF-44E3-9099-C40C66FF867C}">
                  <a14:compatExt spid="_x0000_s36865"/>
                </a:ext>
                <a:ext uri="{FF2B5EF4-FFF2-40B4-BE49-F238E27FC236}">
                  <a16:creationId xmlns:a16="http://schemas.microsoft.com/office/drawing/2014/main" id="{00000000-0008-0000-0400-0000019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114300</xdr:colOff>
          <xdr:row>3</xdr:row>
          <xdr:rowOff>60960</xdr:rowOff>
        </xdr:from>
        <xdr:to>
          <xdr:col>8</xdr:col>
          <xdr:colOff>586740</xdr:colOff>
          <xdr:row>4</xdr:row>
          <xdr:rowOff>38100</xdr:rowOff>
        </xdr:to>
        <xdr:sp macro="" textlink="">
          <xdr:nvSpPr>
            <xdr:cNvPr id="19457" name="Drop Down 1" hidden="1">
              <a:extLst>
                <a:ext uri="{63B3BB69-23CF-44E3-9099-C40C66FF867C}">
                  <a14:compatExt spid="_x0000_s19457"/>
                </a:ext>
                <a:ext uri="{FF2B5EF4-FFF2-40B4-BE49-F238E27FC236}">
                  <a16:creationId xmlns:a16="http://schemas.microsoft.com/office/drawing/2014/main" id="{00000000-0008-0000-0500-0000014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10</xdr:col>
      <xdr:colOff>331058</xdr:colOff>
      <xdr:row>24</xdr:row>
      <xdr:rowOff>126405</xdr:rowOff>
    </xdr:from>
    <xdr:to>
      <xdr:col>16</xdr:col>
      <xdr:colOff>0</xdr:colOff>
      <xdr:row>38</xdr:row>
      <xdr:rowOff>95172</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9872623" y="4585762"/>
          <a:ext cx="4704769" cy="25463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16</xdr:col>
      <xdr:colOff>315687</xdr:colOff>
      <xdr:row>2</xdr:row>
      <xdr:rowOff>108857</xdr:rowOff>
    </xdr:from>
    <xdr:to>
      <xdr:col>26</xdr:col>
      <xdr:colOff>125699</xdr:colOff>
      <xdr:row>24</xdr:row>
      <xdr:rowOff>70014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7406258" y="620486"/>
          <a:ext cx="5906012" cy="3977985"/>
        </a:xfrm>
        <a:prstGeom prst="rect">
          <a:avLst/>
        </a:prstGeom>
      </xdr:spPr>
    </xdr:pic>
    <xdr:clientData/>
  </xdr:twoCellAnchor>
  <xdr:twoCellAnchor editAs="oneCell">
    <xdr:from>
      <xdr:col>19</xdr:col>
      <xdr:colOff>335279</xdr:colOff>
      <xdr:row>24</xdr:row>
      <xdr:rowOff>121922</xdr:rowOff>
    </xdr:from>
    <xdr:to>
      <xdr:col>25</xdr:col>
      <xdr:colOff>160020</xdr:colOff>
      <xdr:row>40</xdr:row>
      <xdr:rowOff>24181</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19254650" y="4650379"/>
          <a:ext cx="3482341" cy="332363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3</xdr:col>
      <xdr:colOff>42448</xdr:colOff>
      <xdr:row>20</xdr:row>
      <xdr:rowOff>176956</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a:srcRect t="5010" b="8229"/>
        <a:stretch/>
      </xdr:blipFill>
      <xdr:spPr>
        <a:xfrm>
          <a:off x="609600" y="4678017"/>
          <a:ext cx="3464923" cy="1846730"/>
        </a:xfrm>
        <a:prstGeom prst="rect">
          <a:avLst/>
        </a:prstGeom>
      </xdr:spPr>
    </xdr:pic>
    <xdr:clientData/>
  </xdr:twoCellAnchor>
  <xdr:twoCellAnchor editAs="oneCell">
    <xdr:from>
      <xdr:col>7</xdr:col>
      <xdr:colOff>432767</xdr:colOff>
      <xdr:row>10</xdr:row>
      <xdr:rowOff>182787</xdr:rowOff>
    </xdr:from>
    <xdr:to>
      <xdr:col>11</xdr:col>
      <xdr:colOff>508068</xdr:colOff>
      <xdr:row>20</xdr:row>
      <xdr:rowOff>88309</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rotWithShape="1">
        <a:blip xmlns:r="http://schemas.openxmlformats.org/officeDocument/2006/relationships" r:embed="rId2"/>
        <a:srcRect b="19850"/>
        <a:stretch/>
      </xdr:blipFill>
      <xdr:spPr>
        <a:xfrm>
          <a:off x="5415584" y="2501917"/>
          <a:ext cx="3176641" cy="1760827"/>
        </a:xfrm>
        <a:prstGeom prst="rect">
          <a:avLst/>
        </a:prstGeom>
      </xdr:spPr>
    </xdr:pic>
    <xdr:clientData/>
  </xdr:twoCellAnchor>
  <xdr:twoCellAnchor editAs="oneCell">
    <xdr:from>
      <xdr:col>8</xdr:col>
      <xdr:colOff>246186</xdr:colOff>
      <xdr:row>16</xdr:row>
      <xdr:rowOff>90955</xdr:rowOff>
    </xdr:from>
    <xdr:to>
      <xdr:col>16</xdr:col>
      <xdr:colOff>29308</xdr:colOff>
      <xdr:row>32</xdr:row>
      <xdr:rowOff>92935</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3"/>
        <a:stretch>
          <a:fillRect/>
        </a:stretch>
      </xdr:blipFill>
      <xdr:spPr>
        <a:xfrm>
          <a:off x="5838094" y="3467201"/>
          <a:ext cx="4659922" cy="2909303"/>
        </a:xfrm>
        <a:prstGeom prst="rect">
          <a:avLst/>
        </a:prstGeom>
      </xdr:spPr>
    </xdr:pic>
    <xdr:clientData/>
  </xdr:twoCellAnchor>
  <xdr:twoCellAnchor editAs="oneCell">
    <xdr:from>
      <xdr:col>7</xdr:col>
      <xdr:colOff>363415</xdr:colOff>
      <xdr:row>33</xdr:row>
      <xdr:rowOff>0</xdr:rowOff>
    </xdr:from>
    <xdr:to>
      <xdr:col>12</xdr:col>
      <xdr:colOff>117398</xdr:colOff>
      <xdr:row>43</xdr:row>
      <xdr:rowOff>29653</xdr:rowOff>
    </xdr:to>
    <xdr:pic>
      <xdr:nvPicPr>
        <xdr:cNvPr id="6" name="Picture 5">
          <a:extLst>
            <a:ext uri="{FF2B5EF4-FFF2-40B4-BE49-F238E27FC236}">
              <a16:creationId xmlns:a16="http://schemas.microsoft.com/office/drawing/2014/main" id="{00000000-0008-0000-1300-000006000000}"/>
            </a:ext>
          </a:extLst>
        </xdr:cNvPr>
        <xdr:cNvPicPr>
          <a:picLocks noChangeAspect="1"/>
        </xdr:cNvPicPr>
      </xdr:nvPicPr>
      <xdr:blipFill rotWithShape="1">
        <a:blip xmlns:r="http://schemas.openxmlformats.org/officeDocument/2006/relationships" r:embed="rId1"/>
        <a:srcRect t="5010" b="8229"/>
        <a:stretch/>
      </xdr:blipFill>
      <xdr:spPr>
        <a:xfrm>
          <a:off x="5568461" y="6465277"/>
          <a:ext cx="3464923" cy="1846730"/>
        </a:xfrm>
        <a:prstGeom prst="rect">
          <a:avLst/>
        </a:prstGeom>
      </xdr:spPr>
    </xdr:pic>
    <xdr:clientData/>
  </xdr:twoCellAnchor>
  <xdr:twoCellAnchor>
    <xdr:from>
      <xdr:col>2</xdr:col>
      <xdr:colOff>715106</xdr:colOff>
      <xdr:row>46</xdr:row>
      <xdr:rowOff>14653</xdr:rowOff>
    </xdr:from>
    <xdr:to>
      <xdr:col>10</xdr:col>
      <xdr:colOff>187568</xdr:colOff>
      <xdr:row>61</xdr:row>
      <xdr:rowOff>32238</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139148</xdr:colOff>
      <xdr:row>19</xdr:row>
      <xdr:rowOff>29817</xdr:rowOff>
    </xdr:from>
    <xdr:to>
      <xdr:col>34</xdr:col>
      <xdr:colOff>357809</xdr:colOff>
      <xdr:row>33</xdr:row>
      <xdr:rowOff>175591</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424070</xdr:colOff>
      <xdr:row>62</xdr:row>
      <xdr:rowOff>19878</xdr:rowOff>
    </xdr:from>
    <xdr:to>
      <xdr:col>11</xdr:col>
      <xdr:colOff>450575</xdr:colOff>
      <xdr:row>75</xdr:row>
      <xdr:rowOff>112644</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357809</xdr:colOff>
      <xdr:row>75</xdr:row>
      <xdr:rowOff>145775</xdr:rowOff>
    </xdr:from>
    <xdr:to>
      <xdr:col>10</xdr:col>
      <xdr:colOff>377687</xdr:colOff>
      <xdr:row>87</xdr:row>
      <xdr:rowOff>89453</xdr:rowOff>
    </xdr:to>
    <xdr:graphicFrame macro="">
      <xdr:nvGraphicFramePr>
        <xdr:cNvPr id="11" name="Chart 10">
          <a:extLst>
            <a:ext uri="{FF2B5EF4-FFF2-40B4-BE49-F238E27FC236}">
              <a16:creationId xmlns:a16="http://schemas.microsoft.com/office/drawing/2014/main" id="{00000000-0008-0000-1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589721</xdr:colOff>
      <xdr:row>88</xdr:row>
      <xdr:rowOff>8613</xdr:rowOff>
    </xdr:from>
    <xdr:to>
      <xdr:col>13</xdr:col>
      <xdr:colOff>99392</xdr:colOff>
      <xdr:row>102</xdr:row>
      <xdr:rowOff>99390</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404191</xdr:colOff>
      <xdr:row>101</xdr:row>
      <xdr:rowOff>59635</xdr:rowOff>
    </xdr:from>
    <xdr:to>
      <xdr:col>8</xdr:col>
      <xdr:colOff>185531</xdr:colOff>
      <xdr:row>119</xdr:row>
      <xdr:rowOff>33130</xdr:rowOff>
    </xdr:to>
    <xdr:sp macro="" textlink="">
      <xdr:nvSpPr>
        <xdr:cNvPr id="10" name="TextBox 9">
          <a:extLst>
            <a:ext uri="{FF2B5EF4-FFF2-40B4-BE49-F238E27FC236}">
              <a16:creationId xmlns:a16="http://schemas.microsoft.com/office/drawing/2014/main" id="{00000000-0008-0000-1300-00000A000000}"/>
            </a:ext>
          </a:extLst>
        </xdr:cNvPr>
        <xdr:cNvSpPr txBox="1"/>
      </xdr:nvSpPr>
      <xdr:spPr>
        <a:xfrm>
          <a:off x="404191" y="19242157"/>
          <a:ext cx="5440018" cy="33130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Indian pharmaceutical industry, currently valued at around US$50–58 billion, is one of the largest globally, with exports and the domestic market contributing almost equally. India has established itself as the world’s leading supplier of generic medicines, holding nearly a 20% global share by volume and exporting to over 200 countries and territories. As of 2023, India ranked as the third-largest producer of drugs and pharmaceuticals by volume and 14th by value, underscoring its cost competitiveness and scale.</a:t>
          </a:r>
        </a:p>
        <a:p>
          <a:endParaRPr lang="en-IN"/>
        </a:p>
        <a:p>
          <a:r>
            <a:rPr lang="en-IN"/>
            <a:t>The industry spans a broad range of segments, including generic medicines, over-the-counter (OTC) products, bulk drugs, vaccines, contract research, biosimilars, and biologics. Exports have grown steadily, from US$15 billion in FY2014 to US$27.85 billion in FY2024. India also plays a critical role in vaccine supply, meeting 65–70% of the World Health Organization’s (WHO) vaccine requirements for DPT, BCG, and measles.</a:t>
          </a:r>
        </a:p>
        <a:p>
          <a:endParaRPr lang="en-IN"/>
        </a:p>
        <a:p>
          <a:r>
            <a:rPr lang="en-IN"/>
            <a:t>The sector has delivered consistent growth, with the Indian pharmaceutical market valued at US$20 billion in 2019 and expanding at a CAGR of over 6% between 2020 and 2025. Looking ahead, the government has set ambitious targets—aiming to grow the industry to about US$200 billion by 2030 and further to US$450 billion by 2047. Alongside global shifts such as the “China Plus One” strategy, India’s scale, reliability, and growing focus on R&amp;D are cementing its position as a cornerstone of the global pharmaceutical supply chain.</a:t>
          </a:r>
        </a:p>
        <a:p>
          <a:endParaRPr lang="en-IN" sz="1100"/>
        </a:p>
      </xdr:txBody>
    </xdr:sp>
    <xdr:clientData/>
  </xdr:twoCellAnchor>
  <xdr:twoCellAnchor editAs="oneCell">
    <xdr:from>
      <xdr:col>0</xdr:col>
      <xdr:colOff>212034</xdr:colOff>
      <xdr:row>121</xdr:row>
      <xdr:rowOff>112645</xdr:rowOff>
    </xdr:from>
    <xdr:to>
      <xdr:col>3</xdr:col>
      <xdr:colOff>166499</xdr:colOff>
      <xdr:row>134</xdr:row>
      <xdr:rowOff>94147</xdr:rowOff>
    </xdr:to>
    <xdr:pic>
      <xdr:nvPicPr>
        <xdr:cNvPr id="12" name="Picture 11">
          <a:extLst>
            <a:ext uri="{FF2B5EF4-FFF2-40B4-BE49-F238E27FC236}">
              <a16:creationId xmlns:a16="http://schemas.microsoft.com/office/drawing/2014/main" id="{00000000-0008-0000-1300-00000C000000}"/>
            </a:ext>
          </a:extLst>
        </xdr:cNvPr>
        <xdr:cNvPicPr>
          <a:picLocks noChangeAspect="1"/>
        </xdr:cNvPicPr>
      </xdr:nvPicPr>
      <xdr:blipFill rotWithShape="1">
        <a:blip xmlns:r="http://schemas.openxmlformats.org/officeDocument/2006/relationships" r:embed="rId9"/>
        <a:srcRect t="15194"/>
        <a:stretch/>
      </xdr:blipFill>
      <xdr:spPr>
        <a:xfrm>
          <a:off x="212034" y="23005775"/>
          <a:ext cx="3982463" cy="2393398"/>
        </a:xfrm>
        <a:prstGeom prst="rect">
          <a:avLst/>
        </a:prstGeom>
      </xdr:spPr>
    </xdr:pic>
    <xdr:clientData/>
  </xdr:twoCellAnchor>
  <xdr:twoCellAnchor>
    <xdr:from>
      <xdr:col>7</xdr:col>
      <xdr:colOff>523459</xdr:colOff>
      <xdr:row>135</xdr:row>
      <xdr:rowOff>155713</xdr:rowOff>
    </xdr:from>
    <xdr:to>
      <xdr:col>15</xdr:col>
      <xdr:colOff>218659</xdr:colOff>
      <xdr:row>150</xdr:row>
      <xdr:rowOff>115957</xdr:rowOff>
    </xdr:to>
    <xdr:graphicFrame macro="">
      <xdr:nvGraphicFramePr>
        <xdr:cNvPr id="13" name="Chart 12">
          <a:extLst>
            <a:ext uri="{FF2B5EF4-FFF2-40B4-BE49-F238E27FC236}">
              <a16:creationId xmlns:a16="http://schemas.microsoft.com/office/drawing/2014/main" id="{00000000-0008-0000-1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377689</xdr:colOff>
      <xdr:row>161</xdr:row>
      <xdr:rowOff>172942</xdr:rowOff>
    </xdr:from>
    <xdr:to>
      <xdr:col>13</xdr:col>
      <xdr:colOff>324679</xdr:colOff>
      <xdr:row>173</xdr:row>
      <xdr:rowOff>109331</xdr:rowOff>
    </xdr:to>
    <xdr:graphicFrame macro="">
      <xdr:nvGraphicFramePr>
        <xdr:cNvPr id="14" name="Chart 13">
          <a:extLst>
            <a:ext uri="{FF2B5EF4-FFF2-40B4-BE49-F238E27FC236}">
              <a16:creationId xmlns:a16="http://schemas.microsoft.com/office/drawing/2014/main" id="{00000000-0008-0000-1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185531</xdr:colOff>
      <xdr:row>177</xdr:row>
      <xdr:rowOff>125896</xdr:rowOff>
    </xdr:from>
    <xdr:to>
      <xdr:col>2</xdr:col>
      <xdr:colOff>630089</xdr:colOff>
      <xdr:row>187</xdr:row>
      <xdr:rowOff>81463</xdr:rowOff>
    </xdr:to>
    <xdr:pic>
      <xdr:nvPicPr>
        <xdr:cNvPr id="15" name="Picture 14">
          <a:extLst>
            <a:ext uri="{FF2B5EF4-FFF2-40B4-BE49-F238E27FC236}">
              <a16:creationId xmlns:a16="http://schemas.microsoft.com/office/drawing/2014/main" id="{00000000-0008-0000-1300-00000F000000}"/>
            </a:ext>
          </a:extLst>
        </xdr:cNvPr>
        <xdr:cNvPicPr>
          <a:picLocks noChangeAspect="1"/>
        </xdr:cNvPicPr>
      </xdr:nvPicPr>
      <xdr:blipFill rotWithShape="1">
        <a:blip xmlns:r="http://schemas.openxmlformats.org/officeDocument/2006/relationships" r:embed="rId1"/>
        <a:srcRect t="5010" b="8229"/>
        <a:stretch/>
      </xdr:blipFill>
      <xdr:spPr>
        <a:xfrm>
          <a:off x="185531" y="33408731"/>
          <a:ext cx="3459096" cy="1810871"/>
        </a:xfrm>
        <a:prstGeom prst="rect">
          <a:avLst/>
        </a:prstGeom>
      </xdr:spPr>
    </xdr:pic>
    <xdr:clientData/>
  </xdr:twoCellAnchor>
  <xdr:twoCellAnchor editAs="oneCell">
    <xdr:from>
      <xdr:col>4</xdr:col>
      <xdr:colOff>464375</xdr:colOff>
      <xdr:row>176</xdr:row>
      <xdr:rowOff>147396</xdr:rowOff>
    </xdr:from>
    <xdr:to>
      <xdr:col>7</xdr:col>
      <xdr:colOff>992450</xdr:colOff>
      <xdr:row>187</xdr:row>
      <xdr:rowOff>0</xdr:rowOff>
    </xdr:to>
    <xdr:pic>
      <xdr:nvPicPr>
        <xdr:cNvPr id="16" name="Picture 15">
          <a:extLst>
            <a:ext uri="{FF2B5EF4-FFF2-40B4-BE49-F238E27FC236}">
              <a16:creationId xmlns:a16="http://schemas.microsoft.com/office/drawing/2014/main" id="{00000000-0008-0000-1300-000010000000}"/>
            </a:ext>
          </a:extLst>
        </xdr:cNvPr>
        <xdr:cNvPicPr>
          <a:picLocks noChangeAspect="1"/>
        </xdr:cNvPicPr>
      </xdr:nvPicPr>
      <xdr:blipFill rotWithShape="1">
        <a:blip xmlns:r="http://schemas.openxmlformats.org/officeDocument/2006/relationships" r:embed="rId2"/>
        <a:srcRect b="19850"/>
        <a:stretch/>
      </xdr:blipFill>
      <xdr:spPr>
        <a:xfrm>
          <a:off x="3687635" y="32783856"/>
          <a:ext cx="3469395" cy="1864284"/>
        </a:xfrm>
        <a:prstGeom prst="rect">
          <a:avLst/>
        </a:prstGeom>
      </xdr:spPr>
    </xdr:pic>
    <xdr:clientData/>
  </xdr:twoCellAnchor>
  <xdr:twoCellAnchor editAs="oneCell">
    <xdr:from>
      <xdr:col>10</xdr:col>
      <xdr:colOff>190500</xdr:colOff>
      <xdr:row>176</xdr:row>
      <xdr:rowOff>23167</xdr:rowOff>
    </xdr:from>
    <xdr:to>
      <xdr:col>16</xdr:col>
      <xdr:colOff>434998</xdr:colOff>
      <xdr:row>189</xdr:row>
      <xdr:rowOff>7620</xdr:rowOff>
    </xdr:to>
    <xdr:pic>
      <xdr:nvPicPr>
        <xdr:cNvPr id="17" name="Picture 16">
          <a:extLst>
            <a:ext uri="{FF2B5EF4-FFF2-40B4-BE49-F238E27FC236}">
              <a16:creationId xmlns:a16="http://schemas.microsoft.com/office/drawing/2014/main" id="{00000000-0008-0000-1300-000011000000}"/>
            </a:ext>
          </a:extLst>
        </xdr:cNvPr>
        <xdr:cNvPicPr>
          <a:picLocks noChangeAspect="1"/>
        </xdr:cNvPicPr>
      </xdr:nvPicPr>
      <xdr:blipFill>
        <a:blip xmlns:r="http://schemas.openxmlformats.org/officeDocument/2006/relationships" r:embed="rId3"/>
        <a:stretch>
          <a:fillRect/>
        </a:stretch>
      </xdr:blipFill>
      <xdr:spPr>
        <a:xfrm>
          <a:off x="7330440" y="32659627"/>
          <a:ext cx="3902098" cy="2361893"/>
        </a:xfrm>
        <a:prstGeom prst="rect">
          <a:avLst/>
        </a:prstGeom>
      </xdr:spPr>
    </xdr:pic>
    <xdr:clientData/>
  </xdr:twoCellAnchor>
  <xdr:twoCellAnchor>
    <xdr:from>
      <xdr:col>8</xdr:col>
      <xdr:colOff>198120</xdr:colOff>
      <xdr:row>191</xdr:row>
      <xdr:rowOff>64770</xdr:rowOff>
    </xdr:from>
    <xdr:to>
      <xdr:col>15</xdr:col>
      <xdr:colOff>502920</xdr:colOff>
      <xdr:row>206</xdr:row>
      <xdr:rowOff>64770</xdr:rowOff>
    </xdr:to>
    <xdr:graphicFrame macro="">
      <xdr:nvGraphicFramePr>
        <xdr:cNvPr id="18" name="Chart 17">
          <a:extLst>
            <a:ext uri="{FF2B5EF4-FFF2-40B4-BE49-F238E27FC236}">
              <a16:creationId xmlns:a16="http://schemas.microsoft.com/office/drawing/2014/main" id="{00000000-0008-0000-13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204470</xdr:colOff>
      <xdr:row>205</xdr:row>
      <xdr:rowOff>114300</xdr:rowOff>
    </xdr:from>
    <xdr:to>
      <xdr:col>17</xdr:col>
      <xdr:colOff>426720</xdr:colOff>
      <xdr:row>216</xdr:row>
      <xdr:rowOff>64770</xdr:rowOff>
    </xdr:to>
    <xdr:graphicFrame macro="">
      <xdr:nvGraphicFramePr>
        <xdr:cNvPr id="19" name="Chart 18">
          <a:extLst>
            <a:ext uri="{FF2B5EF4-FFF2-40B4-BE49-F238E27FC236}">
              <a16:creationId xmlns:a16="http://schemas.microsoft.com/office/drawing/2014/main" id="{00000000-0008-0000-13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38100</xdr:colOff>
      <xdr:row>195</xdr:row>
      <xdr:rowOff>57150</xdr:rowOff>
    </xdr:from>
    <xdr:to>
      <xdr:col>5</xdr:col>
      <xdr:colOff>38100</xdr:colOff>
      <xdr:row>207</xdr:row>
      <xdr:rowOff>162306</xdr:rowOff>
    </xdr:to>
    <xdr:graphicFrame macro="">
      <xdr:nvGraphicFramePr>
        <xdr:cNvPr id="20" name="Chart 19">
          <a:extLst>
            <a:ext uri="{FF2B5EF4-FFF2-40B4-BE49-F238E27FC236}">
              <a16:creationId xmlns:a16="http://schemas.microsoft.com/office/drawing/2014/main" id="{00000000-0008-0000-13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30480</xdr:colOff>
      <xdr:row>216</xdr:row>
      <xdr:rowOff>53340</xdr:rowOff>
    </xdr:from>
    <xdr:to>
      <xdr:col>17</xdr:col>
      <xdr:colOff>525780</xdr:colOff>
      <xdr:row>226</xdr:row>
      <xdr:rowOff>26670</xdr:rowOff>
    </xdr:to>
    <xdr:graphicFrame macro="">
      <xdr:nvGraphicFramePr>
        <xdr:cNvPr id="21" name="Chart 20">
          <a:extLst>
            <a:ext uri="{FF2B5EF4-FFF2-40B4-BE49-F238E27FC236}">
              <a16:creationId xmlns:a16="http://schemas.microsoft.com/office/drawing/2014/main" id="{00000000-0008-0000-13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304800</xdr:colOff>
      <xdr:row>224</xdr:row>
      <xdr:rowOff>175260</xdr:rowOff>
    </xdr:from>
    <xdr:to>
      <xdr:col>8</xdr:col>
      <xdr:colOff>309287</xdr:colOff>
      <xdr:row>237</xdr:row>
      <xdr:rowOff>0</xdr:rowOff>
    </xdr:to>
    <xdr:graphicFrame macro="">
      <xdr:nvGraphicFramePr>
        <xdr:cNvPr id="22" name="Chart 21">
          <a:extLst>
            <a:ext uri="{FF2B5EF4-FFF2-40B4-BE49-F238E27FC236}">
              <a16:creationId xmlns:a16="http://schemas.microsoft.com/office/drawing/2014/main" id="{00000000-0008-0000-13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544830</xdr:colOff>
      <xdr:row>225</xdr:row>
      <xdr:rowOff>53340</xdr:rowOff>
    </xdr:from>
    <xdr:to>
      <xdr:col>14</xdr:col>
      <xdr:colOff>601980</xdr:colOff>
      <xdr:row>237</xdr:row>
      <xdr:rowOff>87630</xdr:rowOff>
    </xdr:to>
    <xdr:graphicFrame macro="">
      <xdr:nvGraphicFramePr>
        <xdr:cNvPr id="23" name="Chart 22">
          <a:extLst>
            <a:ext uri="{FF2B5EF4-FFF2-40B4-BE49-F238E27FC236}">
              <a16:creationId xmlns:a16="http://schemas.microsoft.com/office/drawing/2014/main" id="{00000000-0008-0000-13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84200</xdr:colOff>
      <xdr:row>246</xdr:row>
      <xdr:rowOff>144780</xdr:rowOff>
    </xdr:from>
    <xdr:to>
      <xdr:col>18</xdr:col>
      <xdr:colOff>99059</xdr:colOff>
      <xdr:row>258</xdr:row>
      <xdr:rowOff>110490</xdr:rowOff>
    </xdr:to>
    <xdr:graphicFrame macro="">
      <xdr:nvGraphicFramePr>
        <xdr:cNvPr id="24" name="Chart 23">
          <a:extLst>
            <a:ext uri="{FF2B5EF4-FFF2-40B4-BE49-F238E27FC236}">
              <a16:creationId xmlns:a16="http://schemas.microsoft.com/office/drawing/2014/main" id="{00000000-0008-0000-13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68580</xdr:colOff>
      <xdr:row>258</xdr:row>
      <xdr:rowOff>70866</xdr:rowOff>
    </xdr:from>
    <xdr:to>
      <xdr:col>17</xdr:col>
      <xdr:colOff>579120</xdr:colOff>
      <xdr:row>270</xdr:row>
      <xdr:rowOff>11430</xdr:rowOff>
    </xdr:to>
    <xdr:graphicFrame macro="">
      <xdr:nvGraphicFramePr>
        <xdr:cNvPr id="25" name="Chart 24">
          <a:extLst>
            <a:ext uri="{FF2B5EF4-FFF2-40B4-BE49-F238E27FC236}">
              <a16:creationId xmlns:a16="http://schemas.microsoft.com/office/drawing/2014/main" id="{00000000-0008-0000-13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190500</xdr:colOff>
      <xdr:row>269</xdr:row>
      <xdr:rowOff>148590</xdr:rowOff>
    </xdr:from>
    <xdr:to>
      <xdr:col>14</xdr:col>
      <xdr:colOff>502920</xdr:colOff>
      <xdr:row>282</xdr:row>
      <xdr:rowOff>91292</xdr:rowOff>
    </xdr:to>
    <xdr:graphicFrame macro="">
      <xdr:nvGraphicFramePr>
        <xdr:cNvPr id="26" name="Chart 25">
          <a:extLst>
            <a:ext uri="{FF2B5EF4-FFF2-40B4-BE49-F238E27FC236}">
              <a16:creationId xmlns:a16="http://schemas.microsoft.com/office/drawing/2014/main" id="{00000000-0008-0000-13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266700</xdr:colOff>
      <xdr:row>296</xdr:row>
      <xdr:rowOff>144780</xdr:rowOff>
    </xdr:from>
    <xdr:to>
      <xdr:col>18</xdr:col>
      <xdr:colOff>518160</xdr:colOff>
      <xdr:row>306</xdr:row>
      <xdr:rowOff>83820</xdr:rowOff>
    </xdr:to>
    <xdr:sp macro="" textlink="">
      <xdr:nvSpPr>
        <xdr:cNvPr id="27" name="TextBox 26">
          <a:extLst>
            <a:ext uri="{FF2B5EF4-FFF2-40B4-BE49-F238E27FC236}">
              <a16:creationId xmlns:a16="http://schemas.microsoft.com/office/drawing/2014/main" id="{00000000-0008-0000-1300-00001B000000}"/>
            </a:ext>
          </a:extLst>
        </xdr:cNvPr>
        <xdr:cNvSpPr txBox="1"/>
      </xdr:nvSpPr>
      <xdr:spPr>
        <a:xfrm>
          <a:off x="9723120" y="54726840"/>
          <a:ext cx="6347460" cy="1973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0"/>
            <a:t>According to the DCF Valuation, the share is trading at a premium of INR 1,113 (44%) under the perpetuity growth method and INR 1,377 (54%) under the exit multiple method.</a:t>
          </a:r>
        </a:p>
        <a:p>
          <a:endParaRPr lang="en-IN" b="0"/>
        </a:p>
        <a:p>
          <a:r>
            <a:rPr lang="en-IN" b="0"/>
            <a:t>Similarly, under Relative Valuation, the share is trading at a premium of INR 1,616 (64%) using both the EV/Sales and EV/EBITDA methods.</a:t>
          </a:r>
        </a:p>
        <a:p>
          <a:endParaRPr lang="en-IN" b="0"/>
        </a:p>
        <a:p>
          <a:r>
            <a:rPr lang="en-IN" b="0"/>
            <a:t>Overall, across all valuation approaches, the intrinsic value is significantly below the market price of ₹2,530, suggesting that the stock is currently overvalued.</a:t>
          </a:r>
        </a:p>
        <a:p>
          <a:endParaRPr lang="en-IN" sz="1100" b="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106936</xdr:colOff>
      <xdr:row>16</xdr:row>
      <xdr:rowOff>80683</xdr:rowOff>
    </xdr:from>
    <xdr:to>
      <xdr:col>2</xdr:col>
      <xdr:colOff>150479</xdr:colOff>
      <xdr:row>26</xdr:row>
      <xdr:rowOff>98613</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rotWithShape="1">
        <a:blip xmlns:r="http://schemas.openxmlformats.org/officeDocument/2006/relationships" r:embed="rId1"/>
        <a:srcRect t="5010" b="8229"/>
        <a:stretch/>
      </xdr:blipFill>
      <xdr:spPr>
        <a:xfrm>
          <a:off x="106936" y="2967318"/>
          <a:ext cx="3459096" cy="1810871"/>
        </a:xfrm>
        <a:prstGeom prst="rect">
          <a:avLst/>
        </a:prstGeom>
      </xdr:spPr>
    </xdr:pic>
    <xdr:clientData/>
  </xdr:twoCellAnchor>
  <xdr:twoCellAnchor editAs="oneCell">
    <xdr:from>
      <xdr:col>2</xdr:col>
      <xdr:colOff>329324</xdr:colOff>
      <xdr:row>17</xdr:row>
      <xdr:rowOff>20955</xdr:rowOff>
    </xdr:from>
    <xdr:to>
      <xdr:col>5</xdr:col>
      <xdr:colOff>877065</xdr:colOff>
      <xdr:row>26</xdr:row>
      <xdr:rowOff>135862</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rotWithShape="1">
        <a:blip xmlns:r="http://schemas.openxmlformats.org/officeDocument/2006/relationships" r:embed="rId2"/>
        <a:srcRect b="19850"/>
        <a:stretch/>
      </xdr:blipFill>
      <xdr:spPr>
        <a:xfrm>
          <a:off x="3744877" y="3086884"/>
          <a:ext cx="3175876" cy="1728554"/>
        </a:xfrm>
        <a:prstGeom prst="rect">
          <a:avLst/>
        </a:prstGeom>
      </xdr:spPr>
    </xdr:pic>
    <xdr:clientData/>
  </xdr:twoCellAnchor>
  <xdr:twoCellAnchor editAs="oneCell">
    <xdr:from>
      <xdr:col>9</xdr:col>
      <xdr:colOff>445994</xdr:colOff>
      <xdr:row>16</xdr:row>
      <xdr:rowOff>168536</xdr:rowOff>
    </xdr:from>
    <xdr:to>
      <xdr:col>13</xdr:col>
      <xdr:colOff>461213</xdr:colOff>
      <xdr:row>27</xdr:row>
      <xdr:rowOff>38996</xdr:rowOff>
    </xdr:to>
    <xdr:pic>
      <xdr:nvPicPr>
        <xdr:cNvPr id="6" name="Picture 5">
          <a:extLst>
            <a:ext uri="{FF2B5EF4-FFF2-40B4-BE49-F238E27FC236}">
              <a16:creationId xmlns:a16="http://schemas.microsoft.com/office/drawing/2014/main" id="{00000000-0008-0000-1400-000006000000}"/>
            </a:ext>
          </a:extLst>
        </xdr:cNvPr>
        <xdr:cNvPicPr>
          <a:picLocks noChangeAspect="1"/>
        </xdr:cNvPicPr>
      </xdr:nvPicPr>
      <xdr:blipFill rotWithShape="1">
        <a:blip xmlns:r="http://schemas.openxmlformats.org/officeDocument/2006/relationships" r:embed="rId3"/>
        <a:srcRect l="539" t="1341" r="1413" b="2056"/>
        <a:stretch/>
      </xdr:blipFill>
      <xdr:spPr>
        <a:xfrm>
          <a:off x="9879554" y="3140336"/>
          <a:ext cx="3177519" cy="1882140"/>
        </a:xfrm>
        <a:prstGeom prst="rect">
          <a:avLst/>
        </a:prstGeom>
      </xdr:spPr>
    </xdr:pic>
    <xdr:clientData/>
  </xdr:twoCellAnchor>
  <xdr:twoCellAnchor editAs="oneCell">
    <xdr:from>
      <xdr:col>1</xdr:col>
      <xdr:colOff>7620</xdr:colOff>
      <xdr:row>89</xdr:row>
      <xdr:rowOff>62530</xdr:rowOff>
    </xdr:from>
    <xdr:to>
      <xdr:col>1</xdr:col>
      <xdr:colOff>3131820</xdr:colOff>
      <xdr:row>105</xdr:row>
      <xdr:rowOff>175638</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4"/>
        <a:stretch>
          <a:fillRect/>
        </a:stretch>
      </xdr:blipFill>
      <xdr:spPr>
        <a:xfrm>
          <a:off x="137160" y="12330730"/>
          <a:ext cx="3124200" cy="3039188"/>
        </a:xfrm>
        <a:prstGeom prst="rect">
          <a:avLst/>
        </a:prstGeom>
      </xdr:spPr>
    </xdr:pic>
    <xdr:clientData/>
  </xdr:twoCellAnchor>
  <xdr:twoCellAnchor editAs="oneCell">
    <xdr:from>
      <xdr:col>1</xdr:col>
      <xdr:colOff>38100</xdr:colOff>
      <xdr:row>35</xdr:row>
      <xdr:rowOff>167640</xdr:rowOff>
    </xdr:from>
    <xdr:to>
      <xdr:col>1</xdr:col>
      <xdr:colOff>2820821</xdr:colOff>
      <xdr:row>52</xdr:row>
      <xdr:rowOff>23289</xdr:rowOff>
    </xdr:to>
    <xdr:pic>
      <xdr:nvPicPr>
        <xdr:cNvPr id="5" name="Pictur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5"/>
        <a:stretch>
          <a:fillRect/>
        </a:stretch>
      </xdr:blipFill>
      <xdr:spPr>
        <a:xfrm>
          <a:off x="167640" y="6217920"/>
          <a:ext cx="2782721" cy="2979849"/>
        </a:xfrm>
        <a:prstGeom prst="rect">
          <a:avLst/>
        </a:prstGeom>
      </xdr:spPr>
    </xdr:pic>
    <xdr:clientData/>
  </xdr:twoCellAnchor>
  <xdr:twoCellAnchor editAs="oneCell">
    <xdr:from>
      <xdr:col>1</xdr:col>
      <xdr:colOff>2926081</xdr:colOff>
      <xdr:row>35</xdr:row>
      <xdr:rowOff>139428</xdr:rowOff>
    </xdr:from>
    <xdr:to>
      <xdr:col>5</xdr:col>
      <xdr:colOff>747526</xdr:colOff>
      <xdr:row>46</xdr:row>
      <xdr:rowOff>89991</xdr:rowOff>
    </xdr:to>
    <xdr:pic>
      <xdr:nvPicPr>
        <xdr:cNvPr id="8" name="Picture 7">
          <a:extLst>
            <a:ext uri="{FF2B5EF4-FFF2-40B4-BE49-F238E27FC236}">
              <a16:creationId xmlns:a16="http://schemas.microsoft.com/office/drawing/2014/main" id="{00000000-0008-0000-1400-000008000000}"/>
            </a:ext>
          </a:extLst>
        </xdr:cNvPr>
        <xdr:cNvPicPr>
          <a:picLocks noChangeAspect="1"/>
        </xdr:cNvPicPr>
      </xdr:nvPicPr>
      <xdr:blipFill>
        <a:blip xmlns:r="http://schemas.openxmlformats.org/officeDocument/2006/relationships" r:embed="rId6"/>
        <a:stretch>
          <a:fillRect/>
        </a:stretch>
      </xdr:blipFill>
      <xdr:spPr>
        <a:xfrm>
          <a:off x="3055621" y="6189708"/>
          <a:ext cx="3741420" cy="1962243"/>
        </a:xfrm>
        <a:prstGeom prst="rect">
          <a:avLst/>
        </a:prstGeom>
      </xdr:spPr>
    </xdr:pic>
    <xdr:clientData/>
  </xdr:twoCellAnchor>
  <xdr:twoCellAnchor editAs="oneCell">
    <xdr:from>
      <xdr:col>0</xdr:col>
      <xdr:colOff>62755</xdr:colOff>
      <xdr:row>112</xdr:row>
      <xdr:rowOff>30065</xdr:rowOff>
    </xdr:from>
    <xdr:to>
      <xdr:col>7</xdr:col>
      <xdr:colOff>705327</xdr:colOff>
      <xdr:row>119</xdr:row>
      <xdr:rowOff>60200</xdr:rowOff>
    </xdr:to>
    <xdr:pic>
      <xdr:nvPicPr>
        <xdr:cNvPr id="7" name="Picture 6">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7"/>
        <a:stretch>
          <a:fillRect/>
        </a:stretch>
      </xdr:blipFill>
      <xdr:spPr>
        <a:xfrm>
          <a:off x="62755" y="21599147"/>
          <a:ext cx="8364070" cy="1285194"/>
        </a:xfrm>
        <a:prstGeom prst="rect">
          <a:avLst/>
        </a:prstGeom>
      </xdr:spPr>
    </xdr:pic>
    <xdr:clientData/>
  </xdr:twoCellAnchor>
  <xdr:twoCellAnchor editAs="oneCell">
    <xdr:from>
      <xdr:col>0</xdr:col>
      <xdr:colOff>116543</xdr:colOff>
      <xdr:row>121</xdr:row>
      <xdr:rowOff>162710</xdr:rowOff>
    </xdr:from>
    <xdr:to>
      <xdr:col>7</xdr:col>
      <xdr:colOff>196098</xdr:colOff>
      <xdr:row>125</xdr:row>
      <xdr:rowOff>126754</xdr:rowOff>
    </xdr:to>
    <xdr:pic>
      <xdr:nvPicPr>
        <xdr:cNvPr id="9" name="Picture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8"/>
        <a:stretch>
          <a:fillRect/>
        </a:stretch>
      </xdr:blipFill>
      <xdr:spPr>
        <a:xfrm>
          <a:off x="116543" y="23363369"/>
          <a:ext cx="7799294" cy="681221"/>
        </a:xfrm>
        <a:prstGeom prst="rect">
          <a:avLst/>
        </a:prstGeom>
      </xdr:spPr>
    </xdr:pic>
    <xdr:clientData/>
  </xdr:twoCellAnchor>
  <xdr:twoCellAnchor editAs="oneCell">
    <xdr:from>
      <xdr:col>1</xdr:col>
      <xdr:colOff>44823</xdr:colOff>
      <xdr:row>125</xdr:row>
      <xdr:rowOff>70995</xdr:rowOff>
    </xdr:from>
    <xdr:to>
      <xdr:col>7</xdr:col>
      <xdr:colOff>231955</xdr:colOff>
      <xdr:row>135</xdr:row>
      <xdr:rowOff>108554</xdr:rowOff>
    </xdr:to>
    <xdr:pic>
      <xdr:nvPicPr>
        <xdr:cNvPr id="10" name="Picture 9">
          <a:extLst>
            <a:ext uri="{FF2B5EF4-FFF2-40B4-BE49-F238E27FC236}">
              <a16:creationId xmlns:a16="http://schemas.microsoft.com/office/drawing/2014/main" id="{00000000-0008-0000-1400-00000A000000}"/>
            </a:ext>
          </a:extLst>
        </xdr:cNvPr>
        <xdr:cNvPicPr>
          <a:picLocks noChangeAspect="1"/>
        </xdr:cNvPicPr>
      </xdr:nvPicPr>
      <xdr:blipFill>
        <a:blip xmlns:r="http://schemas.openxmlformats.org/officeDocument/2006/relationships" r:embed="rId9"/>
        <a:stretch>
          <a:fillRect/>
        </a:stretch>
      </xdr:blipFill>
      <xdr:spPr>
        <a:xfrm>
          <a:off x="170329" y="23988830"/>
          <a:ext cx="7781365" cy="1830500"/>
        </a:xfrm>
        <a:prstGeom prst="rect">
          <a:avLst/>
        </a:prstGeom>
      </xdr:spPr>
    </xdr:pic>
    <xdr:clientData/>
  </xdr:twoCellAnchor>
  <xdr:twoCellAnchor editAs="oneCell">
    <xdr:from>
      <xdr:col>1</xdr:col>
      <xdr:colOff>17930</xdr:colOff>
      <xdr:row>138</xdr:row>
      <xdr:rowOff>134471</xdr:rowOff>
    </xdr:from>
    <xdr:to>
      <xdr:col>5</xdr:col>
      <xdr:colOff>124030</xdr:colOff>
      <xdr:row>143</xdr:row>
      <xdr:rowOff>148578</xdr:rowOff>
    </xdr:to>
    <xdr:pic>
      <xdr:nvPicPr>
        <xdr:cNvPr id="11" name="Picture 10">
          <a:extLst>
            <a:ext uri="{FF2B5EF4-FFF2-40B4-BE49-F238E27FC236}">
              <a16:creationId xmlns:a16="http://schemas.microsoft.com/office/drawing/2014/main" id="{00000000-0008-0000-1400-00000B000000}"/>
            </a:ext>
          </a:extLst>
        </xdr:cNvPr>
        <xdr:cNvPicPr>
          <a:picLocks noChangeAspect="1"/>
        </xdr:cNvPicPr>
      </xdr:nvPicPr>
      <xdr:blipFill>
        <a:blip xmlns:r="http://schemas.openxmlformats.org/officeDocument/2006/relationships" r:embed="rId10"/>
        <a:stretch>
          <a:fillRect/>
        </a:stretch>
      </xdr:blipFill>
      <xdr:spPr>
        <a:xfrm>
          <a:off x="143436" y="26401059"/>
          <a:ext cx="6024282" cy="910577"/>
        </a:xfrm>
        <a:prstGeom prst="rect">
          <a:avLst/>
        </a:prstGeom>
      </xdr:spPr>
    </xdr:pic>
    <xdr:clientData/>
  </xdr:twoCellAnchor>
  <xdr:twoCellAnchor editAs="oneCell">
    <xdr:from>
      <xdr:col>0</xdr:col>
      <xdr:colOff>116541</xdr:colOff>
      <xdr:row>143</xdr:row>
      <xdr:rowOff>161363</xdr:rowOff>
    </xdr:from>
    <xdr:to>
      <xdr:col>5</xdr:col>
      <xdr:colOff>228457</xdr:colOff>
      <xdr:row>147</xdr:row>
      <xdr:rowOff>75213</xdr:rowOff>
    </xdr:to>
    <xdr:pic>
      <xdr:nvPicPr>
        <xdr:cNvPr id="12" name="Picture 11">
          <a:extLst>
            <a:ext uri="{FF2B5EF4-FFF2-40B4-BE49-F238E27FC236}">
              <a16:creationId xmlns:a16="http://schemas.microsoft.com/office/drawing/2014/main" id="{00000000-0008-0000-1400-00000C000000}"/>
            </a:ext>
          </a:extLst>
        </xdr:cNvPr>
        <xdr:cNvPicPr>
          <a:picLocks noChangeAspect="1"/>
        </xdr:cNvPicPr>
      </xdr:nvPicPr>
      <xdr:blipFill>
        <a:blip xmlns:r="http://schemas.openxmlformats.org/officeDocument/2006/relationships" r:embed="rId11"/>
        <a:stretch>
          <a:fillRect/>
        </a:stretch>
      </xdr:blipFill>
      <xdr:spPr>
        <a:xfrm>
          <a:off x="116541" y="27324422"/>
          <a:ext cx="6155604" cy="631027"/>
        </a:xfrm>
        <a:prstGeom prst="rect">
          <a:avLst/>
        </a:prstGeom>
      </xdr:spPr>
    </xdr:pic>
    <xdr:clientData/>
  </xdr:twoCellAnchor>
  <xdr:twoCellAnchor editAs="oneCell">
    <xdr:from>
      <xdr:col>0</xdr:col>
      <xdr:colOff>107576</xdr:colOff>
      <xdr:row>147</xdr:row>
      <xdr:rowOff>41891</xdr:rowOff>
    </xdr:from>
    <xdr:to>
      <xdr:col>7</xdr:col>
      <xdr:colOff>151272</xdr:colOff>
      <xdr:row>151</xdr:row>
      <xdr:rowOff>100466</xdr:rowOff>
    </xdr:to>
    <xdr:pic>
      <xdr:nvPicPr>
        <xdr:cNvPr id="13" name="Picture 12">
          <a:extLst>
            <a:ext uri="{FF2B5EF4-FFF2-40B4-BE49-F238E27FC236}">
              <a16:creationId xmlns:a16="http://schemas.microsoft.com/office/drawing/2014/main" id="{00000000-0008-0000-1400-00000D000000}"/>
            </a:ext>
          </a:extLst>
        </xdr:cNvPr>
        <xdr:cNvPicPr>
          <a:picLocks noChangeAspect="1"/>
        </xdr:cNvPicPr>
      </xdr:nvPicPr>
      <xdr:blipFill>
        <a:blip xmlns:r="http://schemas.openxmlformats.org/officeDocument/2006/relationships" r:embed="rId12"/>
        <a:stretch>
          <a:fillRect/>
        </a:stretch>
      </xdr:blipFill>
      <xdr:spPr>
        <a:xfrm>
          <a:off x="107576" y="27922126"/>
          <a:ext cx="7763435" cy="775751"/>
        </a:xfrm>
        <a:prstGeom prst="rect">
          <a:avLst/>
        </a:prstGeom>
      </xdr:spPr>
    </xdr:pic>
    <xdr:clientData/>
  </xdr:twoCellAnchor>
  <xdr:twoCellAnchor editAs="oneCell">
    <xdr:from>
      <xdr:col>13</xdr:col>
      <xdr:colOff>290457</xdr:colOff>
      <xdr:row>15</xdr:row>
      <xdr:rowOff>91440</xdr:rowOff>
    </xdr:from>
    <xdr:to>
      <xdr:col>18</xdr:col>
      <xdr:colOff>348665</xdr:colOff>
      <xdr:row>26</xdr:row>
      <xdr:rowOff>164242</xdr:rowOff>
    </xdr:to>
    <xdr:pic>
      <xdr:nvPicPr>
        <xdr:cNvPr id="20" name="Picture 19">
          <a:extLst>
            <a:ext uri="{FF2B5EF4-FFF2-40B4-BE49-F238E27FC236}">
              <a16:creationId xmlns:a16="http://schemas.microsoft.com/office/drawing/2014/main" id="{00000000-0008-0000-1400-000014000000}"/>
            </a:ext>
          </a:extLst>
        </xdr:cNvPr>
        <xdr:cNvPicPr>
          <a:picLocks noChangeAspect="1"/>
        </xdr:cNvPicPr>
      </xdr:nvPicPr>
      <xdr:blipFill rotWithShape="1">
        <a:blip xmlns:r="http://schemas.openxmlformats.org/officeDocument/2006/relationships" r:embed="rId13"/>
        <a:srcRect l="499" t="829" r="1105" b="1281"/>
        <a:stretch/>
      </xdr:blipFill>
      <xdr:spPr>
        <a:xfrm>
          <a:off x="10438504" y="2798781"/>
          <a:ext cx="3492650" cy="2045037"/>
        </a:xfrm>
        <a:prstGeom prst="rect">
          <a:avLst/>
        </a:prstGeom>
      </xdr:spPr>
    </xdr:pic>
    <xdr:clientData/>
  </xdr:twoCellAnchor>
  <xdr:oneCellAnchor>
    <xdr:from>
      <xdr:col>0</xdr:col>
      <xdr:colOff>71717</xdr:colOff>
      <xdr:row>155</xdr:row>
      <xdr:rowOff>107576</xdr:rowOff>
    </xdr:from>
    <xdr:ext cx="7826189" cy="2159053"/>
    <xdr:sp macro="" textlink="">
      <xdr:nvSpPr>
        <xdr:cNvPr id="21" name="TextBox 20">
          <a:extLst>
            <a:ext uri="{FF2B5EF4-FFF2-40B4-BE49-F238E27FC236}">
              <a16:creationId xmlns:a16="http://schemas.microsoft.com/office/drawing/2014/main" id="{00000000-0008-0000-1400-000015000000}"/>
            </a:ext>
          </a:extLst>
        </xdr:cNvPr>
        <xdr:cNvSpPr txBox="1"/>
      </xdr:nvSpPr>
      <xdr:spPr>
        <a:xfrm>
          <a:off x="71717" y="31546800"/>
          <a:ext cx="7826189" cy="2159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The Company has posted</a:t>
          </a:r>
          <a:r>
            <a:rPr lang="en-IN" sz="1100" baseline="0"/>
            <a:t> a revenue of INR 12,207 CR in CY2025 . The Revenue has been grown at a </a:t>
          </a:r>
          <a:r>
            <a:rPr lang="en-IN" sz="1100" b="1" baseline="0"/>
            <a:t>CAGR</a:t>
          </a:r>
          <a:r>
            <a:rPr lang="en-IN" sz="1100" baseline="0"/>
            <a:t> of </a:t>
          </a:r>
          <a:r>
            <a:rPr lang="en-IN" sz="1100" b="1" baseline="0"/>
            <a:t>16.2%</a:t>
          </a:r>
          <a:r>
            <a:rPr lang="en-IN" sz="1100" baseline="0"/>
            <a:t> and </a:t>
          </a:r>
          <a:r>
            <a:rPr lang="en-IN" sz="1100" b="1" baseline="0"/>
            <a:t>15.8%</a:t>
          </a:r>
          <a:r>
            <a:rPr lang="en-IN" sz="1100" baseline="0"/>
            <a:t> during the last </a:t>
          </a:r>
          <a:r>
            <a:rPr lang="en-IN" sz="1100" b="1" baseline="0"/>
            <a:t>3</a:t>
          </a:r>
          <a:r>
            <a:rPr lang="en-IN" sz="1100" baseline="0"/>
            <a:t> and </a:t>
          </a:r>
          <a:r>
            <a:rPr lang="en-IN" sz="1100" b="1" baseline="0"/>
            <a:t>5</a:t>
          </a:r>
          <a:r>
            <a:rPr lang="en-IN" sz="1100" baseline="0"/>
            <a:t> years respectively . The management is extremenly </a:t>
          </a:r>
          <a:r>
            <a:rPr lang="en-IN" sz="1100" b="1" baseline="0"/>
            <a:t>positive</a:t>
          </a:r>
          <a:r>
            <a:rPr lang="en-IN" sz="1100" baseline="0"/>
            <a:t> on </a:t>
          </a:r>
          <a:r>
            <a:rPr lang="en-US" sz="1100" b="1" baseline="0"/>
            <a:t>overall growth</a:t>
          </a:r>
          <a:r>
            <a:rPr lang="en-US" sz="1100" baseline="0"/>
            <a:t> on Indian Pharmaceutical market due to factors such as </a:t>
          </a:r>
          <a:r>
            <a:rPr lang="en-IN"/>
            <a:t>fast growth in diabetes, cardiac, respiratory, and women’s health</a:t>
          </a:r>
          <a:r>
            <a:rPr lang="en-US" sz="1100" baseline="0"/>
            <a:t>. </a:t>
          </a:r>
          <a:r>
            <a:rPr lang="en-IN" b="0">
              <a:latin typeface="+mn-lt"/>
            </a:rPr>
            <a:t>Company plans to increase R&amp;D investments in FY26 to 2.5–3% of revenue . The Compnay has given</a:t>
          </a:r>
          <a:r>
            <a:rPr lang="en-IN" b="0" baseline="0">
              <a:latin typeface="+mn-lt"/>
            </a:rPr>
            <a:t> guidance of </a:t>
          </a:r>
          <a:r>
            <a:rPr lang="en-IN" b="1" baseline="0">
              <a:latin typeface="+mn-lt"/>
            </a:rPr>
            <a:t>18%</a:t>
          </a:r>
          <a:r>
            <a:rPr lang="en-IN" b="0" baseline="0">
              <a:latin typeface="+mn-lt"/>
            </a:rPr>
            <a:t>.</a:t>
          </a:r>
          <a:endParaRPr lang="en-IN" sz="1100" b="0">
            <a:latin typeface="+mn-lt"/>
          </a:endParaRPr>
        </a:p>
        <a:p>
          <a:r>
            <a:rPr lang="en-IN" sz="1100"/>
            <a:t> </a:t>
          </a:r>
        </a:p>
        <a:p>
          <a:r>
            <a:rPr lang="en-IN" sz="1100"/>
            <a:t>The Analyst's consensus growth for</a:t>
          </a:r>
          <a:r>
            <a:rPr lang="en-IN" sz="1100" baseline="0"/>
            <a:t> the </a:t>
          </a:r>
          <a:r>
            <a:rPr lang="en-IN" sz="1100" b="1" baseline="0"/>
            <a:t>CY26</a:t>
          </a:r>
          <a:r>
            <a:rPr lang="en-IN" sz="1100" baseline="0"/>
            <a:t> is 14620 crores which is </a:t>
          </a:r>
          <a:r>
            <a:rPr lang="en-IN" sz="1100" b="1" baseline="0"/>
            <a:t>20%</a:t>
          </a:r>
          <a:r>
            <a:rPr lang="en-IN" sz="1100" baseline="0"/>
            <a:t> growth over the </a:t>
          </a:r>
          <a:r>
            <a:rPr lang="en-IN" sz="1100" b="1" baseline="0"/>
            <a:t>CY25 </a:t>
          </a:r>
          <a:endParaRPr lang="en-IN" sz="1100" b="1"/>
        </a:p>
        <a:p>
          <a:endParaRPr lang="en-IN" sz="1100"/>
        </a:p>
        <a:p>
          <a:pPr marL="0" marR="0" indent="0" defTabSz="914400" eaLnBrk="1" fontAlgn="auto" latinLnBrk="0" hangingPunct="1">
            <a:lnSpc>
              <a:spcPct val="100000"/>
            </a:lnSpc>
            <a:spcBef>
              <a:spcPts val="0"/>
            </a:spcBef>
            <a:spcAft>
              <a:spcPts val="0"/>
            </a:spcAft>
            <a:buClrTx/>
            <a:buSzTx/>
            <a:buFontTx/>
            <a:buNone/>
            <a:tabLst/>
            <a:defRPr/>
          </a:pPr>
          <a:r>
            <a:rPr lang="en-IN" sz="1100"/>
            <a:t>Indian </a:t>
          </a:r>
          <a:r>
            <a:rPr lang="en-US" sz="1100"/>
            <a:t>Pharmaceutical market is</a:t>
          </a:r>
          <a:r>
            <a:rPr lang="en-US" sz="1100" baseline="0"/>
            <a:t> expected to grow between </a:t>
          </a:r>
          <a:r>
            <a:rPr lang="en-US" sz="1100" b="1" baseline="0"/>
            <a:t>8% to 11%</a:t>
          </a:r>
          <a:r>
            <a:rPr lang="en-US" sz="1100" baseline="0"/>
            <a:t> in next few years which also depend on overall GDP of country. </a:t>
          </a:r>
          <a:r>
            <a:rPr lang="en-IN"/>
            <a:t>Considering the challenges company might face such as Digital shift &amp; Health-Tech adoption , low income reduce medicine sales in rural areas</a:t>
          </a:r>
          <a:r>
            <a:rPr lang="en-IN" baseline="0"/>
            <a:t> . We assume a company would maintain a </a:t>
          </a:r>
          <a:r>
            <a:rPr lang="en-IN" b="1" baseline="0"/>
            <a:t>double digit growth of 20%</a:t>
          </a:r>
          <a:r>
            <a:rPr lang="en-IN" baseline="0"/>
            <a:t> due to increase in popularity and highly demanded products of women's health and sexual wellness brands which will be the main growth drivers for company in next 2-5 years .</a:t>
          </a:r>
          <a:endParaRPr lang="en-IN" sz="1100"/>
        </a:p>
        <a:p>
          <a:endParaRPr lang="en-IN" sz="1100"/>
        </a:p>
      </xdr:txBody>
    </xdr:sp>
    <xdr:clientData/>
  </xdr:oneCellAnchor>
  <xdr:twoCellAnchor editAs="oneCell">
    <xdr:from>
      <xdr:col>0</xdr:col>
      <xdr:colOff>53008</xdr:colOff>
      <xdr:row>210</xdr:row>
      <xdr:rowOff>59634</xdr:rowOff>
    </xdr:from>
    <xdr:to>
      <xdr:col>5</xdr:col>
      <xdr:colOff>890317</xdr:colOff>
      <xdr:row>223</xdr:row>
      <xdr:rowOff>68948</xdr:rowOff>
    </xdr:to>
    <xdr:pic>
      <xdr:nvPicPr>
        <xdr:cNvPr id="16" name="Picture 15">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4"/>
        <a:stretch>
          <a:fillRect/>
        </a:stretch>
      </xdr:blipFill>
      <xdr:spPr>
        <a:xfrm>
          <a:off x="53008" y="41711217"/>
          <a:ext cx="6891131" cy="2421208"/>
        </a:xfrm>
        <a:prstGeom prst="rect">
          <a:avLst/>
        </a:prstGeom>
      </xdr:spPr>
    </xdr:pic>
    <xdr:clientData/>
  </xdr:twoCellAnchor>
  <xdr:twoCellAnchor editAs="oneCell">
    <xdr:from>
      <xdr:col>0</xdr:col>
      <xdr:colOff>79513</xdr:colOff>
      <xdr:row>223</xdr:row>
      <xdr:rowOff>66262</xdr:rowOff>
    </xdr:from>
    <xdr:to>
      <xdr:col>6</xdr:col>
      <xdr:colOff>264803</xdr:colOff>
      <xdr:row>235</xdr:row>
      <xdr:rowOff>133815</xdr:rowOff>
    </xdr:to>
    <xdr:pic>
      <xdr:nvPicPr>
        <xdr:cNvPr id="15" name="Picture 14">
          <a:extLst>
            <a:ext uri="{FF2B5EF4-FFF2-40B4-BE49-F238E27FC236}">
              <a16:creationId xmlns:a16="http://schemas.microsoft.com/office/drawing/2014/main" id="{00000000-0008-0000-1400-00000F000000}"/>
            </a:ext>
          </a:extLst>
        </xdr:cNvPr>
        <xdr:cNvPicPr>
          <a:picLocks noChangeAspect="1"/>
        </xdr:cNvPicPr>
      </xdr:nvPicPr>
      <xdr:blipFill>
        <a:blip xmlns:r="http://schemas.openxmlformats.org/officeDocument/2006/relationships" r:embed="rId15"/>
        <a:stretch>
          <a:fillRect/>
        </a:stretch>
      </xdr:blipFill>
      <xdr:spPr>
        <a:xfrm>
          <a:off x="79513" y="44129740"/>
          <a:ext cx="7138272" cy="2293919"/>
        </a:xfrm>
        <a:prstGeom prst="rect">
          <a:avLst/>
        </a:prstGeom>
      </xdr:spPr>
    </xdr:pic>
    <xdr:clientData/>
  </xdr:twoCellAnchor>
  <xdr:twoCellAnchor editAs="oneCell">
    <xdr:from>
      <xdr:col>1</xdr:col>
      <xdr:colOff>6624</xdr:colOff>
      <xdr:row>237</xdr:row>
      <xdr:rowOff>22795</xdr:rowOff>
    </xdr:from>
    <xdr:to>
      <xdr:col>3</xdr:col>
      <xdr:colOff>547085</xdr:colOff>
      <xdr:row>251</xdr:row>
      <xdr:rowOff>105225</xdr:rowOff>
    </xdr:to>
    <xdr:pic>
      <xdr:nvPicPr>
        <xdr:cNvPr id="17" name="Picture 16">
          <a:extLst>
            <a:ext uri="{FF2B5EF4-FFF2-40B4-BE49-F238E27FC236}">
              <a16:creationId xmlns:a16="http://schemas.microsoft.com/office/drawing/2014/main" id="{00000000-0008-0000-1400-000011000000}"/>
            </a:ext>
          </a:extLst>
        </xdr:cNvPr>
        <xdr:cNvPicPr>
          <a:picLocks noChangeAspect="1"/>
        </xdr:cNvPicPr>
      </xdr:nvPicPr>
      <xdr:blipFill>
        <a:blip xmlns:r="http://schemas.openxmlformats.org/officeDocument/2006/relationships" r:embed="rId16"/>
        <a:stretch>
          <a:fillRect/>
        </a:stretch>
      </xdr:blipFill>
      <xdr:spPr>
        <a:xfrm>
          <a:off x="139146" y="46683699"/>
          <a:ext cx="4724401" cy="2679856"/>
        </a:xfrm>
        <a:prstGeom prst="rect">
          <a:avLst/>
        </a:prstGeom>
      </xdr:spPr>
    </xdr:pic>
    <xdr:clientData/>
  </xdr:twoCellAnchor>
  <xdr:twoCellAnchor editAs="oneCell">
    <xdr:from>
      <xdr:col>0</xdr:col>
      <xdr:colOff>0</xdr:colOff>
      <xdr:row>255</xdr:row>
      <xdr:rowOff>77403</xdr:rowOff>
    </xdr:from>
    <xdr:to>
      <xdr:col>3</xdr:col>
      <xdr:colOff>593468</xdr:colOff>
      <xdr:row>267</xdr:row>
      <xdr:rowOff>36521</xdr:rowOff>
    </xdr:to>
    <xdr:pic>
      <xdr:nvPicPr>
        <xdr:cNvPr id="18" name="Picture 17">
          <a:extLst>
            <a:ext uri="{FF2B5EF4-FFF2-40B4-BE49-F238E27FC236}">
              <a16:creationId xmlns:a16="http://schemas.microsoft.com/office/drawing/2014/main" id="{00000000-0008-0000-1400-000012000000}"/>
            </a:ext>
          </a:extLst>
        </xdr:cNvPr>
        <xdr:cNvPicPr>
          <a:picLocks noChangeAspect="1"/>
        </xdr:cNvPicPr>
      </xdr:nvPicPr>
      <xdr:blipFill>
        <a:blip xmlns:r="http://schemas.openxmlformats.org/officeDocument/2006/relationships" r:embed="rId17"/>
        <a:stretch>
          <a:fillRect/>
        </a:stretch>
      </xdr:blipFill>
      <xdr:spPr>
        <a:xfrm>
          <a:off x="0" y="50077855"/>
          <a:ext cx="4909930" cy="2185482"/>
        </a:xfrm>
        <a:prstGeom prst="rect">
          <a:avLst/>
        </a:prstGeom>
      </xdr:spPr>
    </xdr:pic>
    <xdr:clientData/>
  </xdr:twoCellAnchor>
  <xdr:twoCellAnchor editAs="oneCell">
    <xdr:from>
      <xdr:col>4</xdr:col>
      <xdr:colOff>552096</xdr:colOff>
      <xdr:row>237</xdr:row>
      <xdr:rowOff>46385</xdr:rowOff>
    </xdr:from>
    <xdr:to>
      <xdr:col>10</xdr:col>
      <xdr:colOff>228910</xdr:colOff>
      <xdr:row>251</xdr:row>
      <xdr:rowOff>19238</xdr:rowOff>
    </xdr:to>
    <xdr:pic>
      <xdr:nvPicPr>
        <xdr:cNvPr id="19" name="Picture 18">
          <a:extLst>
            <a:ext uri="{FF2B5EF4-FFF2-40B4-BE49-F238E27FC236}">
              <a16:creationId xmlns:a16="http://schemas.microsoft.com/office/drawing/2014/main" id="{00000000-0008-0000-1400-000013000000}"/>
            </a:ext>
          </a:extLst>
        </xdr:cNvPr>
        <xdr:cNvPicPr>
          <a:picLocks noChangeAspect="1"/>
        </xdr:cNvPicPr>
      </xdr:nvPicPr>
      <xdr:blipFill>
        <a:blip xmlns:r="http://schemas.openxmlformats.org/officeDocument/2006/relationships" r:embed="rId18"/>
        <a:stretch>
          <a:fillRect/>
        </a:stretch>
      </xdr:blipFill>
      <xdr:spPr>
        <a:xfrm>
          <a:off x="5342757" y="46707289"/>
          <a:ext cx="4748773" cy="2570279"/>
        </a:xfrm>
        <a:prstGeom prst="rect">
          <a:avLst/>
        </a:prstGeom>
      </xdr:spPr>
    </xdr:pic>
    <xdr:clientData/>
  </xdr:twoCellAnchor>
  <xdr:oneCellAnchor>
    <xdr:from>
      <xdr:col>0</xdr:col>
      <xdr:colOff>71718</xdr:colOff>
      <xdr:row>289</xdr:row>
      <xdr:rowOff>53789</xdr:rowOff>
    </xdr:from>
    <xdr:ext cx="7826189" cy="2675732"/>
    <xdr:sp macro="" textlink="">
      <xdr:nvSpPr>
        <xdr:cNvPr id="22" name="TextBox 21">
          <a:extLst>
            <a:ext uri="{FF2B5EF4-FFF2-40B4-BE49-F238E27FC236}">
              <a16:creationId xmlns:a16="http://schemas.microsoft.com/office/drawing/2014/main" id="{00000000-0008-0000-1400-000016000000}"/>
            </a:ext>
          </a:extLst>
        </xdr:cNvPr>
        <xdr:cNvSpPr txBox="1"/>
      </xdr:nvSpPr>
      <xdr:spPr>
        <a:xfrm>
          <a:off x="71718" y="55818334"/>
          <a:ext cx="7826189" cy="26757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During the CY2025 ,  gross margins have increased by 260 basis points to 71.4% compared to 68.8% in FY '24. This is majorly on account of sales price increase effect</a:t>
          </a:r>
          <a:r>
            <a:rPr lang="en-IN" baseline="0"/>
            <a:t> , </a:t>
          </a:r>
          <a:r>
            <a:rPr lang="en-IN"/>
            <a:t>contributing 120 basis point, and the balance 140 basis point is the combination of better sales mix as chronic contribution has increased by 150 basis points on a year-on-year basis as well as certain operational efficiencies have also been achieved in manufacturing processes.</a:t>
          </a:r>
          <a:r>
            <a:rPr lang="en-IN" baseline="0"/>
            <a:t>  - as explained by management </a:t>
          </a:r>
          <a:endParaRPr lang="en-IN" sz="1100"/>
        </a:p>
        <a:p>
          <a:endParaRPr lang="en-IN" sz="1100"/>
        </a:p>
        <a:p>
          <a:endParaRPr lang="en-IN" sz="1100"/>
        </a:p>
        <a:p>
          <a:r>
            <a:rPr lang="en-IN" sz="1100"/>
            <a:t>The Raw</a:t>
          </a:r>
          <a:r>
            <a:rPr lang="en-IN" sz="1100" baseline="0"/>
            <a:t> material consumed constitutes  ~ 60%+ of the total Cost of Goods Sold and ~ 25%+ of the revenue . The major Cost of Raw material is APIs </a:t>
          </a:r>
          <a:r>
            <a:rPr lang="en-IN" sz="1100" baseline="0">
              <a:solidFill>
                <a:schemeClr val="tx1"/>
              </a:solidFill>
              <a:effectLst/>
              <a:latin typeface="+mn-lt"/>
              <a:ea typeface="+mn-ea"/>
              <a:cs typeface="+mn-cs"/>
            </a:rPr>
            <a:t>and</a:t>
          </a:r>
          <a:r>
            <a:rPr lang="en-IN" sz="1100" baseline="0"/>
            <a:t> </a:t>
          </a:r>
          <a:r>
            <a:rPr lang="en-IN" sz="1100" baseline="0">
              <a:solidFill>
                <a:schemeClr val="tx1"/>
              </a:solidFill>
              <a:effectLst/>
              <a:latin typeface="+mn-lt"/>
              <a:ea typeface="+mn-ea"/>
              <a:cs typeface="+mn-cs"/>
            </a:rPr>
            <a:t>Latex rubber </a:t>
          </a:r>
          <a:r>
            <a:rPr lang="en-IN" sz="1100" baseline="0"/>
            <a:t>which have faced inflationary during CY23.</a:t>
          </a:r>
        </a:p>
        <a:p>
          <a:endParaRPr lang="en-IN" sz="1100" baseline="0"/>
        </a:p>
        <a:p>
          <a:r>
            <a:rPr lang="en-IN" sz="1100" baseline="0"/>
            <a:t>Historically  , the company has posted the Gross Margin ~ 65% to 71% with median of 68.4% in the last 7 years. Basis our research , the gross margin posted by </a:t>
          </a:r>
          <a:r>
            <a:rPr lang="en-US" sz="1100" baseline="0"/>
            <a:t>Pharmaceutical sector in Inida was  54.88% and by the sector in global emerging market was 46.99% , and global sector was 54.69%.</a:t>
          </a:r>
        </a:p>
        <a:p>
          <a:endParaRPr lang="en-US" sz="1100" baseline="0"/>
        </a:p>
        <a:p>
          <a:r>
            <a:rPr lang="en-IN" sz="1100"/>
            <a:t>The</a:t>
          </a:r>
          <a:r>
            <a:rPr lang="en-IN" sz="1100" baseline="0"/>
            <a:t> reduction in margins during CY22 was majorly due to inflationary pressure , we assume that margin will retract to ~66 % in short term and converge to ~ 71% in long term.</a:t>
          </a:r>
          <a:endParaRPr lang="en-IN" sz="1100"/>
        </a:p>
      </xdr:txBody>
    </xdr:sp>
    <xdr:clientData/>
  </xdr:oneCellAnchor>
  <xdr:twoCellAnchor editAs="oneCell">
    <xdr:from>
      <xdr:col>0</xdr:col>
      <xdr:colOff>89646</xdr:colOff>
      <xdr:row>199</xdr:row>
      <xdr:rowOff>107577</xdr:rowOff>
    </xdr:from>
    <xdr:to>
      <xdr:col>5</xdr:col>
      <xdr:colOff>630991</xdr:colOff>
      <xdr:row>208</xdr:row>
      <xdr:rowOff>113406</xdr:rowOff>
    </xdr:to>
    <xdr:pic>
      <xdr:nvPicPr>
        <xdr:cNvPr id="23" name="Picture 22">
          <a:extLst>
            <a:ext uri="{FF2B5EF4-FFF2-40B4-BE49-F238E27FC236}">
              <a16:creationId xmlns:a16="http://schemas.microsoft.com/office/drawing/2014/main" id="{00000000-0008-0000-1400-000017000000}"/>
            </a:ext>
          </a:extLst>
        </xdr:cNvPr>
        <xdr:cNvPicPr>
          <a:picLocks noChangeAspect="1"/>
        </xdr:cNvPicPr>
      </xdr:nvPicPr>
      <xdr:blipFill>
        <a:blip xmlns:r="http://schemas.openxmlformats.org/officeDocument/2006/relationships" r:embed="rId19"/>
        <a:stretch>
          <a:fillRect/>
        </a:stretch>
      </xdr:blipFill>
      <xdr:spPr>
        <a:xfrm>
          <a:off x="89646" y="39444706"/>
          <a:ext cx="6582694" cy="1619476"/>
        </a:xfrm>
        <a:prstGeom prst="rect">
          <a:avLst/>
        </a:prstGeom>
      </xdr:spPr>
    </xdr:pic>
    <xdr:clientData/>
  </xdr:twoCellAnchor>
  <xdr:oneCellAnchor>
    <xdr:from>
      <xdr:col>0</xdr:col>
      <xdr:colOff>69309</xdr:colOff>
      <xdr:row>370</xdr:row>
      <xdr:rowOff>47765</xdr:rowOff>
    </xdr:from>
    <xdr:ext cx="7826189" cy="1470146"/>
    <xdr:sp macro="" textlink="">
      <xdr:nvSpPr>
        <xdr:cNvPr id="24" name="TextBox 23">
          <a:extLst>
            <a:ext uri="{FF2B5EF4-FFF2-40B4-BE49-F238E27FC236}">
              <a16:creationId xmlns:a16="http://schemas.microsoft.com/office/drawing/2014/main" id="{00000000-0008-0000-1400-000018000000}"/>
            </a:ext>
          </a:extLst>
        </xdr:cNvPr>
        <xdr:cNvSpPr txBox="1"/>
      </xdr:nvSpPr>
      <xdr:spPr>
        <a:xfrm>
          <a:off x="69309" y="70160730"/>
          <a:ext cx="7826189"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eaLnBrk="1" latinLnBrk="0" hangingPunct="1"/>
          <a:r>
            <a:rPr lang="en-IN" sz="1100">
              <a:solidFill>
                <a:schemeClr val="tx1"/>
              </a:solidFill>
              <a:effectLst/>
              <a:latin typeface="+mn-lt"/>
              <a:ea typeface="+mn-ea"/>
              <a:cs typeface="+mn-cs"/>
            </a:rPr>
            <a:t>During the CY25 , the company has reported EBITDA margin of 21.7% which is 280bps lower than CY24 (24.5%) . This reason for rise in the  decline in EBITDA margin of 280 bps was primarily due to increase in selling and other expenses to launch certain brands of BSV. The management is determined to keep the operating expenses in check and gave EBITDA margin guidance of ~19 % - 20% . </a:t>
          </a:r>
          <a:endParaRPr lang="en-IN">
            <a:effectLst/>
          </a:endParaRPr>
        </a:p>
        <a:p>
          <a:pPr rtl="0" eaLnBrk="1" latinLnBrk="0" hangingPunct="1"/>
          <a:r>
            <a:rPr lang="en-IN" sz="1100">
              <a:solidFill>
                <a:schemeClr val="tx1"/>
              </a:solidFill>
              <a:effectLst/>
              <a:latin typeface="+mn-lt"/>
              <a:ea typeface="+mn-ea"/>
              <a:cs typeface="+mn-cs"/>
            </a:rPr>
            <a:t>Basis our research , we have identified that historically SG&amp;A expenses is 51.9% . Where four expenses viz Employee Benefit , Advertising expenses , Travelling and conveyance and other Operating expenses constitute 88.1% of total SG&amp;A expenses . This four key expenses are directly linked with sales . </a:t>
          </a:r>
          <a:endParaRPr lang="en-IN">
            <a:effectLst/>
          </a:endParaRPr>
        </a:p>
        <a:p>
          <a:pPr rtl="0" eaLnBrk="1" latinLnBrk="0" hangingPunct="1"/>
          <a:r>
            <a:rPr lang="en-IN" sz="1100">
              <a:solidFill>
                <a:schemeClr val="tx1"/>
              </a:solidFill>
              <a:effectLst/>
              <a:latin typeface="+mn-lt"/>
              <a:ea typeface="+mn-ea"/>
              <a:cs typeface="+mn-cs"/>
            </a:rPr>
            <a:t>We assumed total SG&amp;A expenses to remain at 51.9% level as percentage of revenues , which is almost aligned with street estimates and management consensus.</a:t>
          </a:r>
          <a:endParaRPr lang="en-IN">
            <a:effectLst/>
          </a:endParaRPr>
        </a:p>
      </xdr:txBody>
    </xdr:sp>
    <xdr:clientData/>
  </xdr:oneCellAnchor>
  <xdr:twoCellAnchor>
    <xdr:from>
      <xdr:col>18</xdr:col>
      <xdr:colOff>83820</xdr:colOff>
      <xdr:row>382</xdr:row>
      <xdr:rowOff>57150</xdr:rowOff>
    </xdr:from>
    <xdr:to>
      <xdr:col>25</xdr:col>
      <xdr:colOff>236220</xdr:colOff>
      <xdr:row>397</xdr:row>
      <xdr:rowOff>15240</xdr:rowOff>
    </xdr:to>
    <xdr:graphicFrame macro="">
      <xdr:nvGraphicFramePr>
        <xdr:cNvPr id="14" name="Chart 13">
          <a:extLst>
            <a:ext uri="{FF2B5EF4-FFF2-40B4-BE49-F238E27FC236}">
              <a16:creationId xmlns:a16="http://schemas.microsoft.com/office/drawing/2014/main" id="{00000000-0008-0000-1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oneCellAnchor>
    <xdr:from>
      <xdr:col>0</xdr:col>
      <xdr:colOff>83820</xdr:colOff>
      <xdr:row>438</xdr:row>
      <xdr:rowOff>45720</xdr:rowOff>
    </xdr:from>
    <xdr:ext cx="9742154" cy="781240"/>
    <xdr:sp macro="" textlink="">
      <xdr:nvSpPr>
        <xdr:cNvPr id="26" name="TextBox 25">
          <a:extLst>
            <a:ext uri="{FF2B5EF4-FFF2-40B4-BE49-F238E27FC236}">
              <a16:creationId xmlns:a16="http://schemas.microsoft.com/office/drawing/2014/main" id="{00000000-0008-0000-1400-00001A000000}"/>
            </a:ext>
          </a:extLst>
        </xdr:cNvPr>
        <xdr:cNvSpPr txBox="1"/>
      </xdr:nvSpPr>
      <xdr:spPr>
        <a:xfrm>
          <a:off x="83820" y="84056220"/>
          <a:ext cx="9742154"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Historically</a:t>
          </a:r>
          <a:r>
            <a:rPr lang="en-US" sz="1100" baseline="0"/>
            <a:t> the company is maintaining inventory levels ~16% of revenues with inventory turnover ratio being consistent around 2.1 Further street estimate suggests , </a:t>
          </a:r>
        </a:p>
        <a:p>
          <a:r>
            <a:rPr lang="en-US" sz="1100" baseline="0"/>
            <a:t>the inventory levels remain to flat from existing inventory days.</a:t>
          </a:r>
        </a:p>
        <a:p>
          <a:endParaRPr lang="en-US" sz="1100" baseline="0"/>
        </a:p>
        <a:p>
          <a:r>
            <a:rPr lang="en-US" sz="1100" baseline="0"/>
            <a:t>We assume our inventory levels go up by X days from XX days to XX days in year 2026 &amp; 2027 </a:t>
          </a:r>
        </a:p>
      </xdr:txBody>
    </xdr:sp>
    <xdr:clientData/>
  </xdr:oneCellAnchor>
  <xdr:twoCellAnchor editAs="oneCell">
    <xdr:from>
      <xdr:col>0</xdr:col>
      <xdr:colOff>121920</xdr:colOff>
      <xdr:row>444</xdr:row>
      <xdr:rowOff>53340</xdr:rowOff>
    </xdr:from>
    <xdr:to>
      <xdr:col>1</xdr:col>
      <xdr:colOff>2031015</xdr:colOff>
      <xdr:row>455</xdr:row>
      <xdr:rowOff>70768</xdr:rowOff>
    </xdr:to>
    <xdr:pic>
      <xdr:nvPicPr>
        <xdr:cNvPr id="25" name="Picture 24">
          <a:extLst>
            <a:ext uri="{FF2B5EF4-FFF2-40B4-BE49-F238E27FC236}">
              <a16:creationId xmlns:a16="http://schemas.microsoft.com/office/drawing/2014/main" id="{00000000-0008-0000-1400-000019000000}"/>
            </a:ext>
          </a:extLst>
        </xdr:cNvPr>
        <xdr:cNvPicPr>
          <a:picLocks noChangeAspect="1"/>
        </xdr:cNvPicPr>
      </xdr:nvPicPr>
      <xdr:blipFill>
        <a:blip xmlns:r="http://schemas.openxmlformats.org/officeDocument/2006/relationships" r:embed="rId21"/>
        <a:stretch>
          <a:fillRect/>
        </a:stretch>
      </xdr:blipFill>
      <xdr:spPr>
        <a:xfrm>
          <a:off x="121920" y="85161120"/>
          <a:ext cx="2038635" cy="2029108"/>
        </a:xfrm>
        <a:prstGeom prst="rect">
          <a:avLst/>
        </a:prstGeom>
      </xdr:spPr>
    </xdr:pic>
    <xdr:clientData/>
  </xdr:twoCellAnchor>
  <xdr:twoCellAnchor>
    <xdr:from>
      <xdr:col>16</xdr:col>
      <xdr:colOff>220980</xdr:colOff>
      <xdr:row>456</xdr:row>
      <xdr:rowOff>148590</xdr:rowOff>
    </xdr:from>
    <xdr:to>
      <xdr:col>23</xdr:col>
      <xdr:colOff>281940</xdr:colOff>
      <xdr:row>473</xdr:row>
      <xdr:rowOff>102870</xdr:rowOff>
    </xdr:to>
    <xdr:graphicFrame macro="">
      <xdr:nvGraphicFramePr>
        <xdr:cNvPr id="27" name="Chart 26">
          <a:extLst>
            <a:ext uri="{FF2B5EF4-FFF2-40B4-BE49-F238E27FC236}">
              <a16:creationId xmlns:a16="http://schemas.microsoft.com/office/drawing/2014/main" id="{00000000-0008-0000-14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xdr:col>
      <xdr:colOff>1644925</xdr:colOff>
      <xdr:row>490</xdr:row>
      <xdr:rowOff>6627</xdr:rowOff>
    </xdr:from>
    <xdr:to>
      <xdr:col>8</xdr:col>
      <xdr:colOff>31777</xdr:colOff>
      <xdr:row>504</xdr:row>
      <xdr:rowOff>132523</xdr:rowOff>
    </xdr:to>
    <xdr:pic>
      <xdr:nvPicPr>
        <xdr:cNvPr id="28" name="Picture 27">
          <a:extLst>
            <a:ext uri="{FF2B5EF4-FFF2-40B4-BE49-F238E27FC236}">
              <a16:creationId xmlns:a16="http://schemas.microsoft.com/office/drawing/2014/main" id="{00000000-0008-0000-1400-00001C000000}"/>
            </a:ext>
          </a:extLst>
        </xdr:cNvPr>
        <xdr:cNvPicPr>
          <a:picLocks noChangeAspect="1"/>
        </xdr:cNvPicPr>
      </xdr:nvPicPr>
      <xdr:blipFill>
        <a:blip xmlns:r="http://schemas.openxmlformats.org/officeDocument/2006/relationships" r:embed="rId23"/>
        <a:stretch>
          <a:fillRect/>
        </a:stretch>
      </xdr:blipFill>
      <xdr:spPr>
        <a:xfrm>
          <a:off x="1777447" y="94859062"/>
          <a:ext cx="6795025" cy="2723322"/>
        </a:xfrm>
        <a:prstGeom prst="rect">
          <a:avLst/>
        </a:prstGeom>
      </xdr:spPr>
    </xdr:pic>
    <xdr:clientData/>
  </xdr:twoCellAnchor>
  <xdr:oneCellAnchor>
    <xdr:from>
      <xdr:col>0</xdr:col>
      <xdr:colOff>76201</xdr:colOff>
      <xdr:row>509</xdr:row>
      <xdr:rowOff>149135</xdr:rowOff>
    </xdr:from>
    <xdr:ext cx="9913098" cy="609013"/>
    <xdr:sp macro="" textlink="">
      <xdr:nvSpPr>
        <xdr:cNvPr id="29" name="TextBox 28">
          <a:extLst>
            <a:ext uri="{FF2B5EF4-FFF2-40B4-BE49-F238E27FC236}">
              <a16:creationId xmlns:a16="http://schemas.microsoft.com/office/drawing/2014/main" id="{00000000-0008-0000-1400-00001D000000}"/>
            </a:ext>
          </a:extLst>
        </xdr:cNvPr>
        <xdr:cNvSpPr txBox="1"/>
      </xdr:nvSpPr>
      <xdr:spPr>
        <a:xfrm>
          <a:off x="76201" y="95417064"/>
          <a:ext cx="991309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t>Trade receivables increased to ₹1,538 crore in FY2025 from ₹848 crore in FY2024, mainly due to higher sales and the consolidation of the BSV business. Historically, </a:t>
          </a:r>
        </a:p>
        <a:p>
          <a:r>
            <a:rPr lang="en-IN"/>
            <a:t>the company has maintained receivables at ~8% of revenues with debtor days steady at around 30. Street estimates suggest receivables will remain stable at these levels,</a:t>
          </a:r>
        </a:p>
        <a:p>
          <a:r>
            <a:rPr lang="en-IN"/>
            <a:t> while we assume a reduction of 5–6 days, bringing debtor days down to about 24 by FY2026–27, supporting better working capital efficiency.</a:t>
          </a:r>
          <a:endParaRPr lang="en-US" sz="1100" baseline="0"/>
        </a:p>
      </xdr:txBody>
    </xdr:sp>
    <xdr:clientData/>
  </xdr:oneCellAnchor>
  <xdr:twoCellAnchor editAs="oneCell">
    <xdr:from>
      <xdr:col>1</xdr:col>
      <xdr:colOff>0</xdr:colOff>
      <xdr:row>588</xdr:row>
      <xdr:rowOff>0</xdr:rowOff>
    </xdr:from>
    <xdr:to>
      <xdr:col>5</xdr:col>
      <xdr:colOff>434891</xdr:colOff>
      <xdr:row>594</xdr:row>
      <xdr:rowOff>152507</xdr:rowOff>
    </xdr:to>
    <xdr:pic>
      <xdr:nvPicPr>
        <xdr:cNvPr id="30" name="Picture 29">
          <a:extLst>
            <a:ext uri="{FF2B5EF4-FFF2-40B4-BE49-F238E27FC236}">
              <a16:creationId xmlns:a16="http://schemas.microsoft.com/office/drawing/2014/main" id="{00000000-0008-0000-1400-00001E000000}"/>
            </a:ext>
          </a:extLst>
        </xdr:cNvPr>
        <xdr:cNvPicPr>
          <a:picLocks noChangeAspect="1"/>
        </xdr:cNvPicPr>
      </xdr:nvPicPr>
      <xdr:blipFill>
        <a:blip xmlns:r="http://schemas.openxmlformats.org/officeDocument/2006/relationships" r:embed="rId24"/>
        <a:stretch>
          <a:fillRect/>
        </a:stretch>
      </xdr:blipFill>
      <xdr:spPr>
        <a:xfrm>
          <a:off x="129540" y="111610140"/>
          <a:ext cx="6355631" cy="1249788"/>
        </a:xfrm>
        <a:prstGeom prst="rect">
          <a:avLst/>
        </a:prstGeom>
      </xdr:spPr>
    </xdr:pic>
    <xdr:clientData/>
  </xdr:twoCellAnchor>
  <xdr:twoCellAnchor editAs="oneCell">
    <xdr:from>
      <xdr:col>1</xdr:col>
      <xdr:colOff>0</xdr:colOff>
      <xdr:row>597</xdr:row>
      <xdr:rowOff>99060</xdr:rowOff>
    </xdr:from>
    <xdr:to>
      <xdr:col>5</xdr:col>
      <xdr:colOff>320040</xdr:colOff>
      <xdr:row>604</xdr:row>
      <xdr:rowOff>99277</xdr:rowOff>
    </xdr:to>
    <xdr:pic>
      <xdr:nvPicPr>
        <xdr:cNvPr id="31" name="Picture 30">
          <a:extLst>
            <a:ext uri="{FF2B5EF4-FFF2-40B4-BE49-F238E27FC236}">
              <a16:creationId xmlns:a16="http://schemas.microsoft.com/office/drawing/2014/main" id="{00000000-0008-0000-1400-00001F000000}"/>
            </a:ext>
          </a:extLst>
        </xdr:cNvPr>
        <xdr:cNvPicPr>
          <a:picLocks noChangeAspect="1"/>
        </xdr:cNvPicPr>
      </xdr:nvPicPr>
      <xdr:blipFill>
        <a:blip xmlns:r="http://schemas.openxmlformats.org/officeDocument/2006/relationships" r:embed="rId25"/>
        <a:stretch>
          <a:fillRect/>
        </a:stretch>
      </xdr:blipFill>
      <xdr:spPr>
        <a:xfrm>
          <a:off x="129540" y="113355120"/>
          <a:ext cx="6240780" cy="1280378"/>
        </a:xfrm>
        <a:prstGeom prst="rect">
          <a:avLst/>
        </a:prstGeom>
      </xdr:spPr>
    </xdr:pic>
    <xdr:clientData/>
  </xdr:twoCellAnchor>
  <xdr:twoCellAnchor editAs="oneCell">
    <xdr:from>
      <xdr:col>0</xdr:col>
      <xdr:colOff>114300</xdr:colOff>
      <xdr:row>625</xdr:row>
      <xdr:rowOff>175261</xdr:rowOff>
    </xdr:from>
    <xdr:to>
      <xdr:col>5</xdr:col>
      <xdr:colOff>335280</xdr:colOff>
      <xdr:row>629</xdr:row>
      <xdr:rowOff>121125</xdr:rowOff>
    </xdr:to>
    <xdr:pic>
      <xdr:nvPicPr>
        <xdr:cNvPr id="32" name="Picture 31">
          <a:extLst>
            <a:ext uri="{FF2B5EF4-FFF2-40B4-BE49-F238E27FC236}">
              <a16:creationId xmlns:a16="http://schemas.microsoft.com/office/drawing/2014/main" id="{00000000-0008-0000-1400-000020000000}"/>
            </a:ext>
          </a:extLst>
        </xdr:cNvPr>
        <xdr:cNvPicPr>
          <a:picLocks noChangeAspect="1"/>
        </xdr:cNvPicPr>
      </xdr:nvPicPr>
      <xdr:blipFill>
        <a:blip xmlns:r="http://schemas.openxmlformats.org/officeDocument/2006/relationships" r:embed="rId26"/>
        <a:stretch>
          <a:fillRect/>
        </a:stretch>
      </xdr:blipFill>
      <xdr:spPr>
        <a:xfrm>
          <a:off x="114300" y="115077241"/>
          <a:ext cx="6271260" cy="677384"/>
        </a:xfrm>
        <a:prstGeom prst="rect">
          <a:avLst/>
        </a:prstGeom>
      </xdr:spPr>
    </xdr:pic>
    <xdr:clientData/>
  </xdr:twoCellAnchor>
  <xdr:twoCellAnchor editAs="oneCell">
    <xdr:from>
      <xdr:col>1</xdr:col>
      <xdr:colOff>0</xdr:colOff>
      <xdr:row>631</xdr:row>
      <xdr:rowOff>179731</xdr:rowOff>
    </xdr:from>
    <xdr:to>
      <xdr:col>5</xdr:col>
      <xdr:colOff>312420</xdr:colOff>
      <xdr:row>641</xdr:row>
      <xdr:rowOff>139380</xdr:rowOff>
    </xdr:to>
    <xdr:pic>
      <xdr:nvPicPr>
        <xdr:cNvPr id="33" name="Picture 32">
          <a:extLst>
            <a:ext uri="{FF2B5EF4-FFF2-40B4-BE49-F238E27FC236}">
              <a16:creationId xmlns:a16="http://schemas.microsoft.com/office/drawing/2014/main" id="{00000000-0008-0000-1400-000021000000}"/>
            </a:ext>
          </a:extLst>
        </xdr:cNvPr>
        <xdr:cNvPicPr>
          <a:picLocks noChangeAspect="1"/>
        </xdr:cNvPicPr>
      </xdr:nvPicPr>
      <xdr:blipFill>
        <a:blip xmlns:r="http://schemas.openxmlformats.org/officeDocument/2006/relationships" r:embed="rId27"/>
        <a:stretch>
          <a:fillRect/>
        </a:stretch>
      </xdr:blipFill>
      <xdr:spPr>
        <a:xfrm>
          <a:off x="129540" y="116178991"/>
          <a:ext cx="6233160" cy="1788449"/>
        </a:xfrm>
        <a:prstGeom prst="rect">
          <a:avLst/>
        </a:prstGeom>
      </xdr:spPr>
    </xdr:pic>
    <xdr:clientData/>
  </xdr:twoCellAnchor>
  <xdr:twoCellAnchor editAs="oneCell">
    <xdr:from>
      <xdr:col>0</xdr:col>
      <xdr:colOff>15240</xdr:colOff>
      <xdr:row>604</xdr:row>
      <xdr:rowOff>99060</xdr:rowOff>
    </xdr:from>
    <xdr:to>
      <xdr:col>5</xdr:col>
      <xdr:colOff>403860</xdr:colOff>
      <xdr:row>610</xdr:row>
      <xdr:rowOff>154633</xdr:rowOff>
    </xdr:to>
    <xdr:pic>
      <xdr:nvPicPr>
        <xdr:cNvPr id="34" name="Picture 33">
          <a:extLst>
            <a:ext uri="{FF2B5EF4-FFF2-40B4-BE49-F238E27FC236}">
              <a16:creationId xmlns:a16="http://schemas.microsoft.com/office/drawing/2014/main" id="{00000000-0008-0000-1400-000022000000}"/>
            </a:ext>
          </a:extLst>
        </xdr:cNvPr>
        <xdr:cNvPicPr>
          <a:picLocks noChangeAspect="1"/>
        </xdr:cNvPicPr>
      </xdr:nvPicPr>
      <xdr:blipFill>
        <a:blip xmlns:r="http://schemas.openxmlformats.org/officeDocument/2006/relationships" r:embed="rId28"/>
        <a:stretch>
          <a:fillRect/>
        </a:stretch>
      </xdr:blipFill>
      <xdr:spPr>
        <a:xfrm>
          <a:off x="15240" y="114635280"/>
          <a:ext cx="6438900" cy="1152853"/>
        </a:xfrm>
        <a:prstGeom prst="rect">
          <a:avLst/>
        </a:prstGeom>
      </xdr:spPr>
    </xdr:pic>
    <xdr:clientData/>
  </xdr:twoCellAnchor>
  <xdr:twoCellAnchor editAs="oneCell">
    <xdr:from>
      <xdr:col>1</xdr:col>
      <xdr:colOff>0</xdr:colOff>
      <xdr:row>611</xdr:row>
      <xdr:rowOff>68666</xdr:rowOff>
    </xdr:from>
    <xdr:to>
      <xdr:col>6</xdr:col>
      <xdr:colOff>754379</xdr:colOff>
      <xdr:row>622</xdr:row>
      <xdr:rowOff>72595</xdr:rowOff>
    </xdr:to>
    <xdr:pic>
      <xdr:nvPicPr>
        <xdr:cNvPr id="35" name="Picture 34">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29"/>
        <a:stretch>
          <a:fillRect/>
        </a:stretch>
      </xdr:blipFill>
      <xdr:spPr>
        <a:xfrm>
          <a:off x="129540" y="115885046"/>
          <a:ext cx="7574279" cy="2015608"/>
        </a:xfrm>
        <a:prstGeom prst="rect">
          <a:avLst/>
        </a:prstGeom>
      </xdr:spPr>
    </xdr:pic>
    <xdr:clientData/>
  </xdr:twoCellAnchor>
  <xdr:twoCellAnchor editAs="oneCell">
    <xdr:from>
      <xdr:col>0</xdr:col>
      <xdr:colOff>114301</xdr:colOff>
      <xdr:row>641</xdr:row>
      <xdr:rowOff>76608</xdr:rowOff>
    </xdr:from>
    <xdr:to>
      <xdr:col>5</xdr:col>
      <xdr:colOff>350521</xdr:colOff>
      <xdr:row>649</xdr:row>
      <xdr:rowOff>55496</xdr:rowOff>
    </xdr:to>
    <xdr:pic>
      <xdr:nvPicPr>
        <xdr:cNvPr id="36" name="Picture 35">
          <a:extLst>
            <a:ext uri="{FF2B5EF4-FFF2-40B4-BE49-F238E27FC236}">
              <a16:creationId xmlns:a16="http://schemas.microsoft.com/office/drawing/2014/main" id="{00000000-0008-0000-1400-000024000000}"/>
            </a:ext>
          </a:extLst>
        </xdr:cNvPr>
        <xdr:cNvPicPr>
          <a:picLocks noChangeAspect="1"/>
        </xdr:cNvPicPr>
      </xdr:nvPicPr>
      <xdr:blipFill>
        <a:blip xmlns:r="http://schemas.openxmlformats.org/officeDocument/2006/relationships" r:embed="rId30"/>
        <a:stretch>
          <a:fillRect/>
        </a:stretch>
      </xdr:blipFill>
      <xdr:spPr>
        <a:xfrm>
          <a:off x="114301" y="121379388"/>
          <a:ext cx="6286500" cy="1441928"/>
        </a:xfrm>
        <a:prstGeom prst="rect">
          <a:avLst/>
        </a:prstGeom>
      </xdr:spPr>
    </xdr:pic>
    <xdr:clientData/>
  </xdr:twoCellAnchor>
  <xdr:twoCellAnchor editAs="oneCell">
    <xdr:from>
      <xdr:col>1</xdr:col>
      <xdr:colOff>30481</xdr:colOff>
      <xdr:row>649</xdr:row>
      <xdr:rowOff>91848</xdr:rowOff>
    </xdr:from>
    <xdr:to>
      <xdr:col>5</xdr:col>
      <xdr:colOff>350520</xdr:colOff>
      <xdr:row>655</xdr:row>
      <xdr:rowOff>57641</xdr:rowOff>
    </xdr:to>
    <xdr:pic>
      <xdr:nvPicPr>
        <xdr:cNvPr id="37" name="Picture 36">
          <a:extLst>
            <a:ext uri="{FF2B5EF4-FFF2-40B4-BE49-F238E27FC236}">
              <a16:creationId xmlns:a16="http://schemas.microsoft.com/office/drawing/2014/main" id="{00000000-0008-0000-1400-000025000000}"/>
            </a:ext>
          </a:extLst>
        </xdr:cNvPr>
        <xdr:cNvPicPr>
          <a:picLocks noChangeAspect="1"/>
        </xdr:cNvPicPr>
      </xdr:nvPicPr>
      <xdr:blipFill>
        <a:blip xmlns:r="http://schemas.openxmlformats.org/officeDocument/2006/relationships" r:embed="rId31"/>
        <a:stretch>
          <a:fillRect/>
        </a:stretch>
      </xdr:blipFill>
      <xdr:spPr>
        <a:xfrm>
          <a:off x="160021" y="122857668"/>
          <a:ext cx="6240779" cy="1063074"/>
        </a:xfrm>
        <a:prstGeom prst="rect">
          <a:avLst/>
        </a:prstGeom>
      </xdr:spPr>
    </xdr:pic>
    <xdr:clientData/>
  </xdr:twoCellAnchor>
  <xdr:twoCellAnchor editAs="oneCell">
    <xdr:from>
      <xdr:col>0</xdr:col>
      <xdr:colOff>114299</xdr:colOff>
      <xdr:row>656</xdr:row>
      <xdr:rowOff>408</xdr:rowOff>
    </xdr:from>
    <xdr:to>
      <xdr:col>7</xdr:col>
      <xdr:colOff>139732</xdr:colOff>
      <xdr:row>663</xdr:row>
      <xdr:rowOff>22859</xdr:rowOff>
    </xdr:to>
    <xdr:pic>
      <xdr:nvPicPr>
        <xdr:cNvPr id="38" name="Picture 37">
          <a:extLst>
            <a:ext uri="{FF2B5EF4-FFF2-40B4-BE49-F238E27FC236}">
              <a16:creationId xmlns:a16="http://schemas.microsoft.com/office/drawing/2014/main" id="{00000000-0008-0000-1400-000026000000}"/>
            </a:ext>
          </a:extLst>
        </xdr:cNvPr>
        <xdr:cNvPicPr>
          <a:picLocks noChangeAspect="1"/>
        </xdr:cNvPicPr>
      </xdr:nvPicPr>
      <xdr:blipFill>
        <a:blip xmlns:r="http://schemas.openxmlformats.org/officeDocument/2006/relationships" r:embed="rId32"/>
        <a:stretch>
          <a:fillRect/>
        </a:stretch>
      </xdr:blipFill>
      <xdr:spPr>
        <a:xfrm>
          <a:off x="114299" y="124046388"/>
          <a:ext cx="7744493" cy="1302612"/>
        </a:xfrm>
        <a:prstGeom prst="rect">
          <a:avLst/>
        </a:prstGeom>
      </xdr:spPr>
    </xdr:pic>
    <xdr:clientData/>
  </xdr:twoCellAnchor>
  <xdr:oneCellAnchor>
    <xdr:from>
      <xdr:col>0</xdr:col>
      <xdr:colOff>60960</xdr:colOff>
      <xdr:row>668</xdr:row>
      <xdr:rowOff>144781</xdr:rowOff>
    </xdr:from>
    <xdr:ext cx="6772688" cy="1128208"/>
    <xdr:sp macro="" textlink="">
      <xdr:nvSpPr>
        <xdr:cNvPr id="39" name="TextBox 38">
          <a:extLst>
            <a:ext uri="{FF2B5EF4-FFF2-40B4-BE49-F238E27FC236}">
              <a16:creationId xmlns:a16="http://schemas.microsoft.com/office/drawing/2014/main" id="{00000000-0008-0000-1400-000027000000}"/>
            </a:ext>
          </a:extLst>
        </xdr:cNvPr>
        <xdr:cNvSpPr txBox="1"/>
      </xdr:nvSpPr>
      <xdr:spPr>
        <a:xfrm>
          <a:off x="60960" y="124090805"/>
          <a:ext cx="6772688" cy="11282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Historically , the company has</a:t>
          </a:r>
          <a:r>
            <a:rPr lang="en-IN" sz="1100" baseline="0"/>
            <a:t> done major growrh capex of  ~ 95 CR and 12,300 CR in CY'22 and CY'25 respectively .</a:t>
          </a:r>
        </a:p>
        <a:p>
          <a:r>
            <a:rPr lang="en-IN" sz="1100" baseline="0"/>
            <a:t> </a:t>
          </a:r>
          <a:endParaRPr lang="en-IN" sz="1100"/>
        </a:p>
        <a:p>
          <a:endParaRPr lang="en-IN" sz="1100"/>
        </a:p>
        <a:p>
          <a:endParaRPr lang="en-IN" sz="1100"/>
        </a:p>
        <a:p>
          <a:endParaRPr lang="en-IN" sz="1100"/>
        </a:p>
        <a:p>
          <a:endParaRPr lang="en-IN" sz="1100"/>
        </a:p>
        <a:p>
          <a:endParaRPr lang="en-IN" sz="1100"/>
        </a:p>
        <a:p>
          <a:endParaRPr lang="en-IN" sz="1100"/>
        </a:p>
        <a:p>
          <a:endParaRPr lang="en-IN" sz="1100"/>
        </a:p>
      </xdr:txBody>
    </xdr:sp>
    <xdr:clientData/>
  </xdr:oneCellAnchor>
  <xdr:oneCellAnchor>
    <xdr:from>
      <xdr:col>0</xdr:col>
      <xdr:colOff>116541</xdr:colOff>
      <xdr:row>717</xdr:row>
      <xdr:rowOff>98612</xdr:rowOff>
    </xdr:from>
    <xdr:ext cx="3874715" cy="264560"/>
    <xdr:sp macro="" textlink="">
      <xdr:nvSpPr>
        <xdr:cNvPr id="40" name="TextBox 39">
          <a:extLst>
            <a:ext uri="{FF2B5EF4-FFF2-40B4-BE49-F238E27FC236}">
              <a16:creationId xmlns:a16="http://schemas.microsoft.com/office/drawing/2014/main" id="{00000000-0008-0000-1400-000028000000}"/>
            </a:ext>
          </a:extLst>
        </xdr:cNvPr>
        <xdr:cNvSpPr txBox="1"/>
      </xdr:nvSpPr>
      <xdr:spPr>
        <a:xfrm>
          <a:off x="116541" y="131736353"/>
          <a:ext cx="38747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Historically , companny's</a:t>
          </a:r>
          <a:r>
            <a:rPr lang="en-IN" sz="1100" baseline="0"/>
            <a:t> CWIP shoot up to  .................................</a:t>
          </a:r>
          <a:endParaRPr lang="en-IN" sz="1100"/>
        </a:p>
      </xdr:txBody>
    </xdr:sp>
    <xdr:clientData/>
  </xdr:oneCellAnchor>
  <xdr:oneCellAnchor>
    <xdr:from>
      <xdr:col>1</xdr:col>
      <xdr:colOff>0</xdr:colOff>
      <xdr:row>788</xdr:row>
      <xdr:rowOff>0</xdr:rowOff>
    </xdr:from>
    <xdr:ext cx="8794267" cy="609013"/>
    <xdr:sp macro="" textlink="">
      <xdr:nvSpPr>
        <xdr:cNvPr id="41" name="TextBox 40">
          <a:extLst>
            <a:ext uri="{FF2B5EF4-FFF2-40B4-BE49-F238E27FC236}">
              <a16:creationId xmlns:a16="http://schemas.microsoft.com/office/drawing/2014/main" id="{00000000-0008-0000-1400-000029000000}"/>
            </a:ext>
          </a:extLst>
        </xdr:cNvPr>
        <xdr:cNvSpPr txBox="1"/>
      </xdr:nvSpPr>
      <xdr:spPr>
        <a:xfrm>
          <a:off x="125506" y="145757153"/>
          <a:ext cx="87942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t>The company’s trade payable days have been volatile since the pandemic, though payables have consistently remained around ~10% of revenues.</a:t>
          </a:r>
        </a:p>
        <a:p>
          <a:r>
            <a:rPr lang="en-IN"/>
            <a:t> In comparison, peers maintain much longer payable cycles of about 116 days, expected to remain near ~120 in the coming years. This reflects the </a:t>
          </a:r>
        </a:p>
        <a:p>
          <a:r>
            <a:rPr lang="en-IN"/>
            <a:t>company’s relatively conservative approach to settling dues, ensuring stability in supplier relationships while slightly limiting working capital flexibility.</a:t>
          </a:r>
          <a:endParaRPr lang="en-IN" sz="1100" baseline="0">
            <a:solidFill>
              <a:schemeClr val="tx1"/>
            </a:solidFill>
            <a:effectLst/>
            <a:latin typeface="+mn-lt"/>
            <a:ea typeface="+mn-ea"/>
            <a:cs typeface="+mn-cs"/>
          </a:endParaRPr>
        </a:p>
      </xdr:txBody>
    </xdr:sp>
    <xdr:clientData/>
  </xdr:oneCellAnchor>
  <xdr:oneCellAnchor>
    <xdr:from>
      <xdr:col>1</xdr:col>
      <xdr:colOff>26895</xdr:colOff>
      <xdr:row>794</xdr:row>
      <xdr:rowOff>134470</xdr:rowOff>
    </xdr:from>
    <xdr:ext cx="8902950" cy="264560"/>
    <xdr:sp macro="" textlink="">
      <xdr:nvSpPr>
        <xdr:cNvPr id="42" name="TextBox 41">
          <a:extLst>
            <a:ext uri="{FF2B5EF4-FFF2-40B4-BE49-F238E27FC236}">
              <a16:creationId xmlns:a16="http://schemas.microsoft.com/office/drawing/2014/main" id="{00000000-0008-0000-1400-00002A000000}"/>
            </a:ext>
          </a:extLst>
        </xdr:cNvPr>
        <xdr:cNvSpPr txBox="1"/>
      </xdr:nvSpPr>
      <xdr:spPr>
        <a:xfrm>
          <a:off x="152401" y="146994282"/>
          <a:ext cx="8902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aseline="0">
              <a:solidFill>
                <a:schemeClr val="tx1"/>
              </a:solidFill>
              <a:effectLst/>
              <a:latin typeface="+mn-lt"/>
              <a:ea typeface="+mn-ea"/>
              <a:cs typeface="+mn-cs"/>
            </a:rPr>
            <a:t>We assume Other Current Liabilities excluding short term borrowings to maintain  flat at 2025 levels . The Short Term Borrowing is separately calculated.</a:t>
          </a:r>
        </a:p>
      </xdr:txBody>
    </xdr:sp>
    <xdr:clientData/>
  </xdr:oneCellAnchor>
  <xdr:twoCellAnchor editAs="oneCell">
    <xdr:from>
      <xdr:col>1</xdr:col>
      <xdr:colOff>35858</xdr:colOff>
      <xdr:row>826</xdr:row>
      <xdr:rowOff>65958</xdr:rowOff>
    </xdr:from>
    <xdr:to>
      <xdr:col>7</xdr:col>
      <xdr:colOff>408895</xdr:colOff>
      <xdr:row>841</xdr:row>
      <xdr:rowOff>51513</xdr:rowOff>
    </xdr:to>
    <xdr:pic>
      <xdr:nvPicPr>
        <xdr:cNvPr id="43" name="Picture 42">
          <a:extLst>
            <a:ext uri="{FF2B5EF4-FFF2-40B4-BE49-F238E27FC236}">
              <a16:creationId xmlns:a16="http://schemas.microsoft.com/office/drawing/2014/main" id="{00000000-0008-0000-1400-00002B000000}"/>
            </a:ext>
          </a:extLst>
        </xdr:cNvPr>
        <xdr:cNvPicPr>
          <a:picLocks noChangeAspect="1"/>
        </xdr:cNvPicPr>
      </xdr:nvPicPr>
      <xdr:blipFill>
        <a:blip xmlns:r="http://schemas.openxmlformats.org/officeDocument/2006/relationships" r:embed="rId33"/>
        <a:stretch>
          <a:fillRect/>
        </a:stretch>
      </xdr:blipFill>
      <xdr:spPr>
        <a:xfrm>
          <a:off x="161364" y="152716970"/>
          <a:ext cx="7957178" cy="2674966"/>
        </a:xfrm>
        <a:prstGeom prst="rect">
          <a:avLst/>
        </a:prstGeom>
      </xdr:spPr>
    </xdr:pic>
    <xdr:clientData/>
  </xdr:twoCellAnchor>
  <xdr:oneCellAnchor>
    <xdr:from>
      <xdr:col>1</xdr:col>
      <xdr:colOff>125505</xdr:colOff>
      <xdr:row>844</xdr:row>
      <xdr:rowOff>17929</xdr:rowOff>
    </xdr:from>
    <xdr:ext cx="7225553" cy="2503506"/>
    <xdr:sp macro="" textlink="">
      <xdr:nvSpPr>
        <xdr:cNvPr id="44" name="TextBox 43">
          <a:extLst>
            <a:ext uri="{FF2B5EF4-FFF2-40B4-BE49-F238E27FC236}">
              <a16:creationId xmlns:a16="http://schemas.microsoft.com/office/drawing/2014/main" id="{00000000-0008-0000-1400-00002C000000}"/>
            </a:ext>
          </a:extLst>
        </xdr:cNvPr>
        <xdr:cNvSpPr txBox="1"/>
      </xdr:nvSpPr>
      <xdr:spPr>
        <a:xfrm>
          <a:off x="251011" y="155779694"/>
          <a:ext cx="7225553" cy="250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In the recent years , the company</a:t>
          </a:r>
          <a:r>
            <a:rPr lang="en-IN" sz="1100" baseline="0"/>
            <a:t> has </a:t>
          </a:r>
          <a:r>
            <a:rPr lang="en-US" sz="1100" baseline="0"/>
            <a:t>drastically increased the long term debt from  ~14% of the total debt in 2023 to</a:t>
          </a:r>
        </a:p>
        <a:p>
          <a:r>
            <a:rPr lang="en-US" sz="1100" baseline="0"/>
            <a:t>~65% of the total debt in 2025 with increase in Debt to Equity ratio from ~0.02x to ~0.6x  , Debt to Capital ratio </a:t>
          </a:r>
        </a:p>
        <a:p>
          <a:r>
            <a:rPr lang="en-US" sz="1100" baseline="0"/>
            <a:t>being from ~0.02x to ~0.4x , Debt to Asset ratio at ~0.02x to 0.3x and Debt to EBITDA ratio at ~0.1x to 3.2x in the </a:t>
          </a:r>
        </a:p>
        <a:p>
          <a:r>
            <a:rPr lang="en-US" sz="1100" baseline="0"/>
            <a:t>respective years </a:t>
          </a:r>
        </a:p>
        <a:p>
          <a:endParaRPr lang="en-US" sz="1100" baseline="0"/>
        </a:p>
        <a:p>
          <a:r>
            <a:rPr lang="en-US" sz="1100" baseline="0"/>
            <a:t>The management is working on reducing the debt levels further in future , Also the company has increased the usage</a:t>
          </a:r>
        </a:p>
        <a:p>
          <a:r>
            <a:rPr lang="en-US" sz="1100" baseline="0"/>
            <a:t>of Short term Debts to fund its cyclical operations due to which debt levels are usually high and the management has </a:t>
          </a:r>
        </a:p>
        <a:p>
          <a:r>
            <a:rPr lang="en-US" sz="1100" baseline="0"/>
            <a:t>guided to pay off the acquisition related debt by FY'28 which was taken in FY'24-25 .</a:t>
          </a:r>
        </a:p>
        <a:p>
          <a:endParaRPr lang="en-US" sz="1100" baseline="0"/>
        </a:p>
        <a:p>
          <a:r>
            <a:rPr lang="en-US" sz="1100" baseline="0"/>
            <a:t>As per management guidance , of EBITDA to debt ratio being ~1.2 for the CY25 &amp; 26 . and assuming debt figures for the next few years to be depend upon it only </a:t>
          </a:r>
        </a:p>
        <a:p>
          <a:r>
            <a:rPr lang="en-US" sz="1100" baseline="0"/>
            <a:t>We assume long term growth to reduce to </a:t>
          </a:r>
          <a:r>
            <a:rPr lang="en-US" sz="1100" baseline="0">
              <a:solidFill>
                <a:schemeClr val="tx1"/>
              </a:solidFill>
              <a:effectLst/>
              <a:latin typeface="+mn-lt"/>
              <a:ea typeface="+mn-ea"/>
              <a:cs typeface="+mn-cs"/>
            </a:rPr>
            <a:t>~</a:t>
          </a:r>
          <a:r>
            <a:rPr lang="en-US" sz="1100" baseline="0"/>
            <a:t>1.2x in upcoming years , and stay at ~1.4x further .being on an average of ~12.6% of revenue.</a:t>
          </a:r>
        </a:p>
        <a:p>
          <a:endParaRPr lang="en-IN" sz="1100"/>
        </a:p>
      </xdr:txBody>
    </xdr:sp>
    <xdr:clientData/>
  </xdr:oneCellAnchor>
  <xdr:twoCellAnchor>
    <xdr:from>
      <xdr:col>14</xdr:col>
      <xdr:colOff>137160</xdr:colOff>
      <xdr:row>902</xdr:row>
      <xdr:rowOff>156210</xdr:rowOff>
    </xdr:from>
    <xdr:to>
      <xdr:col>21</xdr:col>
      <xdr:colOff>15240</xdr:colOff>
      <xdr:row>917</xdr:row>
      <xdr:rowOff>156210</xdr:rowOff>
    </xdr:to>
    <xdr:graphicFrame macro="">
      <xdr:nvGraphicFramePr>
        <xdr:cNvPr id="46" name="Chart 45">
          <a:extLst>
            <a:ext uri="{FF2B5EF4-FFF2-40B4-BE49-F238E27FC236}">
              <a16:creationId xmlns:a16="http://schemas.microsoft.com/office/drawing/2014/main" id="{00000000-0008-0000-14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5</xdr:col>
      <xdr:colOff>853697</xdr:colOff>
      <xdr:row>17</xdr:row>
      <xdr:rowOff>28686</xdr:rowOff>
    </xdr:from>
    <xdr:to>
      <xdr:col>9</xdr:col>
      <xdr:colOff>304801</xdr:colOff>
      <xdr:row>26</xdr:row>
      <xdr:rowOff>152341</xdr:rowOff>
    </xdr:to>
    <xdr:pic>
      <xdr:nvPicPr>
        <xdr:cNvPr id="47" name="Picture 46">
          <a:extLst>
            <a:ext uri="{FF2B5EF4-FFF2-40B4-BE49-F238E27FC236}">
              <a16:creationId xmlns:a16="http://schemas.microsoft.com/office/drawing/2014/main" id="{00000000-0008-0000-1400-00002F000000}"/>
            </a:ext>
          </a:extLst>
        </xdr:cNvPr>
        <xdr:cNvPicPr>
          <a:picLocks noChangeAspect="1"/>
        </xdr:cNvPicPr>
      </xdr:nvPicPr>
      <xdr:blipFill>
        <a:blip xmlns:r="http://schemas.openxmlformats.org/officeDocument/2006/relationships" r:embed="rId35"/>
        <a:stretch>
          <a:fillRect/>
        </a:stretch>
      </xdr:blipFill>
      <xdr:spPr>
        <a:xfrm>
          <a:off x="6903977" y="3183366"/>
          <a:ext cx="2834384" cy="1769575"/>
        </a:xfrm>
        <a:prstGeom prst="rect">
          <a:avLst/>
        </a:prstGeom>
      </xdr:spPr>
    </xdr:pic>
    <xdr:clientData/>
  </xdr:twoCellAnchor>
  <xdr:twoCellAnchor editAs="oneCell">
    <xdr:from>
      <xdr:col>8</xdr:col>
      <xdr:colOff>701040</xdr:colOff>
      <xdr:row>37</xdr:row>
      <xdr:rowOff>91440</xdr:rowOff>
    </xdr:from>
    <xdr:to>
      <xdr:col>13</xdr:col>
      <xdr:colOff>622043</xdr:colOff>
      <xdr:row>50</xdr:row>
      <xdr:rowOff>107398</xdr:rowOff>
    </xdr:to>
    <xdr:pic>
      <xdr:nvPicPr>
        <xdr:cNvPr id="45" name="Picture 44">
          <a:extLst>
            <a:ext uri="{FF2B5EF4-FFF2-40B4-BE49-F238E27FC236}">
              <a16:creationId xmlns:a16="http://schemas.microsoft.com/office/drawing/2014/main" id="{00000000-0008-0000-1400-00002D000000}"/>
            </a:ext>
          </a:extLst>
        </xdr:cNvPr>
        <xdr:cNvPicPr>
          <a:picLocks noChangeAspect="1"/>
        </xdr:cNvPicPr>
      </xdr:nvPicPr>
      <xdr:blipFill rotWithShape="1">
        <a:blip xmlns:r="http://schemas.openxmlformats.org/officeDocument/2006/relationships" r:embed="rId36"/>
        <a:srcRect t="15194"/>
        <a:stretch/>
      </xdr:blipFill>
      <xdr:spPr>
        <a:xfrm>
          <a:off x="9235440" y="6903720"/>
          <a:ext cx="3982463" cy="239339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19</xdr:col>
      <xdr:colOff>142091</xdr:colOff>
      <xdr:row>20</xdr:row>
      <xdr:rowOff>26680</xdr:rowOff>
    </xdr:from>
    <xdr:to>
      <xdr:col>26</xdr:col>
      <xdr:colOff>190133</xdr:colOff>
      <xdr:row>53</xdr:row>
      <xdr:rowOff>63802</xdr:rowOff>
    </xdr:to>
    <xdr:pic>
      <xdr:nvPicPr>
        <xdr:cNvPr id="5" name="Picture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1"/>
        <a:stretch>
          <a:fillRect/>
        </a:stretch>
      </xdr:blipFill>
      <xdr:spPr>
        <a:xfrm>
          <a:off x="12056185" y="3612562"/>
          <a:ext cx="4315242" cy="5953828"/>
        </a:xfrm>
        <a:prstGeom prst="rect">
          <a:avLst/>
        </a:prstGeom>
      </xdr:spPr>
    </xdr:pic>
    <xdr:clientData/>
  </xdr:twoCellAnchor>
  <xdr:twoCellAnchor>
    <xdr:from>
      <xdr:col>6</xdr:col>
      <xdr:colOff>312420</xdr:colOff>
      <xdr:row>4</xdr:row>
      <xdr:rowOff>25146</xdr:rowOff>
    </xdr:from>
    <xdr:to>
      <xdr:col>13</xdr:col>
      <xdr:colOff>60960</xdr:colOff>
      <xdr:row>17</xdr:row>
      <xdr:rowOff>57150</xdr:rowOff>
    </xdr:to>
    <xdr:graphicFrame macro="">
      <xdr:nvGraphicFramePr>
        <xdr:cNvPr id="6" name="Chart 5">
          <a:extLst>
            <a:ext uri="{FF2B5EF4-FFF2-40B4-BE49-F238E27FC236}">
              <a16:creationId xmlns:a16="http://schemas.microsoft.com/office/drawing/2014/main" id="{00000000-0008-0000-1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190500</xdr:colOff>
      <xdr:row>17</xdr:row>
      <xdr:rowOff>171450</xdr:rowOff>
    </xdr:from>
    <xdr:to>
      <xdr:col>18</xdr:col>
      <xdr:colOff>236220</xdr:colOff>
      <xdr:row>30</xdr:row>
      <xdr:rowOff>16002</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556260</xdr:colOff>
      <xdr:row>29</xdr:row>
      <xdr:rowOff>143410</xdr:rowOff>
    </xdr:from>
    <xdr:to>
      <xdr:col>15</xdr:col>
      <xdr:colOff>75435</xdr:colOff>
      <xdr:row>43</xdr:row>
      <xdr:rowOff>176116</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4"/>
        <a:stretch>
          <a:fillRect/>
        </a:stretch>
      </xdr:blipFill>
      <xdr:spPr>
        <a:xfrm>
          <a:off x="5166360" y="5446930"/>
          <a:ext cx="4457267" cy="2593026"/>
        </a:xfrm>
        <a:prstGeom prst="rect">
          <a:avLst/>
        </a:prstGeom>
      </xdr:spPr>
    </xdr:pic>
    <xdr:clientData/>
  </xdr:twoCellAnchor>
  <xdr:twoCellAnchor editAs="oneCell">
    <xdr:from>
      <xdr:col>6</xdr:col>
      <xdr:colOff>636495</xdr:colOff>
      <xdr:row>50</xdr:row>
      <xdr:rowOff>143436</xdr:rowOff>
    </xdr:from>
    <xdr:to>
      <xdr:col>17</xdr:col>
      <xdr:colOff>203066</xdr:colOff>
      <xdr:row>63</xdr:row>
      <xdr:rowOff>165616</xdr:rowOff>
    </xdr:to>
    <xdr:pic>
      <xdr:nvPicPr>
        <xdr:cNvPr id="4" name="Picture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5"/>
        <a:stretch>
          <a:fillRect/>
        </a:stretch>
      </xdr:blipFill>
      <xdr:spPr>
        <a:xfrm>
          <a:off x="5172636" y="9108142"/>
          <a:ext cx="5725324" cy="2353003"/>
        </a:xfrm>
        <a:prstGeom prst="rect">
          <a:avLst/>
        </a:prstGeom>
      </xdr:spPr>
    </xdr:pic>
    <xdr:clientData/>
  </xdr:twoCellAnchor>
  <xdr:twoCellAnchor editAs="oneCell">
    <xdr:from>
      <xdr:col>13</xdr:col>
      <xdr:colOff>304800</xdr:colOff>
      <xdr:row>3</xdr:row>
      <xdr:rowOff>143436</xdr:rowOff>
    </xdr:from>
    <xdr:to>
      <xdr:col>17</xdr:col>
      <xdr:colOff>476614</xdr:colOff>
      <xdr:row>16</xdr:row>
      <xdr:rowOff>137036</xdr:rowOff>
    </xdr:to>
    <xdr:pic>
      <xdr:nvPicPr>
        <xdr:cNvPr id="7" name="Picture 6">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6"/>
        <a:stretch>
          <a:fillRect/>
        </a:stretch>
      </xdr:blipFill>
      <xdr:spPr>
        <a:xfrm>
          <a:off x="8561294" y="681318"/>
          <a:ext cx="2610214" cy="232442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8" Type="http://schemas.openxmlformats.org/officeDocument/2006/relationships/hyperlink" Target="https://www.nseindia.com/get-quotes/equity?symbol=CIPLA" TargetMode="External"/><Relationship Id="rId13" Type="http://schemas.openxmlformats.org/officeDocument/2006/relationships/hyperlink" Target="https://www.nseindia.com/get-quotes/equity?symbol=CIPLA" TargetMode="External"/><Relationship Id="rId18" Type="http://schemas.openxmlformats.org/officeDocument/2006/relationships/comments" Target="../comments2.xml"/><Relationship Id="rId3" Type="http://schemas.openxmlformats.org/officeDocument/2006/relationships/hyperlink" Target="https://www.nseindia.com/get-quotes/equity?symbol=CIPLA" TargetMode="External"/><Relationship Id="rId7" Type="http://schemas.openxmlformats.org/officeDocument/2006/relationships/hyperlink" Target="https://www.nseindia.com/get-quotes/equity?symbol=TORNTPHARM" TargetMode="External"/><Relationship Id="rId12" Type="http://schemas.openxmlformats.org/officeDocument/2006/relationships/hyperlink" Target="https://www.nseindia.com/get-quotes/equity?symbol=TORNTPHARM" TargetMode="External"/><Relationship Id="rId17" Type="http://schemas.openxmlformats.org/officeDocument/2006/relationships/vmlDrawing" Target="../drawings/vmlDrawing7.vml"/><Relationship Id="rId2" Type="http://schemas.openxmlformats.org/officeDocument/2006/relationships/hyperlink" Target="https://www.nseindia.com/get-quotes/equity?symbol=TORNTPHARM" TargetMode="External"/><Relationship Id="rId16" Type="http://schemas.openxmlformats.org/officeDocument/2006/relationships/drawing" Target="../drawings/drawing7.xml"/><Relationship Id="rId1" Type="http://schemas.openxmlformats.org/officeDocument/2006/relationships/hyperlink" Target="https://www.nseindia.com/get-quotes/equity?symbol=SUNPHARMA" TargetMode="External"/><Relationship Id="rId6" Type="http://schemas.openxmlformats.org/officeDocument/2006/relationships/hyperlink" Target="https://www.nseindia.com/get-quotes/equity?symbol=SUNPHARMA" TargetMode="External"/><Relationship Id="rId11" Type="http://schemas.openxmlformats.org/officeDocument/2006/relationships/hyperlink" Target="https://www.nseindia.com/get-quotes/equity?symbol=SUNPHARMA" TargetMode="External"/><Relationship Id="rId5" Type="http://schemas.openxmlformats.org/officeDocument/2006/relationships/hyperlink" Target="https://www.nseindia.com/get-quotes/equity?symbol=ZYDUSLIFE" TargetMode="External"/><Relationship Id="rId15" Type="http://schemas.openxmlformats.org/officeDocument/2006/relationships/hyperlink" Target="https://www.nseindia.com/get-quotes/equity?symbol=ZYDUSLIFE" TargetMode="External"/><Relationship Id="rId10" Type="http://schemas.openxmlformats.org/officeDocument/2006/relationships/hyperlink" Target="https://www.nseindia.com/get-quotes/equity?symbol=ZYDUSLIFE" TargetMode="External"/><Relationship Id="rId4" Type="http://schemas.openxmlformats.org/officeDocument/2006/relationships/hyperlink" Target="https://www.nseindia.com/get-quotes/equity?symbol=DRREDDY" TargetMode="External"/><Relationship Id="rId9" Type="http://schemas.openxmlformats.org/officeDocument/2006/relationships/hyperlink" Target="https://www.nseindia.com/get-quotes/equity?symbol=DRREDDY" TargetMode="External"/><Relationship Id="rId14" Type="http://schemas.openxmlformats.org/officeDocument/2006/relationships/hyperlink" Target="https://www.nseindia.com/get-quotes/equity?symbol=DRREDDY"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3" Type="http://schemas.openxmlformats.org/officeDocument/2006/relationships/hyperlink" Target="https://www.globaldata.com/store/report/impact-of-india-on-pharmaceutical-industry-theme-analysis/" TargetMode="External"/><Relationship Id="rId7" Type="http://schemas.openxmlformats.org/officeDocument/2006/relationships/comments" Target="../comments4.xml"/><Relationship Id="rId2" Type="http://schemas.openxmlformats.org/officeDocument/2006/relationships/hyperlink" Target="https://www.livemint.com/industry/india-to-grow-pharma-sector-to-200-billion-by-2030-11700243303889.html" TargetMode="External"/><Relationship Id="rId1" Type="http://schemas.openxmlformats.org/officeDocument/2006/relationships/hyperlink" Target="https://www.statista.com/outlook/hmo/pharmaceuticals/india" TargetMode="External"/><Relationship Id="rId6" Type="http://schemas.openxmlformats.org/officeDocument/2006/relationships/vmlDrawing" Target="../drawings/vmlDrawing9.vml"/><Relationship Id="rId5" Type="http://schemas.openxmlformats.org/officeDocument/2006/relationships/drawing" Target="../drawings/drawing9.xml"/><Relationship Id="rId4" Type="http://schemas.openxmlformats.org/officeDocument/2006/relationships/hyperlink" Target="https://ispe.org/pharmaceutical-engineering/march-april-2025/indian-pharmaceutical-industry-creating-global-impac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sheetPr>
  <dimension ref="B1:G24"/>
  <sheetViews>
    <sheetView showGridLines="0" tabSelected="1" workbookViewId="0">
      <selection activeCell="C11" sqref="C11"/>
    </sheetView>
  </sheetViews>
  <sheetFormatPr defaultRowHeight="14.4"/>
  <cols>
    <col min="2" max="2" width="44.88671875" customWidth="1"/>
    <col min="3" max="3" width="25.33203125" style="190" customWidth="1"/>
    <col min="8" max="8" width="39" customWidth="1"/>
    <col min="9" max="9" width="9.33203125" bestFit="1" customWidth="1"/>
  </cols>
  <sheetData>
    <row r="1" spans="2:3">
      <c r="C1"/>
    </row>
    <row r="2" spans="2:3">
      <c r="C2"/>
    </row>
    <row r="3" spans="2:3">
      <c r="B3" s="529" t="s">
        <v>645</v>
      </c>
      <c r="C3"/>
    </row>
    <row r="4" spans="2:3">
      <c r="B4" s="284"/>
      <c r="C4"/>
    </row>
    <row r="5" spans="2:3" ht="16.05" customHeight="1">
      <c r="B5" s="316" t="s">
        <v>646</v>
      </c>
      <c r="C5" s="317" t="s">
        <v>647</v>
      </c>
    </row>
    <row r="7" spans="2:3">
      <c r="B7" s="108" t="s">
        <v>665</v>
      </c>
      <c r="C7" s="108"/>
    </row>
    <row r="8" spans="2:3" ht="16.95" customHeight="1">
      <c r="B8" s="500" t="s">
        <v>666</v>
      </c>
      <c r="C8" s="501" t="s">
        <v>773</v>
      </c>
    </row>
    <row r="9" spans="2:3" ht="16.95" customHeight="1">
      <c r="B9" s="23" t="s">
        <v>667</v>
      </c>
      <c r="C9" s="502">
        <v>6.3700000000000007E-2</v>
      </c>
    </row>
    <row r="10" spans="2:3" ht="16.95" customHeight="1">
      <c r="B10" s="23" t="str">
        <f>C8&amp;"'s"&amp;" Moodys Soveriegn Rating"</f>
        <v>India's Moodys Soveriegn Rating</v>
      </c>
      <c r="C10" s="502" t="str">
        <f>VLOOKUP(C8,'Damodaran Data'!C5:E161,3,FALSE)</f>
        <v>Baa3</v>
      </c>
    </row>
    <row r="11" spans="2:3" ht="16.95" customHeight="1">
      <c r="B11" s="23" t="s">
        <v>668</v>
      </c>
      <c r="C11" s="502">
        <f>VLOOKUP(C8,'Damodaran Data'!C5:F161,4,FALSE)</f>
        <v>2.1600000000000001E-2</v>
      </c>
    </row>
    <row r="12" spans="2:3" ht="16.95" customHeight="1">
      <c r="B12" s="23" t="s">
        <v>669</v>
      </c>
      <c r="C12" s="503">
        <v>3.8399999999999997E-2</v>
      </c>
    </row>
    <row r="13" spans="2:3" ht="16.95" customHeight="1">
      <c r="B13" s="23" t="s">
        <v>670</v>
      </c>
      <c r="C13" s="504">
        <f>WACC!G77</f>
        <v>0.53918512463983037</v>
      </c>
    </row>
    <row r="14" spans="2:3" ht="16.95" customHeight="1">
      <c r="B14" s="23" t="s">
        <v>671</v>
      </c>
      <c r="C14" s="504">
        <v>0.05</v>
      </c>
    </row>
    <row r="15" spans="2:3" ht="16.95" customHeight="1">
      <c r="B15" s="23" t="s">
        <v>934</v>
      </c>
      <c r="C15" s="504">
        <f>'Assumptions Working'!I818</f>
        <v>0.5918782561736039</v>
      </c>
    </row>
    <row r="16" spans="2:3" ht="16.95" customHeight="1">
      <c r="B16" s="23" t="s">
        <v>672</v>
      </c>
      <c r="C16" s="505">
        <f>'Assumptions Working'!I819</f>
        <v>0.36800801346220002</v>
      </c>
    </row>
    <row r="17" spans="2:7" ht="16.95" customHeight="1">
      <c r="B17" s="23" t="s">
        <v>35</v>
      </c>
      <c r="C17" s="506">
        <v>0.25</v>
      </c>
    </row>
    <row r="18" spans="2:7" ht="16.95" customHeight="1">
      <c r="B18" s="23" t="s">
        <v>673</v>
      </c>
      <c r="C18" s="507" t="s">
        <v>137</v>
      </c>
    </row>
    <row r="19" spans="2:7" ht="16.95" customHeight="1">
      <c r="B19" s="23" t="s">
        <v>868</v>
      </c>
      <c r="C19" s="507" t="s">
        <v>894</v>
      </c>
      <c r="G19" s="320" t="s">
        <v>894</v>
      </c>
    </row>
    <row r="20" spans="2:7" ht="16.95" customHeight="1">
      <c r="B20" s="23" t="s">
        <v>674</v>
      </c>
      <c r="C20" s="507" t="s">
        <v>889</v>
      </c>
      <c r="G20" s="320" t="s">
        <v>895</v>
      </c>
    </row>
    <row r="21" spans="2:7" ht="16.95" customHeight="1">
      <c r="B21" s="23" t="s">
        <v>127</v>
      </c>
      <c r="C21" s="508">
        <f>'3StatementModel'!H30/('3StatementModel'!H34*-1)</f>
        <v>4.7295295761527685</v>
      </c>
    </row>
    <row r="22" spans="2:7" ht="16.95" customHeight="1">
      <c r="B22" s="23" t="s">
        <v>909</v>
      </c>
      <c r="C22" s="502">
        <f>IF(C19="Large",VLOOKUP('Input Sheet'!C21,'Damodaran Data'!H6:K21,4,TRUE),VLOOKUP(C21,'Damodaran Data'!M6:P21,4,TRUE))</f>
        <v>8.5000000000000006E-3</v>
      </c>
    </row>
    <row r="23" spans="2:7" ht="16.95" customHeight="1">
      <c r="B23" s="23" t="s">
        <v>675</v>
      </c>
      <c r="C23" s="503">
        <v>5.6000000000000001E-2</v>
      </c>
    </row>
    <row r="24" spans="2:7" ht="16.95" customHeight="1">
      <c r="B24" s="509" t="s">
        <v>676</v>
      </c>
      <c r="C24" s="510">
        <v>0</v>
      </c>
    </row>
  </sheetData>
  <sheetProtection sheet="1" objects="1" scenarios="1" selectLockedCells="1"/>
  <dataValidations count="2">
    <dataValidation type="list" allowBlank="1" showInputMessage="1" showErrorMessage="1" sqref="C19" xr:uid="{00000000-0002-0000-0000-000000000000}">
      <formula1>$G$19:$G$20</formula1>
    </dataValidation>
    <dataValidation type="list" allowBlank="1" showInputMessage="1" showErrorMessage="1" sqref="C18" xr:uid="{00000000-0002-0000-0000-000001000000}">
      <formula1>$H$19:$H$20</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'Damodaran Data'!$C$5:$C$161</xm:f>
          </x14:formula1>
          <xm:sqref>C8</xm:sqref>
        </x14:dataValidation>
        <x14:dataValidation type="list" allowBlank="1" showInputMessage="1" showErrorMessage="1" xr:uid="{00000000-0002-0000-0000-000003000000}">
          <x14:formula1>
            <xm:f>'Damodaran Data'!$O$7:$O$21</xm:f>
          </x14:formula1>
          <xm:sqref>C20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S227"/>
  <sheetViews>
    <sheetView showGridLines="0" zoomScale="98" zoomScaleNormal="98" workbookViewId="0">
      <pane xSplit="2" ySplit="9" topLeftCell="C10" activePane="bottomRight" state="frozen"/>
      <selection pane="topRight" activeCell="C1" sqref="C1"/>
      <selection pane="bottomLeft" activeCell="A10" sqref="A10"/>
      <selection pane="bottomRight" activeCell="I3" sqref="I3"/>
    </sheetView>
  </sheetViews>
  <sheetFormatPr defaultRowHeight="14.4" outlineLevelRow="1"/>
  <cols>
    <col min="1" max="1" width="1.88671875" customWidth="1"/>
    <col min="2" max="2" width="39.33203125" customWidth="1"/>
  </cols>
  <sheetData>
    <row r="2" spans="1:19" ht="25.8">
      <c r="B2" s="522" t="str">
        <f>'Input Sheet'!C5</f>
        <v>Mankind Pharma Ltd</v>
      </c>
    </row>
    <row r="3" spans="1:19" ht="18">
      <c r="B3" s="14" t="s">
        <v>19</v>
      </c>
      <c r="I3" s="544"/>
      <c r="J3" s="544"/>
      <c r="K3" s="544"/>
      <c r="L3" s="544"/>
      <c r="M3" s="544"/>
      <c r="R3" s="284" t="s">
        <v>24</v>
      </c>
    </row>
    <row r="4" spans="1:19" ht="18">
      <c r="B4" s="14"/>
      <c r="I4" s="545" t="s">
        <v>1257</v>
      </c>
      <c r="J4" s="545"/>
      <c r="K4" s="544">
        <v>1</v>
      </c>
      <c r="L4" s="544"/>
      <c r="M4" s="544"/>
      <c r="R4" s="284" t="s">
        <v>351</v>
      </c>
    </row>
    <row r="5" spans="1:19" ht="18">
      <c r="B5" s="14"/>
      <c r="I5" s="544"/>
      <c r="J5" s="544"/>
      <c r="K5" s="544"/>
      <c r="L5" s="544"/>
      <c r="M5" s="544"/>
      <c r="R5" s="284" t="s">
        <v>349</v>
      </c>
    </row>
    <row r="6" spans="1:19" ht="18">
      <c r="B6" s="14"/>
    </row>
    <row r="8" spans="1:19">
      <c r="E8" s="537" t="s">
        <v>21</v>
      </c>
      <c r="F8" s="537"/>
      <c r="G8" s="537"/>
      <c r="H8" s="537"/>
      <c r="I8" s="537"/>
      <c r="J8" s="536" t="s">
        <v>22</v>
      </c>
      <c r="K8" s="536"/>
      <c r="L8" s="536"/>
      <c r="M8" s="536"/>
      <c r="N8" s="536"/>
      <c r="O8" s="535" t="s">
        <v>995</v>
      </c>
      <c r="P8" s="535"/>
      <c r="Q8" s="535"/>
      <c r="R8" s="535"/>
      <c r="S8" s="535"/>
    </row>
    <row r="9" spans="1:19">
      <c r="B9" s="16" t="s">
        <v>20</v>
      </c>
      <c r="C9" s="15"/>
      <c r="D9" s="15"/>
      <c r="E9" s="17">
        <v>2021</v>
      </c>
      <c r="F9" s="17">
        <f>E9+1</f>
        <v>2022</v>
      </c>
      <c r="G9" s="17">
        <f t="shared" ref="G9:N9" si="0">F9+1</f>
        <v>2023</v>
      </c>
      <c r="H9" s="17">
        <f t="shared" si="0"/>
        <v>2024</v>
      </c>
      <c r="I9" s="17">
        <f t="shared" si="0"/>
        <v>2025</v>
      </c>
      <c r="J9" s="17">
        <f t="shared" si="0"/>
        <v>2026</v>
      </c>
      <c r="K9" s="17">
        <f t="shared" si="0"/>
        <v>2027</v>
      </c>
      <c r="L9" s="17">
        <f t="shared" si="0"/>
        <v>2028</v>
      </c>
      <c r="M9" s="17">
        <f t="shared" si="0"/>
        <v>2029</v>
      </c>
      <c r="N9" s="17">
        <f t="shared" si="0"/>
        <v>2030</v>
      </c>
      <c r="O9" s="17">
        <f t="shared" ref="O9" si="1">N9+1</f>
        <v>2031</v>
      </c>
      <c r="P9" s="17">
        <f t="shared" ref="P9" si="2">O9+1</f>
        <v>2032</v>
      </c>
      <c r="Q9" s="17">
        <f t="shared" ref="Q9" si="3">P9+1</f>
        <v>2033</v>
      </c>
      <c r="R9" s="17">
        <f t="shared" ref="R9" si="4">Q9+1</f>
        <v>2034</v>
      </c>
      <c r="S9" s="17">
        <f t="shared" ref="S9" si="5">R9+1</f>
        <v>2035</v>
      </c>
    </row>
    <row r="10" spans="1:19">
      <c r="B10" s="77"/>
      <c r="E10" s="79"/>
      <c r="F10" s="79"/>
      <c r="G10" s="79"/>
      <c r="H10" s="79"/>
      <c r="I10" s="79"/>
      <c r="J10" s="79"/>
      <c r="K10" s="79"/>
      <c r="L10" s="79"/>
      <c r="M10" s="79"/>
      <c r="N10" s="79"/>
      <c r="O10" s="79"/>
      <c r="P10" s="79"/>
      <c r="Q10" s="79"/>
      <c r="R10" s="79"/>
      <c r="S10" s="79"/>
    </row>
    <row r="11" spans="1:19" ht="15.6">
      <c r="B11" s="491" t="s">
        <v>648</v>
      </c>
      <c r="C11" s="492"/>
      <c r="D11" s="492"/>
      <c r="E11" s="492"/>
      <c r="F11" s="492"/>
      <c r="G11" s="492"/>
      <c r="H11" s="492"/>
      <c r="I11" s="492"/>
      <c r="J11" s="492"/>
      <c r="K11" s="492"/>
      <c r="L11" s="492"/>
      <c r="M11" s="492"/>
      <c r="N11" s="492"/>
      <c r="O11" s="492"/>
      <c r="P11" s="492"/>
      <c r="Q11" s="492"/>
      <c r="R11" s="492"/>
      <c r="S11" s="492"/>
    </row>
    <row r="13" spans="1:19" ht="15.6">
      <c r="A13" t="s">
        <v>23</v>
      </c>
      <c r="B13" s="491" t="s">
        <v>41</v>
      </c>
      <c r="C13" s="492"/>
      <c r="D13" s="492"/>
      <c r="E13" s="492"/>
      <c r="F13" s="492"/>
      <c r="G13" s="492"/>
      <c r="H13" s="492"/>
      <c r="I13" s="492"/>
      <c r="J13" s="492"/>
      <c r="K13" s="492"/>
      <c r="L13" s="492"/>
      <c r="M13" s="492"/>
      <c r="N13" s="492"/>
      <c r="O13" s="492"/>
      <c r="P13" s="492"/>
      <c r="Q13" s="492"/>
      <c r="R13" s="492"/>
      <c r="S13" s="492"/>
    </row>
    <row r="14" spans="1:19" outlineLevel="1"/>
    <row r="15" spans="1:19" outlineLevel="1">
      <c r="B15" s="20" t="s">
        <v>384</v>
      </c>
      <c r="E15" s="148"/>
      <c r="F15" s="148"/>
      <c r="G15" s="148"/>
      <c r="H15" s="148"/>
      <c r="I15" s="148"/>
      <c r="K15" s="76">
        <f>J16-(($J$16-$N$16)/($N$9-$J$9))</f>
        <v>0.16499999999999998</v>
      </c>
      <c r="L15" s="76"/>
      <c r="M15" s="76"/>
      <c r="N15" s="76"/>
      <c r="O15" s="76"/>
      <c r="P15" s="76"/>
      <c r="Q15" s="76"/>
      <c r="R15" s="76"/>
      <c r="S15" s="76"/>
    </row>
    <row r="16" spans="1:19" outlineLevel="1">
      <c r="B16" s="25" t="s">
        <v>24</v>
      </c>
      <c r="C16" s="23"/>
      <c r="D16" s="23"/>
      <c r="E16" s="150">
        <f>'Income Stmt'!E9</f>
        <v>5.9951904576882153E-2</v>
      </c>
      <c r="F16" s="150">
        <f>'Income Stmt'!F9</f>
        <v>0.25027030487098911</v>
      </c>
      <c r="G16" s="150">
        <f>'Income Stmt'!G9</f>
        <v>0.12438103792389787</v>
      </c>
      <c r="H16" s="150">
        <f>'Income Stmt'!H9</f>
        <v>0.18119363849063097</v>
      </c>
      <c r="I16" s="150">
        <f>'Income Stmt'!I9</f>
        <v>0.18115783579837341</v>
      </c>
      <c r="J16" s="28">
        <v>0.18</v>
      </c>
      <c r="K16" s="28">
        <f>J16-(($J$16-$N$16)/($N$9-$J$9))</f>
        <v>0.16499999999999998</v>
      </c>
      <c r="L16" s="28">
        <f t="shared" ref="L16:M16" si="6">K16-(($J$16-$N$16)/($N$9-$J$9))</f>
        <v>0.14999999999999997</v>
      </c>
      <c r="M16" s="28">
        <f t="shared" si="6"/>
        <v>0.13499999999999995</v>
      </c>
      <c r="N16" s="28">
        <v>0.12</v>
      </c>
      <c r="O16" s="28">
        <v>0.12</v>
      </c>
      <c r="P16" s="28">
        <v>0.12</v>
      </c>
      <c r="Q16" s="28">
        <v>0.12</v>
      </c>
      <c r="R16" s="28">
        <v>0.12</v>
      </c>
      <c r="S16" s="28">
        <v>0.12</v>
      </c>
    </row>
    <row r="17" spans="1:19" outlineLevel="1">
      <c r="B17" s="25" t="s">
        <v>351</v>
      </c>
      <c r="E17" s="102">
        <f>E16</f>
        <v>5.9951904576882153E-2</v>
      </c>
      <c r="F17" s="102">
        <f t="shared" ref="F17:I18" si="7">F16</f>
        <v>0.25027030487098911</v>
      </c>
      <c r="G17" s="102">
        <f t="shared" si="7"/>
        <v>0.12438103792389787</v>
      </c>
      <c r="H17" s="102">
        <f t="shared" si="7"/>
        <v>0.18119363849063097</v>
      </c>
      <c r="I17" s="102">
        <f t="shared" si="7"/>
        <v>0.18115783579837341</v>
      </c>
      <c r="J17" s="28">
        <v>0.2</v>
      </c>
      <c r="K17" s="28">
        <f>J17-(($J$17-$N$17)/($N$9-$J$9))</f>
        <v>0.18</v>
      </c>
      <c r="L17" s="28">
        <f t="shared" ref="L17:M17" si="8">K17-(($J$17-$N$17)/($N$9-$J$9))</f>
        <v>0.15999999999999998</v>
      </c>
      <c r="M17" s="28">
        <f t="shared" si="8"/>
        <v>0.13999999999999996</v>
      </c>
      <c r="N17" s="28">
        <v>0.12</v>
      </c>
      <c r="O17" s="28">
        <v>0.12</v>
      </c>
      <c r="P17" s="28">
        <v>0.12</v>
      </c>
      <c r="Q17" s="28">
        <v>0.12</v>
      </c>
      <c r="R17" s="28">
        <v>0.12</v>
      </c>
      <c r="S17" s="28">
        <v>0.12</v>
      </c>
    </row>
    <row r="18" spans="1:19" outlineLevel="1">
      <c r="B18" s="25" t="s">
        <v>26</v>
      </c>
      <c r="C18" s="23"/>
      <c r="D18" s="23"/>
      <c r="E18" s="149">
        <f>E17</f>
        <v>5.9951904576882153E-2</v>
      </c>
      <c r="F18" s="149">
        <f t="shared" si="7"/>
        <v>0.25027030487098911</v>
      </c>
      <c r="G18" s="149">
        <f t="shared" si="7"/>
        <v>0.12438103792389787</v>
      </c>
      <c r="H18" s="149">
        <f t="shared" si="7"/>
        <v>0.18119363849063097</v>
      </c>
      <c r="I18" s="149">
        <f t="shared" si="7"/>
        <v>0.18115783579837341</v>
      </c>
      <c r="J18" s="28">
        <v>0.14000000000000001</v>
      </c>
      <c r="K18" s="28">
        <f>J18-(($J$18-$N$18)/($N$9-$J$9))</f>
        <v>0.13</v>
      </c>
      <c r="L18" s="28">
        <f t="shared" ref="L18:M18" si="9">K18-(($J$18-$N$18)/($N$9-$J$9))</f>
        <v>0.12</v>
      </c>
      <c r="M18" s="28">
        <f t="shared" si="9"/>
        <v>0.10999999999999999</v>
      </c>
      <c r="N18" s="28">
        <v>0.1</v>
      </c>
      <c r="O18" s="28">
        <v>0.1</v>
      </c>
      <c r="P18" s="28">
        <v>0.1</v>
      </c>
      <c r="Q18" s="28">
        <v>0.1</v>
      </c>
      <c r="R18" s="28">
        <v>0.1</v>
      </c>
      <c r="S18" s="28">
        <v>0.1</v>
      </c>
    </row>
    <row r="19" spans="1:19" outlineLevel="1">
      <c r="B19" s="24" t="str">
        <f>"Current Case - "&amp;CHOOSE($K$4,B16,B17,B18)</f>
        <v>Current Case - Management Case</v>
      </c>
      <c r="C19" s="18"/>
      <c r="D19" s="18"/>
      <c r="E19" s="18"/>
      <c r="F19" s="18"/>
      <c r="G19" s="18"/>
      <c r="H19" s="18"/>
      <c r="I19" s="18"/>
      <c r="J19" s="44">
        <f>CHOOSE($K$4,J16,J17,J18)</f>
        <v>0.18</v>
      </c>
      <c r="K19" s="44">
        <f t="shared" ref="K19:N19" si="10">CHOOSE($K$4,K16,K17,K18)</f>
        <v>0.16499999999999998</v>
      </c>
      <c r="L19" s="44">
        <f t="shared" si="10"/>
        <v>0.14999999999999997</v>
      </c>
      <c r="M19" s="44">
        <f t="shared" si="10"/>
        <v>0.13499999999999995</v>
      </c>
      <c r="N19" s="44">
        <f t="shared" si="10"/>
        <v>0.12</v>
      </c>
      <c r="O19" s="44">
        <f t="shared" ref="O19:S19" si="11">CHOOSE($K$4,O16,O17,O18)</f>
        <v>0.12</v>
      </c>
      <c r="P19" s="44">
        <f t="shared" si="11"/>
        <v>0.12</v>
      </c>
      <c r="Q19" s="44">
        <f t="shared" si="11"/>
        <v>0.12</v>
      </c>
      <c r="R19" s="44">
        <f t="shared" si="11"/>
        <v>0.12</v>
      </c>
      <c r="S19" s="44">
        <f t="shared" si="11"/>
        <v>0.12</v>
      </c>
    </row>
    <row r="21" spans="1:19" ht="15.6">
      <c r="A21" t="s">
        <v>23</v>
      </c>
      <c r="B21" s="491" t="s">
        <v>649</v>
      </c>
      <c r="C21" s="492"/>
      <c r="D21" s="492"/>
      <c r="E21" s="492"/>
      <c r="F21" s="492"/>
      <c r="G21" s="492"/>
      <c r="H21" s="492"/>
      <c r="I21" s="492"/>
      <c r="J21" s="492"/>
      <c r="K21" s="492"/>
      <c r="L21" s="492"/>
      <c r="M21" s="492"/>
      <c r="N21" s="492"/>
      <c r="O21" s="492"/>
      <c r="P21" s="492"/>
      <c r="Q21" s="492"/>
      <c r="R21" s="492"/>
      <c r="S21" s="492"/>
    </row>
    <row r="22" spans="1:19" outlineLevel="1"/>
    <row r="23" spans="1:19" outlineLevel="1">
      <c r="B23" s="20" t="s">
        <v>385</v>
      </c>
      <c r="E23" s="148"/>
      <c r="F23" s="148"/>
      <c r="G23" s="148"/>
      <c r="H23" s="148"/>
      <c r="I23" s="148"/>
      <c r="K23" s="76"/>
      <c r="L23" s="76"/>
      <c r="M23" s="76"/>
      <c r="N23" s="76"/>
      <c r="O23" s="76"/>
      <c r="P23" s="76"/>
      <c r="Q23" s="76"/>
      <c r="R23" s="76"/>
      <c r="S23" s="76"/>
    </row>
    <row r="24" spans="1:19" outlineLevel="1">
      <c r="B24" s="25" t="s">
        <v>24</v>
      </c>
      <c r="C24" s="23"/>
      <c r="D24" s="23"/>
      <c r="E24" s="170">
        <f>'Income Stmt'!E21</f>
        <v>0.71390772426194249</v>
      </c>
      <c r="F24" s="170">
        <f>'Income Stmt'!F21</f>
        <v>0.68878606282695354</v>
      </c>
      <c r="G24" s="170">
        <f>'Income Stmt'!G21</f>
        <v>0.66699076385864098</v>
      </c>
      <c r="H24" s="170">
        <f>'Income Stmt'!H21</f>
        <v>0.6894275855808214</v>
      </c>
      <c r="I24" s="170">
        <f>'Income Stmt'!I21</f>
        <v>0.68419431473744574</v>
      </c>
      <c r="J24" s="28">
        <v>0.66</v>
      </c>
      <c r="K24" s="28">
        <f>J24-(($J$24-$N$24)/($N$9-$J$9))</f>
        <v>0.66600000000000004</v>
      </c>
      <c r="L24" s="28">
        <f t="shared" ref="L24:M24" si="12">K24-(($J$24-$N$24)/($N$9-$J$9))</f>
        <v>0.67200000000000004</v>
      </c>
      <c r="M24" s="28">
        <f t="shared" si="12"/>
        <v>0.67800000000000005</v>
      </c>
      <c r="N24" s="28">
        <v>0.68400000000000005</v>
      </c>
      <c r="O24" s="28">
        <v>0.68400000000000005</v>
      </c>
      <c r="P24" s="28">
        <v>0.68400000000000005</v>
      </c>
      <c r="Q24" s="28">
        <v>0.68400000000000005</v>
      </c>
      <c r="R24" s="28">
        <v>0.68400000000000005</v>
      </c>
      <c r="S24" s="28">
        <v>0.68400000000000005</v>
      </c>
    </row>
    <row r="25" spans="1:19" outlineLevel="1">
      <c r="B25" s="25" t="s">
        <v>351</v>
      </c>
      <c r="E25" s="104">
        <f>E24</f>
        <v>0.71390772426194249</v>
      </c>
      <c r="F25" s="104">
        <f t="shared" ref="F25:I25" si="13">F24</f>
        <v>0.68878606282695354</v>
      </c>
      <c r="G25" s="104">
        <f t="shared" si="13"/>
        <v>0.66699076385864098</v>
      </c>
      <c r="H25" s="104">
        <f t="shared" si="13"/>
        <v>0.6894275855808214</v>
      </c>
      <c r="I25" s="104">
        <f t="shared" si="13"/>
        <v>0.68419431473744574</v>
      </c>
      <c r="J25" s="28">
        <v>0.68</v>
      </c>
      <c r="K25" s="28">
        <f>J25-(($J$25-$N$25)/($N$9-$J$9))</f>
        <v>0.66500000000000004</v>
      </c>
      <c r="L25" s="28">
        <f t="shared" ref="L25:M25" si="14">K25-(($J$25-$N$25)/($N$9-$J$9))</f>
        <v>0.65</v>
      </c>
      <c r="M25" s="28">
        <f t="shared" si="14"/>
        <v>0.63500000000000001</v>
      </c>
      <c r="N25" s="28">
        <v>0.62</v>
      </c>
      <c r="O25" s="28">
        <v>0.62</v>
      </c>
      <c r="P25" s="28">
        <v>0.62</v>
      </c>
      <c r="Q25" s="28">
        <v>0.62</v>
      </c>
      <c r="R25" s="28">
        <v>0.62</v>
      </c>
      <c r="S25" s="28">
        <v>0.62</v>
      </c>
    </row>
    <row r="26" spans="1:19" outlineLevel="1">
      <c r="B26" s="25" t="s">
        <v>26</v>
      </c>
      <c r="C26" s="23"/>
      <c r="D26" s="23"/>
      <c r="E26" s="171">
        <f>E25</f>
        <v>0.71390772426194249</v>
      </c>
      <c r="F26" s="171">
        <f t="shared" ref="F26:I26" si="15">F25</f>
        <v>0.68878606282695354</v>
      </c>
      <c r="G26" s="171">
        <f t="shared" si="15"/>
        <v>0.66699076385864098</v>
      </c>
      <c r="H26" s="171">
        <f t="shared" si="15"/>
        <v>0.6894275855808214</v>
      </c>
      <c r="I26" s="171">
        <f t="shared" si="15"/>
        <v>0.68419431473744574</v>
      </c>
      <c r="J26" s="28">
        <v>0.65</v>
      </c>
      <c r="K26" s="28">
        <f>J26-(($J$26-$N$26)/($N$9-$J$9))</f>
        <v>0.60497500000000004</v>
      </c>
      <c r="L26" s="28">
        <f t="shared" ref="L26:M26" si="16">K26-(($J$26-$N$26)/($N$9-$J$9))</f>
        <v>0.55995000000000006</v>
      </c>
      <c r="M26" s="28">
        <f t="shared" si="16"/>
        <v>0.51492500000000008</v>
      </c>
      <c r="N26" s="28">
        <v>0.46989999999999998</v>
      </c>
      <c r="O26" s="28">
        <v>0.46989999999999998</v>
      </c>
      <c r="P26" s="28">
        <v>0.46989999999999998</v>
      </c>
      <c r="Q26" s="28">
        <v>0.46989999999999998</v>
      </c>
      <c r="R26" s="28">
        <v>0.46989999999999998</v>
      </c>
      <c r="S26" s="28">
        <v>0.46989999999999998</v>
      </c>
    </row>
    <row r="27" spans="1:19" outlineLevel="1">
      <c r="B27" s="24" t="str">
        <f>"Current Case - "&amp;CHOOSE($K$4,B24,B25,B26)</f>
        <v>Current Case - Management Case</v>
      </c>
      <c r="C27" s="18"/>
      <c r="D27" s="18"/>
      <c r="E27" s="18"/>
      <c r="F27" s="18"/>
      <c r="G27" s="18"/>
      <c r="H27" s="18"/>
      <c r="I27" s="18"/>
      <c r="J27" s="44">
        <f>CHOOSE($K$4,J24,J25,J26)</f>
        <v>0.66</v>
      </c>
      <c r="K27" s="44">
        <f t="shared" ref="K27:N27" si="17">CHOOSE($K$4,K24,K25,K26)</f>
        <v>0.66600000000000004</v>
      </c>
      <c r="L27" s="44">
        <f t="shared" si="17"/>
        <v>0.67200000000000004</v>
      </c>
      <c r="M27" s="44">
        <f t="shared" si="17"/>
        <v>0.67800000000000005</v>
      </c>
      <c r="N27" s="44">
        <f t="shared" si="17"/>
        <v>0.68400000000000005</v>
      </c>
      <c r="O27" s="44">
        <f t="shared" ref="O27:S27" si="18">CHOOSE($K$4,O24,O25,O26)</f>
        <v>0.68400000000000005</v>
      </c>
      <c r="P27" s="44">
        <f t="shared" si="18"/>
        <v>0.68400000000000005</v>
      </c>
      <c r="Q27" s="44">
        <f t="shared" si="18"/>
        <v>0.68400000000000005</v>
      </c>
      <c r="R27" s="44">
        <f t="shared" si="18"/>
        <v>0.68400000000000005</v>
      </c>
      <c r="S27" s="44">
        <f t="shared" si="18"/>
        <v>0.68400000000000005</v>
      </c>
    </row>
    <row r="28" spans="1:19" outlineLevel="1"/>
    <row r="29" spans="1:19" outlineLevel="1">
      <c r="B29" s="24" t="s">
        <v>657</v>
      </c>
      <c r="C29" s="18"/>
      <c r="D29" s="18"/>
      <c r="E29" s="107">
        <f>1-E26</f>
        <v>0.28609227573805751</v>
      </c>
      <c r="F29" s="107">
        <f t="shared" ref="F29:I29" si="19">1-F26</f>
        <v>0.31121393717304646</v>
      </c>
      <c r="G29" s="107">
        <f t="shared" si="19"/>
        <v>0.33300923614135902</v>
      </c>
      <c r="H29" s="107">
        <f t="shared" si="19"/>
        <v>0.3105724144191786</v>
      </c>
      <c r="I29" s="107">
        <f t="shared" si="19"/>
        <v>0.31580568526255426</v>
      </c>
      <c r="J29" s="44">
        <f>1-J27</f>
        <v>0.33999999999999997</v>
      </c>
      <c r="K29" s="44">
        <f t="shared" ref="K29:N29" si="20">1-K27</f>
        <v>0.33399999999999996</v>
      </c>
      <c r="L29" s="44">
        <f t="shared" si="20"/>
        <v>0.32799999999999996</v>
      </c>
      <c r="M29" s="44">
        <f t="shared" si="20"/>
        <v>0.32199999999999995</v>
      </c>
      <c r="N29" s="44">
        <f t="shared" si="20"/>
        <v>0.31599999999999995</v>
      </c>
      <c r="O29" s="44">
        <f t="shared" ref="O29:S29" si="21">1-O27</f>
        <v>0.31599999999999995</v>
      </c>
      <c r="P29" s="44">
        <f t="shared" si="21"/>
        <v>0.31599999999999995</v>
      </c>
      <c r="Q29" s="44">
        <f t="shared" si="21"/>
        <v>0.31599999999999995</v>
      </c>
      <c r="R29" s="44">
        <f t="shared" si="21"/>
        <v>0.31599999999999995</v>
      </c>
      <c r="S29" s="44">
        <f t="shared" si="21"/>
        <v>0.31599999999999995</v>
      </c>
    </row>
    <row r="30" spans="1:19" outlineLevel="1"/>
    <row r="32" spans="1:19" ht="15.6">
      <c r="A32" t="s">
        <v>23</v>
      </c>
      <c r="B32" s="491" t="s">
        <v>650</v>
      </c>
      <c r="C32" s="492"/>
      <c r="D32" s="492"/>
      <c r="E32" s="492"/>
      <c r="F32" s="492"/>
      <c r="G32" s="492"/>
      <c r="H32" s="492"/>
      <c r="I32" s="492"/>
      <c r="J32" s="492"/>
      <c r="K32" s="492"/>
      <c r="L32" s="492"/>
      <c r="M32" s="492"/>
      <c r="N32" s="492"/>
      <c r="O32" s="492"/>
      <c r="P32" s="492"/>
      <c r="Q32" s="492"/>
      <c r="R32" s="492"/>
      <c r="S32" s="492"/>
    </row>
    <row r="33" spans="2:19" outlineLevel="1"/>
    <row r="34" spans="2:19" outlineLevel="1">
      <c r="B34" s="20" t="s">
        <v>411</v>
      </c>
      <c r="E34" s="148"/>
      <c r="F34" s="148"/>
      <c r="G34" s="148"/>
      <c r="H34" s="148"/>
      <c r="I34" s="148"/>
      <c r="K34" s="76"/>
      <c r="L34" s="76"/>
      <c r="M34" s="76"/>
      <c r="N34" s="76"/>
      <c r="O34" s="76"/>
      <c r="P34" s="76"/>
      <c r="Q34" s="76"/>
      <c r="R34" s="76"/>
      <c r="S34" s="76"/>
    </row>
    <row r="35" spans="2:19" outlineLevel="1">
      <c r="B35" s="25" t="s">
        <v>24</v>
      </c>
      <c r="C35" s="23"/>
      <c r="D35" s="23"/>
      <c r="E35" s="170">
        <f>'Assumptions Working'!E355</f>
        <v>0.22747158685853827</v>
      </c>
      <c r="F35" s="170">
        <f>'Assumptions Working'!F355</f>
        <v>0.20825914347120669</v>
      </c>
      <c r="G35" s="170">
        <f>'Assumptions Working'!G355</f>
        <v>0.21926563698470516</v>
      </c>
      <c r="H35" s="170">
        <f>'Assumptions Working'!H355</f>
        <v>0.22010155886708935</v>
      </c>
      <c r="I35" s="170">
        <f>'Assumptions Working'!I355</f>
        <v>0.22052920455476366</v>
      </c>
      <c r="J35" s="28">
        <v>0.22</v>
      </c>
      <c r="K35" s="28">
        <v>0.22</v>
      </c>
      <c r="L35" s="28">
        <v>0.22</v>
      </c>
      <c r="M35" s="28">
        <v>0.22</v>
      </c>
      <c r="N35" s="28">
        <v>0.22</v>
      </c>
      <c r="O35" s="28">
        <v>0.22</v>
      </c>
      <c r="P35" s="28">
        <v>0.22</v>
      </c>
      <c r="Q35" s="28">
        <v>0.22</v>
      </c>
      <c r="R35" s="28">
        <v>0.22</v>
      </c>
      <c r="S35" s="28">
        <v>0.22</v>
      </c>
    </row>
    <row r="36" spans="2:19" outlineLevel="1">
      <c r="B36" s="25" t="s">
        <v>351</v>
      </c>
      <c r="E36" s="104">
        <f>E35</f>
        <v>0.22747158685853827</v>
      </c>
      <c r="F36" s="104">
        <f t="shared" ref="F36:I36" si="22">F35</f>
        <v>0.20825914347120669</v>
      </c>
      <c r="G36" s="104">
        <f t="shared" si="22"/>
        <v>0.21926563698470516</v>
      </c>
      <c r="H36" s="104">
        <f t="shared" si="22"/>
        <v>0.22010155886708935</v>
      </c>
      <c r="I36" s="104">
        <f t="shared" si="22"/>
        <v>0.22052920455476366</v>
      </c>
      <c r="J36" s="28">
        <v>0.22</v>
      </c>
      <c r="K36" s="28">
        <v>0.22</v>
      </c>
      <c r="L36" s="28">
        <v>0.22</v>
      </c>
      <c r="M36" s="28">
        <v>0.22</v>
      </c>
      <c r="N36" s="28">
        <v>0.22</v>
      </c>
      <c r="O36" s="28">
        <v>0.22</v>
      </c>
      <c r="P36" s="28">
        <v>0.22</v>
      </c>
      <c r="Q36" s="28">
        <v>0.22</v>
      </c>
      <c r="R36" s="28">
        <v>0.22</v>
      </c>
      <c r="S36" s="28">
        <v>0.22</v>
      </c>
    </row>
    <row r="37" spans="2:19" outlineLevel="1">
      <c r="B37" s="25" t="s">
        <v>26</v>
      </c>
      <c r="C37" s="23"/>
      <c r="D37" s="23"/>
      <c r="E37" s="171">
        <f>E36</f>
        <v>0.22747158685853827</v>
      </c>
      <c r="F37" s="171">
        <f t="shared" ref="F37:I37" si="23">F36</f>
        <v>0.20825914347120669</v>
      </c>
      <c r="G37" s="171">
        <f t="shared" si="23"/>
        <v>0.21926563698470516</v>
      </c>
      <c r="H37" s="171">
        <f t="shared" si="23"/>
        <v>0.22010155886708935</v>
      </c>
      <c r="I37" s="171">
        <f t="shared" si="23"/>
        <v>0.22052920455476366</v>
      </c>
      <c r="J37" s="28">
        <v>0.22</v>
      </c>
      <c r="K37" s="28">
        <v>0.22</v>
      </c>
      <c r="L37" s="28">
        <v>0.22</v>
      </c>
      <c r="M37" s="28">
        <v>0.22</v>
      </c>
      <c r="N37" s="28">
        <v>0.22</v>
      </c>
      <c r="O37" s="28">
        <v>0.22</v>
      </c>
      <c r="P37" s="28">
        <v>0.22</v>
      </c>
      <c r="Q37" s="28">
        <v>0.22</v>
      </c>
      <c r="R37" s="28">
        <v>0.22</v>
      </c>
      <c r="S37" s="28">
        <v>0.22</v>
      </c>
    </row>
    <row r="38" spans="2:19" outlineLevel="1">
      <c r="B38" s="24" t="str">
        <f>"Current Case - "&amp;CHOOSE($K$4,B35,B36,B37)</f>
        <v>Current Case - Management Case</v>
      </c>
      <c r="C38" s="18"/>
      <c r="D38" s="18"/>
      <c r="E38" s="18"/>
      <c r="F38" s="18"/>
      <c r="G38" s="18"/>
      <c r="H38" s="18"/>
      <c r="I38" s="18"/>
      <c r="J38" s="44">
        <f>CHOOSE($K$4,J35,J36,J37)</f>
        <v>0.22</v>
      </c>
      <c r="K38" s="44">
        <f t="shared" ref="K38:N38" si="24">CHOOSE($K$4,K35,K36,K37)</f>
        <v>0.22</v>
      </c>
      <c r="L38" s="44">
        <f t="shared" si="24"/>
        <v>0.22</v>
      </c>
      <c r="M38" s="44">
        <f t="shared" si="24"/>
        <v>0.22</v>
      </c>
      <c r="N38" s="44">
        <f t="shared" si="24"/>
        <v>0.22</v>
      </c>
      <c r="O38" s="44">
        <f t="shared" ref="O38:S38" si="25">CHOOSE($K$4,O35,O36,O37)</f>
        <v>0.22</v>
      </c>
      <c r="P38" s="44">
        <f t="shared" si="25"/>
        <v>0.22</v>
      </c>
      <c r="Q38" s="44">
        <f t="shared" si="25"/>
        <v>0.22</v>
      </c>
      <c r="R38" s="44">
        <f t="shared" si="25"/>
        <v>0.22</v>
      </c>
      <c r="S38" s="44">
        <f t="shared" si="25"/>
        <v>0.22</v>
      </c>
    </row>
    <row r="39" spans="2:19" outlineLevel="1"/>
    <row r="40" spans="2:19" outlineLevel="1">
      <c r="B40" s="20" t="s">
        <v>412</v>
      </c>
      <c r="E40" s="148"/>
      <c r="F40" s="148"/>
      <c r="G40" s="148"/>
      <c r="H40" s="148"/>
      <c r="I40" s="148"/>
      <c r="K40" s="76"/>
      <c r="L40" s="76"/>
      <c r="M40" s="76"/>
      <c r="N40" s="76"/>
      <c r="O40" s="76"/>
      <c r="P40" s="76"/>
      <c r="Q40" s="76"/>
      <c r="R40" s="76"/>
      <c r="S40" s="76"/>
    </row>
    <row r="41" spans="2:19" outlineLevel="1">
      <c r="B41" s="25" t="s">
        <v>24</v>
      </c>
      <c r="C41" s="23"/>
      <c r="D41" s="23"/>
      <c r="E41" s="170">
        <f>'Assumptions Working'!E358</f>
        <v>6.1977234781892807E-2</v>
      </c>
      <c r="F41" s="170">
        <f>'Assumptions Working'!F358</f>
        <v>5.8029531911943918E-2</v>
      </c>
      <c r="G41" s="170">
        <f>'Assumptions Working'!G358</f>
        <v>4.2707407440002107E-2</v>
      </c>
      <c r="H41" s="170">
        <f>'Assumptions Working'!H358</f>
        <v>5.8433030556854143E-2</v>
      </c>
      <c r="I41" s="170">
        <f>'Assumptions Working'!I358</f>
        <v>6.1849758335381338E-2</v>
      </c>
      <c r="J41" s="28">
        <v>5.8000000000000003E-2</v>
      </c>
      <c r="K41" s="28">
        <v>5.8000000000000003E-2</v>
      </c>
      <c r="L41" s="28">
        <v>5.8000000000000003E-2</v>
      </c>
      <c r="M41" s="28">
        <v>5.8000000000000003E-2</v>
      </c>
      <c r="N41" s="28">
        <v>5.8000000000000003E-2</v>
      </c>
      <c r="O41" s="28">
        <v>5.8000000000000003E-2</v>
      </c>
      <c r="P41" s="28">
        <v>5.8000000000000003E-2</v>
      </c>
      <c r="Q41" s="28">
        <v>5.8000000000000003E-2</v>
      </c>
      <c r="R41" s="28">
        <v>5.8000000000000003E-2</v>
      </c>
      <c r="S41" s="28">
        <v>5.8000000000000003E-2</v>
      </c>
    </row>
    <row r="42" spans="2:19" outlineLevel="1">
      <c r="B42" s="25" t="s">
        <v>351</v>
      </c>
      <c r="E42" s="104">
        <f>E41</f>
        <v>6.1977234781892807E-2</v>
      </c>
      <c r="F42" s="104">
        <f t="shared" ref="F42:I42" si="26">F41</f>
        <v>5.8029531911943918E-2</v>
      </c>
      <c r="G42" s="104">
        <f t="shared" si="26"/>
        <v>4.2707407440002107E-2</v>
      </c>
      <c r="H42" s="104">
        <f t="shared" si="26"/>
        <v>5.8433030556854143E-2</v>
      </c>
      <c r="I42" s="104">
        <f t="shared" si="26"/>
        <v>6.1849758335381338E-2</v>
      </c>
      <c r="J42" s="28">
        <v>5.8000000000000003E-2</v>
      </c>
      <c r="K42" s="28">
        <v>5.8000000000000003E-2</v>
      </c>
      <c r="L42" s="28">
        <v>5.8000000000000003E-2</v>
      </c>
      <c r="M42" s="28">
        <v>5.8000000000000003E-2</v>
      </c>
      <c r="N42" s="28">
        <v>5.8000000000000003E-2</v>
      </c>
      <c r="O42" s="28">
        <v>5.8000000000000003E-2</v>
      </c>
      <c r="P42" s="28">
        <v>5.8000000000000003E-2</v>
      </c>
      <c r="Q42" s="28">
        <v>5.8000000000000003E-2</v>
      </c>
      <c r="R42" s="28">
        <v>5.8000000000000003E-2</v>
      </c>
      <c r="S42" s="28">
        <v>5.8000000000000003E-2</v>
      </c>
    </row>
    <row r="43" spans="2:19" outlineLevel="1">
      <c r="B43" s="25" t="s">
        <v>26</v>
      </c>
      <c r="C43" s="23"/>
      <c r="D43" s="23"/>
      <c r="E43" s="171">
        <f>E42</f>
        <v>6.1977234781892807E-2</v>
      </c>
      <c r="F43" s="171">
        <f t="shared" ref="F43:I43" si="27">F42</f>
        <v>5.8029531911943918E-2</v>
      </c>
      <c r="G43" s="171">
        <f t="shared" si="27"/>
        <v>4.2707407440002107E-2</v>
      </c>
      <c r="H43" s="171">
        <f t="shared" si="27"/>
        <v>5.8433030556854143E-2</v>
      </c>
      <c r="I43" s="171">
        <f t="shared" si="27"/>
        <v>6.1849758335381338E-2</v>
      </c>
      <c r="J43" s="28">
        <v>5.8000000000000003E-2</v>
      </c>
      <c r="K43" s="28">
        <v>5.8000000000000003E-2</v>
      </c>
      <c r="L43" s="28">
        <v>5.8000000000000003E-2</v>
      </c>
      <c r="M43" s="28">
        <v>5.8000000000000003E-2</v>
      </c>
      <c r="N43" s="28">
        <v>5.8000000000000003E-2</v>
      </c>
      <c r="O43" s="28">
        <v>5.8000000000000003E-2</v>
      </c>
      <c r="P43" s="28">
        <v>5.8000000000000003E-2</v>
      </c>
      <c r="Q43" s="28">
        <v>5.8000000000000003E-2</v>
      </c>
      <c r="R43" s="28">
        <v>5.8000000000000003E-2</v>
      </c>
      <c r="S43" s="28">
        <v>5.8000000000000003E-2</v>
      </c>
    </row>
    <row r="44" spans="2:19" outlineLevel="1">
      <c r="B44" s="24" t="str">
        <f>"Current Case - "&amp;CHOOSE($K$4,B41,B42,B43)</f>
        <v>Current Case - Management Case</v>
      </c>
      <c r="C44" s="18"/>
      <c r="D44" s="18"/>
      <c r="E44" s="18"/>
      <c r="F44" s="18"/>
      <c r="G44" s="18"/>
      <c r="H44" s="18"/>
      <c r="I44" s="18"/>
      <c r="J44" s="44">
        <f>CHOOSE($K$4,J41,J42,J43)</f>
        <v>5.8000000000000003E-2</v>
      </c>
      <c r="K44" s="44">
        <f t="shared" ref="K44:N44" si="28">CHOOSE($K$4,K41,K42,K43)</f>
        <v>5.8000000000000003E-2</v>
      </c>
      <c r="L44" s="44">
        <f t="shared" si="28"/>
        <v>5.8000000000000003E-2</v>
      </c>
      <c r="M44" s="44">
        <f t="shared" si="28"/>
        <v>5.8000000000000003E-2</v>
      </c>
      <c r="N44" s="44">
        <f t="shared" si="28"/>
        <v>5.8000000000000003E-2</v>
      </c>
      <c r="O44" s="44">
        <f t="shared" ref="O44:S44" si="29">CHOOSE($K$4,O41,O42,O43)</f>
        <v>5.8000000000000003E-2</v>
      </c>
      <c r="P44" s="44">
        <f t="shared" si="29"/>
        <v>5.8000000000000003E-2</v>
      </c>
      <c r="Q44" s="44">
        <f t="shared" si="29"/>
        <v>5.8000000000000003E-2</v>
      </c>
      <c r="R44" s="44">
        <f t="shared" si="29"/>
        <v>5.8000000000000003E-2</v>
      </c>
      <c r="S44" s="44">
        <f t="shared" si="29"/>
        <v>5.8000000000000003E-2</v>
      </c>
    </row>
    <row r="45" spans="2:19" outlineLevel="1"/>
    <row r="46" spans="2:19" outlineLevel="1">
      <c r="B46" s="20" t="s">
        <v>413</v>
      </c>
      <c r="E46" s="148"/>
      <c r="F46" s="148"/>
      <c r="G46" s="148"/>
      <c r="H46" s="148"/>
      <c r="I46" s="148"/>
      <c r="K46" s="76"/>
      <c r="L46" s="76"/>
      <c r="M46" s="76"/>
      <c r="N46" s="76"/>
      <c r="O46" s="76"/>
      <c r="P46" s="76"/>
      <c r="Q46" s="76"/>
      <c r="R46" s="76"/>
      <c r="S46" s="76"/>
    </row>
    <row r="47" spans="2:19" outlineLevel="1">
      <c r="B47" s="25" t="s">
        <v>24</v>
      </c>
      <c r="C47" s="23"/>
      <c r="D47" s="23"/>
      <c r="E47" s="170">
        <f>'Assumptions Working'!E361</f>
        <v>4.3445440672535418E-2</v>
      </c>
      <c r="F47" s="170">
        <f>'Assumptions Working'!F361</f>
        <v>4.6020364232851094E-2</v>
      </c>
      <c r="G47" s="170">
        <f>'Assumptions Working'!G361</f>
        <v>5.6694748105391518E-2</v>
      </c>
      <c r="H47" s="170">
        <f>'Assumptions Working'!H361</f>
        <v>3.6614267330029628E-2</v>
      </c>
      <c r="I47" s="170">
        <f>'Assumptions Working'!I361</f>
        <v>3.7765216678954695E-2</v>
      </c>
      <c r="J47" s="28">
        <v>4.5999999999999999E-2</v>
      </c>
      <c r="K47" s="28">
        <v>4.5999999999999999E-2</v>
      </c>
      <c r="L47" s="28">
        <v>4.5999999999999999E-2</v>
      </c>
      <c r="M47" s="28">
        <v>4.5999999999999999E-2</v>
      </c>
      <c r="N47" s="28">
        <v>4.5999999999999999E-2</v>
      </c>
      <c r="O47" s="28">
        <v>4.5999999999999999E-2</v>
      </c>
      <c r="P47" s="28">
        <v>4.5999999999999999E-2</v>
      </c>
      <c r="Q47" s="28">
        <v>4.5999999999999999E-2</v>
      </c>
      <c r="R47" s="28">
        <v>4.5999999999999999E-2</v>
      </c>
      <c r="S47" s="28">
        <v>4.5999999999999999E-2</v>
      </c>
    </row>
    <row r="48" spans="2:19" outlineLevel="1">
      <c r="B48" s="25" t="s">
        <v>351</v>
      </c>
      <c r="E48" s="104">
        <f>E47</f>
        <v>4.3445440672535418E-2</v>
      </c>
      <c r="F48" s="104">
        <f t="shared" ref="F48:I48" si="30">F47</f>
        <v>4.6020364232851094E-2</v>
      </c>
      <c r="G48" s="104">
        <f t="shared" si="30"/>
        <v>5.6694748105391518E-2</v>
      </c>
      <c r="H48" s="104">
        <f t="shared" si="30"/>
        <v>3.6614267330029628E-2</v>
      </c>
      <c r="I48" s="104">
        <f t="shared" si="30"/>
        <v>3.7765216678954695E-2</v>
      </c>
      <c r="J48" s="28">
        <v>4.5999999999999999E-2</v>
      </c>
      <c r="K48" s="28">
        <v>4.5999999999999999E-2</v>
      </c>
      <c r="L48" s="28">
        <v>4.5999999999999999E-2</v>
      </c>
      <c r="M48" s="28">
        <v>4.5999999999999999E-2</v>
      </c>
      <c r="N48" s="28">
        <v>4.5999999999999999E-2</v>
      </c>
      <c r="O48" s="28">
        <v>4.5999999999999999E-2</v>
      </c>
      <c r="P48" s="28">
        <v>4.5999999999999999E-2</v>
      </c>
      <c r="Q48" s="28">
        <v>4.5999999999999999E-2</v>
      </c>
      <c r="R48" s="28">
        <v>4.5999999999999999E-2</v>
      </c>
      <c r="S48" s="28">
        <v>4.5999999999999999E-2</v>
      </c>
    </row>
    <row r="49" spans="2:19" outlineLevel="1">
      <c r="B49" s="25" t="s">
        <v>26</v>
      </c>
      <c r="C49" s="23"/>
      <c r="D49" s="23"/>
      <c r="E49" s="171">
        <f>E48</f>
        <v>4.3445440672535418E-2</v>
      </c>
      <c r="F49" s="171">
        <f t="shared" ref="F49:I49" si="31">F48</f>
        <v>4.6020364232851094E-2</v>
      </c>
      <c r="G49" s="171">
        <f t="shared" si="31"/>
        <v>5.6694748105391518E-2</v>
      </c>
      <c r="H49" s="171">
        <f t="shared" si="31"/>
        <v>3.6614267330029628E-2</v>
      </c>
      <c r="I49" s="171">
        <f t="shared" si="31"/>
        <v>3.7765216678954695E-2</v>
      </c>
      <c r="J49" s="28">
        <v>4.5999999999999999E-2</v>
      </c>
      <c r="K49" s="28">
        <v>4.5999999999999999E-2</v>
      </c>
      <c r="L49" s="28">
        <v>4.5999999999999999E-2</v>
      </c>
      <c r="M49" s="28">
        <v>4.5999999999999999E-2</v>
      </c>
      <c r="N49" s="28">
        <v>4.5999999999999999E-2</v>
      </c>
      <c r="O49" s="28">
        <v>4.5999999999999999E-2</v>
      </c>
      <c r="P49" s="28">
        <v>4.5999999999999999E-2</v>
      </c>
      <c r="Q49" s="28">
        <v>4.5999999999999999E-2</v>
      </c>
      <c r="R49" s="28">
        <v>4.5999999999999999E-2</v>
      </c>
      <c r="S49" s="28">
        <v>4.5999999999999999E-2</v>
      </c>
    </row>
    <row r="50" spans="2:19" outlineLevel="1">
      <c r="B50" s="24" t="str">
        <f>"Current Case - "&amp;CHOOSE($K$4,B47,B48,B49)</f>
        <v>Current Case - Management Case</v>
      </c>
      <c r="C50" s="18"/>
      <c r="D50" s="18"/>
      <c r="E50" s="18"/>
      <c r="F50" s="18"/>
      <c r="G50" s="18"/>
      <c r="H50" s="18"/>
      <c r="I50" s="18"/>
      <c r="J50" s="44">
        <f>CHOOSE($K$4,J47,J48,J49)</f>
        <v>4.5999999999999999E-2</v>
      </c>
      <c r="K50" s="44">
        <f t="shared" ref="K50:N50" si="32">CHOOSE($K$4,K47,K48,K49)</f>
        <v>4.5999999999999999E-2</v>
      </c>
      <c r="L50" s="44">
        <f t="shared" si="32"/>
        <v>4.5999999999999999E-2</v>
      </c>
      <c r="M50" s="44">
        <f t="shared" si="32"/>
        <v>4.5999999999999999E-2</v>
      </c>
      <c r="N50" s="44">
        <f t="shared" si="32"/>
        <v>4.5999999999999999E-2</v>
      </c>
      <c r="O50" s="44">
        <f t="shared" ref="O50:S50" si="33">CHOOSE($K$4,O47,O48,O49)</f>
        <v>4.5999999999999999E-2</v>
      </c>
      <c r="P50" s="44">
        <f t="shared" si="33"/>
        <v>4.5999999999999999E-2</v>
      </c>
      <c r="Q50" s="44">
        <f t="shared" si="33"/>
        <v>4.5999999999999999E-2</v>
      </c>
      <c r="R50" s="44">
        <f t="shared" si="33"/>
        <v>4.5999999999999999E-2</v>
      </c>
      <c r="S50" s="44">
        <f t="shared" si="33"/>
        <v>4.5999999999999999E-2</v>
      </c>
    </row>
    <row r="51" spans="2:19" outlineLevel="1">
      <c r="D51" s="20"/>
    </row>
    <row r="52" spans="2:19" outlineLevel="1">
      <c r="B52" s="20" t="s">
        <v>414</v>
      </c>
      <c r="E52" s="148"/>
      <c r="F52" s="148"/>
      <c r="G52" s="148"/>
      <c r="H52" s="148"/>
      <c r="I52" s="148"/>
      <c r="K52" s="76"/>
      <c r="L52" s="76"/>
      <c r="M52" s="76"/>
      <c r="N52" s="76"/>
      <c r="O52" s="76"/>
      <c r="P52" s="76"/>
      <c r="Q52" s="76"/>
      <c r="R52" s="76"/>
      <c r="S52" s="76"/>
    </row>
    <row r="53" spans="2:19" outlineLevel="1">
      <c r="B53" s="25" t="s">
        <v>24</v>
      </c>
      <c r="C53" s="23"/>
      <c r="D53" s="23"/>
      <c r="E53" s="170">
        <f>'Assumptions Working'!E364</f>
        <v>5.9441846269272208E-2</v>
      </c>
      <c r="F53" s="170">
        <f>'Assumptions Working'!F364</f>
        <v>6.5664252637625098E-2</v>
      </c>
      <c r="G53" s="170">
        <f>'Assumptions Working'!G364</f>
        <v>7.0768528657799881E-2</v>
      </c>
      <c r="H53" s="170">
        <f>'Assumptions Working'!H364</f>
        <v>7.77868343640509E-2</v>
      </c>
      <c r="I53" s="170">
        <f>'Assumptions Working'!I364</f>
        <v>8.7900385024985664E-2</v>
      </c>
      <c r="J53" s="28">
        <v>6.6000000000000003E-2</v>
      </c>
      <c r="K53" s="28">
        <v>6.6000000000000003E-2</v>
      </c>
      <c r="L53" s="28">
        <v>6.6000000000000003E-2</v>
      </c>
      <c r="M53" s="28">
        <v>6.6000000000000003E-2</v>
      </c>
      <c r="N53" s="28">
        <v>6.6000000000000003E-2</v>
      </c>
      <c r="O53" s="28">
        <v>6.6000000000000003E-2</v>
      </c>
      <c r="P53" s="28">
        <v>6.6000000000000003E-2</v>
      </c>
      <c r="Q53" s="28">
        <v>6.6000000000000003E-2</v>
      </c>
      <c r="R53" s="28">
        <v>6.6000000000000003E-2</v>
      </c>
      <c r="S53" s="28">
        <v>6.6000000000000003E-2</v>
      </c>
    </row>
    <row r="54" spans="2:19" outlineLevel="1">
      <c r="B54" s="25" t="s">
        <v>351</v>
      </c>
      <c r="E54" s="104">
        <f>E53</f>
        <v>5.9441846269272208E-2</v>
      </c>
      <c r="F54" s="104">
        <f t="shared" ref="F54:I54" si="34">F53</f>
        <v>6.5664252637625098E-2</v>
      </c>
      <c r="G54" s="104">
        <f t="shared" si="34"/>
        <v>7.0768528657799881E-2</v>
      </c>
      <c r="H54" s="104">
        <f t="shared" si="34"/>
        <v>7.77868343640509E-2</v>
      </c>
      <c r="I54" s="104">
        <f t="shared" si="34"/>
        <v>8.7900385024985664E-2</v>
      </c>
      <c r="J54" s="28">
        <v>6.6000000000000003E-2</v>
      </c>
      <c r="K54" s="28">
        <v>6.6000000000000003E-2</v>
      </c>
      <c r="L54" s="28">
        <v>6.6000000000000003E-2</v>
      </c>
      <c r="M54" s="28">
        <v>6.6000000000000003E-2</v>
      </c>
      <c r="N54" s="28">
        <v>6.6000000000000003E-2</v>
      </c>
      <c r="O54" s="28">
        <v>6.6000000000000003E-2</v>
      </c>
      <c r="P54" s="28">
        <v>6.6000000000000003E-2</v>
      </c>
      <c r="Q54" s="28">
        <v>6.6000000000000003E-2</v>
      </c>
      <c r="R54" s="28">
        <v>6.6000000000000003E-2</v>
      </c>
      <c r="S54" s="28">
        <v>6.6000000000000003E-2</v>
      </c>
    </row>
    <row r="55" spans="2:19" outlineLevel="1">
      <c r="B55" s="25" t="s">
        <v>26</v>
      </c>
      <c r="C55" s="23"/>
      <c r="D55" s="23"/>
      <c r="E55" s="171">
        <f>E54</f>
        <v>5.9441846269272208E-2</v>
      </c>
      <c r="F55" s="171">
        <f t="shared" ref="F55:I55" si="35">F54</f>
        <v>6.5664252637625098E-2</v>
      </c>
      <c r="G55" s="171">
        <f t="shared" si="35"/>
        <v>7.0768528657799881E-2</v>
      </c>
      <c r="H55" s="171">
        <f t="shared" si="35"/>
        <v>7.77868343640509E-2</v>
      </c>
      <c r="I55" s="171">
        <f t="shared" si="35"/>
        <v>8.7900385024985664E-2</v>
      </c>
      <c r="J55" s="28">
        <v>6.6000000000000003E-2</v>
      </c>
      <c r="K55" s="28">
        <v>6.6000000000000003E-2</v>
      </c>
      <c r="L55" s="28">
        <v>6.6000000000000003E-2</v>
      </c>
      <c r="M55" s="28">
        <v>6.6000000000000003E-2</v>
      </c>
      <c r="N55" s="28">
        <v>6.6000000000000003E-2</v>
      </c>
      <c r="O55" s="28">
        <v>6.6000000000000003E-2</v>
      </c>
      <c r="P55" s="28">
        <v>6.6000000000000003E-2</v>
      </c>
      <c r="Q55" s="28">
        <v>6.6000000000000003E-2</v>
      </c>
      <c r="R55" s="28">
        <v>6.6000000000000003E-2</v>
      </c>
      <c r="S55" s="28">
        <v>6.6000000000000003E-2</v>
      </c>
    </row>
    <row r="56" spans="2:19" outlineLevel="1">
      <c r="B56" s="24" t="str">
        <f>"Current Case - "&amp;CHOOSE($K$4,B53,B54,B55)</f>
        <v>Current Case - Management Case</v>
      </c>
      <c r="C56" s="18"/>
      <c r="D56" s="18"/>
      <c r="E56" s="18"/>
      <c r="F56" s="18"/>
      <c r="G56" s="18"/>
      <c r="H56" s="18"/>
      <c r="I56" s="18"/>
      <c r="J56" s="44">
        <f>CHOOSE($K$4,J53,J54,J55)</f>
        <v>6.6000000000000003E-2</v>
      </c>
      <c r="K56" s="44">
        <f t="shared" ref="K56:N56" si="36">CHOOSE($K$4,K53,K54,K55)</f>
        <v>6.6000000000000003E-2</v>
      </c>
      <c r="L56" s="44">
        <f t="shared" si="36"/>
        <v>6.6000000000000003E-2</v>
      </c>
      <c r="M56" s="44">
        <f t="shared" si="36"/>
        <v>6.6000000000000003E-2</v>
      </c>
      <c r="N56" s="44">
        <f t="shared" si="36"/>
        <v>6.6000000000000003E-2</v>
      </c>
      <c r="O56" s="44">
        <f t="shared" ref="O56:S56" si="37">CHOOSE($K$4,O53,O54,O55)</f>
        <v>6.6000000000000003E-2</v>
      </c>
      <c r="P56" s="44">
        <f t="shared" si="37"/>
        <v>6.6000000000000003E-2</v>
      </c>
      <c r="Q56" s="44">
        <f t="shared" si="37"/>
        <v>6.6000000000000003E-2</v>
      </c>
      <c r="R56" s="44">
        <f t="shared" si="37"/>
        <v>6.6000000000000003E-2</v>
      </c>
      <c r="S56" s="44">
        <f t="shared" si="37"/>
        <v>6.6000000000000003E-2</v>
      </c>
    </row>
    <row r="57" spans="2:19" outlineLevel="1"/>
    <row r="58" spans="2:19" outlineLevel="1">
      <c r="B58" s="20" t="s">
        <v>415</v>
      </c>
      <c r="E58" s="148"/>
      <c r="F58" s="148"/>
      <c r="G58" s="148"/>
      <c r="H58" s="148"/>
      <c r="I58" s="148"/>
      <c r="K58" s="76"/>
      <c r="L58" s="76"/>
      <c r="M58" s="76"/>
      <c r="N58" s="76"/>
      <c r="O58" s="76"/>
      <c r="P58" s="76"/>
      <c r="Q58" s="76"/>
      <c r="R58" s="76"/>
      <c r="S58" s="76"/>
    </row>
    <row r="59" spans="2:19" outlineLevel="1">
      <c r="B59" s="25" t="s">
        <v>24</v>
      </c>
      <c r="C59" s="23"/>
      <c r="D59" s="23"/>
      <c r="E59" s="170">
        <f>'Assumptions Working'!E367</f>
        <v>5.5244508979918706E-2</v>
      </c>
      <c r="F59" s="170">
        <f>'Assumptions Working'!F367</f>
        <v>5.5161274897353091E-2</v>
      </c>
      <c r="G59" s="170">
        <f>'Assumptions Working'!G367</f>
        <v>6.0322297456303714E-2</v>
      </c>
      <c r="H59" s="170">
        <f>'Assumptions Working'!H367</f>
        <v>5.1193530626202507E-2</v>
      </c>
      <c r="I59" s="170">
        <f>'Assumptions Working'!I367</f>
        <v>5.8908822806586381E-2</v>
      </c>
      <c r="J59" s="28">
        <v>5.5E-2</v>
      </c>
      <c r="K59" s="28">
        <v>5.5E-2</v>
      </c>
      <c r="L59" s="28">
        <v>5.5E-2</v>
      </c>
      <c r="M59" s="28">
        <v>5.5E-2</v>
      </c>
      <c r="N59" s="28">
        <v>5.5E-2</v>
      </c>
      <c r="O59" s="28">
        <v>5.5E-2</v>
      </c>
      <c r="P59" s="28">
        <v>5.5E-2</v>
      </c>
      <c r="Q59" s="28">
        <v>5.5E-2</v>
      </c>
      <c r="R59" s="28">
        <v>5.5E-2</v>
      </c>
      <c r="S59" s="28">
        <v>5.5E-2</v>
      </c>
    </row>
    <row r="60" spans="2:19" outlineLevel="1">
      <c r="B60" s="25" t="s">
        <v>351</v>
      </c>
      <c r="E60" s="104">
        <f>E59</f>
        <v>5.5244508979918706E-2</v>
      </c>
      <c r="F60" s="104">
        <f t="shared" ref="F60:I60" si="38">F59</f>
        <v>5.5161274897353091E-2</v>
      </c>
      <c r="G60" s="104">
        <f t="shared" si="38"/>
        <v>6.0322297456303714E-2</v>
      </c>
      <c r="H60" s="104">
        <f t="shared" si="38"/>
        <v>5.1193530626202507E-2</v>
      </c>
      <c r="I60" s="104">
        <f t="shared" si="38"/>
        <v>5.8908822806586381E-2</v>
      </c>
      <c r="J60" s="28">
        <v>5.5E-2</v>
      </c>
      <c r="K60" s="28">
        <v>5.5E-2</v>
      </c>
      <c r="L60" s="28">
        <v>5.5E-2</v>
      </c>
      <c r="M60" s="28">
        <v>5.5E-2</v>
      </c>
      <c r="N60" s="28">
        <v>5.5E-2</v>
      </c>
      <c r="O60" s="28">
        <v>5.5E-2</v>
      </c>
      <c r="P60" s="28">
        <v>5.5E-2</v>
      </c>
      <c r="Q60" s="28">
        <v>5.5E-2</v>
      </c>
      <c r="R60" s="28">
        <v>5.5E-2</v>
      </c>
      <c r="S60" s="28">
        <v>5.5E-2</v>
      </c>
    </row>
    <row r="61" spans="2:19" outlineLevel="1">
      <c r="B61" s="25" t="s">
        <v>26</v>
      </c>
      <c r="C61" s="23"/>
      <c r="D61" s="23"/>
      <c r="E61" s="171">
        <f>E60</f>
        <v>5.5244508979918706E-2</v>
      </c>
      <c r="F61" s="171">
        <f t="shared" ref="F61:I61" si="39">F60</f>
        <v>5.5161274897353091E-2</v>
      </c>
      <c r="G61" s="171">
        <f t="shared" si="39"/>
        <v>6.0322297456303714E-2</v>
      </c>
      <c r="H61" s="171">
        <f t="shared" si="39"/>
        <v>5.1193530626202507E-2</v>
      </c>
      <c r="I61" s="171">
        <f t="shared" si="39"/>
        <v>5.8908822806586381E-2</v>
      </c>
      <c r="J61" s="28">
        <v>5.5E-2</v>
      </c>
      <c r="K61" s="28">
        <v>5.5E-2</v>
      </c>
      <c r="L61" s="28">
        <v>5.5E-2</v>
      </c>
      <c r="M61" s="28">
        <v>5.5E-2</v>
      </c>
      <c r="N61" s="28">
        <v>5.5E-2</v>
      </c>
      <c r="O61" s="28">
        <v>5.5E-2</v>
      </c>
      <c r="P61" s="28">
        <v>5.5E-2</v>
      </c>
      <c r="Q61" s="28">
        <v>5.5E-2</v>
      </c>
      <c r="R61" s="28">
        <v>5.5E-2</v>
      </c>
      <c r="S61" s="28">
        <v>5.5E-2</v>
      </c>
    </row>
    <row r="62" spans="2:19" outlineLevel="1">
      <c r="B62" s="24" t="str">
        <f>"Current Case - "&amp;CHOOSE($K$4,B59,B60,B61)</f>
        <v>Current Case - Management Case</v>
      </c>
      <c r="C62" s="18"/>
      <c r="D62" s="18"/>
      <c r="E62" s="18"/>
      <c r="F62" s="18"/>
      <c r="G62" s="18"/>
      <c r="H62" s="18"/>
      <c r="I62" s="18"/>
      <c r="J62" s="44">
        <f>CHOOSE($K$4,J59,J60,J61)</f>
        <v>5.5E-2</v>
      </c>
      <c r="K62" s="44">
        <f t="shared" ref="K62:N62" si="40">CHOOSE($K$4,K59,K60,K61)</f>
        <v>5.5E-2</v>
      </c>
      <c r="L62" s="44">
        <f t="shared" si="40"/>
        <v>5.5E-2</v>
      </c>
      <c r="M62" s="44">
        <f t="shared" si="40"/>
        <v>5.5E-2</v>
      </c>
      <c r="N62" s="44">
        <f t="shared" si="40"/>
        <v>5.5E-2</v>
      </c>
      <c r="O62" s="44">
        <f t="shared" ref="O62:S62" si="41">CHOOSE($K$4,O59,O60,O61)</f>
        <v>5.5E-2</v>
      </c>
      <c r="P62" s="44">
        <f t="shared" si="41"/>
        <v>5.5E-2</v>
      </c>
      <c r="Q62" s="44">
        <f t="shared" si="41"/>
        <v>5.5E-2</v>
      </c>
      <c r="R62" s="44">
        <f t="shared" si="41"/>
        <v>5.5E-2</v>
      </c>
      <c r="S62" s="44">
        <f t="shared" si="41"/>
        <v>5.5E-2</v>
      </c>
    </row>
    <row r="63" spans="2:19" outlineLevel="1"/>
    <row r="64" spans="2:19" outlineLevel="1">
      <c r="B64" s="173" t="s">
        <v>416</v>
      </c>
      <c r="E64" s="172">
        <f>E59+E53+E47+E41</f>
        <v>0.22010903070361915</v>
      </c>
      <c r="F64" s="172">
        <f t="shared" ref="F64:N64" si="42">F59+F53+F47+F41</f>
        <v>0.2248754236797732</v>
      </c>
      <c r="G64" s="172">
        <f t="shared" si="42"/>
        <v>0.23049298165949722</v>
      </c>
      <c r="H64" s="172">
        <f t="shared" si="42"/>
        <v>0.22402766287713716</v>
      </c>
      <c r="I64" s="172">
        <f t="shared" si="42"/>
        <v>0.24642418284590806</v>
      </c>
      <c r="J64" s="172">
        <f t="shared" si="42"/>
        <v>0.22499999999999998</v>
      </c>
      <c r="K64" s="172">
        <f t="shared" si="42"/>
        <v>0.22499999999999998</v>
      </c>
      <c r="L64" s="172">
        <f t="shared" si="42"/>
        <v>0.22499999999999998</v>
      </c>
      <c r="M64" s="172">
        <f t="shared" si="42"/>
        <v>0.22499999999999998</v>
      </c>
      <c r="N64" s="172">
        <f t="shared" si="42"/>
        <v>0.22499999999999998</v>
      </c>
      <c r="O64" s="172">
        <f t="shared" ref="O64:S64" si="43">O59+O53+O47+O41</f>
        <v>0.22499999999999998</v>
      </c>
      <c r="P64" s="172">
        <f t="shared" si="43"/>
        <v>0.22499999999999998</v>
      </c>
      <c r="Q64" s="172">
        <f t="shared" si="43"/>
        <v>0.22499999999999998</v>
      </c>
      <c r="R64" s="172">
        <f t="shared" si="43"/>
        <v>0.22499999999999998</v>
      </c>
      <c r="S64" s="172">
        <f t="shared" si="43"/>
        <v>0.22499999999999998</v>
      </c>
    </row>
    <row r="66" spans="1:19" ht="15.6">
      <c r="A66" t="s">
        <v>23</v>
      </c>
      <c r="B66" s="491" t="s">
        <v>651</v>
      </c>
      <c r="C66" s="492"/>
      <c r="D66" s="492"/>
      <c r="E66" s="492"/>
      <c r="F66" s="492"/>
      <c r="G66" s="492"/>
      <c r="H66" s="492"/>
      <c r="I66" s="492"/>
      <c r="J66" s="492"/>
      <c r="K66" s="492"/>
      <c r="L66" s="492"/>
      <c r="M66" s="492"/>
      <c r="N66" s="492"/>
      <c r="O66" s="492"/>
      <c r="P66" s="492"/>
      <c r="Q66" s="492"/>
      <c r="R66" s="492"/>
      <c r="S66" s="492"/>
    </row>
    <row r="67" spans="1:19" outlineLevel="1"/>
    <row r="68" spans="1:19" outlineLevel="1">
      <c r="B68" s="21" t="s">
        <v>184</v>
      </c>
      <c r="C68" s="22"/>
      <c r="D68" s="22"/>
      <c r="E68" s="22"/>
      <c r="F68" s="22"/>
      <c r="G68" s="22"/>
      <c r="H68" s="22"/>
      <c r="I68" s="22"/>
      <c r="J68" s="22"/>
      <c r="K68" s="22"/>
      <c r="L68" s="22"/>
      <c r="M68" s="22"/>
      <c r="N68" s="22"/>
      <c r="O68" s="22"/>
      <c r="P68" s="22"/>
      <c r="Q68" s="22"/>
      <c r="R68" s="22"/>
      <c r="S68" s="22"/>
    </row>
    <row r="69" spans="1:19" outlineLevel="1">
      <c r="B69" s="20"/>
    </row>
    <row r="70" spans="1:19" outlineLevel="1">
      <c r="B70" s="20" t="s">
        <v>497</v>
      </c>
    </row>
    <row r="71" spans="1:19" outlineLevel="1">
      <c r="B71" s="25" t="s">
        <v>24</v>
      </c>
      <c r="C71" s="23"/>
      <c r="D71" s="23"/>
      <c r="E71" s="23"/>
      <c r="F71" s="23"/>
      <c r="G71" s="23"/>
      <c r="H71" s="23"/>
      <c r="I71" s="23"/>
      <c r="J71" s="28">
        <v>0</v>
      </c>
      <c r="K71" s="28">
        <v>0</v>
      </c>
      <c r="L71" s="28">
        <v>0</v>
      </c>
      <c r="M71" s="28">
        <v>0</v>
      </c>
      <c r="N71" s="28">
        <v>0</v>
      </c>
      <c r="O71" s="28">
        <v>0</v>
      </c>
      <c r="P71" s="28">
        <v>0</v>
      </c>
      <c r="Q71" s="28">
        <v>0</v>
      </c>
      <c r="R71" s="28">
        <v>0</v>
      </c>
      <c r="S71" s="28">
        <v>0</v>
      </c>
    </row>
    <row r="72" spans="1:19" outlineLevel="1">
      <c r="B72" s="25" t="s">
        <v>25</v>
      </c>
      <c r="J72" s="28">
        <v>0</v>
      </c>
      <c r="K72" s="28">
        <v>0</v>
      </c>
      <c r="L72" s="28">
        <v>0</v>
      </c>
      <c r="M72" s="28">
        <v>0</v>
      </c>
      <c r="N72" s="28">
        <v>0</v>
      </c>
      <c r="O72" s="28">
        <v>0</v>
      </c>
      <c r="P72" s="28">
        <v>0</v>
      </c>
      <c r="Q72" s="28">
        <v>0</v>
      </c>
      <c r="R72" s="28">
        <v>0</v>
      </c>
      <c r="S72" s="28">
        <v>0</v>
      </c>
    </row>
    <row r="73" spans="1:19" outlineLevel="1">
      <c r="B73" s="25" t="s">
        <v>26</v>
      </c>
      <c r="C73" s="23"/>
      <c r="D73" s="23"/>
      <c r="E73" s="23"/>
      <c r="F73" s="23"/>
      <c r="G73" s="23"/>
      <c r="H73" s="23"/>
      <c r="I73" s="23"/>
      <c r="J73" s="28">
        <v>0</v>
      </c>
      <c r="K73" s="28">
        <v>0</v>
      </c>
      <c r="L73" s="28">
        <v>0</v>
      </c>
      <c r="M73" s="28">
        <v>0</v>
      </c>
      <c r="N73" s="28">
        <v>0</v>
      </c>
      <c r="O73" s="28">
        <v>0</v>
      </c>
      <c r="P73" s="28">
        <v>0</v>
      </c>
      <c r="Q73" s="28">
        <v>0</v>
      </c>
      <c r="R73" s="28">
        <v>0</v>
      </c>
      <c r="S73" s="28">
        <v>0</v>
      </c>
    </row>
    <row r="74" spans="1:19" outlineLevel="1">
      <c r="B74" s="24" t="str">
        <f>"Current Case - "&amp;CHOOSE($K$4,B71,B72,B73)</f>
        <v>Current Case - Management Case</v>
      </c>
      <c r="C74" s="18"/>
      <c r="D74" s="18"/>
      <c r="E74" s="18"/>
      <c r="F74" s="18"/>
      <c r="G74" s="18"/>
      <c r="H74" s="18"/>
      <c r="I74" s="18"/>
      <c r="J74" s="45">
        <f>CHOOSE($K$4,J71,J72,J73)</f>
        <v>0</v>
      </c>
      <c r="K74" s="45">
        <f t="shared" ref="K74:N74" si="44">CHOOSE($K$4,K71,K72,K73)</f>
        <v>0</v>
      </c>
      <c r="L74" s="45">
        <f t="shared" si="44"/>
        <v>0</v>
      </c>
      <c r="M74" s="45">
        <f t="shared" si="44"/>
        <v>0</v>
      </c>
      <c r="N74" s="45">
        <f t="shared" si="44"/>
        <v>0</v>
      </c>
      <c r="O74" s="45">
        <f t="shared" ref="O74:S74" si="45">CHOOSE($K$4,O71,O72,O73)</f>
        <v>0</v>
      </c>
      <c r="P74" s="45">
        <f t="shared" si="45"/>
        <v>0</v>
      </c>
      <c r="Q74" s="45">
        <f t="shared" si="45"/>
        <v>0</v>
      </c>
      <c r="R74" s="45">
        <f t="shared" si="45"/>
        <v>0</v>
      </c>
      <c r="S74" s="45">
        <f t="shared" si="45"/>
        <v>0</v>
      </c>
    </row>
    <row r="75" spans="1:19" outlineLevel="1"/>
    <row r="76" spans="1:19" outlineLevel="1">
      <c r="B76" s="20" t="s">
        <v>531</v>
      </c>
    </row>
    <row r="77" spans="1:19" outlineLevel="1">
      <c r="B77" s="25" t="s">
        <v>24</v>
      </c>
      <c r="C77" s="23"/>
      <c r="D77" s="23"/>
      <c r="E77" s="23"/>
      <c r="F77" s="23"/>
      <c r="G77" s="23"/>
      <c r="H77" s="23"/>
      <c r="I77" s="23"/>
      <c r="J77" s="28">
        <v>0</v>
      </c>
      <c r="K77" s="28">
        <v>0</v>
      </c>
      <c r="L77" s="28">
        <v>0</v>
      </c>
      <c r="M77" s="28">
        <v>0</v>
      </c>
      <c r="N77" s="28">
        <v>0</v>
      </c>
      <c r="O77" s="28">
        <v>0</v>
      </c>
      <c r="P77" s="28">
        <v>0</v>
      </c>
      <c r="Q77" s="28">
        <v>0</v>
      </c>
      <c r="R77" s="28">
        <v>0</v>
      </c>
      <c r="S77" s="28">
        <v>0</v>
      </c>
    </row>
    <row r="78" spans="1:19" outlineLevel="1">
      <c r="B78" s="25" t="s">
        <v>25</v>
      </c>
      <c r="J78" s="28">
        <v>0</v>
      </c>
      <c r="K78" s="28">
        <v>0</v>
      </c>
      <c r="L78" s="28">
        <v>0</v>
      </c>
      <c r="M78" s="28">
        <v>0</v>
      </c>
      <c r="N78" s="28">
        <v>0</v>
      </c>
      <c r="O78" s="28">
        <v>0</v>
      </c>
      <c r="P78" s="28">
        <v>0</v>
      </c>
      <c r="Q78" s="28">
        <v>0</v>
      </c>
      <c r="R78" s="28">
        <v>0</v>
      </c>
      <c r="S78" s="28">
        <v>0</v>
      </c>
    </row>
    <row r="79" spans="1:19" outlineLevel="1">
      <c r="B79" s="25" t="s">
        <v>26</v>
      </c>
      <c r="C79" s="23"/>
      <c r="D79" s="23"/>
      <c r="E79" s="23"/>
      <c r="F79" s="23"/>
      <c r="G79" s="23"/>
      <c r="H79" s="23"/>
      <c r="I79" s="23"/>
      <c r="J79" s="28">
        <v>0</v>
      </c>
      <c r="K79" s="28">
        <v>0</v>
      </c>
      <c r="L79" s="28">
        <v>0</v>
      </c>
      <c r="M79" s="28">
        <v>0</v>
      </c>
      <c r="N79" s="28">
        <v>0</v>
      </c>
      <c r="O79" s="28">
        <v>0</v>
      </c>
      <c r="P79" s="28">
        <v>0</v>
      </c>
      <c r="Q79" s="28">
        <v>0</v>
      </c>
      <c r="R79" s="28">
        <v>0</v>
      </c>
      <c r="S79" s="28">
        <v>0</v>
      </c>
    </row>
    <row r="80" spans="1:19" outlineLevel="1">
      <c r="B80" s="24" t="str">
        <f>"Current Case - "&amp;CHOOSE($K$4,B77,B78,B79)</f>
        <v>Current Case - Management Case</v>
      </c>
      <c r="C80" s="18"/>
      <c r="D80" s="18"/>
      <c r="E80" s="18"/>
      <c r="F80" s="18"/>
      <c r="G80" s="18"/>
      <c r="H80" s="18"/>
      <c r="I80" s="18"/>
      <c r="J80" s="45">
        <f>CHOOSE($K$4,J77,J78,J79)</f>
        <v>0</v>
      </c>
      <c r="K80" s="45">
        <f t="shared" ref="K80:N80" si="46">CHOOSE($K$4,K77,K78,K79)</f>
        <v>0</v>
      </c>
      <c r="L80" s="45">
        <f t="shared" si="46"/>
        <v>0</v>
      </c>
      <c r="M80" s="45">
        <f t="shared" si="46"/>
        <v>0</v>
      </c>
      <c r="N80" s="45">
        <f t="shared" si="46"/>
        <v>0</v>
      </c>
      <c r="O80" s="45">
        <f t="shared" ref="O80:S80" si="47">CHOOSE($K$4,O77,O78,O79)</f>
        <v>0</v>
      </c>
      <c r="P80" s="45">
        <f t="shared" si="47"/>
        <v>0</v>
      </c>
      <c r="Q80" s="45">
        <f t="shared" si="47"/>
        <v>0</v>
      </c>
      <c r="R80" s="45">
        <f t="shared" si="47"/>
        <v>0</v>
      </c>
      <c r="S80" s="45">
        <f t="shared" si="47"/>
        <v>0</v>
      </c>
    </row>
    <row r="81" spans="2:19" outlineLevel="1"/>
    <row r="82" spans="2:19" outlineLevel="1">
      <c r="B82" s="21" t="s">
        <v>34</v>
      </c>
      <c r="C82" s="22"/>
      <c r="D82" s="22"/>
      <c r="E82" s="22"/>
      <c r="F82" s="22"/>
      <c r="G82" s="22"/>
      <c r="H82" s="22"/>
      <c r="I82" s="22"/>
      <c r="J82" s="22"/>
      <c r="K82" s="22"/>
      <c r="L82" s="22"/>
      <c r="M82" s="22"/>
      <c r="N82" s="22"/>
      <c r="O82" s="22"/>
      <c r="P82" s="22"/>
      <c r="Q82" s="22"/>
      <c r="R82" s="22"/>
      <c r="S82" s="22"/>
    </row>
    <row r="83" spans="2:19" outlineLevel="1">
      <c r="B83" s="20"/>
    </row>
    <row r="84" spans="2:19" outlineLevel="1">
      <c r="B84" s="20" t="s">
        <v>498</v>
      </c>
    </row>
    <row r="85" spans="2:19" outlineLevel="1">
      <c r="B85" s="25" t="s">
        <v>24</v>
      </c>
      <c r="C85" s="23"/>
      <c r="D85" s="23"/>
      <c r="E85" s="23"/>
      <c r="F85" s="23"/>
      <c r="G85" s="23"/>
      <c r="H85" s="23"/>
      <c r="I85" s="23"/>
      <c r="J85" s="28">
        <v>3.2000000000000001E-2</v>
      </c>
      <c r="K85" s="28">
        <v>3.1E-2</v>
      </c>
      <c r="L85" s="28">
        <v>0.02</v>
      </c>
      <c r="M85" s="28">
        <v>0.02</v>
      </c>
      <c r="N85" s="28">
        <v>0.02</v>
      </c>
      <c r="O85" s="28">
        <v>0.02</v>
      </c>
      <c r="P85" s="28">
        <v>0.02</v>
      </c>
      <c r="Q85" s="28">
        <v>0.02</v>
      </c>
      <c r="R85" s="28">
        <v>0.02</v>
      </c>
      <c r="S85" s="28">
        <v>0.02</v>
      </c>
    </row>
    <row r="86" spans="2:19" outlineLevel="1">
      <c r="B86" s="25" t="s">
        <v>25</v>
      </c>
      <c r="J86" s="28">
        <v>3.2000000000000001E-2</v>
      </c>
      <c r="K86" s="28">
        <v>3.1E-2</v>
      </c>
      <c r="L86" s="28">
        <v>0.02</v>
      </c>
      <c r="M86" s="28">
        <v>0.02</v>
      </c>
      <c r="N86" s="28">
        <v>0.02</v>
      </c>
      <c r="O86" s="28">
        <v>0.02</v>
      </c>
      <c r="P86" s="28">
        <v>0.02</v>
      </c>
      <c r="Q86" s="28">
        <v>0.02</v>
      </c>
      <c r="R86" s="28">
        <v>0.02</v>
      </c>
      <c r="S86" s="28">
        <v>0.02</v>
      </c>
    </row>
    <row r="87" spans="2:19" outlineLevel="1">
      <c r="B87" s="25" t="s">
        <v>26</v>
      </c>
      <c r="C87" s="23"/>
      <c r="D87" s="23"/>
      <c r="E87" s="23"/>
      <c r="F87" s="23"/>
      <c r="G87" s="23"/>
      <c r="H87" s="23"/>
      <c r="I87" s="23"/>
      <c r="J87" s="28">
        <v>3.2000000000000001E-2</v>
      </c>
      <c r="K87" s="28">
        <v>3.1E-2</v>
      </c>
      <c r="L87" s="28">
        <v>0.02</v>
      </c>
      <c r="M87" s="28">
        <v>0.02</v>
      </c>
      <c r="N87" s="28">
        <v>0.02</v>
      </c>
      <c r="O87" s="28">
        <v>0.02</v>
      </c>
      <c r="P87" s="28">
        <v>0.02</v>
      </c>
      <c r="Q87" s="28">
        <v>0.02</v>
      </c>
      <c r="R87" s="28">
        <v>0.02</v>
      </c>
      <c r="S87" s="28">
        <v>0.02</v>
      </c>
    </row>
    <row r="88" spans="2:19" outlineLevel="1">
      <c r="B88" s="24" t="str">
        <f>"Current Case - "&amp;CHOOSE($K$4,B85,B86,B87)</f>
        <v>Current Case - Management Case</v>
      </c>
      <c r="C88" s="18"/>
      <c r="D88" s="18"/>
      <c r="E88" s="18"/>
      <c r="F88" s="18"/>
      <c r="G88" s="18"/>
      <c r="H88" s="18"/>
      <c r="I88" s="18"/>
      <c r="J88" s="45">
        <f>CHOOSE($K$4,J85,J86,J87)</f>
        <v>3.2000000000000001E-2</v>
      </c>
      <c r="K88" s="45">
        <f t="shared" ref="K88:N88" si="48">CHOOSE($K$4,K85,K86,K87)</f>
        <v>3.1E-2</v>
      </c>
      <c r="L88" s="45">
        <f t="shared" si="48"/>
        <v>0.02</v>
      </c>
      <c r="M88" s="45">
        <f t="shared" si="48"/>
        <v>0.02</v>
      </c>
      <c r="N88" s="45">
        <f t="shared" si="48"/>
        <v>0.02</v>
      </c>
      <c r="O88" s="45">
        <f t="shared" ref="O88:S88" si="49">CHOOSE($K$4,O85,O86,O87)</f>
        <v>0.02</v>
      </c>
      <c r="P88" s="45">
        <f t="shared" si="49"/>
        <v>0.02</v>
      </c>
      <c r="Q88" s="45">
        <f t="shared" si="49"/>
        <v>0.02</v>
      </c>
      <c r="R88" s="45">
        <f t="shared" si="49"/>
        <v>0.02</v>
      </c>
      <c r="S88" s="45">
        <f t="shared" si="49"/>
        <v>0.02</v>
      </c>
    </row>
    <row r="89" spans="2:19" outlineLevel="1"/>
    <row r="90" spans="2:19" outlineLevel="1">
      <c r="B90" s="20" t="s">
        <v>499</v>
      </c>
    </row>
    <row r="91" spans="2:19" outlineLevel="1">
      <c r="B91" s="25" t="s">
        <v>24</v>
      </c>
      <c r="C91" s="23"/>
      <c r="D91" s="23"/>
      <c r="E91" s="23"/>
      <c r="F91" s="23"/>
      <c r="G91" s="23"/>
      <c r="H91" s="23"/>
      <c r="I91" s="23"/>
      <c r="J91" s="28">
        <v>0</v>
      </c>
      <c r="K91" s="28">
        <v>0</v>
      </c>
      <c r="L91" s="28">
        <v>0</v>
      </c>
      <c r="M91" s="28">
        <v>0</v>
      </c>
      <c r="N91" s="28">
        <v>0</v>
      </c>
      <c r="O91" s="28">
        <v>0</v>
      </c>
      <c r="P91" s="28">
        <v>0</v>
      </c>
      <c r="Q91" s="28">
        <v>0</v>
      </c>
      <c r="R91" s="28">
        <v>0</v>
      </c>
      <c r="S91" s="28">
        <v>0</v>
      </c>
    </row>
    <row r="92" spans="2:19" outlineLevel="1">
      <c r="B92" s="25" t="s">
        <v>25</v>
      </c>
      <c r="J92" s="28">
        <v>0</v>
      </c>
      <c r="K92" s="28">
        <v>0</v>
      </c>
      <c r="L92" s="28">
        <v>0</v>
      </c>
      <c r="M92" s="28">
        <v>0</v>
      </c>
      <c r="N92" s="28">
        <v>0</v>
      </c>
      <c r="O92" s="28">
        <v>0</v>
      </c>
      <c r="P92" s="28">
        <v>0</v>
      </c>
      <c r="Q92" s="28">
        <v>0</v>
      </c>
      <c r="R92" s="28">
        <v>0</v>
      </c>
      <c r="S92" s="28">
        <v>0</v>
      </c>
    </row>
    <row r="93" spans="2:19" outlineLevel="1">
      <c r="B93" s="25" t="s">
        <v>26</v>
      </c>
      <c r="C93" s="23"/>
      <c r="D93" s="23"/>
      <c r="E93" s="23"/>
      <c r="F93" s="23"/>
      <c r="G93" s="23"/>
      <c r="H93" s="23"/>
      <c r="I93" s="23"/>
      <c r="J93" s="28">
        <v>0</v>
      </c>
      <c r="K93" s="28">
        <v>0</v>
      </c>
      <c r="L93" s="28">
        <v>0</v>
      </c>
      <c r="M93" s="28">
        <v>0</v>
      </c>
      <c r="N93" s="28">
        <v>0</v>
      </c>
      <c r="O93" s="28">
        <v>0</v>
      </c>
      <c r="P93" s="28">
        <v>0</v>
      </c>
      <c r="Q93" s="28">
        <v>0</v>
      </c>
      <c r="R93" s="28">
        <v>0</v>
      </c>
      <c r="S93" s="28">
        <v>0</v>
      </c>
    </row>
    <row r="94" spans="2:19" outlineLevel="1">
      <c r="B94" s="24" t="str">
        <f>"Current Case - "&amp;CHOOSE($K$4,B91,B92,B93)</f>
        <v>Current Case - Management Case</v>
      </c>
      <c r="C94" s="18"/>
      <c r="D94" s="18"/>
      <c r="E94" s="18"/>
      <c r="F94" s="18"/>
      <c r="G94" s="18"/>
      <c r="H94" s="18"/>
      <c r="I94" s="18"/>
      <c r="J94" s="45">
        <f>CHOOSE($K$4,J91,J92,J93)</f>
        <v>0</v>
      </c>
      <c r="K94" s="45">
        <f t="shared" ref="K94:N94" si="50">CHOOSE($K$4,K91,K92,K93)</f>
        <v>0</v>
      </c>
      <c r="L94" s="45">
        <f t="shared" si="50"/>
        <v>0</v>
      </c>
      <c r="M94" s="45">
        <f t="shared" si="50"/>
        <v>0</v>
      </c>
      <c r="N94" s="45">
        <f t="shared" si="50"/>
        <v>0</v>
      </c>
      <c r="O94" s="45">
        <f t="shared" ref="O94:S94" si="51">CHOOSE($K$4,O91,O92,O93)</f>
        <v>0</v>
      </c>
      <c r="P94" s="45">
        <f t="shared" si="51"/>
        <v>0</v>
      </c>
      <c r="Q94" s="45">
        <f t="shared" si="51"/>
        <v>0</v>
      </c>
      <c r="R94" s="45">
        <f t="shared" si="51"/>
        <v>0</v>
      </c>
      <c r="S94" s="45">
        <f t="shared" si="51"/>
        <v>0</v>
      </c>
    </row>
    <row r="95" spans="2:19" outlineLevel="1"/>
    <row r="96" spans="2:19" outlineLevel="1">
      <c r="B96" s="20" t="s">
        <v>658</v>
      </c>
    </row>
    <row r="97" spans="2:19" outlineLevel="1">
      <c r="B97" s="25" t="s">
        <v>24</v>
      </c>
      <c r="C97" s="23"/>
      <c r="D97" s="23"/>
      <c r="E97" s="23"/>
      <c r="F97" s="23"/>
      <c r="G97" s="23"/>
      <c r="H97" s="23"/>
      <c r="I97" s="23"/>
      <c r="J97" s="28">
        <v>0</v>
      </c>
      <c r="K97" s="28">
        <v>0</v>
      </c>
      <c r="L97" s="28">
        <v>0</v>
      </c>
      <c r="M97" s="28">
        <v>0</v>
      </c>
      <c r="N97" s="28">
        <v>0</v>
      </c>
      <c r="O97" s="28">
        <v>0</v>
      </c>
      <c r="P97" s="28">
        <v>0</v>
      </c>
      <c r="Q97" s="28">
        <v>0</v>
      </c>
      <c r="R97" s="28">
        <v>0</v>
      </c>
      <c r="S97" s="28">
        <v>0</v>
      </c>
    </row>
    <row r="98" spans="2:19" outlineLevel="1">
      <c r="B98" s="25" t="s">
        <v>25</v>
      </c>
      <c r="J98" s="28">
        <v>0</v>
      </c>
      <c r="K98" s="28">
        <v>0</v>
      </c>
      <c r="L98" s="28">
        <v>0</v>
      </c>
      <c r="M98" s="28">
        <v>0</v>
      </c>
      <c r="N98" s="28">
        <v>0</v>
      </c>
      <c r="O98" s="28">
        <v>0</v>
      </c>
      <c r="P98" s="28">
        <v>0</v>
      </c>
      <c r="Q98" s="28">
        <v>0</v>
      </c>
      <c r="R98" s="28">
        <v>0</v>
      </c>
      <c r="S98" s="28">
        <v>0</v>
      </c>
    </row>
    <row r="99" spans="2:19" outlineLevel="1">
      <c r="B99" s="25" t="s">
        <v>26</v>
      </c>
      <c r="C99" s="23"/>
      <c r="D99" s="23"/>
      <c r="E99" s="23"/>
      <c r="F99" s="23"/>
      <c r="G99" s="23"/>
      <c r="H99" s="23"/>
      <c r="I99" s="23"/>
      <c r="J99" s="28">
        <v>0</v>
      </c>
      <c r="K99" s="28">
        <v>0</v>
      </c>
      <c r="L99" s="28">
        <v>0</v>
      </c>
      <c r="M99" s="28">
        <v>0</v>
      </c>
      <c r="N99" s="28">
        <v>0</v>
      </c>
      <c r="O99" s="28">
        <v>0</v>
      </c>
      <c r="P99" s="28">
        <v>0</v>
      </c>
      <c r="Q99" s="28">
        <v>0</v>
      </c>
      <c r="R99" s="28">
        <v>0</v>
      </c>
      <c r="S99" s="28">
        <v>0</v>
      </c>
    </row>
    <row r="100" spans="2:19" outlineLevel="1">
      <c r="B100" s="24" t="str">
        <f>"Current Case - "&amp;CHOOSE($K$4,B97,B98,B99)</f>
        <v>Current Case - Management Case</v>
      </c>
      <c r="C100" s="18"/>
      <c r="D100" s="18"/>
      <c r="E100" s="18"/>
      <c r="F100" s="18"/>
      <c r="G100" s="18"/>
      <c r="H100" s="18"/>
      <c r="I100" s="18"/>
      <c r="J100" s="45">
        <f>CHOOSE($K$4,J97,J98,J99)</f>
        <v>0</v>
      </c>
      <c r="K100" s="45">
        <f t="shared" ref="K100:N100" si="52">CHOOSE($K$4,K97,K98,K99)</f>
        <v>0</v>
      </c>
      <c r="L100" s="45">
        <f t="shared" si="52"/>
        <v>0</v>
      </c>
      <c r="M100" s="45">
        <f t="shared" si="52"/>
        <v>0</v>
      </c>
      <c r="N100" s="45">
        <f t="shared" si="52"/>
        <v>0</v>
      </c>
      <c r="O100" s="45">
        <f t="shared" ref="O100:S100" si="53">CHOOSE($K$4,O97,O98,O99)</f>
        <v>0</v>
      </c>
      <c r="P100" s="45">
        <f t="shared" si="53"/>
        <v>0</v>
      </c>
      <c r="Q100" s="45">
        <f t="shared" si="53"/>
        <v>0</v>
      </c>
      <c r="R100" s="45">
        <f t="shared" si="53"/>
        <v>0</v>
      </c>
      <c r="S100" s="45">
        <f t="shared" si="53"/>
        <v>0</v>
      </c>
    </row>
    <row r="101" spans="2:19" outlineLevel="1"/>
    <row r="102" spans="2:19" outlineLevel="1">
      <c r="B102" s="20" t="s">
        <v>507</v>
      </c>
    </row>
    <row r="103" spans="2:19" outlineLevel="1">
      <c r="B103" s="25" t="s">
        <v>24</v>
      </c>
      <c r="C103" s="23"/>
      <c r="D103" s="23"/>
      <c r="E103" s="23"/>
      <c r="F103" s="23"/>
      <c r="G103" s="23"/>
      <c r="H103" s="23"/>
      <c r="I103" s="23"/>
      <c r="J103" s="28">
        <v>0</v>
      </c>
      <c r="K103" s="28">
        <v>0</v>
      </c>
      <c r="L103" s="28">
        <v>0</v>
      </c>
      <c r="M103" s="28">
        <v>0</v>
      </c>
      <c r="N103" s="28">
        <v>0</v>
      </c>
      <c r="O103" s="28">
        <v>0</v>
      </c>
      <c r="P103" s="28">
        <v>0</v>
      </c>
      <c r="Q103" s="28">
        <v>0</v>
      </c>
      <c r="R103" s="28">
        <v>0</v>
      </c>
      <c r="S103" s="28">
        <v>0</v>
      </c>
    </row>
    <row r="104" spans="2:19" outlineLevel="1">
      <c r="B104" s="25" t="s">
        <v>25</v>
      </c>
      <c r="J104" s="28">
        <v>0</v>
      </c>
      <c r="K104" s="28">
        <v>0</v>
      </c>
      <c r="L104" s="28">
        <v>0</v>
      </c>
      <c r="M104" s="28">
        <v>0</v>
      </c>
      <c r="N104" s="28">
        <v>0</v>
      </c>
      <c r="O104" s="28">
        <v>0</v>
      </c>
      <c r="P104" s="28">
        <v>0</v>
      </c>
      <c r="Q104" s="28">
        <v>0</v>
      </c>
      <c r="R104" s="28">
        <v>0</v>
      </c>
      <c r="S104" s="28">
        <v>0</v>
      </c>
    </row>
    <row r="105" spans="2:19" outlineLevel="1">
      <c r="B105" s="25" t="s">
        <v>26</v>
      </c>
      <c r="C105" s="23"/>
      <c r="D105" s="23"/>
      <c r="E105" s="23"/>
      <c r="F105" s="23"/>
      <c r="G105" s="23"/>
      <c r="H105" s="23"/>
      <c r="I105" s="23"/>
      <c r="J105" s="28">
        <v>0</v>
      </c>
      <c r="K105" s="28">
        <v>0</v>
      </c>
      <c r="L105" s="28">
        <v>0</v>
      </c>
      <c r="M105" s="28">
        <v>0</v>
      </c>
      <c r="N105" s="28">
        <v>0</v>
      </c>
      <c r="O105" s="28">
        <v>0</v>
      </c>
      <c r="P105" s="28">
        <v>0</v>
      </c>
      <c r="Q105" s="28">
        <v>0</v>
      </c>
      <c r="R105" s="28">
        <v>0</v>
      </c>
      <c r="S105" s="28">
        <v>0</v>
      </c>
    </row>
    <row r="106" spans="2:19" outlineLevel="1">
      <c r="B106" s="24" t="str">
        <f>"Current Case - "&amp;CHOOSE($K$4,B103,B104,B105)</f>
        <v>Current Case - Management Case</v>
      </c>
      <c r="C106" s="18"/>
      <c r="D106" s="18"/>
      <c r="E106" s="18"/>
      <c r="F106" s="18"/>
      <c r="G106" s="18"/>
      <c r="H106" s="18"/>
      <c r="I106" s="18"/>
      <c r="J106" s="45">
        <f>CHOOSE($K$4,J103,J104,J105)</f>
        <v>0</v>
      </c>
      <c r="K106" s="45">
        <f t="shared" ref="K106:N106" si="54">CHOOSE($K$4,K103,K104,K105)</f>
        <v>0</v>
      </c>
      <c r="L106" s="45">
        <f t="shared" si="54"/>
        <v>0</v>
      </c>
      <c r="M106" s="45">
        <f t="shared" si="54"/>
        <v>0</v>
      </c>
      <c r="N106" s="45">
        <f t="shared" si="54"/>
        <v>0</v>
      </c>
      <c r="O106" s="45">
        <f t="shared" ref="O106:S106" si="55">CHOOSE($K$4,O103,O104,O105)</f>
        <v>0</v>
      </c>
      <c r="P106" s="45">
        <f t="shared" si="55"/>
        <v>0</v>
      </c>
      <c r="Q106" s="45">
        <f t="shared" si="55"/>
        <v>0</v>
      </c>
      <c r="R106" s="45">
        <f t="shared" si="55"/>
        <v>0</v>
      </c>
      <c r="S106" s="45">
        <f t="shared" si="55"/>
        <v>0</v>
      </c>
    </row>
    <row r="107" spans="2:19" outlineLevel="1"/>
    <row r="108" spans="2:19" outlineLevel="1">
      <c r="B108" s="20" t="s">
        <v>514</v>
      </c>
    </row>
    <row r="109" spans="2:19" outlineLevel="1">
      <c r="B109" s="25" t="s">
        <v>24</v>
      </c>
      <c r="C109" s="23"/>
      <c r="D109" s="23"/>
      <c r="E109" s="23"/>
      <c r="F109" s="23"/>
      <c r="G109" s="23"/>
      <c r="H109" s="23"/>
      <c r="I109" s="23"/>
      <c r="J109" s="28">
        <v>0</v>
      </c>
      <c r="K109" s="28">
        <v>0</v>
      </c>
      <c r="L109" s="28">
        <v>0</v>
      </c>
      <c r="M109" s="28">
        <v>0</v>
      </c>
      <c r="N109" s="28">
        <v>0</v>
      </c>
      <c r="O109" s="28">
        <v>0</v>
      </c>
      <c r="P109" s="28">
        <v>0</v>
      </c>
      <c r="Q109" s="28">
        <v>0</v>
      </c>
      <c r="R109" s="28">
        <v>0</v>
      </c>
      <c r="S109" s="28">
        <v>0</v>
      </c>
    </row>
    <row r="110" spans="2:19" outlineLevel="1">
      <c r="B110" s="25" t="s">
        <v>25</v>
      </c>
      <c r="J110" s="28">
        <v>0</v>
      </c>
      <c r="K110" s="28">
        <v>0</v>
      </c>
      <c r="L110" s="28">
        <v>0</v>
      </c>
      <c r="M110" s="28">
        <v>0</v>
      </c>
      <c r="N110" s="28">
        <v>0</v>
      </c>
      <c r="O110" s="28">
        <v>0</v>
      </c>
      <c r="P110" s="28">
        <v>0</v>
      </c>
      <c r="Q110" s="28">
        <v>0</v>
      </c>
      <c r="R110" s="28">
        <v>0</v>
      </c>
      <c r="S110" s="28">
        <v>0</v>
      </c>
    </row>
    <row r="111" spans="2:19" outlineLevel="1">
      <c r="B111" s="25" t="s">
        <v>26</v>
      </c>
      <c r="C111" s="23"/>
      <c r="D111" s="23"/>
      <c r="E111" s="23"/>
      <c r="F111" s="23"/>
      <c r="G111" s="23"/>
      <c r="H111" s="23"/>
      <c r="I111" s="23"/>
      <c r="J111" s="28">
        <v>0</v>
      </c>
      <c r="K111" s="28">
        <v>0</v>
      </c>
      <c r="L111" s="28">
        <v>0</v>
      </c>
      <c r="M111" s="28">
        <v>0</v>
      </c>
      <c r="N111" s="28">
        <v>0</v>
      </c>
      <c r="O111" s="28">
        <v>0</v>
      </c>
      <c r="P111" s="28">
        <v>0</v>
      </c>
      <c r="Q111" s="28">
        <v>0</v>
      </c>
      <c r="R111" s="28">
        <v>0</v>
      </c>
      <c r="S111" s="28">
        <v>0</v>
      </c>
    </row>
    <row r="112" spans="2:19" outlineLevel="1">
      <c r="B112" s="24" t="str">
        <f>"Current Case - "&amp;CHOOSE($K$4,B109,B110,B111)</f>
        <v>Current Case - Management Case</v>
      </c>
      <c r="C112" s="18"/>
      <c r="D112" s="18"/>
      <c r="E112" s="18"/>
      <c r="F112" s="18"/>
      <c r="G112" s="18"/>
      <c r="H112" s="18"/>
      <c r="I112" s="18"/>
      <c r="J112" s="45">
        <f>CHOOSE($K$4,J109,J110,J111)</f>
        <v>0</v>
      </c>
      <c r="K112" s="45">
        <f t="shared" ref="K112:N112" si="56">CHOOSE($K$4,K109,K110,K111)</f>
        <v>0</v>
      </c>
      <c r="L112" s="45">
        <f t="shared" si="56"/>
        <v>0</v>
      </c>
      <c r="M112" s="45">
        <f t="shared" si="56"/>
        <v>0</v>
      </c>
      <c r="N112" s="45">
        <f t="shared" si="56"/>
        <v>0</v>
      </c>
      <c r="O112" s="45">
        <f t="shared" ref="O112:S112" si="57">CHOOSE($K$4,O109,O110,O111)</f>
        <v>0</v>
      </c>
      <c r="P112" s="45">
        <f t="shared" si="57"/>
        <v>0</v>
      </c>
      <c r="Q112" s="45">
        <f t="shared" si="57"/>
        <v>0</v>
      </c>
      <c r="R112" s="45">
        <f t="shared" si="57"/>
        <v>0</v>
      </c>
      <c r="S112" s="45">
        <f t="shared" si="57"/>
        <v>0</v>
      </c>
    </row>
    <row r="113" spans="2:19" outlineLevel="1"/>
    <row r="114" spans="2:19" outlineLevel="1">
      <c r="B114" s="20" t="s">
        <v>508</v>
      </c>
    </row>
    <row r="115" spans="2:19" outlineLevel="1">
      <c r="B115" s="25" t="s">
        <v>24</v>
      </c>
      <c r="C115" s="23"/>
      <c r="D115" s="23"/>
      <c r="E115" s="23"/>
      <c r="F115" s="23"/>
      <c r="G115" s="23"/>
      <c r="H115" s="23"/>
      <c r="I115" s="23"/>
      <c r="J115" s="28">
        <v>0</v>
      </c>
      <c r="K115" s="28">
        <v>0</v>
      </c>
      <c r="L115" s="28">
        <v>0</v>
      </c>
      <c r="M115" s="28">
        <v>0</v>
      </c>
      <c r="N115" s="28">
        <v>0</v>
      </c>
      <c r="O115" s="28">
        <v>0</v>
      </c>
      <c r="P115" s="28">
        <v>0</v>
      </c>
      <c r="Q115" s="28">
        <v>0</v>
      </c>
      <c r="R115" s="28">
        <v>0</v>
      </c>
      <c r="S115" s="28">
        <v>0</v>
      </c>
    </row>
    <row r="116" spans="2:19" outlineLevel="1">
      <c r="B116" s="25" t="s">
        <v>25</v>
      </c>
      <c r="J116" s="28">
        <v>0</v>
      </c>
      <c r="K116" s="28">
        <v>0</v>
      </c>
      <c r="L116" s="28">
        <v>0</v>
      </c>
      <c r="M116" s="28">
        <v>0</v>
      </c>
      <c r="N116" s="28">
        <v>0</v>
      </c>
      <c r="O116" s="28">
        <v>0</v>
      </c>
      <c r="P116" s="28">
        <v>0</v>
      </c>
      <c r="Q116" s="28">
        <v>0</v>
      </c>
      <c r="R116" s="28">
        <v>0</v>
      </c>
      <c r="S116" s="28">
        <v>0</v>
      </c>
    </row>
    <row r="117" spans="2:19" outlineLevel="1">
      <c r="B117" s="25" t="s">
        <v>26</v>
      </c>
      <c r="C117" s="23"/>
      <c r="D117" s="23"/>
      <c r="E117" s="23"/>
      <c r="F117" s="23"/>
      <c r="G117" s="23"/>
      <c r="H117" s="23"/>
      <c r="I117" s="23"/>
      <c r="J117" s="28">
        <v>0</v>
      </c>
      <c r="K117" s="28">
        <v>0</v>
      </c>
      <c r="L117" s="28">
        <v>0</v>
      </c>
      <c r="M117" s="28">
        <v>0</v>
      </c>
      <c r="N117" s="28">
        <v>0</v>
      </c>
      <c r="O117" s="28">
        <v>0</v>
      </c>
      <c r="P117" s="28">
        <v>0</v>
      </c>
      <c r="Q117" s="28">
        <v>0</v>
      </c>
      <c r="R117" s="28">
        <v>0</v>
      </c>
      <c r="S117" s="28">
        <v>0</v>
      </c>
    </row>
    <row r="118" spans="2:19" outlineLevel="1">
      <c r="B118" s="24" t="str">
        <f>"Current Case - "&amp;CHOOSE($K$4,B115,B116,B117)</f>
        <v>Current Case - Management Case</v>
      </c>
      <c r="C118" s="18"/>
      <c r="D118" s="18"/>
      <c r="E118" s="18"/>
      <c r="F118" s="18"/>
      <c r="G118" s="18"/>
      <c r="H118" s="18"/>
      <c r="I118" s="18"/>
      <c r="J118" s="45">
        <f>CHOOSE($K$4,J115,J116,J117)</f>
        <v>0</v>
      </c>
      <c r="K118" s="45">
        <f t="shared" ref="K118:N118" si="58">CHOOSE($K$4,K115,K116,K117)</f>
        <v>0</v>
      </c>
      <c r="L118" s="45">
        <f t="shared" si="58"/>
        <v>0</v>
      </c>
      <c r="M118" s="45">
        <f t="shared" si="58"/>
        <v>0</v>
      </c>
      <c r="N118" s="45">
        <f t="shared" si="58"/>
        <v>0</v>
      </c>
      <c r="O118" s="45">
        <f t="shared" ref="O118:S118" si="59">CHOOSE($K$4,O115,O116,O117)</f>
        <v>0</v>
      </c>
      <c r="P118" s="45">
        <f t="shared" si="59"/>
        <v>0</v>
      </c>
      <c r="Q118" s="45">
        <f t="shared" si="59"/>
        <v>0</v>
      </c>
      <c r="R118" s="45">
        <f t="shared" si="59"/>
        <v>0</v>
      </c>
      <c r="S118" s="45">
        <f t="shared" si="59"/>
        <v>0</v>
      </c>
    </row>
    <row r="119" spans="2:19" outlineLevel="1"/>
    <row r="120" spans="2:19" outlineLevel="1">
      <c r="B120" s="20" t="s">
        <v>520</v>
      </c>
    </row>
    <row r="121" spans="2:19" outlineLevel="1">
      <c r="B121" s="25" t="s">
        <v>24</v>
      </c>
      <c r="C121" s="23"/>
      <c r="D121" s="23"/>
      <c r="E121" s="23"/>
      <c r="F121" s="23"/>
      <c r="G121" s="23"/>
      <c r="H121" s="23"/>
      <c r="I121" s="23"/>
      <c r="J121" s="28">
        <v>0</v>
      </c>
      <c r="K121" s="28">
        <v>0</v>
      </c>
      <c r="L121" s="28">
        <v>0</v>
      </c>
      <c r="M121" s="28">
        <v>0</v>
      </c>
      <c r="N121" s="28">
        <v>0</v>
      </c>
      <c r="O121" s="28">
        <v>0</v>
      </c>
      <c r="P121" s="28">
        <v>0</v>
      </c>
      <c r="Q121" s="28">
        <v>0</v>
      </c>
      <c r="R121" s="28">
        <v>0</v>
      </c>
      <c r="S121" s="28">
        <v>0</v>
      </c>
    </row>
    <row r="122" spans="2:19" outlineLevel="1">
      <c r="B122" s="25" t="s">
        <v>25</v>
      </c>
      <c r="J122" s="28">
        <v>0</v>
      </c>
      <c r="K122" s="28">
        <v>0</v>
      </c>
      <c r="L122" s="28">
        <v>0</v>
      </c>
      <c r="M122" s="28">
        <v>0</v>
      </c>
      <c r="N122" s="28">
        <v>0</v>
      </c>
      <c r="O122" s="28">
        <v>0</v>
      </c>
      <c r="P122" s="28">
        <v>0</v>
      </c>
      <c r="Q122" s="28">
        <v>0</v>
      </c>
      <c r="R122" s="28">
        <v>0</v>
      </c>
      <c r="S122" s="28">
        <v>0</v>
      </c>
    </row>
    <row r="123" spans="2:19" outlineLevel="1">
      <c r="B123" s="25" t="s">
        <v>26</v>
      </c>
      <c r="C123" s="23"/>
      <c r="D123" s="23"/>
      <c r="E123" s="23"/>
      <c r="F123" s="23"/>
      <c r="G123" s="23"/>
      <c r="H123" s="23"/>
      <c r="I123" s="23"/>
      <c r="J123" s="28">
        <v>0</v>
      </c>
      <c r="K123" s="28">
        <v>0</v>
      </c>
      <c r="L123" s="28">
        <v>0</v>
      </c>
      <c r="M123" s="28">
        <v>0</v>
      </c>
      <c r="N123" s="28">
        <v>0</v>
      </c>
      <c r="O123" s="28">
        <v>0</v>
      </c>
      <c r="P123" s="28">
        <v>0</v>
      </c>
      <c r="Q123" s="28">
        <v>0</v>
      </c>
      <c r="R123" s="28">
        <v>0</v>
      </c>
      <c r="S123" s="28">
        <v>0</v>
      </c>
    </row>
    <row r="124" spans="2:19" outlineLevel="1">
      <c r="B124" s="24" t="str">
        <f>"Current Case - "&amp;CHOOSE($K$4,B121,B122,B123)</f>
        <v>Current Case - Management Case</v>
      </c>
      <c r="C124" s="18"/>
      <c r="D124" s="18"/>
      <c r="E124" s="18"/>
      <c r="F124" s="18"/>
      <c r="G124" s="18"/>
      <c r="H124" s="18"/>
      <c r="I124" s="18"/>
      <c r="J124" s="45">
        <f>CHOOSE($K$4,J121,J122,J123)</f>
        <v>0</v>
      </c>
      <c r="K124" s="45">
        <f t="shared" ref="K124:N124" si="60">CHOOSE($K$4,K121,K122,K123)</f>
        <v>0</v>
      </c>
      <c r="L124" s="45">
        <f t="shared" si="60"/>
        <v>0</v>
      </c>
      <c r="M124" s="45">
        <f t="shared" si="60"/>
        <v>0</v>
      </c>
      <c r="N124" s="45">
        <f t="shared" si="60"/>
        <v>0</v>
      </c>
      <c r="O124" s="45">
        <f t="shared" ref="O124:S124" si="61">CHOOSE($K$4,O121,O122,O123)</f>
        <v>0</v>
      </c>
      <c r="P124" s="45">
        <f t="shared" si="61"/>
        <v>0</v>
      </c>
      <c r="Q124" s="45">
        <f t="shared" si="61"/>
        <v>0</v>
      </c>
      <c r="R124" s="45">
        <f t="shared" si="61"/>
        <v>0</v>
      </c>
      <c r="S124" s="45">
        <f t="shared" si="61"/>
        <v>0</v>
      </c>
    </row>
    <row r="125" spans="2:19" outlineLevel="1"/>
    <row r="126" spans="2:19" outlineLevel="1">
      <c r="B126" s="20" t="s">
        <v>521</v>
      </c>
    </row>
    <row r="127" spans="2:19" outlineLevel="1">
      <c r="B127" s="25" t="s">
        <v>24</v>
      </c>
      <c r="C127" s="23"/>
      <c r="D127" s="23"/>
      <c r="E127" s="23"/>
      <c r="F127" s="23"/>
      <c r="G127" s="23"/>
      <c r="H127" s="23"/>
      <c r="I127" s="23"/>
      <c r="J127" s="28">
        <v>0</v>
      </c>
      <c r="K127" s="28">
        <v>0</v>
      </c>
      <c r="L127" s="28">
        <v>0</v>
      </c>
      <c r="M127" s="28">
        <v>0</v>
      </c>
      <c r="N127" s="28">
        <v>0</v>
      </c>
      <c r="O127" s="28">
        <v>0</v>
      </c>
      <c r="P127" s="28">
        <v>0</v>
      </c>
      <c r="Q127" s="28">
        <v>0</v>
      </c>
      <c r="R127" s="28">
        <v>0</v>
      </c>
      <c r="S127" s="28">
        <v>0</v>
      </c>
    </row>
    <row r="128" spans="2:19" outlineLevel="1">
      <c r="B128" s="25" t="s">
        <v>25</v>
      </c>
      <c r="J128" s="28">
        <v>0</v>
      </c>
      <c r="K128" s="28">
        <v>0</v>
      </c>
      <c r="L128" s="28">
        <v>0</v>
      </c>
      <c r="M128" s="28">
        <v>0</v>
      </c>
      <c r="N128" s="28">
        <v>0</v>
      </c>
      <c r="O128" s="28">
        <v>0</v>
      </c>
      <c r="P128" s="28">
        <v>0</v>
      </c>
      <c r="Q128" s="28">
        <v>0</v>
      </c>
      <c r="R128" s="28">
        <v>0</v>
      </c>
      <c r="S128" s="28">
        <v>0</v>
      </c>
    </row>
    <row r="129" spans="1:19" outlineLevel="1">
      <c r="B129" s="25" t="s">
        <v>26</v>
      </c>
      <c r="C129" s="23"/>
      <c r="D129" s="23"/>
      <c r="E129" s="23"/>
      <c r="F129" s="23"/>
      <c r="G129" s="23"/>
      <c r="H129" s="23"/>
      <c r="I129" s="23"/>
      <c r="J129" s="28">
        <v>0</v>
      </c>
      <c r="K129" s="28">
        <v>0</v>
      </c>
      <c r="L129" s="28">
        <v>0</v>
      </c>
      <c r="M129" s="28">
        <v>0</v>
      </c>
      <c r="N129" s="28">
        <v>0</v>
      </c>
      <c r="O129" s="28">
        <v>0</v>
      </c>
      <c r="P129" s="28">
        <v>0</v>
      </c>
      <c r="Q129" s="28">
        <v>0</v>
      </c>
      <c r="R129" s="28">
        <v>0</v>
      </c>
      <c r="S129" s="28">
        <v>0</v>
      </c>
    </row>
    <row r="130" spans="1:19" outlineLevel="1">
      <c r="B130" s="24" t="str">
        <f>"Current Case - "&amp;CHOOSE($K$4,B127,B128,B129)</f>
        <v>Current Case - Management Case</v>
      </c>
      <c r="C130" s="18"/>
      <c r="D130" s="18"/>
      <c r="E130" s="18"/>
      <c r="F130" s="18"/>
      <c r="G130" s="18"/>
      <c r="H130" s="18"/>
      <c r="I130" s="18"/>
      <c r="J130" s="45">
        <f>CHOOSE($K$4,J127,J128,J129)</f>
        <v>0</v>
      </c>
      <c r="K130" s="45">
        <f t="shared" ref="K130:N130" si="62">CHOOSE($K$4,K127,K128,K129)</f>
        <v>0</v>
      </c>
      <c r="L130" s="45">
        <f t="shared" si="62"/>
        <v>0</v>
      </c>
      <c r="M130" s="45">
        <f t="shared" si="62"/>
        <v>0</v>
      </c>
      <c r="N130" s="45">
        <f t="shared" si="62"/>
        <v>0</v>
      </c>
      <c r="O130" s="45">
        <f t="shared" ref="O130:S130" si="63">CHOOSE($K$4,O127,O128,O129)</f>
        <v>0</v>
      </c>
      <c r="P130" s="45">
        <f t="shared" si="63"/>
        <v>0</v>
      </c>
      <c r="Q130" s="45">
        <f t="shared" si="63"/>
        <v>0</v>
      </c>
      <c r="R130" s="45">
        <f t="shared" si="63"/>
        <v>0</v>
      </c>
      <c r="S130" s="45">
        <f t="shared" si="63"/>
        <v>0</v>
      </c>
    </row>
    <row r="131" spans="1:19" outlineLevel="1"/>
    <row r="133" spans="1:19" ht="15.6">
      <c r="A133" t="s">
        <v>23</v>
      </c>
      <c r="B133" s="491" t="s">
        <v>652</v>
      </c>
      <c r="C133" s="492"/>
      <c r="D133" s="492"/>
      <c r="E133" s="492"/>
      <c r="F133" s="492"/>
      <c r="G133" s="492"/>
      <c r="H133" s="492"/>
      <c r="I133" s="492"/>
      <c r="J133" s="492"/>
      <c r="K133" s="492"/>
      <c r="L133" s="492"/>
      <c r="M133" s="492"/>
      <c r="N133" s="492"/>
      <c r="O133" s="492"/>
      <c r="P133" s="492"/>
      <c r="Q133" s="492"/>
      <c r="R133" s="492"/>
      <c r="S133" s="492"/>
    </row>
    <row r="134" spans="1:19" outlineLevel="1"/>
    <row r="135" spans="1:19" outlineLevel="1">
      <c r="B135" s="20" t="s">
        <v>35</v>
      </c>
    </row>
    <row r="136" spans="1:19" outlineLevel="1">
      <c r="B136" s="25" t="s">
        <v>24</v>
      </c>
      <c r="C136" s="23"/>
      <c r="D136" s="23"/>
      <c r="E136" s="23"/>
      <c r="F136" s="23"/>
      <c r="G136" s="23"/>
      <c r="H136" s="23"/>
      <c r="I136" s="23"/>
      <c r="J136" s="28">
        <v>0.25</v>
      </c>
      <c r="K136" s="28">
        <v>0.25</v>
      </c>
      <c r="L136" s="28">
        <v>0.25</v>
      </c>
      <c r="M136" s="28">
        <v>0.25</v>
      </c>
      <c r="N136" s="28">
        <v>0.25</v>
      </c>
      <c r="O136" s="28">
        <v>0.25</v>
      </c>
      <c r="P136" s="28">
        <v>0.25</v>
      </c>
      <c r="Q136" s="28">
        <v>0.25</v>
      </c>
      <c r="R136" s="28">
        <v>0.25</v>
      </c>
      <c r="S136" s="28">
        <v>0.25</v>
      </c>
    </row>
    <row r="137" spans="1:19" outlineLevel="1">
      <c r="B137" s="25" t="s">
        <v>25</v>
      </c>
      <c r="J137" s="28">
        <v>0.25</v>
      </c>
      <c r="K137" s="28">
        <v>0.25</v>
      </c>
      <c r="L137" s="28">
        <v>0.25</v>
      </c>
      <c r="M137" s="28">
        <v>0.25</v>
      </c>
      <c r="N137" s="28">
        <v>0.25</v>
      </c>
      <c r="O137" s="28">
        <v>0.25</v>
      </c>
      <c r="P137" s="28">
        <v>0.25</v>
      </c>
      <c r="Q137" s="28">
        <v>0.25</v>
      </c>
      <c r="R137" s="28">
        <v>0.25</v>
      </c>
      <c r="S137" s="28">
        <v>0.25</v>
      </c>
    </row>
    <row r="138" spans="1:19" outlineLevel="1">
      <c r="B138" s="25" t="s">
        <v>26</v>
      </c>
      <c r="C138" s="23"/>
      <c r="D138" s="23"/>
      <c r="E138" s="23"/>
      <c r="F138" s="23"/>
      <c r="G138" s="23"/>
      <c r="H138" s="23"/>
      <c r="I138" s="23"/>
      <c r="J138" s="28">
        <v>0.25</v>
      </c>
      <c r="K138" s="28">
        <v>0.25</v>
      </c>
      <c r="L138" s="28">
        <v>0.25</v>
      </c>
      <c r="M138" s="28">
        <v>0.25</v>
      </c>
      <c r="N138" s="28">
        <v>0.25</v>
      </c>
      <c r="O138" s="28">
        <v>0.25</v>
      </c>
      <c r="P138" s="28">
        <v>0.25</v>
      </c>
      <c r="Q138" s="28">
        <v>0.25</v>
      </c>
      <c r="R138" s="28">
        <v>0.25</v>
      </c>
      <c r="S138" s="28">
        <v>0.25</v>
      </c>
    </row>
    <row r="139" spans="1:19" outlineLevel="1">
      <c r="B139" s="24" t="str">
        <f>"Current Case - "&amp;CHOOSE($K$4,B136,B137,B138)</f>
        <v>Current Case - Management Case</v>
      </c>
      <c r="C139" s="18"/>
      <c r="D139" s="18"/>
      <c r="E139" s="18"/>
      <c r="F139" s="18"/>
      <c r="G139" s="18"/>
      <c r="H139" s="18"/>
      <c r="I139" s="18"/>
      <c r="J139" s="45">
        <f>CHOOSE($K$4,J136,J137,J138)</f>
        <v>0.25</v>
      </c>
      <c r="K139" s="45">
        <f t="shared" ref="K139:N139" si="64">CHOOSE($K$4,K136,K137,K138)</f>
        <v>0.25</v>
      </c>
      <c r="L139" s="45">
        <f t="shared" si="64"/>
        <v>0.25</v>
      </c>
      <c r="M139" s="45">
        <f t="shared" si="64"/>
        <v>0.25</v>
      </c>
      <c r="N139" s="45">
        <f t="shared" si="64"/>
        <v>0.25</v>
      </c>
      <c r="O139" s="45">
        <f t="shared" ref="O139:S139" si="65">CHOOSE($K$4,O136,O137,O138)</f>
        <v>0.25</v>
      </c>
      <c r="P139" s="45">
        <f t="shared" si="65"/>
        <v>0.25</v>
      </c>
      <c r="Q139" s="45">
        <f t="shared" si="65"/>
        <v>0.25</v>
      </c>
      <c r="R139" s="45">
        <f t="shared" si="65"/>
        <v>0.25</v>
      </c>
      <c r="S139" s="45">
        <f t="shared" si="65"/>
        <v>0.25</v>
      </c>
    </row>
    <row r="141" spans="1:19" ht="15.6">
      <c r="A141" t="s">
        <v>23</v>
      </c>
      <c r="B141" s="491" t="s">
        <v>607</v>
      </c>
      <c r="C141" s="492"/>
      <c r="D141" s="492"/>
      <c r="E141" s="492"/>
      <c r="F141" s="492"/>
      <c r="G141" s="492"/>
      <c r="H141" s="492"/>
      <c r="I141" s="492"/>
      <c r="J141" s="492"/>
      <c r="K141" s="492"/>
      <c r="L141" s="492"/>
      <c r="M141" s="492"/>
      <c r="N141" s="492"/>
      <c r="O141" s="492"/>
      <c r="P141" s="492"/>
      <c r="Q141" s="492"/>
      <c r="R141" s="492"/>
      <c r="S141" s="492"/>
    </row>
    <row r="142" spans="1:19" outlineLevel="1"/>
    <row r="143" spans="1:19" outlineLevel="1">
      <c r="B143" s="20" t="s">
        <v>389</v>
      </c>
    </row>
    <row r="144" spans="1:19" outlineLevel="1">
      <c r="B144" s="25" t="s">
        <v>24</v>
      </c>
      <c r="C144" s="23"/>
      <c r="D144" s="23"/>
      <c r="E144" s="23"/>
      <c r="F144" s="23"/>
      <c r="G144" s="23"/>
      <c r="H144" s="23"/>
      <c r="I144" s="23"/>
      <c r="J144" s="260">
        <v>0.05</v>
      </c>
      <c r="K144" s="260">
        <v>0.05</v>
      </c>
      <c r="L144" s="260">
        <v>0.05</v>
      </c>
      <c r="M144" s="260">
        <v>0.02</v>
      </c>
      <c r="N144" s="260">
        <v>0.02</v>
      </c>
      <c r="O144" s="260">
        <v>0.02</v>
      </c>
      <c r="P144" s="260">
        <v>0.02</v>
      </c>
      <c r="Q144" s="260">
        <v>0.02</v>
      </c>
      <c r="R144" s="260">
        <v>0.02</v>
      </c>
      <c r="S144" s="260">
        <v>0.02</v>
      </c>
    </row>
    <row r="145" spans="1:19" outlineLevel="1">
      <c r="B145" s="25" t="s">
        <v>25</v>
      </c>
      <c r="J145" s="260">
        <v>0.05</v>
      </c>
      <c r="K145" s="260">
        <v>0.05</v>
      </c>
      <c r="L145" s="260">
        <v>0.05</v>
      </c>
      <c r="M145" s="260">
        <v>0.02</v>
      </c>
      <c r="N145" s="260">
        <v>0.02</v>
      </c>
      <c r="O145" s="260">
        <v>0.02</v>
      </c>
      <c r="P145" s="260">
        <v>0.02</v>
      </c>
      <c r="Q145" s="260">
        <v>0.02</v>
      </c>
      <c r="R145" s="260">
        <v>0.02</v>
      </c>
      <c r="S145" s="260">
        <v>0.02</v>
      </c>
    </row>
    <row r="146" spans="1:19" outlineLevel="1">
      <c r="B146" s="25" t="s">
        <v>26</v>
      </c>
      <c r="C146" s="23"/>
      <c r="D146" s="23"/>
      <c r="E146" s="23"/>
      <c r="F146" s="23"/>
      <c r="G146" s="23"/>
      <c r="H146" s="23"/>
      <c r="I146" s="23"/>
      <c r="J146" s="260">
        <v>0.05</v>
      </c>
      <c r="K146" s="260">
        <v>0.05</v>
      </c>
      <c r="L146" s="260">
        <v>0.05</v>
      </c>
      <c r="M146" s="260">
        <v>0.02</v>
      </c>
      <c r="N146" s="260">
        <v>0.02</v>
      </c>
      <c r="O146" s="260">
        <v>0.02</v>
      </c>
      <c r="P146" s="260">
        <v>0.02</v>
      </c>
      <c r="Q146" s="260">
        <v>0.02</v>
      </c>
      <c r="R146" s="260">
        <v>0.02</v>
      </c>
      <c r="S146" s="260">
        <v>0.02</v>
      </c>
    </row>
    <row r="147" spans="1:19" outlineLevel="1">
      <c r="B147" s="24" t="str">
        <f>"Current Case - "&amp;CHOOSE($K$4,B144,B145,B146)</f>
        <v>Current Case - Management Case</v>
      </c>
      <c r="C147" s="18"/>
      <c r="D147" s="18"/>
      <c r="E147" s="18"/>
      <c r="F147" s="18"/>
      <c r="G147" s="18"/>
      <c r="H147" s="18"/>
      <c r="I147" s="18"/>
      <c r="J147" s="44">
        <f t="shared" ref="J147:N147" si="66">CHOOSE($K$4,J144,J145,J146)</f>
        <v>0.05</v>
      </c>
      <c r="K147" s="44">
        <f t="shared" si="66"/>
        <v>0.05</v>
      </c>
      <c r="L147" s="44">
        <f t="shared" si="66"/>
        <v>0.05</v>
      </c>
      <c r="M147" s="44">
        <f t="shared" si="66"/>
        <v>0.02</v>
      </c>
      <c r="N147" s="44">
        <f t="shared" si="66"/>
        <v>0.02</v>
      </c>
      <c r="O147" s="44">
        <f t="shared" ref="O147:S147" si="67">CHOOSE($K$4,O144,O145,O146)</f>
        <v>0.02</v>
      </c>
      <c r="P147" s="44">
        <f t="shared" si="67"/>
        <v>0.02</v>
      </c>
      <c r="Q147" s="44">
        <f t="shared" si="67"/>
        <v>0.02</v>
      </c>
      <c r="R147" s="44">
        <f t="shared" si="67"/>
        <v>0.02</v>
      </c>
      <c r="S147" s="44">
        <f t="shared" si="67"/>
        <v>0.02</v>
      </c>
    </row>
    <row r="149" spans="1:19" ht="15.6">
      <c r="A149" t="s">
        <v>23</v>
      </c>
      <c r="B149" s="491" t="s">
        <v>612</v>
      </c>
      <c r="C149" s="492"/>
      <c r="D149" s="492"/>
      <c r="E149" s="492"/>
      <c r="F149" s="492"/>
      <c r="G149" s="492"/>
      <c r="H149" s="492"/>
      <c r="I149" s="492"/>
      <c r="J149" s="492"/>
      <c r="K149" s="492"/>
      <c r="L149" s="492"/>
      <c r="M149" s="492"/>
      <c r="N149" s="492"/>
      <c r="O149" s="492"/>
      <c r="P149" s="492"/>
      <c r="Q149" s="492"/>
      <c r="R149" s="492"/>
      <c r="S149" s="492"/>
    </row>
    <row r="150" spans="1:19" outlineLevel="1"/>
    <row r="151" spans="1:19" outlineLevel="1">
      <c r="B151" s="20" t="s">
        <v>389</v>
      </c>
    </row>
    <row r="152" spans="1:19" outlineLevel="1">
      <c r="B152" s="25" t="s">
        <v>24</v>
      </c>
      <c r="C152" s="23"/>
      <c r="D152" s="23"/>
      <c r="E152" s="23"/>
      <c r="F152" s="23"/>
      <c r="G152" s="23"/>
      <c r="H152" s="23"/>
      <c r="I152" s="23"/>
      <c r="J152" s="260">
        <v>0.05</v>
      </c>
      <c r="K152" s="260">
        <v>0.05</v>
      </c>
      <c r="L152" s="260">
        <v>0.05</v>
      </c>
      <c r="M152" s="260">
        <v>7.0000000000000007E-2</v>
      </c>
      <c r="N152" s="260">
        <v>7.0000000000000007E-2</v>
      </c>
      <c r="O152" s="260">
        <v>7.0000000000000007E-2</v>
      </c>
      <c r="P152" s="260">
        <v>7.0000000000000007E-2</v>
      </c>
      <c r="Q152" s="260">
        <v>7.0000000000000007E-2</v>
      </c>
      <c r="R152" s="260">
        <v>7.0000000000000007E-2</v>
      </c>
      <c r="S152" s="260">
        <v>7.0000000000000007E-2</v>
      </c>
    </row>
    <row r="153" spans="1:19" outlineLevel="1">
      <c r="B153" s="25" t="s">
        <v>25</v>
      </c>
      <c r="J153" s="260">
        <v>0.05</v>
      </c>
      <c r="K153" s="260">
        <v>0.05</v>
      </c>
      <c r="L153" s="260">
        <v>0.05</v>
      </c>
      <c r="M153" s="260">
        <v>7.0000000000000007E-2</v>
      </c>
      <c r="N153" s="260">
        <v>7.0000000000000007E-2</v>
      </c>
      <c r="O153" s="260">
        <v>7.0000000000000007E-2</v>
      </c>
      <c r="P153" s="260">
        <v>7.0000000000000007E-2</v>
      </c>
      <c r="Q153" s="260">
        <v>7.0000000000000007E-2</v>
      </c>
      <c r="R153" s="260">
        <v>7.0000000000000007E-2</v>
      </c>
      <c r="S153" s="260">
        <v>7.0000000000000007E-2</v>
      </c>
    </row>
    <row r="154" spans="1:19" outlineLevel="1">
      <c r="B154" s="25" t="s">
        <v>26</v>
      </c>
      <c r="C154" s="23"/>
      <c r="D154" s="23"/>
      <c r="E154" s="23"/>
      <c r="F154" s="23"/>
      <c r="G154" s="23"/>
      <c r="H154" s="23"/>
      <c r="I154" s="23"/>
      <c r="J154" s="260">
        <v>0.05</v>
      </c>
      <c r="K154" s="260">
        <v>0.05</v>
      </c>
      <c r="L154" s="260">
        <v>0.05</v>
      </c>
      <c r="M154" s="260">
        <v>7.0000000000000007E-2</v>
      </c>
      <c r="N154" s="260">
        <v>7.0000000000000007E-2</v>
      </c>
      <c r="O154" s="260">
        <v>7.0000000000000007E-2</v>
      </c>
      <c r="P154" s="260">
        <v>7.0000000000000007E-2</v>
      </c>
      <c r="Q154" s="260">
        <v>7.0000000000000007E-2</v>
      </c>
      <c r="R154" s="260">
        <v>7.0000000000000007E-2</v>
      </c>
      <c r="S154" s="260">
        <v>7.0000000000000007E-2</v>
      </c>
    </row>
    <row r="155" spans="1:19" outlineLevel="1">
      <c r="B155" s="24" t="str">
        <f>"Current Case - "&amp;CHOOSE($K$4,B152,B153,B154)</f>
        <v>Current Case - Management Case</v>
      </c>
      <c r="C155" s="18"/>
      <c r="D155" s="18"/>
      <c r="E155" s="18"/>
      <c r="F155" s="18"/>
      <c r="G155" s="18"/>
      <c r="H155" s="18"/>
      <c r="I155" s="18"/>
      <c r="J155" s="44">
        <f>CHOOSE($K$4,J152,J153,J154)</f>
        <v>0.05</v>
      </c>
      <c r="K155" s="44">
        <f t="shared" ref="K155:N155" si="68">CHOOSE($K$4,K152,K153,K154)</f>
        <v>0.05</v>
      </c>
      <c r="L155" s="44">
        <f t="shared" si="68"/>
        <v>0.05</v>
      </c>
      <c r="M155" s="44">
        <f t="shared" si="68"/>
        <v>7.0000000000000007E-2</v>
      </c>
      <c r="N155" s="44">
        <f t="shared" si="68"/>
        <v>7.0000000000000007E-2</v>
      </c>
      <c r="O155" s="44">
        <f t="shared" ref="O155:S155" si="69">CHOOSE($K$4,O152,O153,O154)</f>
        <v>7.0000000000000007E-2</v>
      </c>
      <c r="P155" s="44">
        <f t="shared" si="69"/>
        <v>7.0000000000000007E-2</v>
      </c>
      <c r="Q155" s="44">
        <f t="shared" si="69"/>
        <v>7.0000000000000007E-2</v>
      </c>
      <c r="R155" s="44">
        <f t="shared" si="69"/>
        <v>7.0000000000000007E-2</v>
      </c>
      <c r="S155" s="44">
        <f t="shared" si="69"/>
        <v>7.0000000000000007E-2</v>
      </c>
    </row>
    <row r="157" spans="1:19" ht="15.6">
      <c r="A157" t="s">
        <v>23</v>
      </c>
      <c r="B157" s="491" t="s">
        <v>659</v>
      </c>
      <c r="C157" s="492"/>
      <c r="D157" s="492"/>
      <c r="E157" s="492"/>
      <c r="F157" s="492"/>
      <c r="G157" s="492"/>
      <c r="H157" s="492"/>
      <c r="I157" s="492"/>
      <c r="J157" s="492"/>
      <c r="K157" s="492"/>
      <c r="L157" s="492"/>
      <c r="M157" s="492"/>
      <c r="N157" s="492"/>
      <c r="O157" s="492"/>
      <c r="P157" s="492"/>
      <c r="Q157" s="492"/>
      <c r="R157" s="492"/>
      <c r="S157" s="492"/>
    </row>
    <row r="158" spans="1:19" outlineLevel="1"/>
    <row r="159" spans="1:19" outlineLevel="1">
      <c r="B159" s="20" t="s">
        <v>389</v>
      </c>
    </row>
    <row r="160" spans="1:19" outlineLevel="1">
      <c r="B160" s="25" t="s">
        <v>24</v>
      </c>
      <c r="C160" s="23"/>
      <c r="D160" s="23"/>
      <c r="E160" s="23"/>
      <c r="F160" s="23"/>
      <c r="G160" s="23"/>
      <c r="H160" s="23"/>
      <c r="I160" s="23"/>
      <c r="J160" s="260">
        <v>0</v>
      </c>
      <c r="K160" s="260">
        <v>0</v>
      </c>
      <c r="L160" s="260">
        <v>0</v>
      </c>
      <c r="M160" s="260">
        <v>0</v>
      </c>
      <c r="N160" s="260">
        <v>0</v>
      </c>
      <c r="O160" s="260">
        <v>0</v>
      </c>
      <c r="P160" s="260">
        <v>0</v>
      </c>
      <c r="Q160" s="260">
        <v>0</v>
      </c>
      <c r="R160" s="260">
        <v>0</v>
      </c>
      <c r="S160" s="260">
        <v>0</v>
      </c>
    </row>
    <row r="161" spans="1:19" outlineLevel="1">
      <c r="B161" s="25" t="s">
        <v>25</v>
      </c>
      <c r="J161" s="260">
        <v>0</v>
      </c>
      <c r="K161" s="260">
        <v>0</v>
      </c>
      <c r="L161" s="260">
        <v>0</v>
      </c>
      <c r="M161" s="260">
        <v>0</v>
      </c>
      <c r="N161" s="260">
        <v>0</v>
      </c>
      <c r="O161" s="260">
        <v>0</v>
      </c>
      <c r="P161" s="260">
        <v>0</v>
      </c>
      <c r="Q161" s="260">
        <v>0</v>
      </c>
      <c r="R161" s="260">
        <v>0</v>
      </c>
      <c r="S161" s="260">
        <v>0</v>
      </c>
    </row>
    <row r="162" spans="1:19" outlineLevel="1">
      <c r="B162" s="25" t="s">
        <v>26</v>
      </c>
      <c r="C162" s="23"/>
      <c r="D162" s="23"/>
      <c r="E162" s="23"/>
      <c r="F162" s="23"/>
      <c r="G162" s="23"/>
      <c r="H162" s="23"/>
      <c r="I162" s="23"/>
      <c r="J162" s="260">
        <v>0</v>
      </c>
      <c r="K162" s="260">
        <v>0</v>
      </c>
      <c r="L162" s="260">
        <v>0</v>
      </c>
      <c r="M162" s="260">
        <v>0</v>
      </c>
      <c r="N162" s="260">
        <v>0</v>
      </c>
      <c r="O162" s="260">
        <v>0</v>
      </c>
      <c r="P162" s="260">
        <v>0</v>
      </c>
      <c r="Q162" s="260">
        <v>0</v>
      </c>
      <c r="R162" s="260">
        <v>0</v>
      </c>
      <c r="S162" s="260">
        <v>0</v>
      </c>
    </row>
    <row r="163" spans="1:19" outlineLevel="1">
      <c r="B163" s="24" t="str">
        <f>"Current Case - "&amp;CHOOSE($K$4,B160,B161,B162)</f>
        <v>Current Case - Management Case</v>
      </c>
      <c r="C163" s="18"/>
      <c r="D163" s="18"/>
      <c r="E163" s="18"/>
      <c r="F163" s="18"/>
      <c r="G163" s="18"/>
      <c r="H163" s="18"/>
      <c r="I163" s="18"/>
      <c r="J163" s="44">
        <f>CHOOSE($K$4,J160,J161,J162)</f>
        <v>0</v>
      </c>
      <c r="K163" s="44">
        <f t="shared" ref="K163:N163" si="70">CHOOSE($K$4,K160,K161,K162)</f>
        <v>0</v>
      </c>
      <c r="L163" s="44">
        <f t="shared" si="70"/>
        <v>0</v>
      </c>
      <c r="M163" s="44">
        <f t="shared" si="70"/>
        <v>0</v>
      </c>
      <c r="N163" s="44">
        <f t="shared" si="70"/>
        <v>0</v>
      </c>
      <c r="O163" s="44">
        <f t="shared" ref="O163:S163" si="71">CHOOSE($K$4,O160,O161,O162)</f>
        <v>0</v>
      </c>
      <c r="P163" s="44">
        <f t="shared" si="71"/>
        <v>0</v>
      </c>
      <c r="Q163" s="44">
        <f t="shared" si="71"/>
        <v>0</v>
      </c>
      <c r="R163" s="44">
        <f t="shared" si="71"/>
        <v>0</v>
      </c>
      <c r="S163" s="44">
        <f t="shared" si="71"/>
        <v>0</v>
      </c>
    </row>
    <row r="165" spans="1:19" ht="15.6">
      <c r="A165" t="s">
        <v>23</v>
      </c>
      <c r="B165" s="491" t="s">
        <v>653</v>
      </c>
      <c r="C165" s="492"/>
      <c r="D165" s="492"/>
      <c r="E165" s="492"/>
      <c r="F165" s="492"/>
      <c r="G165" s="492"/>
      <c r="H165" s="492"/>
      <c r="I165" s="492"/>
      <c r="J165" s="492"/>
      <c r="K165" s="492"/>
      <c r="L165" s="492"/>
      <c r="M165" s="492"/>
      <c r="N165" s="492"/>
      <c r="O165" s="492"/>
      <c r="P165" s="492"/>
      <c r="Q165" s="492"/>
      <c r="R165" s="492"/>
      <c r="S165" s="492"/>
    </row>
    <row r="166" spans="1:19" outlineLevel="1"/>
    <row r="167" spans="1:19" outlineLevel="1">
      <c r="B167" s="20" t="s">
        <v>618</v>
      </c>
    </row>
    <row r="168" spans="1:19" outlineLevel="1">
      <c r="B168" s="25" t="s">
        <v>24</v>
      </c>
      <c r="C168" s="23"/>
      <c r="D168" s="23"/>
      <c r="E168" s="23"/>
      <c r="F168" s="23"/>
      <c r="G168" s="23"/>
      <c r="H168" s="23"/>
      <c r="I168" s="23"/>
      <c r="J168" s="28">
        <f>'Assumptions Working'!C872</f>
        <v>7.48340719663107E-2</v>
      </c>
      <c r="K168" s="28">
        <f>J168</f>
        <v>7.48340719663107E-2</v>
      </c>
      <c r="L168" s="28">
        <f t="shared" ref="L168:N168" si="72">K168</f>
        <v>7.48340719663107E-2</v>
      </c>
      <c r="M168" s="28">
        <f t="shared" si="72"/>
        <v>7.48340719663107E-2</v>
      </c>
      <c r="N168" s="28">
        <f t="shared" si="72"/>
        <v>7.48340719663107E-2</v>
      </c>
      <c r="O168" s="28">
        <f t="shared" ref="O168" si="73">N168</f>
        <v>7.48340719663107E-2</v>
      </c>
      <c r="P168" s="28">
        <f t="shared" ref="P168" si="74">O168</f>
        <v>7.48340719663107E-2</v>
      </c>
      <c r="Q168" s="28">
        <f t="shared" ref="Q168" si="75">P168</f>
        <v>7.48340719663107E-2</v>
      </c>
      <c r="R168" s="28">
        <f t="shared" ref="R168" si="76">Q168</f>
        <v>7.48340719663107E-2</v>
      </c>
      <c r="S168" s="28">
        <f t="shared" ref="S168" si="77">R168</f>
        <v>7.48340719663107E-2</v>
      </c>
    </row>
    <row r="169" spans="1:19" outlineLevel="1">
      <c r="B169" s="25" t="s">
        <v>25</v>
      </c>
      <c r="J169" s="28">
        <f>J168</f>
        <v>7.48340719663107E-2</v>
      </c>
      <c r="K169" s="28">
        <f t="shared" ref="K169:K170" si="78">K168</f>
        <v>7.48340719663107E-2</v>
      </c>
      <c r="L169" s="28">
        <f t="shared" ref="L169:L170" si="79">L168</f>
        <v>7.48340719663107E-2</v>
      </c>
      <c r="M169" s="28">
        <f t="shared" ref="M169:M170" si="80">M168</f>
        <v>7.48340719663107E-2</v>
      </c>
      <c r="N169" s="28">
        <f t="shared" ref="N169:S170" si="81">N168</f>
        <v>7.48340719663107E-2</v>
      </c>
      <c r="O169" s="28">
        <f t="shared" si="81"/>
        <v>7.48340719663107E-2</v>
      </c>
      <c r="P169" s="28">
        <f t="shared" si="81"/>
        <v>7.48340719663107E-2</v>
      </c>
      <c r="Q169" s="28">
        <f t="shared" si="81"/>
        <v>7.48340719663107E-2</v>
      </c>
      <c r="R169" s="28">
        <f t="shared" si="81"/>
        <v>7.48340719663107E-2</v>
      </c>
      <c r="S169" s="28">
        <f t="shared" si="81"/>
        <v>7.48340719663107E-2</v>
      </c>
    </row>
    <row r="170" spans="1:19" outlineLevel="1">
      <c r="B170" s="25" t="s">
        <v>26</v>
      </c>
      <c r="C170" s="23"/>
      <c r="D170" s="23"/>
      <c r="E170" s="23"/>
      <c r="F170" s="23"/>
      <c r="G170" s="23"/>
      <c r="H170" s="23"/>
      <c r="I170" s="23"/>
      <c r="J170" s="28">
        <f t="shared" ref="J170" si="82">J169</f>
        <v>7.48340719663107E-2</v>
      </c>
      <c r="K170" s="28">
        <f t="shared" si="78"/>
        <v>7.48340719663107E-2</v>
      </c>
      <c r="L170" s="28">
        <f t="shared" si="79"/>
        <v>7.48340719663107E-2</v>
      </c>
      <c r="M170" s="28">
        <f t="shared" si="80"/>
        <v>7.48340719663107E-2</v>
      </c>
      <c r="N170" s="28">
        <f t="shared" si="81"/>
        <v>7.48340719663107E-2</v>
      </c>
      <c r="O170" s="28">
        <f t="shared" si="81"/>
        <v>7.48340719663107E-2</v>
      </c>
      <c r="P170" s="28">
        <f t="shared" si="81"/>
        <v>7.48340719663107E-2</v>
      </c>
      <c r="Q170" s="28">
        <f t="shared" si="81"/>
        <v>7.48340719663107E-2</v>
      </c>
      <c r="R170" s="28">
        <f t="shared" si="81"/>
        <v>7.48340719663107E-2</v>
      </c>
      <c r="S170" s="28">
        <f t="shared" si="81"/>
        <v>7.48340719663107E-2</v>
      </c>
    </row>
    <row r="171" spans="1:19" outlineLevel="1">
      <c r="B171" s="24" t="str">
        <f>"Current Case - "&amp;CHOOSE($K$4,B168,B169,B170)</f>
        <v>Current Case - Management Case</v>
      </c>
      <c r="C171" s="18"/>
      <c r="D171" s="18"/>
      <c r="E171" s="18"/>
      <c r="F171" s="18"/>
      <c r="G171" s="18"/>
      <c r="H171" s="18"/>
      <c r="I171" s="18"/>
      <c r="J171" s="44">
        <f>CHOOSE($K$4,J168,J169,J170)</f>
        <v>7.48340719663107E-2</v>
      </c>
      <c r="K171" s="44">
        <f t="shared" ref="K171:N171" si="83">CHOOSE($K$4,K168,K169,K170)</f>
        <v>7.48340719663107E-2</v>
      </c>
      <c r="L171" s="44">
        <f t="shared" si="83"/>
        <v>7.48340719663107E-2</v>
      </c>
      <c r="M171" s="44">
        <f t="shared" si="83"/>
        <v>7.48340719663107E-2</v>
      </c>
      <c r="N171" s="44">
        <f t="shared" si="83"/>
        <v>7.48340719663107E-2</v>
      </c>
      <c r="O171" s="44">
        <f t="shared" ref="O171:S171" si="84">CHOOSE($K$4,O168,O169,O170)</f>
        <v>7.48340719663107E-2</v>
      </c>
      <c r="P171" s="44">
        <f t="shared" si="84"/>
        <v>7.48340719663107E-2</v>
      </c>
      <c r="Q171" s="44">
        <f t="shared" si="84"/>
        <v>7.48340719663107E-2</v>
      </c>
      <c r="R171" s="44">
        <f t="shared" si="84"/>
        <v>7.48340719663107E-2</v>
      </c>
      <c r="S171" s="44">
        <f t="shared" si="84"/>
        <v>7.48340719663107E-2</v>
      </c>
    </row>
    <row r="173" spans="1:19" ht="15.6">
      <c r="A173" t="s">
        <v>23</v>
      </c>
      <c r="B173" s="491" t="s">
        <v>654</v>
      </c>
      <c r="C173" s="492"/>
      <c r="D173" s="492"/>
      <c r="E173" s="492"/>
      <c r="F173" s="492"/>
      <c r="G173" s="492"/>
      <c r="H173" s="492"/>
      <c r="I173" s="492"/>
      <c r="J173" s="492"/>
      <c r="K173" s="492"/>
      <c r="L173" s="492"/>
      <c r="M173" s="492"/>
      <c r="N173" s="492"/>
      <c r="O173" s="492"/>
      <c r="P173" s="492"/>
      <c r="Q173" s="492"/>
      <c r="R173" s="492"/>
      <c r="S173" s="492"/>
    </row>
    <row r="174" spans="1:19" outlineLevel="1"/>
    <row r="175" spans="1:19" outlineLevel="1">
      <c r="B175" s="20" t="s">
        <v>36</v>
      </c>
    </row>
    <row r="176" spans="1:19" outlineLevel="1">
      <c r="B176" s="25" t="s">
        <v>24</v>
      </c>
      <c r="C176" s="23"/>
      <c r="D176" s="23"/>
      <c r="E176" s="23"/>
      <c r="F176" s="23"/>
      <c r="G176" s="23"/>
      <c r="H176" s="23"/>
      <c r="I176" s="23"/>
      <c r="J176" s="28">
        <v>0</v>
      </c>
      <c r="K176" s="28">
        <v>0</v>
      </c>
      <c r="L176" s="28">
        <v>0</v>
      </c>
      <c r="M176" s="28">
        <v>0</v>
      </c>
      <c r="N176" s="28">
        <v>0</v>
      </c>
      <c r="O176" s="28">
        <v>0</v>
      </c>
      <c r="P176" s="28">
        <v>0</v>
      </c>
      <c r="Q176" s="28">
        <v>0</v>
      </c>
      <c r="R176" s="28">
        <v>0</v>
      </c>
      <c r="S176" s="28">
        <v>0</v>
      </c>
    </row>
    <row r="177" spans="1:19" outlineLevel="1">
      <c r="B177" s="25" t="s">
        <v>25</v>
      </c>
      <c r="J177" s="28">
        <v>0</v>
      </c>
      <c r="K177" s="28">
        <v>0</v>
      </c>
      <c r="L177" s="28">
        <v>0</v>
      </c>
      <c r="M177" s="28">
        <v>0</v>
      </c>
      <c r="N177" s="28">
        <v>0</v>
      </c>
      <c r="O177" s="28">
        <v>0</v>
      </c>
      <c r="P177" s="28">
        <v>0</v>
      </c>
      <c r="Q177" s="28">
        <v>0</v>
      </c>
      <c r="R177" s="28">
        <v>0</v>
      </c>
      <c r="S177" s="28">
        <v>0</v>
      </c>
    </row>
    <row r="178" spans="1:19" outlineLevel="1">
      <c r="B178" s="25" t="s">
        <v>26</v>
      </c>
      <c r="C178" s="23"/>
      <c r="D178" s="23"/>
      <c r="E178" s="23"/>
      <c r="F178" s="23"/>
      <c r="G178" s="23"/>
      <c r="H178" s="23"/>
      <c r="I178" s="23"/>
      <c r="J178" s="28">
        <v>0</v>
      </c>
      <c r="K178" s="28">
        <v>0</v>
      </c>
      <c r="L178" s="28">
        <v>0</v>
      </c>
      <c r="M178" s="28">
        <v>0</v>
      </c>
      <c r="N178" s="28">
        <v>0</v>
      </c>
      <c r="O178" s="28">
        <v>0</v>
      </c>
      <c r="P178" s="28">
        <v>0</v>
      </c>
      <c r="Q178" s="28">
        <v>0</v>
      </c>
      <c r="R178" s="28">
        <v>0</v>
      </c>
      <c r="S178" s="28">
        <v>0</v>
      </c>
    </row>
    <row r="179" spans="1:19" outlineLevel="1">
      <c r="B179" s="24" t="str">
        <f>"Current Case - "&amp;CHOOSE($K$4,B176,B177,B178)</f>
        <v>Current Case - Management Case</v>
      </c>
      <c r="C179" s="18"/>
      <c r="D179" s="18"/>
      <c r="E179" s="18"/>
      <c r="F179" s="18"/>
      <c r="G179" s="18"/>
      <c r="H179" s="18"/>
      <c r="I179" s="18"/>
      <c r="J179" s="44">
        <f>CHOOSE($K$4,J176,J177,J178)</f>
        <v>0</v>
      </c>
      <c r="K179" s="44">
        <f t="shared" ref="K179" si="85">CHOOSE($K$4,K176,K177,K178)</f>
        <v>0</v>
      </c>
      <c r="L179" s="44">
        <f t="shared" ref="L179" si="86">CHOOSE($K$4,L176,L177,L178)</f>
        <v>0</v>
      </c>
      <c r="M179" s="44">
        <f t="shared" ref="M179" si="87">CHOOSE($K$4,M176,M177,M178)</f>
        <v>0</v>
      </c>
      <c r="N179" s="44">
        <f t="shared" ref="N179:S179" si="88">CHOOSE($K$4,N176,N177,N178)</f>
        <v>0</v>
      </c>
      <c r="O179" s="44">
        <f t="shared" si="88"/>
        <v>0</v>
      </c>
      <c r="P179" s="44">
        <f t="shared" si="88"/>
        <v>0</v>
      </c>
      <c r="Q179" s="44">
        <f t="shared" si="88"/>
        <v>0</v>
      </c>
      <c r="R179" s="44">
        <f t="shared" si="88"/>
        <v>0</v>
      </c>
      <c r="S179" s="44">
        <f t="shared" si="88"/>
        <v>0</v>
      </c>
    </row>
    <row r="181" spans="1:19" ht="15.6">
      <c r="A181" t="s">
        <v>23</v>
      </c>
      <c r="B181" s="491" t="s">
        <v>554</v>
      </c>
      <c r="C181" s="492"/>
      <c r="D181" s="492"/>
      <c r="E181" s="492"/>
      <c r="F181" s="492"/>
      <c r="G181" s="492"/>
      <c r="H181" s="492"/>
      <c r="I181" s="492"/>
      <c r="J181" s="492"/>
      <c r="K181" s="492"/>
      <c r="L181" s="492"/>
      <c r="M181" s="492"/>
      <c r="N181" s="492"/>
      <c r="O181" s="492"/>
      <c r="P181" s="492"/>
      <c r="Q181" s="492"/>
      <c r="R181" s="492"/>
      <c r="S181" s="492"/>
    </row>
    <row r="182" spans="1:19" outlineLevel="1"/>
    <row r="183" spans="1:19" outlineLevel="1">
      <c r="B183" s="20" t="s">
        <v>515</v>
      </c>
    </row>
    <row r="184" spans="1:19" outlineLevel="1">
      <c r="B184" s="25" t="s">
        <v>24</v>
      </c>
      <c r="C184" s="23"/>
      <c r="D184" s="23"/>
      <c r="E184" s="23"/>
      <c r="F184" s="23"/>
      <c r="G184" s="23"/>
      <c r="H184" s="23"/>
      <c r="I184" s="23"/>
      <c r="J184" s="28">
        <v>0.03</v>
      </c>
      <c r="K184" s="28">
        <v>0.03</v>
      </c>
      <c r="L184" s="28">
        <v>0.03</v>
      </c>
      <c r="M184" s="28">
        <v>0.03</v>
      </c>
      <c r="N184" s="28">
        <v>0.03</v>
      </c>
      <c r="O184" s="28">
        <v>0.03</v>
      </c>
      <c r="P184" s="28">
        <v>0.03</v>
      </c>
      <c r="Q184" s="28">
        <v>0.03</v>
      </c>
      <c r="R184" s="28">
        <v>0.03</v>
      </c>
      <c r="S184" s="28">
        <v>0.03</v>
      </c>
    </row>
    <row r="185" spans="1:19" outlineLevel="1">
      <c r="B185" s="25" t="s">
        <v>25</v>
      </c>
      <c r="J185" s="28">
        <v>0.03</v>
      </c>
      <c r="K185" s="28">
        <v>0.03</v>
      </c>
      <c r="L185" s="28">
        <v>0.03</v>
      </c>
      <c r="M185" s="28">
        <v>0.03</v>
      </c>
      <c r="N185" s="28">
        <v>0.03</v>
      </c>
      <c r="O185" s="28">
        <v>0.03</v>
      </c>
      <c r="P185" s="28">
        <v>0.03</v>
      </c>
      <c r="Q185" s="28">
        <v>0.03</v>
      </c>
      <c r="R185" s="28">
        <v>0.03</v>
      </c>
      <c r="S185" s="28">
        <v>0.03</v>
      </c>
    </row>
    <row r="186" spans="1:19" outlineLevel="1">
      <c r="B186" s="25" t="s">
        <v>26</v>
      </c>
      <c r="C186" s="23"/>
      <c r="D186" s="23"/>
      <c r="E186" s="23"/>
      <c r="F186" s="23"/>
      <c r="G186" s="23"/>
      <c r="H186" s="23"/>
      <c r="I186" s="23"/>
      <c r="J186" s="28">
        <v>0.03</v>
      </c>
      <c r="K186" s="28">
        <v>0.03</v>
      </c>
      <c r="L186" s="28">
        <v>0.03</v>
      </c>
      <c r="M186" s="28">
        <v>0.03</v>
      </c>
      <c r="N186" s="28">
        <v>0.03</v>
      </c>
      <c r="O186" s="28">
        <v>0.03</v>
      </c>
      <c r="P186" s="28">
        <v>0.03</v>
      </c>
      <c r="Q186" s="28">
        <v>0.03</v>
      </c>
      <c r="R186" s="28">
        <v>0.03</v>
      </c>
      <c r="S186" s="28">
        <v>0.03</v>
      </c>
    </row>
    <row r="187" spans="1:19" outlineLevel="1">
      <c r="B187" s="24" t="str">
        <f>"Current Case - "&amp;CHOOSE($K$4,B184,B185,B186)</f>
        <v>Current Case - Management Case</v>
      </c>
      <c r="C187" s="18"/>
      <c r="D187" s="18"/>
      <c r="E187" s="18"/>
      <c r="F187" s="18"/>
      <c r="G187" s="18"/>
      <c r="H187" s="18"/>
      <c r="I187" s="18"/>
      <c r="J187" s="44">
        <f>CHOOSE($K$4,J184,J185,J186)</f>
        <v>0.03</v>
      </c>
      <c r="K187" s="44">
        <f t="shared" ref="K187:N187" si="89">CHOOSE($K$4,K184,K185,K186)</f>
        <v>0.03</v>
      </c>
      <c r="L187" s="44">
        <f t="shared" si="89"/>
        <v>0.03</v>
      </c>
      <c r="M187" s="44">
        <f t="shared" si="89"/>
        <v>0.03</v>
      </c>
      <c r="N187" s="44">
        <f t="shared" si="89"/>
        <v>0.03</v>
      </c>
      <c r="O187" s="44">
        <f t="shared" ref="O187:S187" si="90">CHOOSE($K$4,O184,O185,O186)</f>
        <v>0.03</v>
      </c>
      <c r="P187" s="44">
        <f t="shared" si="90"/>
        <v>0.03</v>
      </c>
      <c r="Q187" s="44">
        <f t="shared" si="90"/>
        <v>0.03</v>
      </c>
      <c r="R187" s="44">
        <f t="shared" si="90"/>
        <v>0.03</v>
      </c>
      <c r="S187" s="44">
        <f t="shared" si="90"/>
        <v>0.03</v>
      </c>
    </row>
    <row r="189" spans="1:19" ht="15.6">
      <c r="A189" t="s">
        <v>23</v>
      </c>
      <c r="B189" s="491" t="s">
        <v>11</v>
      </c>
      <c r="C189" s="492"/>
      <c r="D189" s="492"/>
      <c r="E189" s="492"/>
      <c r="F189" s="492"/>
      <c r="G189" s="492"/>
      <c r="H189" s="492"/>
      <c r="I189" s="492"/>
      <c r="J189" s="492"/>
      <c r="K189" s="492"/>
      <c r="L189" s="492"/>
      <c r="M189" s="492"/>
      <c r="N189" s="492"/>
      <c r="O189" s="492"/>
      <c r="P189" s="492"/>
      <c r="Q189" s="492"/>
      <c r="R189" s="492"/>
      <c r="S189" s="492"/>
    </row>
    <row r="190" spans="1:19" outlineLevel="1"/>
    <row r="191" spans="1:19" outlineLevel="1">
      <c r="B191" s="20" t="s">
        <v>515</v>
      </c>
    </row>
    <row r="192" spans="1:19" outlineLevel="1">
      <c r="B192" s="25" t="s">
        <v>24</v>
      </c>
      <c r="C192" s="23"/>
      <c r="D192" s="23"/>
      <c r="E192" s="23"/>
      <c r="F192" s="23"/>
      <c r="G192" s="23"/>
      <c r="H192" s="23"/>
      <c r="I192" s="23"/>
      <c r="J192" s="28">
        <v>6.9000000000000006E-2</v>
      </c>
      <c r="K192" s="28">
        <v>6.9000000000000006E-2</v>
      </c>
      <c r="L192" s="28">
        <v>6.9000000000000006E-2</v>
      </c>
      <c r="M192" s="28">
        <v>6.9000000000000006E-2</v>
      </c>
      <c r="N192" s="28">
        <v>6.9000000000000006E-2</v>
      </c>
      <c r="O192" s="28">
        <v>6.9000000000000006E-2</v>
      </c>
      <c r="P192" s="28">
        <v>6.9000000000000006E-2</v>
      </c>
      <c r="Q192" s="28">
        <v>6.9000000000000006E-2</v>
      </c>
      <c r="R192" s="28">
        <v>6.9000000000000006E-2</v>
      </c>
      <c r="S192" s="28">
        <v>6.9000000000000006E-2</v>
      </c>
    </row>
    <row r="193" spans="1:19" outlineLevel="1">
      <c r="B193" s="25" t="s">
        <v>25</v>
      </c>
      <c r="J193" s="28">
        <v>6.9000000000000006E-2</v>
      </c>
      <c r="K193" s="28">
        <v>6.9000000000000006E-2</v>
      </c>
      <c r="L193" s="28">
        <v>6.9000000000000006E-2</v>
      </c>
      <c r="M193" s="28">
        <v>6.9000000000000006E-2</v>
      </c>
      <c r="N193" s="28">
        <v>6.9000000000000006E-2</v>
      </c>
      <c r="O193" s="28">
        <v>6.9000000000000006E-2</v>
      </c>
      <c r="P193" s="28">
        <v>6.9000000000000006E-2</v>
      </c>
      <c r="Q193" s="28">
        <v>6.9000000000000006E-2</v>
      </c>
      <c r="R193" s="28">
        <v>6.9000000000000006E-2</v>
      </c>
      <c r="S193" s="28">
        <v>6.9000000000000006E-2</v>
      </c>
    </row>
    <row r="194" spans="1:19" outlineLevel="1">
      <c r="B194" s="25" t="s">
        <v>26</v>
      </c>
      <c r="C194" s="23"/>
      <c r="D194" s="23"/>
      <c r="E194" s="23"/>
      <c r="F194" s="23"/>
      <c r="G194" s="23"/>
      <c r="H194" s="23"/>
      <c r="I194" s="23"/>
      <c r="J194" s="28">
        <v>6.9000000000000006E-2</v>
      </c>
      <c r="K194" s="28">
        <v>6.9000000000000006E-2</v>
      </c>
      <c r="L194" s="28">
        <v>6.9000000000000006E-2</v>
      </c>
      <c r="M194" s="28">
        <v>6.9000000000000006E-2</v>
      </c>
      <c r="N194" s="28">
        <v>6.9000000000000006E-2</v>
      </c>
      <c r="O194" s="28">
        <v>6.9000000000000006E-2</v>
      </c>
      <c r="P194" s="28">
        <v>6.9000000000000006E-2</v>
      </c>
      <c r="Q194" s="28">
        <v>6.9000000000000006E-2</v>
      </c>
      <c r="R194" s="28">
        <v>6.9000000000000006E-2</v>
      </c>
      <c r="S194" s="28">
        <v>6.9000000000000006E-2</v>
      </c>
    </row>
    <row r="195" spans="1:19" outlineLevel="1">
      <c r="B195" s="24" t="str">
        <f>"Current Case - "&amp;CHOOSE($K$4,B192,B193,B194)</f>
        <v>Current Case - Management Case</v>
      </c>
      <c r="C195" s="18"/>
      <c r="D195" s="18"/>
      <c r="E195" s="18"/>
      <c r="F195" s="18"/>
      <c r="G195" s="18"/>
      <c r="H195" s="18"/>
      <c r="I195" s="18"/>
      <c r="J195" s="278">
        <f>CHOOSE($K$4,J192,J193,J194)</f>
        <v>6.9000000000000006E-2</v>
      </c>
      <c r="K195" s="278">
        <f t="shared" ref="K195:N195" si="91">CHOOSE($K$4,K192,K193,K194)</f>
        <v>6.9000000000000006E-2</v>
      </c>
      <c r="L195" s="278">
        <f t="shared" si="91"/>
        <v>6.9000000000000006E-2</v>
      </c>
      <c r="M195" s="278">
        <f t="shared" si="91"/>
        <v>6.9000000000000006E-2</v>
      </c>
      <c r="N195" s="278">
        <f t="shared" si="91"/>
        <v>6.9000000000000006E-2</v>
      </c>
      <c r="O195" s="278">
        <f t="shared" ref="O195:S195" si="92">CHOOSE($K$4,O192,O193,O194)</f>
        <v>6.9000000000000006E-2</v>
      </c>
      <c r="P195" s="278">
        <f t="shared" si="92"/>
        <v>6.9000000000000006E-2</v>
      </c>
      <c r="Q195" s="278">
        <f t="shared" si="92"/>
        <v>6.9000000000000006E-2</v>
      </c>
      <c r="R195" s="278">
        <f t="shared" si="92"/>
        <v>6.9000000000000006E-2</v>
      </c>
      <c r="S195" s="278">
        <f t="shared" si="92"/>
        <v>6.9000000000000006E-2</v>
      </c>
    </row>
    <row r="197" spans="1:19" ht="15.6">
      <c r="A197" t="s">
        <v>23</v>
      </c>
      <c r="B197" s="491" t="s">
        <v>212</v>
      </c>
      <c r="C197" s="492"/>
      <c r="D197" s="492"/>
      <c r="E197" s="492"/>
      <c r="F197" s="492"/>
      <c r="G197" s="492"/>
      <c r="H197" s="492"/>
      <c r="I197" s="492"/>
      <c r="J197" s="492"/>
      <c r="K197" s="492"/>
      <c r="L197" s="492"/>
      <c r="M197" s="492"/>
      <c r="N197" s="492"/>
      <c r="O197" s="492"/>
      <c r="P197" s="492"/>
      <c r="Q197" s="492"/>
      <c r="R197" s="492"/>
      <c r="S197" s="492"/>
    </row>
    <row r="198" spans="1:19" outlineLevel="1"/>
    <row r="199" spans="1:19" outlineLevel="1">
      <c r="B199" s="20" t="s">
        <v>515</v>
      </c>
    </row>
    <row r="200" spans="1:19" outlineLevel="1">
      <c r="B200" s="25" t="s">
        <v>24</v>
      </c>
      <c r="C200" s="23"/>
      <c r="D200" s="23"/>
      <c r="E200" s="23"/>
      <c r="F200" s="23"/>
      <c r="G200" s="23"/>
      <c r="H200" s="23"/>
      <c r="I200" s="23"/>
      <c r="J200" s="28">
        <v>0</v>
      </c>
      <c r="K200" s="28">
        <v>0</v>
      </c>
      <c r="L200" s="28">
        <v>0</v>
      </c>
      <c r="M200" s="28">
        <v>0</v>
      </c>
      <c r="N200" s="28">
        <v>0</v>
      </c>
      <c r="O200" s="28">
        <v>0</v>
      </c>
      <c r="P200" s="28">
        <v>0</v>
      </c>
      <c r="Q200" s="28">
        <v>0</v>
      </c>
      <c r="R200" s="28">
        <v>0</v>
      </c>
      <c r="S200" s="28">
        <v>0</v>
      </c>
    </row>
    <row r="201" spans="1:19" outlineLevel="1">
      <c r="B201" s="25" t="s">
        <v>25</v>
      </c>
      <c r="J201" s="28">
        <v>0</v>
      </c>
      <c r="K201" s="28">
        <v>0</v>
      </c>
      <c r="L201" s="28">
        <v>0</v>
      </c>
      <c r="M201" s="28">
        <v>0</v>
      </c>
      <c r="N201" s="28">
        <v>0</v>
      </c>
      <c r="O201" s="28">
        <v>0</v>
      </c>
      <c r="P201" s="28">
        <v>0</v>
      </c>
      <c r="Q201" s="28">
        <v>0</v>
      </c>
      <c r="R201" s="28">
        <v>0</v>
      </c>
      <c r="S201" s="28">
        <v>0</v>
      </c>
    </row>
    <row r="202" spans="1:19" outlineLevel="1">
      <c r="B202" s="25" t="s">
        <v>26</v>
      </c>
      <c r="C202" s="23"/>
      <c r="D202" s="23"/>
      <c r="E202" s="23"/>
      <c r="F202" s="23"/>
      <c r="G202" s="23"/>
      <c r="H202" s="23"/>
      <c r="I202" s="23"/>
      <c r="J202" s="28">
        <v>0</v>
      </c>
      <c r="K202" s="28">
        <v>0</v>
      </c>
      <c r="L202" s="28">
        <v>0</v>
      </c>
      <c r="M202" s="28">
        <v>0</v>
      </c>
      <c r="N202" s="28">
        <v>0</v>
      </c>
      <c r="O202" s="28">
        <v>0</v>
      </c>
      <c r="P202" s="28">
        <v>0</v>
      </c>
      <c r="Q202" s="28">
        <v>0</v>
      </c>
      <c r="R202" s="28">
        <v>0</v>
      </c>
      <c r="S202" s="28">
        <v>0</v>
      </c>
    </row>
    <row r="203" spans="1:19" outlineLevel="1">
      <c r="B203" s="24" t="str">
        <f>"Current Case - "&amp;CHOOSE($K$4,B200,B201,B202)</f>
        <v>Current Case - Management Case</v>
      </c>
      <c r="C203" s="18"/>
      <c r="D203" s="18"/>
      <c r="E203" s="18"/>
      <c r="F203" s="18"/>
      <c r="G203" s="18"/>
      <c r="H203" s="18"/>
      <c r="I203" s="18"/>
      <c r="J203" s="278">
        <f>CHOOSE($K$4,J200,J201,J202)</f>
        <v>0</v>
      </c>
      <c r="K203" s="278">
        <f t="shared" ref="K203:N203" si="93">CHOOSE($K$4,K200,K201,K202)</f>
        <v>0</v>
      </c>
      <c r="L203" s="278">
        <f t="shared" si="93"/>
        <v>0</v>
      </c>
      <c r="M203" s="278">
        <f t="shared" si="93"/>
        <v>0</v>
      </c>
      <c r="N203" s="278">
        <f t="shared" si="93"/>
        <v>0</v>
      </c>
      <c r="O203" s="278">
        <f t="shared" ref="O203:S203" si="94">CHOOSE($K$4,O200,O201,O202)</f>
        <v>0</v>
      </c>
      <c r="P203" s="278">
        <f t="shared" si="94"/>
        <v>0</v>
      </c>
      <c r="Q203" s="278">
        <f t="shared" si="94"/>
        <v>0</v>
      </c>
      <c r="R203" s="278">
        <f t="shared" si="94"/>
        <v>0</v>
      </c>
      <c r="S203" s="278">
        <f t="shared" si="94"/>
        <v>0</v>
      </c>
    </row>
    <row r="205" spans="1:19" ht="15.6">
      <c r="A205" t="s">
        <v>23</v>
      </c>
      <c r="B205" s="491" t="s">
        <v>17</v>
      </c>
      <c r="C205" s="492"/>
      <c r="D205" s="492"/>
      <c r="E205" s="492"/>
      <c r="F205" s="492"/>
      <c r="G205" s="492"/>
      <c r="H205" s="492"/>
      <c r="I205" s="492"/>
      <c r="J205" s="492"/>
      <c r="K205" s="492"/>
      <c r="L205" s="492"/>
      <c r="M205" s="492"/>
      <c r="N205" s="492"/>
      <c r="O205" s="492"/>
      <c r="P205" s="492"/>
      <c r="Q205" s="492"/>
      <c r="R205" s="492"/>
      <c r="S205" s="492"/>
    </row>
    <row r="206" spans="1:19" outlineLevel="1"/>
    <row r="207" spans="1:19" outlineLevel="1">
      <c r="B207" s="20" t="s">
        <v>515</v>
      </c>
    </row>
    <row r="208" spans="1:19" outlineLevel="1">
      <c r="B208" s="25" t="s">
        <v>24</v>
      </c>
      <c r="C208" s="23"/>
      <c r="D208" s="23"/>
      <c r="E208" s="23"/>
      <c r="F208" s="23"/>
      <c r="G208" s="23"/>
      <c r="H208" s="23"/>
      <c r="I208" s="23"/>
      <c r="J208" s="28">
        <v>0</v>
      </c>
      <c r="K208" s="28">
        <v>0</v>
      </c>
      <c r="L208" s="28">
        <v>0</v>
      </c>
      <c r="M208" s="28">
        <v>0</v>
      </c>
      <c r="N208" s="28">
        <v>0</v>
      </c>
      <c r="O208" s="28">
        <v>0</v>
      </c>
      <c r="P208" s="28">
        <v>0</v>
      </c>
      <c r="Q208" s="28">
        <v>0</v>
      </c>
      <c r="R208" s="28">
        <v>0</v>
      </c>
      <c r="S208" s="28">
        <v>0</v>
      </c>
    </row>
    <row r="209" spans="1:19" outlineLevel="1">
      <c r="B209" s="25" t="s">
        <v>25</v>
      </c>
      <c r="J209" s="28">
        <v>0</v>
      </c>
      <c r="K209" s="28">
        <v>0</v>
      </c>
      <c r="L209" s="28">
        <v>0</v>
      </c>
      <c r="M209" s="28">
        <v>0</v>
      </c>
      <c r="N209" s="28">
        <v>0</v>
      </c>
      <c r="O209" s="28">
        <v>0</v>
      </c>
      <c r="P209" s="28">
        <v>0</v>
      </c>
      <c r="Q209" s="28">
        <v>0</v>
      </c>
      <c r="R209" s="28">
        <v>0</v>
      </c>
      <c r="S209" s="28">
        <v>0</v>
      </c>
    </row>
    <row r="210" spans="1:19" outlineLevel="1">
      <c r="B210" s="25" t="s">
        <v>26</v>
      </c>
      <c r="C210" s="23"/>
      <c r="D210" s="23"/>
      <c r="E210" s="23"/>
      <c r="F210" s="23"/>
      <c r="G210" s="23"/>
      <c r="H210" s="23"/>
      <c r="I210" s="23"/>
      <c r="J210" s="28">
        <v>0</v>
      </c>
      <c r="K210" s="28">
        <v>0</v>
      </c>
      <c r="L210" s="28">
        <v>0</v>
      </c>
      <c r="M210" s="28">
        <v>0</v>
      </c>
      <c r="N210" s="28">
        <v>0</v>
      </c>
      <c r="O210" s="28">
        <v>0</v>
      </c>
      <c r="P210" s="28">
        <v>0</v>
      </c>
      <c r="Q210" s="28">
        <v>0</v>
      </c>
      <c r="R210" s="28">
        <v>0</v>
      </c>
      <c r="S210" s="28">
        <v>0</v>
      </c>
    </row>
    <row r="211" spans="1:19" outlineLevel="1">
      <c r="B211" s="24" t="str">
        <f>"Current Case - "&amp;CHOOSE($K$4,B208,B209,B210)</f>
        <v>Current Case - Management Case</v>
      </c>
      <c r="C211" s="18"/>
      <c r="D211" s="18"/>
      <c r="E211" s="18"/>
      <c r="F211" s="18"/>
      <c r="G211" s="18"/>
      <c r="H211" s="18"/>
      <c r="I211" s="18"/>
      <c r="J211" s="278">
        <f>CHOOSE($K$4,J208,J209,J210)</f>
        <v>0</v>
      </c>
      <c r="K211" s="278">
        <f t="shared" ref="K211:N211" si="95">CHOOSE($K$4,K208,K209,K210)</f>
        <v>0</v>
      </c>
      <c r="L211" s="278">
        <f t="shared" si="95"/>
        <v>0</v>
      </c>
      <c r="M211" s="278">
        <f t="shared" si="95"/>
        <v>0</v>
      </c>
      <c r="N211" s="278">
        <f t="shared" si="95"/>
        <v>0</v>
      </c>
      <c r="O211" s="278">
        <f t="shared" ref="O211:S211" si="96">CHOOSE($K$4,O208,O209,O210)</f>
        <v>0</v>
      </c>
      <c r="P211" s="278">
        <f t="shared" si="96"/>
        <v>0</v>
      </c>
      <c r="Q211" s="278">
        <f t="shared" si="96"/>
        <v>0</v>
      </c>
      <c r="R211" s="278">
        <f t="shared" si="96"/>
        <v>0</v>
      </c>
      <c r="S211" s="278">
        <f t="shared" si="96"/>
        <v>0</v>
      </c>
    </row>
    <row r="213" spans="1:19" ht="15.6">
      <c r="A213" t="s">
        <v>23</v>
      </c>
      <c r="B213" s="491" t="s">
        <v>660</v>
      </c>
      <c r="C213" s="492"/>
      <c r="D213" s="492"/>
      <c r="E213" s="492"/>
      <c r="F213" s="492"/>
      <c r="G213" s="492"/>
      <c r="H213" s="492"/>
      <c r="I213" s="492"/>
      <c r="J213" s="492"/>
      <c r="K213" s="492"/>
      <c r="L213" s="492"/>
      <c r="M213" s="492"/>
      <c r="N213" s="492"/>
      <c r="O213" s="492"/>
      <c r="P213" s="492"/>
      <c r="Q213" s="492"/>
      <c r="R213" s="492"/>
      <c r="S213" s="492"/>
    </row>
    <row r="214" spans="1:19" outlineLevel="1"/>
    <row r="215" spans="1:19" outlineLevel="1">
      <c r="B215" s="20" t="s">
        <v>515</v>
      </c>
    </row>
    <row r="216" spans="1:19" outlineLevel="1">
      <c r="B216" s="25" t="s">
        <v>24</v>
      </c>
      <c r="C216" s="23"/>
      <c r="D216" s="23"/>
      <c r="E216" s="23"/>
      <c r="F216" s="23"/>
      <c r="G216" s="23"/>
      <c r="H216" s="23"/>
      <c r="I216" s="23"/>
      <c r="J216" s="28">
        <v>0</v>
      </c>
      <c r="K216" s="28">
        <v>0</v>
      </c>
      <c r="L216" s="28">
        <v>0</v>
      </c>
      <c r="M216" s="28">
        <v>0</v>
      </c>
      <c r="N216" s="28">
        <v>0</v>
      </c>
      <c r="O216" s="28">
        <v>0</v>
      </c>
      <c r="P216" s="28">
        <v>0</v>
      </c>
      <c r="Q216" s="28">
        <v>0</v>
      </c>
      <c r="R216" s="28">
        <v>0</v>
      </c>
      <c r="S216" s="28">
        <v>0</v>
      </c>
    </row>
    <row r="217" spans="1:19" outlineLevel="1">
      <c r="B217" s="25" t="s">
        <v>25</v>
      </c>
      <c r="J217" s="28">
        <v>0</v>
      </c>
      <c r="K217" s="28">
        <v>0</v>
      </c>
      <c r="L217" s="28">
        <v>0</v>
      </c>
      <c r="M217" s="28">
        <v>0</v>
      </c>
      <c r="N217" s="28">
        <v>0</v>
      </c>
      <c r="O217" s="28">
        <v>0</v>
      </c>
      <c r="P217" s="28">
        <v>0</v>
      </c>
      <c r="Q217" s="28">
        <v>0</v>
      </c>
      <c r="R217" s="28">
        <v>0</v>
      </c>
      <c r="S217" s="28">
        <v>0</v>
      </c>
    </row>
    <row r="218" spans="1:19" outlineLevel="1">
      <c r="B218" s="25" t="s">
        <v>26</v>
      </c>
      <c r="C218" s="23"/>
      <c r="D218" s="23"/>
      <c r="E218" s="23"/>
      <c r="F218" s="23"/>
      <c r="G218" s="23"/>
      <c r="H218" s="23"/>
      <c r="I218" s="23"/>
      <c r="J218" s="28">
        <v>0</v>
      </c>
      <c r="K218" s="28">
        <v>0</v>
      </c>
      <c r="L218" s="28">
        <v>0</v>
      </c>
      <c r="M218" s="28">
        <v>0</v>
      </c>
      <c r="N218" s="28">
        <v>0</v>
      </c>
      <c r="O218" s="28">
        <v>0</v>
      </c>
      <c r="P218" s="28">
        <v>0</v>
      </c>
      <c r="Q218" s="28">
        <v>0</v>
      </c>
      <c r="R218" s="28">
        <v>0</v>
      </c>
      <c r="S218" s="28">
        <v>0</v>
      </c>
    </row>
    <row r="219" spans="1:19" outlineLevel="1">
      <c r="B219" s="24" t="str">
        <f>"Current Case - "&amp;CHOOSE($K$4,B216,B217,B218)</f>
        <v>Current Case - Management Case</v>
      </c>
      <c r="C219" s="18"/>
      <c r="D219" s="18"/>
      <c r="E219" s="18"/>
      <c r="F219" s="18"/>
      <c r="G219" s="18"/>
      <c r="H219" s="18"/>
      <c r="I219" s="18"/>
      <c r="J219" s="278">
        <f>CHOOSE($K$4,J216,J217,J218)</f>
        <v>0</v>
      </c>
      <c r="K219" s="278">
        <f t="shared" ref="K219:N219" si="97">CHOOSE($K$4,K216,K217,K218)</f>
        <v>0</v>
      </c>
      <c r="L219" s="278">
        <f t="shared" si="97"/>
        <v>0</v>
      </c>
      <c r="M219" s="278">
        <f t="shared" si="97"/>
        <v>0</v>
      </c>
      <c r="N219" s="278">
        <f t="shared" si="97"/>
        <v>0</v>
      </c>
      <c r="O219" s="278">
        <f t="shared" ref="O219:S219" si="98">CHOOSE($K$4,O216,O217,O218)</f>
        <v>0</v>
      </c>
      <c r="P219" s="278">
        <f t="shared" si="98"/>
        <v>0</v>
      </c>
      <c r="Q219" s="278">
        <f t="shared" si="98"/>
        <v>0</v>
      </c>
      <c r="R219" s="278">
        <f t="shared" si="98"/>
        <v>0</v>
      </c>
      <c r="S219" s="278">
        <f t="shared" si="98"/>
        <v>0</v>
      </c>
    </row>
    <row r="221" spans="1:19" ht="15.6">
      <c r="A221" t="s">
        <v>23</v>
      </c>
      <c r="B221" s="491" t="s">
        <v>661</v>
      </c>
      <c r="C221" s="492"/>
      <c r="D221" s="492"/>
      <c r="E221" s="492"/>
      <c r="F221" s="492"/>
      <c r="G221" s="492"/>
      <c r="H221" s="492"/>
      <c r="I221" s="492"/>
      <c r="J221" s="492"/>
      <c r="K221" s="492"/>
      <c r="L221" s="492"/>
      <c r="M221" s="492"/>
      <c r="N221" s="492"/>
      <c r="O221" s="492"/>
      <c r="P221" s="492"/>
      <c r="Q221" s="492"/>
      <c r="R221" s="492"/>
      <c r="S221" s="492"/>
    </row>
    <row r="222" spans="1:19" outlineLevel="1"/>
    <row r="223" spans="1:19" outlineLevel="1">
      <c r="B223" s="20" t="s">
        <v>515</v>
      </c>
    </row>
    <row r="224" spans="1:19" outlineLevel="1">
      <c r="B224" s="25" t="s">
        <v>24</v>
      </c>
      <c r="C224" s="23"/>
      <c r="D224" s="23"/>
      <c r="E224" s="23"/>
      <c r="F224" s="23"/>
      <c r="G224" s="23"/>
      <c r="H224" s="23"/>
      <c r="I224" s="23"/>
      <c r="J224" s="28">
        <v>0</v>
      </c>
      <c r="K224" s="28">
        <v>0</v>
      </c>
      <c r="L224" s="28">
        <v>0</v>
      </c>
      <c r="M224" s="28">
        <v>0</v>
      </c>
      <c r="N224" s="28">
        <v>0</v>
      </c>
      <c r="O224" s="28">
        <v>0</v>
      </c>
      <c r="P224" s="28">
        <v>0</v>
      </c>
      <c r="Q224" s="28">
        <v>0</v>
      </c>
      <c r="R224" s="28">
        <v>0</v>
      </c>
      <c r="S224" s="28">
        <v>0</v>
      </c>
    </row>
    <row r="225" spans="2:19" outlineLevel="1">
      <c r="B225" s="25" t="s">
        <v>25</v>
      </c>
      <c r="J225" s="28">
        <v>0</v>
      </c>
      <c r="K225" s="28">
        <v>0</v>
      </c>
      <c r="L225" s="28">
        <v>0</v>
      </c>
      <c r="M225" s="28">
        <v>0</v>
      </c>
      <c r="N225" s="28">
        <v>0</v>
      </c>
      <c r="O225" s="28">
        <v>0</v>
      </c>
      <c r="P225" s="28">
        <v>0</v>
      </c>
      <c r="Q225" s="28">
        <v>0</v>
      </c>
      <c r="R225" s="28">
        <v>0</v>
      </c>
      <c r="S225" s="28">
        <v>0</v>
      </c>
    </row>
    <row r="226" spans="2:19" outlineLevel="1">
      <c r="B226" s="25" t="s">
        <v>26</v>
      </c>
      <c r="C226" s="23"/>
      <c r="D226" s="23"/>
      <c r="E226" s="23"/>
      <c r="F226" s="23"/>
      <c r="G226" s="23"/>
      <c r="H226" s="23"/>
      <c r="I226" s="23"/>
      <c r="J226" s="28">
        <v>0</v>
      </c>
      <c r="K226" s="28">
        <v>0</v>
      </c>
      <c r="L226" s="28">
        <v>0</v>
      </c>
      <c r="M226" s="28">
        <v>0</v>
      </c>
      <c r="N226" s="28">
        <v>0</v>
      </c>
      <c r="O226" s="28">
        <v>0</v>
      </c>
      <c r="P226" s="28">
        <v>0</v>
      </c>
      <c r="Q226" s="28">
        <v>0</v>
      </c>
      <c r="R226" s="28">
        <v>0</v>
      </c>
      <c r="S226" s="28">
        <v>0</v>
      </c>
    </row>
    <row r="227" spans="2:19" outlineLevel="1">
      <c r="B227" s="24" t="str">
        <f>"Current Case - "&amp;CHOOSE($K$4,B224,B225,B226)</f>
        <v>Current Case - Management Case</v>
      </c>
      <c r="C227" s="18"/>
      <c r="D227" s="18"/>
      <c r="E227" s="18"/>
      <c r="F227" s="18"/>
      <c r="G227" s="18"/>
      <c r="H227" s="18"/>
      <c r="I227" s="18"/>
      <c r="J227" s="278">
        <f t="shared" ref="J227:N227" si="99">CHOOSE($K$4,J224,J225,J226)</f>
        <v>0</v>
      </c>
      <c r="K227" s="278">
        <f t="shared" si="99"/>
        <v>0</v>
      </c>
      <c r="L227" s="278">
        <f t="shared" si="99"/>
        <v>0</v>
      </c>
      <c r="M227" s="278">
        <f t="shared" si="99"/>
        <v>0</v>
      </c>
      <c r="N227" s="278">
        <f t="shared" si="99"/>
        <v>0</v>
      </c>
      <c r="O227" s="278">
        <f t="shared" ref="O227:S227" si="100">CHOOSE($K$4,O224,O225,O226)</f>
        <v>0</v>
      </c>
      <c r="P227" s="278">
        <f t="shared" si="100"/>
        <v>0</v>
      </c>
      <c r="Q227" s="278">
        <f t="shared" si="100"/>
        <v>0</v>
      </c>
      <c r="R227" s="278">
        <f t="shared" si="100"/>
        <v>0</v>
      </c>
      <c r="S227" s="278">
        <f t="shared" si="100"/>
        <v>0</v>
      </c>
    </row>
  </sheetData>
  <sheetProtection sheet="1" objects="1" scenarios="1" selectLockedCells="1"/>
  <mergeCells count="4">
    <mergeCell ref="J8:N8"/>
    <mergeCell ref="I4:J4"/>
    <mergeCell ref="O8:S8"/>
    <mergeCell ref="E8:I8"/>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0657" r:id="rId4" name="Drop Down 1">
              <controlPr defaultSize="0" autoLine="0" autoPict="0">
                <anchor moveWithCells="1">
                  <from>
                    <xdr:col>9</xdr:col>
                    <xdr:colOff>579120</xdr:colOff>
                    <xdr:row>3</xdr:row>
                    <xdr:rowOff>7620</xdr:rowOff>
                  </from>
                  <to>
                    <xdr:col>11</xdr:col>
                    <xdr:colOff>502920</xdr:colOff>
                    <xdr:row>3</xdr:row>
                    <xdr:rowOff>205740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262"/>
  <sheetViews>
    <sheetView showGridLines="0" zoomScale="85" zoomScaleNormal="85" workbookViewId="0">
      <pane xSplit="2" ySplit="10" topLeftCell="G11" activePane="bottomRight" state="frozen"/>
      <selection pane="topRight" activeCell="C1" sqref="C1"/>
      <selection pane="bottomLeft" activeCell="A11" sqref="A11"/>
      <selection pane="bottomRight" activeCell="M4" sqref="M4"/>
    </sheetView>
  </sheetViews>
  <sheetFormatPr defaultRowHeight="14.4" outlineLevelRow="1"/>
  <cols>
    <col min="1" max="1" width="1.88671875" customWidth="1"/>
    <col min="2" max="2" width="58.88671875" bestFit="1" customWidth="1"/>
    <col min="3" max="3" width="20.109375" bestFit="1" customWidth="1"/>
    <col min="4" max="4" width="7.21875" customWidth="1"/>
    <col min="5" max="5" width="10" customWidth="1"/>
    <col min="6" max="9" width="9.44140625" customWidth="1"/>
    <col min="10" max="10" width="10" customWidth="1"/>
    <col min="11" max="14" width="9.44140625" customWidth="1"/>
    <col min="15" max="19" width="9.5546875" bestFit="1" customWidth="1"/>
  </cols>
  <sheetData>
    <row r="2" spans="1:19" ht="25.8">
      <c r="B2" s="522" t="str">
        <f>'Input Sheet'!C5</f>
        <v>Mankind Pharma Ltd</v>
      </c>
    </row>
    <row r="3" spans="1:19" ht="18">
      <c r="B3" s="14" t="s">
        <v>655</v>
      </c>
    </row>
    <row r="4" spans="1:19" ht="18">
      <c r="B4" s="14"/>
      <c r="I4" s="546" t="s">
        <v>27</v>
      </c>
      <c r="J4" s="546"/>
      <c r="K4" s="544">
        <v>1</v>
      </c>
      <c r="L4" s="544"/>
      <c r="M4" s="544"/>
    </row>
    <row r="5" spans="1:19" ht="18">
      <c r="B5" s="14"/>
      <c r="I5" s="544"/>
      <c r="J5" s="544"/>
      <c r="K5" s="544"/>
      <c r="L5" s="544"/>
      <c r="M5" s="544"/>
    </row>
    <row r="6" spans="1:19" ht="15.6">
      <c r="A6" s="287"/>
      <c r="B6" s="288"/>
      <c r="C6" s="287"/>
      <c r="D6" s="287"/>
      <c r="E6" s="287"/>
      <c r="F6" s="287"/>
      <c r="G6" s="287"/>
      <c r="H6" s="287"/>
      <c r="I6" s="287"/>
      <c r="J6" s="287"/>
      <c r="K6" s="287"/>
      <c r="L6" s="287"/>
      <c r="M6" s="287"/>
      <c r="N6" s="287"/>
    </row>
    <row r="7" spans="1:19" ht="15.6">
      <c r="A7" s="287"/>
      <c r="B7" s="287"/>
      <c r="C7" s="287"/>
      <c r="D7" s="287"/>
      <c r="E7" s="287"/>
      <c r="F7" s="287"/>
      <c r="G7" s="287"/>
      <c r="H7" s="287"/>
      <c r="I7" s="287"/>
      <c r="J7" s="287"/>
      <c r="K7" s="287"/>
      <c r="L7" s="287"/>
      <c r="M7" s="287"/>
      <c r="N7" s="287"/>
    </row>
    <row r="8" spans="1:19" ht="15.6">
      <c r="A8" s="287"/>
      <c r="B8" s="287"/>
      <c r="C8" s="287"/>
      <c r="D8" s="287"/>
      <c r="E8" s="539" t="s">
        <v>21</v>
      </c>
      <c r="F8" s="539"/>
      <c r="G8" s="539"/>
      <c r="H8" s="539"/>
      <c r="I8" s="539"/>
      <c r="J8" s="538" t="s">
        <v>22</v>
      </c>
      <c r="K8" s="538"/>
      <c r="L8" s="538"/>
      <c r="M8" s="538"/>
      <c r="N8" s="538"/>
      <c r="O8" s="535" t="s">
        <v>995</v>
      </c>
      <c r="P8" s="535"/>
      <c r="Q8" s="535"/>
      <c r="R8" s="535"/>
      <c r="S8" s="535"/>
    </row>
    <row r="9" spans="1:19" ht="15.6">
      <c r="A9" s="287"/>
      <c r="B9" s="289" t="s">
        <v>20</v>
      </c>
      <c r="C9" s="290"/>
      <c r="D9" s="290"/>
      <c r="E9" s="291">
        <f>'ControlSheet '!E9</f>
        <v>2021</v>
      </c>
      <c r="F9" s="291">
        <f>'ControlSheet '!F9</f>
        <v>2022</v>
      </c>
      <c r="G9" s="291">
        <f>'ControlSheet '!G9</f>
        <v>2023</v>
      </c>
      <c r="H9" s="291">
        <f>'ControlSheet '!H9</f>
        <v>2024</v>
      </c>
      <c r="I9" s="291">
        <f>'ControlSheet '!I9</f>
        <v>2025</v>
      </c>
      <c r="J9" s="291">
        <f>'ControlSheet '!J9</f>
        <v>2026</v>
      </c>
      <c r="K9" s="291">
        <f>'ControlSheet '!K9</f>
        <v>2027</v>
      </c>
      <c r="L9" s="291">
        <f>'ControlSheet '!L9</f>
        <v>2028</v>
      </c>
      <c r="M9" s="291">
        <f>'ControlSheet '!M9</f>
        <v>2029</v>
      </c>
      <c r="N9" s="291">
        <f>'ControlSheet '!N9</f>
        <v>2030</v>
      </c>
      <c r="O9" s="291">
        <f>'ControlSheet '!O9</f>
        <v>2031</v>
      </c>
      <c r="P9" s="291">
        <f>'ControlSheet '!P9</f>
        <v>2032</v>
      </c>
      <c r="Q9" s="291">
        <f>'ControlSheet '!Q9</f>
        <v>2033</v>
      </c>
      <c r="R9" s="291">
        <f>'ControlSheet '!R9</f>
        <v>2034</v>
      </c>
      <c r="S9" s="291">
        <f>'ControlSheet '!S9</f>
        <v>2035</v>
      </c>
    </row>
    <row r="11" spans="1:19" ht="15.6">
      <c r="A11" t="s">
        <v>23</v>
      </c>
      <c r="B11" s="491" t="s">
        <v>350</v>
      </c>
      <c r="C11" s="492"/>
      <c r="D11" s="492"/>
      <c r="E11" s="492"/>
      <c r="F11" s="492"/>
      <c r="G11" s="492"/>
      <c r="H11" s="492"/>
      <c r="I11" s="492"/>
      <c r="J11" s="492"/>
      <c r="K11" s="492"/>
      <c r="L11" s="492"/>
      <c r="M11" s="492"/>
      <c r="N11" s="492"/>
      <c r="O11" s="492"/>
      <c r="P11" s="492"/>
      <c r="Q11" s="492"/>
      <c r="R11" s="492"/>
      <c r="S11" s="492"/>
    </row>
    <row r="12" spans="1:19" outlineLevel="1"/>
    <row r="13" spans="1:19" outlineLevel="1">
      <c r="B13" s="36" t="s">
        <v>41</v>
      </c>
      <c r="C13" s="36"/>
      <c r="D13" s="36"/>
      <c r="E13" s="152">
        <f>'Income Stmt'!E7</f>
        <v>6223.8981999999996</v>
      </c>
      <c r="F13" s="152">
        <f>'Income Stmt'!F7</f>
        <v>7781.5551000000005</v>
      </c>
      <c r="G13" s="152">
        <f>'Income Stmt'!G7</f>
        <v>8749.4330000000009</v>
      </c>
      <c r="H13" s="152">
        <f>'Income Stmt'!H7</f>
        <v>10334.774599999999</v>
      </c>
      <c r="I13" s="152">
        <f>'Income Stmt'!I7</f>
        <v>12207</v>
      </c>
      <c r="J13" s="153">
        <f>I13*(1+J15)</f>
        <v>14404.259999999998</v>
      </c>
      <c r="K13" s="153">
        <f t="shared" ref="K13:N13" si="0">J13*(1+K15)</f>
        <v>16780.962899999999</v>
      </c>
      <c r="L13" s="153">
        <f t="shared" si="0"/>
        <v>19298.107334999997</v>
      </c>
      <c r="M13" s="153">
        <f t="shared" si="0"/>
        <v>21903.351825224996</v>
      </c>
      <c r="N13" s="153">
        <f t="shared" si="0"/>
        <v>24531.754044251997</v>
      </c>
      <c r="O13" s="153">
        <f t="shared" ref="O13" si="1">N13*(1+O15)</f>
        <v>27475.564529562238</v>
      </c>
      <c r="P13" s="153">
        <f t="shared" ref="P13" si="2">O13*(1+P15)</f>
        <v>30772.63227310971</v>
      </c>
      <c r="Q13" s="153">
        <f t="shared" ref="Q13" si="3">P13*(1+Q15)</f>
        <v>34465.348145882876</v>
      </c>
      <c r="R13" s="153">
        <f t="shared" ref="R13" si="4">Q13*(1+R15)</f>
        <v>38601.189923388825</v>
      </c>
      <c r="S13" s="153">
        <f t="shared" ref="S13" si="5">R13*(1+S15)</f>
        <v>43233.332714195487</v>
      </c>
    </row>
    <row r="14" spans="1:19" outlineLevel="1"/>
    <row r="15" spans="1:19" s="167" customFormat="1" outlineLevel="1">
      <c r="B15" s="167" t="s">
        <v>656</v>
      </c>
      <c r="F15" s="178">
        <f>F13/E13-1</f>
        <v>0.25027030487098911</v>
      </c>
      <c r="G15" s="178">
        <f t="shared" ref="G15:I15" si="6">G13/F13-1</f>
        <v>0.12438103792389787</v>
      </c>
      <c r="H15" s="178">
        <f t="shared" si="6"/>
        <v>0.18119363849063097</v>
      </c>
      <c r="I15" s="178">
        <f t="shared" si="6"/>
        <v>0.18115783579837341</v>
      </c>
      <c r="J15" s="286">
        <f>'ControlSheet '!J19</f>
        <v>0.18</v>
      </c>
      <c r="K15" s="286">
        <f>'ControlSheet '!K19</f>
        <v>0.16499999999999998</v>
      </c>
      <c r="L15" s="286">
        <f>'ControlSheet '!L19</f>
        <v>0.14999999999999997</v>
      </c>
      <c r="M15" s="286">
        <f>'ControlSheet '!M19</f>
        <v>0.13499999999999995</v>
      </c>
      <c r="N15" s="286">
        <f>'ControlSheet '!N19</f>
        <v>0.12</v>
      </c>
      <c r="O15" s="286">
        <f>'ControlSheet '!O19</f>
        <v>0.12</v>
      </c>
      <c r="P15" s="286">
        <f>'ControlSheet '!P19</f>
        <v>0.12</v>
      </c>
      <c r="Q15" s="286">
        <f>'ControlSheet '!Q19</f>
        <v>0.12</v>
      </c>
      <c r="R15" s="286">
        <f>'ControlSheet '!R19</f>
        <v>0.12</v>
      </c>
      <c r="S15" s="286">
        <f>'ControlSheet '!S19</f>
        <v>0.12</v>
      </c>
    </row>
    <row r="16" spans="1:19">
      <c r="B16" s="29"/>
      <c r="C16" s="27"/>
      <c r="D16" s="27"/>
      <c r="E16" s="27"/>
      <c r="F16" s="27"/>
      <c r="G16" s="27"/>
      <c r="H16" s="27"/>
      <c r="I16" s="27"/>
      <c r="J16" s="27"/>
      <c r="K16" s="27"/>
      <c r="L16" s="27"/>
      <c r="M16" s="27"/>
      <c r="N16" s="27"/>
      <c r="O16" s="27"/>
      <c r="P16" s="27"/>
      <c r="Q16" s="27"/>
      <c r="R16" s="27"/>
      <c r="S16" s="27"/>
    </row>
    <row r="17" spans="1:19" ht="15.6">
      <c r="A17" t="s">
        <v>23</v>
      </c>
      <c r="B17" s="491" t="s">
        <v>29</v>
      </c>
      <c r="C17" s="492"/>
      <c r="D17" s="492"/>
      <c r="E17" s="492"/>
      <c r="F17" s="492"/>
      <c r="G17" s="492"/>
      <c r="H17" s="492"/>
      <c r="I17" s="492"/>
      <c r="J17" s="492"/>
      <c r="K17" s="492"/>
      <c r="L17" s="492"/>
      <c r="M17" s="492"/>
      <c r="N17" s="492"/>
      <c r="O17" s="492"/>
      <c r="P17" s="492"/>
      <c r="Q17" s="492"/>
      <c r="R17" s="492"/>
      <c r="S17" s="492"/>
    </row>
    <row r="18" spans="1:19" s="27" customFormat="1" ht="15.6">
      <c r="B18" s="163"/>
    </row>
    <row r="19" spans="1:19" outlineLevel="1"/>
    <row r="20" spans="1:19" outlineLevel="1">
      <c r="B20" s="36" t="s">
        <v>52</v>
      </c>
      <c r="C20" s="36"/>
      <c r="D20" s="36"/>
      <c r="E20" s="152">
        <f>'Income Stmt'!E18*-1</f>
        <v>1780.6092000000001</v>
      </c>
      <c r="F20" s="152">
        <f>'Income Stmt'!F18*-1</f>
        <v>2421.7284</v>
      </c>
      <c r="G20" s="152">
        <f>'Income Stmt'!G18*-1</f>
        <v>2913.6419999999998</v>
      </c>
      <c r="H20" s="152">
        <f>'Income Stmt'!H18*-1</f>
        <v>3209.6958999999997</v>
      </c>
      <c r="I20" s="152">
        <f>'Income Stmt'!I18*-1</f>
        <v>3855.04</v>
      </c>
      <c r="J20" s="153">
        <f>J13*J22</f>
        <v>4897.4483999999993</v>
      </c>
      <c r="K20" s="153">
        <f>K13*K22</f>
        <v>5604.8416085999988</v>
      </c>
      <c r="L20" s="153">
        <f>L13*L22</f>
        <v>6329.7792058799978</v>
      </c>
      <c r="M20" s="153">
        <f>M13*M22</f>
        <v>7052.8792877224478</v>
      </c>
      <c r="N20" s="153">
        <f>N13*N22</f>
        <v>7752.0342779836301</v>
      </c>
      <c r="O20" s="153">
        <f t="shared" ref="O20:S20" si="7">O13*O22</f>
        <v>8682.2783913416661</v>
      </c>
      <c r="P20" s="153">
        <f t="shared" si="7"/>
        <v>9724.1517983026661</v>
      </c>
      <c r="Q20" s="153">
        <f t="shared" si="7"/>
        <v>10891.050014098986</v>
      </c>
      <c r="R20" s="153">
        <f t="shared" si="7"/>
        <v>12197.976015790866</v>
      </c>
      <c r="S20" s="153">
        <f t="shared" si="7"/>
        <v>13661.733137685771</v>
      </c>
    </row>
    <row r="21" spans="1:19" outlineLevel="1"/>
    <row r="22" spans="1:19" outlineLevel="1">
      <c r="B22" s="167" t="s">
        <v>353</v>
      </c>
      <c r="C22" s="167"/>
      <c r="D22" s="167"/>
      <c r="E22" s="285">
        <f t="shared" ref="E22:H22" si="8">E20/E13</f>
        <v>0.28609227573805757</v>
      </c>
      <c r="F22" s="285">
        <f t="shared" si="8"/>
        <v>0.31121393717304652</v>
      </c>
      <c r="G22" s="285">
        <f t="shared" si="8"/>
        <v>0.33300923614135902</v>
      </c>
      <c r="H22" s="285">
        <f t="shared" si="8"/>
        <v>0.31057241441917854</v>
      </c>
      <c r="I22" s="285">
        <f>I20/I13</f>
        <v>0.31580568526255426</v>
      </c>
      <c r="J22" s="286">
        <f>'ControlSheet '!J29</f>
        <v>0.33999999999999997</v>
      </c>
      <c r="K22" s="286">
        <f>'ControlSheet '!K29</f>
        <v>0.33399999999999996</v>
      </c>
      <c r="L22" s="286">
        <f>'ControlSheet '!L29</f>
        <v>0.32799999999999996</v>
      </c>
      <c r="M22" s="286">
        <f>'ControlSheet '!M29</f>
        <v>0.32199999999999995</v>
      </c>
      <c r="N22" s="286">
        <f>'ControlSheet '!N29</f>
        <v>0.31599999999999995</v>
      </c>
      <c r="O22" s="286">
        <f>'ControlSheet '!O29</f>
        <v>0.31599999999999995</v>
      </c>
      <c r="P22" s="286">
        <f>'ControlSheet '!P29</f>
        <v>0.31599999999999995</v>
      </c>
      <c r="Q22" s="286">
        <f>'ControlSheet '!Q29</f>
        <v>0.31599999999999995</v>
      </c>
      <c r="R22" s="286">
        <f>'ControlSheet '!R29</f>
        <v>0.31599999999999995</v>
      </c>
      <c r="S22" s="286">
        <f>'ControlSheet '!S29</f>
        <v>0.31599999999999995</v>
      </c>
    </row>
    <row r="23" spans="1:19">
      <c r="B23" s="27"/>
      <c r="C23" s="27"/>
      <c r="D23" s="27"/>
      <c r="E23" s="27"/>
      <c r="F23" s="27"/>
      <c r="G23" s="27"/>
      <c r="H23" s="27"/>
      <c r="I23" s="27"/>
      <c r="J23" s="27"/>
      <c r="K23" s="27"/>
      <c r="L23" s="27"/>
      <c r="M23" s="27"/>
      <c r="N23" s="27"/>
      <c r="O23" s="27"/>
      <c r="P23" s="27"/>
      <c r="Q23" s="27"/>
      <c r="R23" s="27"/>
      <c r="S23" s="27"/>
    </row>
    <row r="24" spans="1:19" ht="15.6">
      <c r="A24" t="s">
        <v>23</v>
      </c>
      <c r="B24" s="491" t="s">
        <v>30</v>
      </c>
      <c r="C24" s="492"/>
      <c r="D24" s="492"/>
      <c r="E24" s="492"/>
      <c r="F24" s="492"/>
      <c r="G24" s="492"/>
      <c r="H24" s="492"/>
      <c r="I24" s="492"/>
      <c r="J24" s="492"/>
      <c r="K24" s="492"/>
      <c r="L24" s="492"/>
      <c r="M24" s="492"/>
      <c r="N24" s="492"/>
      <c r="O24" s="492"/>
      <c r="P24" s="492"/>
      <c r="Q24" s="492"/>
      <c r="R24" s="492"/>
      <c r="S24" s="492"/>
    </row>
    <row r="25" spans="1:19" outlineLevel="1">
      <c r="B25" t="s">
        <v>31</v>
      </c>
    </row>
    <row r="26" spans="1:19" outlineLevel="1">
      <c r="B26" s="36" t="s">
        <v>417</v>
      </c>
      <c r="C26" s="15"/>
      <c r="D26" s="15"/>
      <c r="E26" s="15"/>
      <c r="F26" s="15"/>
      <c r="G26" s="15"/>
      <c r="H26" s="15"/>
      <c r="I26" s="15"/>
      <c r="J26" s="15"/>
      <c r="K26" s="15"/>
      <c r="L26" s="15"/>
      <c r="M26" s="15"/>
      <c r="N26" s="15"/>
      <c r="O26" s="15"/>
      <c r="P26" s="15"/>
      <c r="Q26" s="15"/>
      <c r="R26" s="15"/>
      <c r="S26" s="15"/>
    </row>
    <row r="27" spans="1:19" outlineLevel="1"/>
    <row r="28" spans="1:19" outlineLevel="1">
      <c r="B28" t="str">
        <f>B26</f>
        <v>Employee Benefit Expense</v>
      </c>
      <c r="C28" s="27"/>
      <c r="D28" s="27"/>
      <c r="E28" s="303">
        <f>'Assumptions Working'!E354</f>
        <v>1415.76</v>
      </c>
      <c r="F28" s="303">
        <f>'Assumptions Working'!F354</f>
        <v>1620.5800000000002</v>
      </c>
      <c r="G28" s="303">
        <f>'Assumptions Working'!G354</f>
        <v>1918.45</v>
      </c>
      <c r="H28" s="303">
        <f>'Assumptions Working'!H354</f>
        <v>2274.6999999999994</v>
      </c>
      <c r="I28" s="303">
        <f>'Assumptions Working'!I354</f>
        <v>2692</v>
      </c>
      <c r="J28" s="40">
        <f>J$13*J29</f>
        <v>3168.9371999999998</v>
      </c>
      <c r="K28" s="40">
        <f t="shared" ref="K28:S28" si="9">K$13*K29</f>
        <v>3691.8118379999996</v>
      </c>
      <c r="L28" s="40">
        <f t="shared" si="9"/>
        <v>4245.5836136999997</v>
      </c>
      <c r="M28" s="40">
        <f t="shared" si="9"/>
        <v>4818.7374015494988</v>
      </c>
      <c r="N28" s="40">
        <f t="shared" si="9"/>
        <v>5396.9858897354397</v>
      </c>
      <c r="O28" s="40">
        <f t="shared" si="9"/>
        <v>6044.6241965036925</v>
      </c>
      <c r="P28" s="40">
        <f t="shared" si="9"/>
        <v>6769.979100084136</v>
      </c>
      <c r="Q28" s="40">
        <f t="shared" si="9"/>
        <v>7582.3765920942324</v>
      </c>
      <c r="R28" s="40">
        <f t="shared" si="9"/>
        <v>8492.2617831455409</v>
      </c>
      <c r="S28" s="40">
        <f t="shared" si="9"/>
        <v>9511.3331971230073</v>
      </c>
    </row>
    <row r="29" spans="1:19" outlineLevel="1">
      <c r="B29" s="31" t="str">
        <f>B28&amp;" % Revenue"</f>
        <v>Employee Benefit Expense % Revenue</v>
      </c>
      <c r="C29" s="31"/>
      <c r="D29" s="31"/>
      <c r="E29" s="294">
        <f>'Assumptions Working'!E355</f>
        <v>0.22747158685853827</v>
      </c>
      <c r="F29" s="294">
        <f>'Assumptions Working'!F355</f>
        <v>0.20825914347120669</v>
      </c>
      <c r="G29" s="294">
        <f>'Assumptions Working'!G355</f>
        <v>0.21926563698470516</v>
      </c>
      <c r="H29" s="294">
        <f>'Assumptions Working'!H355</f>
        <v>0.22010155886708935</v>
      </c>
      <c r="I29" s="294">
        <f>'Assumptions Working'!I355</f>
        <v>0.22052920455476366</v>
      </c>
      <c r="J29" s="33">
        <f>'ControlSheet '!J38</f>
        <v>0.22</v>
      </c>
      <c r="K29" s="33">
        <f>'ControlSheet '!K38</f>
        <v>0.22</v>
      </c>
      <c r="L29" s="33">
        <f>'ControlSheet '!L38</f>
        <v>0.22</v>
      </c>
      <c r="M29" s="33">
        <f>'ControlSheet '!M38</f>
        <v>0.22</v>
      </c>
      <c r="N29" s="33">
        <f>'ControlSheet '!N38</f>
        <v>0.22</v>
      </c>
      <c r="O29" s="33">
        <f>'ControlSheet '!O38</f>
        <v>0.22</v>
      </c>
      <c r="P29" s="33">
        <f>'ControlSheet '!P38</f>
        <v>0.22</v>
      </c>
      <c r="Q29" s="33">
        <f>'ControlSheet '!Q38</f>
        <v>0.22</v>
      </c>
      <c r="R29" s="33">
        <f>'ControlSheet '!R38</f>
        <v>0.22</v>
      </c>
      <c r="S29" s="33">
        <f>'ControlSheet '!S38</f>
        <v>0.22</v>
      </c>
    </row>
    <row r="30" spans="1:19" outlineLevel="1">
      <c r="B30" s="27"/>
      <c r="C30" s="27"/>
      <c r="D30" s="27"/>
      <c r="E30" s="27"/>
      <c r="F30" s="27"/>
      <c r="G30" s="27"/>
      <c r="H30" s="27"/>
      <c r="I30" s="27"/>
      <c r="J30" s="27"/>
      <c r="K30" s="27"/>
      <c r="L30" s="27"/>
      <c r="M30" s="27"/>
      <c r="N30" s="27"/>
      <c r="O30" s="27"/>
      <c r="P30" s="27"/>
      <c r="Q30" s="27"/>
      <c r="R30" s="27"/>
      <c r="S30" s="27"/>
    </row>
    <row r="31" spans="1:19" outlineLevel="1">
      <c r="B31" s="36" t="s">
        <v>418</v>
      </c>
      <c r="C31" s="15"/>
      <c r="D31" s="15"/>
      <c r="E31" s="15"/>
      <c r="F31" s="15"/>
      <c r="G31" s="15"/>
      <c r="H31" s="15"/>
      <c r="I31" s="15"/>
      <c r="J31" s="15"/>
      <c r="K31" s="15"/>
      <c r="L31" s="15"/>
      <c r="M31" s="15"/>
      <c r="N31" s="15"/>
      <c r="O31" s="15"/>
      <c r="P31" s="15"/>
      <c r="Q31" s="15"/>
      <c r="R31" s="15"/>
      <c r="S31" s="15"/>
    </row>
    <row r="32" spans="1:19" outlineLevel="1"/>
    <row r="33" spans="2:19" outlineLevel="1">
      <c r="B33" t="str">
        <f>B31</f>
        <v xml:space="preserve">Advertising &amp; Sales Promotion Expense </v>
      </c>
      <c r="C33" s="27"/>
      <c r="D33" s="27"/>
      <c r="E33" s="303">
        <f>'Assumptions Working'!E357</f>
        <v>385.74</v>
      </c>
      <c r="F33" s="303">
        <f>'Assumptions Working'!F357</f>
        <v>451.56</v>
      </c>
      <c r="G33" s="303">
        <f>'Assumptions Working'!G357</f>
        <v>373.66559999999998</v>
      </c>
      <c r="H33" s="303">
        <f>'Assumptions Working'!H357</f>
        <v>603.8922</v>
      </c>
      <c r="I33" s="303">
        <f>'Assumptions Working'!I357</f>
        <v>755</v>
      </c>
      <c r="J33" s="40">
        <f>J$13*J34</f>
        <v>835.44707999999991</v>
      </c>
      <c r="K33" s="40">
        <f t="shared" ref="K33" si="10">K$13*K34</f>
        <v>973.29584820000002</v>
      </c>
      <c r="L33" s="40">
        <f t="shared" ref="L33" si="11">L$13*L34</f>
        <v>1119.29022543</v>
      </c>
      <c r="M33" s="40">
        <f t="shared" ref="M33" si="12">M$13*M34</f>
        <v>1270.3944058630498</v>
      </c>
      <c r="N33" s="40">
        <f t="shared" ref="N33:S33" si="13">N$13*N34</f>
        <v>1422.841734566616</v>
      </c>
      <c r="O33" s="40">
        <f t="shared" si="13"/>
        <v>1593.5827427146098</v>
      </c>
      <c r="P33" s="40">
        <f t="shared" si="13"/>
        <v>1784.8126718403632</v>
      </c>
      <c r="Q33" s="40">
        <f t="shared" si="13"/>
        <v>1998.9901924612068</v>
      </c>
      <c r="R33" s="40">
        <f t="shared" si="13"/>
        <v>2238.8690155565519</v>
      </c>
      <c r="S33" s="40">
        <f t="shared" si="13"/>
        <v>2507.5332974233384</v>
      </c>
    </row>
    <row r="34" spans="2:19" outlineLevel="1">
      <c r="B34" s="31" t="str">
        <f>B33&amp;" % Revenue"</f>
        <v>Advertising &amp; Sales Promotion Expense  % Revenue</v>
      </c>
      <c r="C34" s="31"/>
      <c r="D34" s="31"/>
      <c r="E34" s="294">
        <f>'Assumptions Working'!E358</f>
        <v>6.1977234781892807E-2</v>
      </c>
      <c r="F34" s="294">
        <f>'Assumptions Working'!F358</f>
        <v>5.8029531911943918E-2</v>
      </c>
      <c r="G34" s="294">
        <f>'Assumptions Working'!G358</f>
        <v>4.2707407440002107E-2</v>
      </c>
      <c r="H34" s="294">
        <f>'Assumptions Working'!H358</f>
        <v>5.8433030556854143E-2</v>
      </c>
      <c r="I34" s="294">
        <f>'Assumptions Working'!I358</f>
        <v>6.1849758335381338E-2</v>
      </c>
      <c r="J34" s="33">
        <f>'ControlSheet '!J44</f>
        <v>5.8000000000000003E-2</v>
      </c>
      <c r="K34" s="33">
        <f>'ControlSheet '!K44</f>
        <v>5.8000000000000003E-2</v>
      </c>
      <c r="L34" s="33">
        <f>'ControlSheet '!L44</f>
        <v>5.8000000000000003E-2</v>
      </c>
      <c r="M34" s="33">
        <f>'ControlSheet '!M44</f>
        <v>5.8000000000000003E-2</v>
      </c>
      <c r="N34" s="33">
        <f>'ControlSheet '!N44</f>
        <v>5.8000000000000003E-2</v>
      </c>
      <c r="O34" s="33">
        <f>'ControlSheet '!O44</f>
        <v>5.8000000000000003E-2</v>
      </c>
      <c r="P34" s="33">
        <f>'ControlSheet '!P44</f>
        <v>5.8000000000000003E-2</v>
      </c>
      <c r="Q34" s="33">
        <f>'ControlSheet '!Q44</f>
        <v>5.8000000000000003E-2</v>
      </c>
      <c r="R34" s="33">
        <f>'ControlSheet '!R44</f>
        <v>5.8000000000000003E-2</v>
      </c>
      <c r="S34" s="33">
        <f>'ControlSheet '!S44</f>
        <v>5.8000000000000003E-2</v>
      </c>
    </row>
    <row r="35" spans="2:19" outlineLevel="1">
      <c r="B35" s="27"/>
      <c r="C35" s="27"/>
      <c r="D35" s="27"/>
      <c r="E35" s="27"/>
      <c r="F35" s="27"/>
      <c r="G35" s="27"/>
      <c r="H35" s="27"/>
      <c r="I35" s="27"/>
      <c r="J35" s="27"/>
      <c r="K35" s="27"/>
      <c r="L35" s="27"/>
      <c r="M35" s="27"/>
      <c r="N35" s="27"/>
      <c r="O35" s="27"/>
      <c r="P35" s="27"/>
      <c r="Q35" s="27"/>
      <c r="R35" s="27"/>
      <c r="S35" s="27"/>
    </row>
    <row r="36" spans="2:19" outlineLevel="1">
      <c r="B36" s="36" t="s">
        <v>419</v>
      </c>
      <c r="C36" s="15"/>
      <c r="D36" s="15"/>
      <c r="E36" s="15"/>
      <c r="F36" s="15"/>
      <c r="G36" s="15"/>
      <c r="H36" s="15"/>
      <c r="I36" s="15"/>
      <c r="J36" s="15"/>
      <c r="K36" s="15"/>
      <c r="L36" s="15"/>
      <c r="M36" s="15"/>
      <c r="N36" s="15"/>
      <c r="O36" s="15"/>
      <c r="P36" s="15"/>
      <c r="Q36" s="15"/>
      <c r="R36" s="15"/>
      <c r="S36" s="15"/>
    </row>
    <row r="37" spans="2:19" outlineLevel="1"/>
    <row r="38" spans="2:19" outlineLevel="1">
      <c r="B38" t="str">
        <f>B36</f>
        <v xml:space="preserve">Travelling and conveyance Expense </v>
      </c>
      <c r="C38" s="27"/>
      <c r="D38" s="27"/>
      <c r="E38" s="303">
        <f>'Assumptions Working'!E360</f>
        <v>270.39999999999998</v>
      </c>
      <c r="F38" s="303">
        <f>'Assumptions Working'!F360</f>
        <v>358.11</v>
      </c>
      <c r="G38" s="303">
        <f>'Assumptions Working'!G360</f>
        <v>496.04690000000005</v>
      </c>
      <c r="H38" s="303">
        <f>'Assumptions Working'!H360</f>
        <v>378.40019999999998</v>
      </c>
      <c r="I38" s="303">
        <f>'Assumptions Working'!I360</f>
        <v>461</v>
      </c>
      <c r="J38" s="40">
        <f>J$13*J39</f>
        <v>662.59595999999988</v>
      </c>
      <c r="K38" s="40">
        <f t="shared" ref="K38" si="14">K$13*K39</f>
        <v>771.9242933999999</v>
      </c>
      <c r="L38" s="40">
        <f t="shared" ref="L38" si="15">L$13*L39</f>
        <v>887.71293740999988</v>
      </c>
      <c r="M38" s="40">
        <f t="shared" ref="M38" si="16">M$13*M39</f>
        <v>1007.5541839603497</v>
      </c>
      <c r="N38" s="40">
        <f t="shared" ref="N38:S38" si="17">N$13*N39</f>
        <v>1128.4606860355918</v>
      </c>
      <c r="O38" s="40">
        <f t="shared" si="17"/>
        <v>1263.875968359863</v>
      </c>
      <c r="P38" s="40">
        <f t="shared" si="17"/>
        <v>1415.5410845630465</v>
      </c>
      <c r="Q38" s="40">
        <f t="shared" si="17"/>
        <v>1585.4060147106122</v>
      </c>
      <c r="R38" s="40">
        <f t="shared" si="17"/>
        <v>1775.654736475886</v>
      </c>
      <c r="S38" s="40">
        <f t="shared" si="17"/>
        <v>1988.7333048529924</v>
      </c>
    </row>
    <row r="39" spans="2:19" outlineLevel="1">
      <c r="B39" s="31" t="str">
        <f>B38&amp;" % Revenue"</f>
        <v>Travelling and conveyance Expense  % Revenue</v>
      </c>
      <c r="C39" s="31"/>
      <c r="D39" s="31"/>
      <c r="E39" s="294">
        <f>'Assumptions Working'!E361</f>
        <v>4.3445440672535418E-2</v>
      </c>
      <c r="F39" s="294">
        <f>'Assumptions Working'!F361</f>
        <v>4.6020364232851094E-2</v>
      </c>
      <c r="G39" s="294">
        <f>'Assumptions Working'!G361</f>
        <v>5.6694748105391518E-2</v>
      </c>
      <c r="H39" s="294">
        <f>'Assumptions Working'!H361</f>
        <v>3.6614267330029628E-2</v>
      </c>
      <c r="I39" s="294">
        <f>'Assumptions Working'!I361</f>
        <v>3.7765216678954695E-2</v>
      </c>
      <c r="J39" s="33">
        <f>'ControlSheet '!J50</f>
        <v>4.5999999999999999E-2</v>
      </c>
      <c r="K39" s="33">
        <f>'ControlSheet '!K50</f>
        <v>4.5999999999999999E-2</v>
      </c>
      <c r="L39" s="33">
        <f>'ControlSheet '!L50</f>
        <v>4.5999999999999999E-2</v>
      </c>
      <c r="M39" s="33">
        <f>'ControlSheet '!M50</f>
        <v>4.5999999999999999E-2</v>
      </c>
      <c r="N39" s="33">
        <f>'ControlSheet '!N50</f>
        <v>4.5999999999999999E-2</v>
      </c>
      <c r="O39" s="33">
        <f>'ControlSheet '!O50</f>
        <v>4.5999999999999999E-2</v>
      </c>
      <c r="P39" s="33">
        <f>'ControlSheet '!P50</f>
        <v>4.5999999999999999E-2</v>
      </c>
      <c r="Q39" s="33">
        <f>'ControlSheet '!Q50</f>
        <v>4.5999999999999999E-2</v>
      </c>
      <c r="R39" s="33">
        <f>'ControlSheet '!R50</f>
        <v>4.5999999999999999E-2</v>
      </c>
      <c r="S39" s="33">
        <f>'ControlSheet '!S50</f>
        <v>4.5999999999999999E-2</v>
      </c>
    </row>
    <row r="40" spans="2:19" outlineLevel="1">
      <c r="B40" s="27"/>
      <c r="C40" s="27"/>
      <c r="D40" s="27"/>
      <c r="E40" s="27"/>
      <c r="F40" s="27"/>
      <c r="G40" s="27"/>
      <c r="H40" s="27"/>
      <c r="I40" s="27"/>
      <c r="J40" s="27"/>
      <c r="K40" s="27"/>
      <c r="L40" s="27"/>
      <c r="M40" s="27"/>
      <c r="N40" s="27"/>
      <c r="O40" s="27"/>
      <c r="P40" s="27"/>
      <c r="Q40" s="27"/>
      <c r="R40" s="27"/>
      <c r="S40" s="27"/>
    </row>
    <row r="41" spans="2:19" outlineLevel="1">
      <c r="B41" s="36" t="s">
        <v>420</v>
      </c>
      <c r="C41" s="15"/>
      <c r="D41" s="15"/>
      <c r="E41" s="15"/>
      <c r="F41" s="15"/>
      <c r="G41" s="15"/>
      <c r="H41" s="15"/>
      <c r="I41" s="15"/>
      <c r="J41" s="15"/>
      <c r="K41" s="15"/>
      <c r="L41" s="15"/>
      <c r="M41" s="15"/>
      <c r="N41" s="15"/>
      <c r="O41" s="15"/>
      <c r="P41" s="15"/>
      <c r="Q41" s="15"/>
      <c r="R41" s="15"/>
      <c r="S41" s="15"/>
    </row>
    <row r="42" spans="2:19" outlineLevel="1"/>
    <row r="43" spans="2:19" outlineLevel="1">
      <c r="B43" t="str">
        <f>B41</f>
        <v xml:space="preserve">Other Operating Expense </v>
      </c>
      <c r="C43" s="27"/>
      <c r="D43" s="27"/>
      <c r="E43" s="303">
        <f>'Assumptions Working'!E363</f>
        <v>369.96</v>
      </c>
      <c r="F43" s="303">
        <f>'Assumptions Working'!F363</f>
        <v>510.97</v>
      </c>
      <c r="G43" s="303">
        <f>'Assumptions Working'!G363</f>
        <v>619.18450000000007</v>
      </c>
      <c r="H43" s="303">
        <f>'Assumptions Working'!H363</f>
        <v>803.90940000000023</v>
      </c>
      <c r="I43" s="303">
        <f>'Assumptions Working'!I363</f>
        <v>1073</v>
      </c>
      <c r="J43" s="40">
        <f>J$13*J44</f>
        <v>950.68115999999998</v>
      </c>
      <c r="K43" s="40">
        <f t="shared" ref="K43" si="18">K$13*K44</f>
        <v>1107.5435514000001</v>
      </c>
      <c r="L43" s="40">
        <f t="shared" ref="L43" si="19">L$13*L44</f>
        <v>1273.6750841099999</v>
      </c>
      <c r="M43" s="40">
        <f t="shared" ref="M43" si="20">M$13*M44</f>
        <v>1445.6212204648498</v>
      </c>
      <c r="N43" s="40">
        <f t="shared" ref="N43:S43" si="21">N$13*N44</f>
        <v>1619.0957669206318</v>
      </c>
      <c r="O43" s="40">
        <f t="shared" si="21"/>
        <v>1813.3872589511077</v>
      </c>
      <c r="P43" s="40">
        <f t="shared" si="21"/>
        <v>2030.9937300252409</v>
      </c>
      <c r="Q43" s="40">
        <f t="shared" si="21"/>
        <v>2274.71297762827</v>
      </c>
      <c r="R43" s="40">
        <f t="shared" si="21"/>
        <v>2547.6785349436627</v>
      </c>
      <c r="S43" s="40">
        <f t="shared" si="21"/>
        <v>2853.3999591369025</v>
      </c>
    </row>
    <row r="44" spans="2:19" outlineLevel="1">
      <c r="B44" s="31" t="str">
        <f>B43&amp;" % Revenue"</f>
        <v>Other Operating Expense  % Revenue</v>
      </c>
      <c r="C44" s="31"/>
      <c r="D44" s="31"/>
      <c r="E44" s="294">
        <f>'Assumptions Working'!E364</f>
        <v>5.9441846269272208E-2</v>
      </c>
      <c r="F44" s="294">
        <f>'Assumptions Working'!F364</f>
        <v>6.5664252637625098E-2</v>
      </c>
      <c r="G44" s="294">
        <f>'Assumptions Working'!G364</f>
        <v>7.0768528657799881E-2</v>
      </c>
      <c r="H44" s="294">
        <f>'Assumptions Working'!H364</f>
        <v>7.77868343640509E-2</v>
      </c>
      <c r="I44" s="294">
        <f>'Assumptions Working'!I364</f>
        <v>8.7900385024985664E-2</v>
      </c>
      <c r="J44" s="33">
        <f>'ControlSheet '!J56</f>
        <v>6.6000000000000003E-2</v>
      </c>
      <c r="K44" s="33">
        <f>'ControlSheet '!K56</f>
        <v>6.6000000000000003E-2</v>
      </c>
      <c r="L44" s="33">
        <f>'ControlSheet '!L56</f>
        <v>6.6000000000000003E-2</v>
      </c>
      <c r="M44" s="33">
        <f>'ControlSheet '!M56</f>
        <v>6.6000000000000003E-2</v>
      </c>
      <c r="N44" s="33">
        <f>'ControlSheet '!N56</f>
        <v>6.6000000000000003E-2</v>
      </c>
      <c r="O44" s="33">
        <f>'ControlSheet '!O56</f>
        <v>6.6000000000000003E-2</v>
      </c>
      <c r="P44" s="33">
        <f>'ControlSheet '!P56</f>
        <v>6.6000000000000003E-2</v>
      </c>
      <c r="Q44" s="33">
        <f>'ControlSheet '!Q56</f>
        <v>6.6000000000000003E-2</v>
      </c>
      <c r="R44" s="33">
        <f>'ControlSheet '!R56</f>
        <v>6.6000000000000003E-2</v>
      </c>
      <c r="S44" s="33">
        <f>'ControlSheet '!S56</f>
        <v>6.6000000000000003E-2</v>
      </c>
    </row>
    <row r="45" spans="2:19" outlineLevel="1">
      <c r="B45" s="27"/>
      <c r="C45" s="27"/>
      <c r="D45" s="27"/>
      <c r="E45" s="304"/>
      <c r="F45" s="304"/>
      <c r="G45" s="304"/>
      <c r="H45" s="304"/>
      <c r="I45" s="304"/>
      <c r="J45" s="27"/>
      <c r="K45" s="27"/>
      <c r="L45" s="27"/>
      <c r="M45" s="27"/>
      <c r="N45" s="27"/>
      <c r="O45" s="27"/>
      <c r="P45" s="27"/>
      <c r="Q45" s="27"/>
      <c r="R45" s="27"/>
      <c r="S45" s="27"/>
    </row>
    <row r="46" spans="2:19" outlineLevel="1">
      <c r="B46" s="36" t="s">
        <v>421</v>
      </c>
      <c r="C46" s="15"/>
      <c r="D46" s="15"/>
      <c r="E46" s="15"/>
      <c r="F46" s="15"/>
      <c r="G46" s="15"/>
      <c r="H46" s="15"/>
      <c r="I46" s="15"/>
      <c r="J46" s="15"/>
      <c r="K46" s="15"/>
      <c r="L46" s="15"/>
      <c r="M46" s="15"/>
      <c r="N46" s="15"/>
      <c r="O46" s="15"/>
      <c r="P46" s="15"/>
      <c r="Q46" s="15"/>
      <c r="R46" s="15"/>
      <c r="S46" s="15"/>
    </row>
    <row r="47" spans="2:19" outlineLevel="1">
      <c r="E47" s="305"/>
      <c r="F47" s="305"/>
      <c r="G47" s="305"/>
      <c r="H47" s="305"/>
      <c r="I47" s="305"/>
    </row>
    <row r="48" spans="2:19" outlineLevel="1">
      <c r="B48" s="27" t="str">
        <f>B46</f>
        <v>Other Misc SG&amp;A Expenses</v>
      </c>
      <c r="C48" s="27"/>
      <c r="D48" s="27"/>
      <c r="E48" s="303">
        <f>'Assumptions Working'!E366</f>
        <v>343.83619999999985</v>
      </c>
      <c r="F48" s="303">
        <f>'Assumptions Working'!F366</f>
        <v>429.24049999999994</v>
      </c>
      <c r="G48" s="303">
        <f>'Assumptions Working'!G366</f>
        <v>527.78589999999986</v>
      </c>
      <c r="H48" s="303">
        <f>'Assumptions Working'!H366</f>
        <v>529.07359999999971</v>
      </c>
      <c r="I48" s="303">
        <f>'Assumptions Working'!I366</f>
        <v>719.09999999999991</v>
      </c>
      <c r="J48" s="40">
        <f>J$13*J49</f>
        <v>792.23429999999996</v>
      </c>
      <c r="K48" s="40">
        <f t="shared" ref="K48" si="22">K$13*K49</f>
        <v>922.95295949999991</v>
      </c>
      <c r="L48" s="40">
        <f t="shared" ref="L48" si="23">L$13*L49</f>
        <v>1061.3959034249999</v>
      </c>
      <c r="M48" s="40">
        <f t="shared" ref="M48" si="24">M$13*M49</f>
        <v>1204.6843503873747</v>
      </c>
      <c r="N48" s="40">
        <f t="shared" ref="N48:S48" si="25">N$13*N49</f>
        <v>1349.2464724338599</v>
      </c>
      <c r="O48" s="40">
        <f t="shared" si="25"/>
        <v>1511.1560491259231</v>
      </c>
      <c r="P48" s="40">
        <f t="shared" si="25"/>
        <v>1692.494775021034</v>
      </c>
      <c r="Q48" s="40">
        <f t="shared" si="25"/>
        <v>1895.5941480235581</v>
      </c>
      <c r="R48" s="40">
        <f t="shared" si="25"/>
        <v>2123.0654457863852</v>
      </c>
      <c r="S48" s="40">
        <f t="shared" si="25"/>
        <v>2377.8332992807518</v>
      </c>
    </row>
    <row r="49" spans="1:19" outlineLevel="1">
      <c r="B49" s="31" t="str">
        <f>B48&amp;" % Revenue"</f>
        <v>Other Misc SG&amp;A Expenses % Revenue</v>
      </c>
      <c r="C49" s="31"/>
      <c r="D49" s="31"/>
      <c r="E49" s="294">
        <f>'Assumptions Working'!E367</f>
        <v>5.5244508979918706E-2</v>
      </c>
      <c r="F49" s="294">
        <f>'Assumptions Working'!F367</f>
        <v>5.5161274897353091E-2</v>
      </c>
      <c r="G49" s="294">
        <f>'Assumptions Working'!G367</f>
        <v>6.0322297456303714E-2</v>
      </c>
      <c r="H49" s="294">
        <f>'Assumptions Working'!H367</f>
        <v>5.1193530626202507E-2</v>
      </c>
      <c r="I49" s="294">
        <f>'Assumptions Working'!I367</f>
        <v>5.8908822806586381E-2</v>
      </c>
      <c r="J49" s="33">
        <f>'ControlSheet '!J62</f>
        <v>5.5E-2</v>
      </c>
      <c r="K49" s="33">
        <f>'ControlSheet '!K62</f>
        <v>5.5E-2</v>
      </c>
      <c r="L49" s="33">
        <f>'ControlSheet '!L62</f>
        <v>5.5E-2</v>
      </c>
      <c r="M49" s="33">
        <f>'ControlSheet '!M62</f>
        <v>5.5E-2</v>
      </c>
      <c r="N49" s="33">
        <f>'ControlSheet '!N62</f>
        <v>5.5E-2</v>
      </c>
      <c r="O49" s="33">
        <f>'ControlSheet '!O62</f>
        <v>5.5E-2</v>
      </c>
      <c r="P49" s="33">
        <f>'ControlSheet '!P62</f>
        <v>5.5E-2</v>
      </c>
      <c r="Q49" s="33">
        <f>'ControlSheet '!Q62</f>
        <v>5.5E-2</v>
      </c>
      <c r="R49" s="33">
        <f>'ControlSheet '!R62</f>
        <v>5.5E-2</v>
      </c>
      <c r="S49" s="33">
        <f>'ControlSheet '!S62</f>
        <v>5.5E-2</v>
      </c>
    </row>
    <row r="50" spans="1:19" outlineLevel="1">
      <c r="B50" s="34" t="str">
        <f>"Total " &amp;B46</f>
        <v>Total Other Misc SG&amp;A Expenses</v>
      </c>
      <c r="C50" s="34"/>
      <c r="D50" s="34"/>
      <c r="E50" s="34"/>
      <c r="F50" s="34"/>
      <c r="G50" s="34"/>
      <c r="H50" s="34"/>
      <c r="I50" s="32"/>
      <c r="J50" s="32">
        <f t="shared" ref="J50:N50" si="26">SUM(J48:J49)</f>
        <v>792.28929999999991</v>
      </c>
      <c r="K50" s="32">
        <f t="shared" si="26"/>
        <v>923.00795949999986</v>
      </c>
      <c r="L50" s="32">
        <f t="shared" si="26"/>
        <v>1061.450903425</v>
      </c>
      <c r="M50" s="32">
        <f t="shared" si="26"/>
        <v>1204.7393503873748</v>
      </c>
      <c r="N50" s="32">
        <f t="shared" si="26"/>
        <v>1349.30147243386</v>
      </c>
      <c r="O50" s="32">
        <f t="shared" ref="O50:S50" si="27">SUM(O48:O49)</f>
        <v>1511.2110491259232</v>
      </c>
      <c r="P50" s="32">
        <f t="shared" si="27"/>
        <v>1692.5497750210341</v>
      </c>
      <c r="Q50" s="32">
        <f t="shared" si="27"/>
        <v>1895.6491480235582</v>
      </c>
      <c r="R50" s="32">
        <f t="shared" si="27"/>
        <v>2123.1204457863851</v>
      </c>
      <c r="S50" s="32">
        <f t="shared" si="27"/>
        <v>2377.8882992807517</v>
      </c>
    </row>
    <row r="51" spans="1:19" outlineLevel="1">
      <c r="B51" s="26"/>
      <c r="C51" s="26"/>
      <c r="D51" s="26"/>
      <c r="E51" s="26"/>
      <c r="F51" s="26"/>
      <c r="G51" s="26"/>
      <c r="H51" s="26"/>
      <c r="I51" s="42"/>
      <c r="J51" s="42"/>
      <c r="K51" s="42"/>
      <c r="L51" s="42"/>
      <c r="M51" s="42"/>
      <c r="N51" s="42"/>
      <c r="O51" s="42"/>
      <c r="P51" s="42"/>
      <c r="Q51" s="42"/>
      <c r="R51" s="42"/>
      <c r="S51" s="42"/>
    </row>
    <row r="52" spans="1:19" ht="15" outlineLevel="1" thickBot="1">
      <c r="B52" s="37" t="s">
        <v>32</v>
      </c>
      <c r="C52" s="41"/>
      <c r="D52" s="41"/>
      <c r="E52" s="204">
        <f>E48+E43+E38+E33+E28</f>
        <v>2785.6961999999994</v>
      </c>
      <c r="F52" s="204">
        <f t="shared" ref="F52:N52" si="28">F48+F43+F38+F33+F28</f>
        <v>3370.4605000000001</v>
      </c>
      <c r="G52" s="204">
        <f t="shared" si="28"/>
        <v>3935.1329000000001</v>
      </c>
      <c r="H52" s="204">
        <f t="shared" si="28"/>
        <v>4589.9753999999994</v>
      </c>
      <c r="I52" s="204">
        <f t="shared" si="28"/>
        <v>5700.1</v>
      </c>
      <c r="J52" s="204">
        <f t="shared" si="28"/>
        <v>6409.8956999999991</v>
      </c>
      <c r="K52" s="204">
        <f t="shared" si="28"/>
        <v>7467.528490499999</v>
      </c>
      <c r="L52" s="204">
        <f t="shared" si="28"/>
        <v>8587.6577640750002</v>
      </c>
      <c r="M52" s="204">
        <f t="shared" si="28"/>
        <v>9746.9915622251228</v>
      </c>
      <c r="N52" s="204">
        <f t="shared" si="28"/>
        <v>10916.630549692138</v>
      </c>
      <c r="O52" s="204">
        <f t="shared" ref="O52:S52" si="29">O48+O43+O38+O33+O28</f>
        <v>12226.626215655197</v>
      </c>
      <c r="P52" s="204">
        <f t="shared" si="29"/>
        <v>13693.821361533821</v>
      </c>
      <c r="Q52" s="204">
        <f t="shared" si="29"/>
        <v>15337.079924917878</v>
      </c>
      <c r="R52" s="204">
        <f t="shared" si="29"/>
        <v>17177.529515908027</v>
      </c>
      <c r="S52" s="204">
        <f t="shared" si="29"/>
        <v>19238.833057816992</v>
      </c>
    </row>
    <row r="53" spans="1:19" outlineLevel="1">
      <c r="B53" s="27" t="s">
        <v>33</v>
      </c>
      <c r="C53" s="27"/>
      <c r="D53" s="27"/>
      <c r="E53" s="43">
        <f>E52/E13</f>
        <v>0.44758061756215733</v>
      </c>
      <c r="F53" s="43">
        <f t="shared" ref="F53:N53" si="30">F52/F13</f>
        <v>0.43313456715097987</v>
      </c>
      <c r="G53" s="43">
        <f t="shared" si="30"/>
        <v>0.44975861864420241</v>
      </c>
      <c r="H53" s="43">
        <f t="shared" si="30"/>
        <v>0.44412922174422653</v>
      </c>
      <c r="I53" s="43">
        <f t="shared" si="30"/>
        <v>0.46695338740067177</v>
      </c>
      <c r="J53" s="43">
        <f t="shared" si="30"/>
        <v>0.44500000000000001</v>
      </c>
      <c r="K53" s="43">
        <f t="shared" si="30"/>
        <v>0.44499999999999995</v>
      </c>
      <c r="L53" s="43">
        <f t="shared" si="30"/>
        <v>0.44500000000000006</v>
      </c>
      <c r="M53" s="43">
        <f t="shared" si="30"/>
        <v>0.44500000000000001</v>
      </c>
      <c r="N53" s="43">
        <f t="shared" si="30"/>
        <v>0.44499999999999995</v>
      </c>
      <c r="O53" s="43">
        <f t="shared" ref="O53:S53" si="31">O52/O13</f>
        <v>0.44500000000000001</v>
      </c>
      <c r="P53" s="43">
        <f t="shared" si="31"/>
        <v>0.44500000000000001</v>
      </c>
      <c r="Q53" s="43">
        <f t="shared" si="31"/>
        <v>0.44499999999999995</v>
      </c>
      <c r="R53" s="43">
        <f t="shared" si="31"/>
        <v>0.44500000000000001</v>
      </c>
      <c r="S53" s="43">
        <f t="shared" si="31"/>
        <v>0.44500000000000001</v>
      </c>
    </row>
    <row r="54" spans="1:19">
      <c r="B54" s="27"/>
      <c r="C54" s="27"/>
      <c r="D54" s="27"/>
      <c r="E54" s="27"/>
      <c r="F54" s="27"/>
      <c r="G54" s="27"/>
      <c r="H54" s="27"/>
      <c r="I54" s="27"/>
      <c r="J54" s="27"/>
      <c r="K54" s="27"/>
      <c r="L54" s="27"/>
      <c r="M54" s="27"/>
      <c r="N54" s="27"/>
      <c r="O54" s="27"/>
      <c r="P54" s="27"/>
      <c r="Q54" s="27"/>
      <c r="R54" s="27"/>
      <c r="S54" s="27"/>
    </row>
    <row r="55" spans="1:19" ht="15.6">
      <c r="A55" t="s">
        <v>23</v>
      </c>
      <c r="B55" s="491" t="s">
        <v>37</v>
      </c>
      <c r="C55" s="492"/>
      <c r="D55" s="492"/>
      <c r="E55" s="492"/>
      <c r="F55" s="492"/>
      <c r="G55" s="492"/>
      <c r="H55" s="492"/>
      <c r="I55" s="492"/>
      <c r="J55" s="492"/>
      <c r="K55" s="492"/>
      <c r="L55" s="492"/>
      <c r="M55" s="492"/>
      <c r="N55" s="492"/>
      <c r="O55" s="492"/>
      <c r="P55" s="492"/>
      <c r="Q55" s="492"/>
      <c r="R55" s="492"/>
      <c r="S55" s="492"/>
    </row>
    <row r="56" spans="1:19" outlineLevel="1">
      <c r="B56" t="s">
        <v>31</v>
      </c>
    </row>
    <row r="57" spans="1:19" outlineLevel="1">
      <c r="B57" s="20" t="s">
        <v>500</v>
      </c>
    </row>
    <row r="58" spans="1:19" outlineLevel="1"/>
    <row r="59" spans="1:19" outlineLevel="1">
      <c r="B59" s="20" t="s">
        <v>548</v>
      </c>
      <c r="E59" s="40"/>
      <c r="F59" s="40"/>
      <c r="G59" s="40"/>
      <c r="H59" s="40"/>
      <c r="I59" s="40"/>
      <c r="J59" s="205">
        <f>'Balance Sheet'!I7</f>
        <v>2740.6304999999998</v>
      </c>
      <c r="K59" s="205">
        <f>J62</f>
        <v>3216.7202667730057</v>
      </c>
      <c r="L59" s="205">
        <f t="shared" ref="L59:N59" si="32">K62</f>
        <v>3712.1631369522615</v>
      </c>
      <c r="M59" s="205">
        <f t="shared" si="32"/>
        <v>4363.6544847221412</v>
      </c>
      <c r="N59" s="205">
        <f t="shared" si="32"/>
        <v>4987.4965740888183</v>
      </c>
      <c r="O59" s="205">
        <f t="shared" ref="O59" si="33">N62</f>
        <v>5559.1252217972369</v>
      </c>
      <c r="P59" s="205">
        <f t="shared" ref="P59" si="34">O62</f>
        <v>6179.379310557656</v>
      </c>
      <c r="Q59" s="205">
        <f t="shared" ref="Q59" si="35">P62</f>
        <v>6854.0938932963145</v>
      </c>
      <c r="R59" s="205">
        <f t="shared" ref="R59" si="36">Q62</f>
        <v>7589.8042292906011</v>
      </c>
      <c r="S59" s="205">
        <f t="shared" ref="S59" si="37">R62</f>
        <v>8393.829808931192</v>
      </c>
    </row>
    <row r="60" spans="1:19" outlineLevel="1">
      <c r="B60" t="s">
        <v>549</v>
      </c>
      <c r="J60" s="303">
        <f>'Assumptions Working'!C685</f>
        <v>652.91502000000003</v>
      </c>
      <c r="K60" s="303">
        <f>'Assumptions Working'!D685</f>
        <v>717.08599830000003</v>
      </c>
      <c r="L60" s="303">
        <f>(L13-K13)*'Assumptions Working'!E686</f>
        <v>931.34344094999938</v>
      </c>
      <c r="M60" s="303">
        <f>(M13-L13)*'Assumptions Working'!F686</f>
        <v>963.94046138324961</v>
      </c>
      <c r="N60" s="303">
        <f>(N13-M13)*'Assumptions Working'!G686</f>
        <v>972.50882103999027</v>
      </c>
      <c r="O60" s="303">
        <f>(O13-N13)*'Assumptions Working'!$G$686</f>
        <v>1089.2098795647894</v>
      </c>
      <c r="P60" s="303">
        <f>(P13-O13)*'Assumptions Working'!$G$686</f>
        <v>1219.9150651125644</v>
      </c>
      <c r="Q60" s="303">
        <f>(Q13-P13)*'Assumptions Working'!$G$686</f>
        <v>1366.3048729260713</v>
      </c>
      <c r="R60" s="303">
        <f>(R13-Q13)*'Assumptions Working'!$G$686</f>
        <v>1530.2614576772014</v>
      </c>
      <c r="S60" s="303">
        <f>(S13-R13)*'Assumptions Working'!$G$686</f>
        <v>1713.8928325984648</v>
      </c>
    </row>
    <row r="61" spans="1:19" outlineLevel="1">
      <c r="B61" t="s">
        <v>131</v>
      </c>
      <c r="C61" s="219"/>
      <c r="I61" s="40">
        <f>('Income Stmt'!I37*-1)/(SUM('Balance Sheet'!I7,'Balance Sheet'!I9,'Balance Sheet'!I11))*'Balance Sheet'!I7</f>
        <v>136.01806447699408</v>
      </c>
      <c r="J61" s="40">
        <f>I61+(J60/$C$117)</f>
        <v>176.82525322699408</v>
      </c>
      <c r="K61" s="40">
        <f t="shared" ref="K61:N61" si="38">J61+(K60/$C$117)</f>
        <v>221.64312812074408</v>
      </c>
      <c r="L61" s="40">
        <f t="shared" si="38"/>
        <v>279.85209318011903</v>
      </c>
      <c r="M61" s="40">
        <f t="shared" si="38"/>
        <v>340.09837201657211</v>
      </c>
      <c r="N61" s="40">
        <f t="shared" si="38"/>
        <v>400.88017333157148</v>
      </c>
      <c r="O61" s="40">
        <f t="shared" ref="O61" si="39">N61+(O60/$C$117)</f>
        <v>468.95579080437085</v>
      </c>
      <c r="P61" s="40">
        <f t="shared" ref="P61" si="40">O61+(P60/$C$117)</f>
        <v>545.20048237390608</v>
      </c>
      <c r="Q61" s="40">
        <f t="shared" ref="Q61" si="41">P61+(Q60/$C$117)</f>
        <v>630.59453693178557</v>
      </c>
      <c r="R61" s="40">
        <f t="shared" ref="R61" si="42">Q61+(R60/$C$117)</f>
        <v>726.23587803661064</v>
      </c>
      <c r="S61" s="40">
        <f t="shared" ref="S61" si="43">R61+(S60/$C$117)</f>
        <v>833.35418007401472</v>
      </c>
    </row>
    <row r="62" spans="1:19" s="20" customFormat="1" outlineLevel="1">
      <c r="B62" s="30" t="s">
        <v>550</v>
      </c>
      <c r="C62" s="30"/>
      <c r="D62" s="30"/>
      <c r="E62" s="30"/>
      <c r="F62" s="30"/>
      <c r="G62" s="30"/>
      <c r="H62" s="30"/>
      <c r="I62" s="32">
        <v>2741</v>
      </c>
      <c r="J62" s="32">
        <f>J59+J60-J61</f>
        <v>3216.7202667730057</v>
      </c>
      <c r="K62" s="32">
        <f t="shared" ref="K62:N62" si="44">K59+K60-K61</f>
        <v>3712.1631369522615</v>
      </c>
      <c r="L62" s="32">
        <f t="shared" si="44"/>
        <v>4363.6544847221412</v>
      </c>
      <c r="M62" s="32">
        <f t="shared" si="44"/>
        <v>4987.4965740888183</v>
      </c>
      <c r="N62" s="32">
        <f t="shared" si="44"/>
        <v>5559.1252217972369</v>
      </c>
      <c r="O62" s="32">
        <f t="shared" ref="O62:S62" si="45">O59+O60-O61</f>
        <v>6179.379310557656</v>
      </c>
      <c r="P62" s="32">
        <f t="shared" si="45"/>
        <v>6854.0938932963145</v>
      </c>
      <c r="Q62" s="32">
        <f t="shared" si="45"/>
        <v>7589.8042292906011</v>
      </c>
      <c r="R62" s="32">
        <f t="shared" si="45"/>
        <v>8393.829808931192</v>
      </c>
      <c r="S62" s="32">
        <f t="shared" si="45"/>
        <v>9274.3684614556423</v>
      </c>
    </row>
    <row r="63" spans="1:19" outlineLevel="1">
      <c r="B63" s="31" t="s">
        <v>501</v>
      </c>
      <c r="C63" s="31"/>
      <c r="D63" s="31"/>
      <c r="E63" s="31"/>
      <c r="F63" s="57"/>
      <c r="G63" s="57"/>
      <c r="H63" s="57"/>
      <c r="I63" s="57"/>
      <c r="J63" s="293">
        <f t="shared" ref="J63" si="46">J62/I62-1</f>
        <v>0.17355719327727326</v>
      </c>
      <c r="K63" s="293">
        <f>K62/J62-1</f>
        <v>0.15402112371937182</v>
      </c>
      <c r="L63" s="293">
        <f t="shared" ref="L63:N63" si="47">L62/K62-1</f>
        <v>0.1755018095203551</v>
      </c>
      <c r="M63" s="293">
        <f t="shared" si="47"/>
        <v>0.14296321845619286</v>
      </c>
      <c r="N63" s="293">
        <f t="shared" si="47"/>
        <v>0.11461233891932077</v>
      </c>
      <c r="O63" s="293">
        <f t="shared" ref="O63" si="48">O62/N62-1</f>
        <v>0.11157404519840886</v>
      </c>
      <c r="P63" s="293">
        <f t="shared" ref="P63" si="49">P62/O62-1</f>
        <v>0.10918808327332941</v>
      </c>
      <c r="Q63" s="293">
        <f t="shared" ref="Q63" si="50">Q62/P62-1</f>
        <v>0.10733881785801791</v>
      </c>
      <c r="R63" s="293">
        <f t="shared" ref="R63" si="51">R62/Q62-1</f>
        <v>0.10593495633756822</v>
      </c>
      <c r="S63" s="293">
        <f t="shared" ref="S63" si="52">S62/R62-1</f>
        <v>0.10490308626314304</v>
      </c>
    </row>
    <row r="64" spans="1:19" outlineLevel="1">
      <c r="K64" s="124"/>
      <c r="L64" s="124"/>
      <c r="M64" s="124"/>
      <c r="N64" s="124"/>
      <c r="O64" s="124"/>
      <c r="P64" s="124"/>
      <c r="Q64" s="124"/>
      <c r="R64" s="124"/>
      <c r="S64" s="124"/>
    </row>
    <row r="65" spans="2:19" outlineLevel="1">
      <c r="B65" s="20" t="s">
        <v>502</v>
      </c>
    </row>
    <row r="66" spans="2:19" outlineLevel="1">
      <c r="B66" s="27" t="str">
        <f>B65</f>
        <v>Right of Use Asset</v>
      </c>
      <c r="C66" s="27"/>
      <c r="D66" s="27"/>
      <c r="E66" s="206">
        <f>'Balance Sheet'!E9</f>
        <v>0</v>
      </c>
      <c r="F66" s="205">
        <f>'Balance Sheet'!F9</f>
        <v>67.357100000000003</v>
      </c>
      <c r="G66" s="205">
        <f>'Balance Sheet'!G9</f>
        <v>114.3647</v>
      </c>
      <c r="H66" s="205">
        <f>'Balance Sheet'!H9</f>
        <v>119.06129999999999</v>
      </c>
      <c r="I66" s="205">
        <f>'Balance Sheet'!I9</f>
        <v>167.25</v>
      </c>
      <c r="J66" s="39">
        <f>I66*(1+J72)</f>
        <v>167.25</v>
      </c>
      <c r="K66" s="39">
        <f>J69</f>
        <v>158.94934754656737</v>
      </c>
      <c r="L66" s="39">
        <f t="shared" ref="L66:N66" si="53">K69</f>
        <v>150.64869509313473</v>
      </c>
      <c r="M66" s="39">
        <f t="shared" si="53"/>
        <v>142.3480426397021</v>
      </c>
      <c r="N66" s="39">
        <f t="shared" si="53"/>
        <v>134.04739018626947</v>
      </c>
      <c r="O66" s="39">
        <f t="shared" ref="O66" si="54">N69</f>
        <v>125.74673773283685</v>
      </c>
      <c r="P66" s="39">
        <f t="shared" ref="P66" si="55">O69</f>
        <v>117.44608527940423</v>
      </c>
      <c r="Q66" s="39">
        <f t="shared" ref="Q66" si="56">P69</f>
        <v>109.14543282597161</v>
      </c>
      <c r="R66" s="39">
        <f t="shared" ref="R66" si="57">Q69</f>
        <v>100.84478037253899</v>
      </c>
      <c r="S66" s="39">
        <f t="shared" ref="S66" si="58">R69</f>
        <v>92.544127919106373</v>
      </c>
    </row>
    <row r="67" spans="2:19" outlineLevel="1">
      <c r="B67" t="s">
        <v>551</v>
      </c>
      <c r="J67" s="222">
        <f>I66*(J72)</f>
        <v>0</v>
      </c>
      <c r="K67" s="222">
        <f t="shared" ref="K67:N67" si="59">J66*(K72)</f>
        <v>0</v>
      </c>
      <c r="L67" s="222">
        <f t="shared" si="59"/>
        <v>0</v>
      </c>
      <c r="M67" s="222">
        <f t="shared" si="59"/>
        <v>0</v>
      </c>
      <c r="N67" s="222">
        <f t="shared" si="59"/>
        <v>0</v>
      </c>
      <c r="O67" s="222">
        <f t="shared" ref="O67" si="60">N66*(O72)</f>
        <v>0</v>
      </c>
      <c r="P67" s="222">
        <f t="shared" ref="P67" si="61">O66*(P72)</f>
        <v>0</v>
      </c>
      <c r="Q67" s="222">
        <f t="shared" ref="Q67" si="62">P66*(Q72)</f>
        <v>0</v>
      </c>
      <c r="R67" s="222">
        <f t="shared" ref="R67" si="63">Q66*(R72)</f>
        <v>0</v>
      </c>
      <c r="S67" s="222">
        <f t="shared" ref="S67" si="64">R66*(S72)</f>
        <v>0</v>
      </c>
    </row>
    <row r="68" spans="2:19" outlineLevel="1">
      <c r="B68" t="s">
        <v>131</v>
      </c>
      <c r="C68" s="219"/>
      <c r="I68" s="303">
        <f>('Income Stmt'!I37*-1)/(SUM('Balance Sheet'!I7,'Balance Sheet'!I9,'Balance Sheet'!I11))*'Balance Sheet'!I9</f>
        <v>8.3006524534326189</v>
      </c>
      <c r="J68" s="40">
        <f>I68+J67/$C$117</f>
        <v>8.3006524534326189</v>
      </c>
      <c r="K68" s="40">
        <f>J68+K67/$C$117</f>
        <v>8.3006524534326189</v>
      </c>
      <c r="L68" s="40">
        <f>K68+L67/$C$117</f>
        <v>8.3006524534326189</v>
      </c>
      <c r="M68" s="40">
        <f>L68+M67/$C$117</f>
        <v>8.3006524534326189</v>
      </c>
      <c r="N68" s="40">
        <f>M68+N67/$C$117</f>
        <v>8.3006524534326189</v>
      </c>
      <c r="O68" s="40">
        <f t="shared" ref="O68:S68" si="65">N68+O67/$C$117</f>
        <v>8.3006524534326189</v>
      </c>
      <c r="P68" s="40">
        <f t="shared" si="65"/>
        <v>8.3006524534326189</v>
      </c>
      <c r="Q68" s="40">
        <f t="shared" si="65"/>
        <v>8.3006524534326189</v>
      </c>
      <c r="R68" s="40">
        <f t="shared" si="65"/>
        <v>8.3006524534326189</v>
      </c>
      <c r="S68" s="40">
        <f t="shared" si="65"/>
        <v>8.3006524534326189</v>
      </c>
    </row>
    <row r="69" spans="2:19" outlineLevel="1">
      <c r="B69" s="30" t="s">
        <v>550</v>
      </c>
      <c r="C69" s="30"/>
      <c r="D69" s="30"/>
      <c r="E69" s="30"/>
      <c r="F69" s="30"/>
      <c r="G69" s="30"/>
      <c r="H69" s="30"/>
      <c r="I69" s="30"/>
      <c r="J69" s="32">
        <f>J66+J67-J68</f>
        <v>158.94934754656737</v>
      </c>
      <c r="K69" s="32">
        <f t="shared" ref="K69:N69" si="66">K66+K67-K68</f>
        <v>150.64869509313473</v>
      </c>
      <c r="L69" s="32">
        <f t="shared" si="66"/>
        <v>142.3480426397021</v>
      </c>
      <c r="M69" s="32">
        <f t="shared" si="66"/>
        <v>134.04739018626947</v>
      </c>
      <c r="N69" s="32">
        <f t="shared" si="66"/>
        <v>125.74673773283685</v>
      </c>
      <c r="O69" s="32">
        <f t="shared" ref="O69:S69" si="67">O66+O67-O68</f>
        <v>117.44608527940423</v>
      </c>
      <c r="P69" s="32">
        <f t="shared" si="67"/>
        <v>109.14543282597161</v>
      </c>
      <c r="Q69" s="32">
        <f t="shared" si="67"/>
        <v>100.84478037253899</v>
      </c>
      <c r="R69" s="32">
        <f t="shared" si="67"/>
        <v>92.544127919106373</v>
      </c>
      <c r="S69" s="32">
        <f t="shared" si="67"/>
        <v>84.243475465673754</v>
      </c>
    </row>
    <row r="70" spans="2:19" outlineLevel="1">
      <c r="B70" s="31" t="s">
        <v>501</v>
      </c>
      <c r="C70" s="31"/>
      <c r="D70" s="31"/>
      <c r="E70" s="31"/>
      <c r="F70" s="57"/>
      <c r="G70" s="57"/>
      <c r="H70" s="57"/>
      <c r="I70" s="57"/>
      <c r="J70" s="33">
        <f>'ControlSheet '!J74</f>
        <v>0</v>
      </c>
      <c r="K70" s="292">
        <f>K69/J69-1</f>
        <v>-5.2221997646141882E-2</v>
      </c>
      <c r="L70" s="292">
        <f t="shared" ref="L70" si="68">L69/K69-1</f>
        <v>-5.5099398294163549E-2</v>
      </c>
      <c r="M70" s="292">
        <f t="shared" ref="M70" si="69">M69/L69-1</f>
        <v>-5.8312375073835465E-2</v>
      </c>
      <c r="N70" s="292">
        <f t="shared" ref="N70" si="70">N69/M69-1</f>
        <v>-6.1923267897257883E-2</v>
      </c>
      <c r="O70" s="292">
        <f t="shared" ref="O70" si="71">O69/N69-1</f>
        <v>-6.6010877125641909E-2</v>
      </c>
      <c r="P70" s="292">
        <f t="shared" ref="P70" si="72">P69/O69-1</f>
        <v>-7.0676280385892576E-2</v>
      </c>
      <c r="Q70" s="292">
        <f t="shared" ref="Q70" si="73">Q69/P69-1</f>
        <v>-7.6051303646096691E-2</v>
      </c>
      <c r="R70" s="292">
        <f t="shared" ref="R70" si="74">R69/Q69-1</f>
        <v>-8.2311175876118692E-2</v>
      </c>
      <c r="S70" s="292">
        <f t="shared" ref="S70" si="75">S69/R69-1</f>
        <v>-8.9693993990502485E-2</v>
      </c>
    </row>
    <row r="71" spans="2:19" outlineLevel="1"/>
    <row r="72" spans="2:19" outlineLevel="1">
      <c r="B72" s="31" t="s">
        <v>501</v>
      </c>
      <c r="C72" s="31"/>
      <c r="D72" s="31"/>
      <c r="E72" s="31"/>
      <c r="F72" s="57"/>
      <c r="G72" s="57">
        <f>G66/F66-1</f>
        <v>0.69788634011856199</v>
      </c>
      <c r="H72" s="57">
        <f>H66/G66-1</f>
        <v>4.1066867661087691E-2</v>
      </c>
      <c r="I72" s="57">
        <f>I66/H66-1</f>
        <v>0.40473856744382952</v>
      </c>
      <c r="J72" s="33">
        <f>'ControlSheet '!J74</f>
        <v>0</v>
      </c>
      <c r="K72" s="33">
        <f>'ControlSheet '!K74</f>
        <v>0</v>
      </c>
      <c r="L72" s="33">
        <f>'ControlSheet '!L74</f>
        <v>0</v>
      </c>
      <c r="M72" s="33">
        <f>'ControlSheet '!M74</f>
        <v>0</v>
      </c>
      <c r="N72" s="33">
        <f>'ControlSheet '!N74</f>
        <v>0</v>
      </c>
      <c r="O72" s="33">
        <f>'ControlSheet '!O74</f>
        <v>0</v>
      </c>
      <c r="P72" s="33">
        <f>'ControlSheet '!P74</f>
        <v>0</v>
      </c>
      <c r="Q72" s="33">
        <f>'ControlSheet '!Q74</f>
        <v>0</v>
      </c>
      <c r="R72" s="33">
        <f>'ControlSheet '!R74</f>
        <v>0</v>
      </c>
      <c r="S72" s="33">
        <f>'ControlSheet '!S74</f>
        <v>0</v>
      </c>
    </row>
    <row r="73" spans="2:19" outlineLevel="1"/>
    <row r="74" spans="2:19" outlineLevel="1">
      <c r="B74" s="20" t="s">
        <v>503</v>
      </c>
    </row>
    <row r="75" spans="2:19" outlineLevel="1">
      <c r="B75" s="27" t="str">
        <f>B74</f>
        <v>Capital Work in Progress</v>
      </c>
      <c r="C75" s="27"/>
      <c r="D75" s="27"/>
      <c r="E75" s="205">
        <f>'Balance Sheet'!E8</f>
        <v>371.61620000000005</v>
      </c>
      <c r="F75" s="205">
        <f>'Balance Sheet'!F8</f>
        <v>669.87339999999995</v>
      </c>
      <c r="G75" s="205">
        <f>'Balance Sheet'!G8</f>
        <v>493.19199999999995</v>
      </c>
      <c r="H75" s="205">
        <f>'Balance Sheet'!H8</f>
        <v>207.09389999999999</v>
      </c>
      <c r="I75" s="205">
        <f>'Balance Sheet'!I8</f>
        <v>306.13</v>
      </c>
      <c r="J75" s="61">
        <v>0</v>
      </c>
      <c r="K75" s="61">
        <v>0</v>
      </c>
      <c r="L75" s="61">
        <v>0</v>
      </c>
      <c r="M75" s="61">
        <v>0</v>
      </c>
      <c r="N75" s="61">
        <v>0</v>
      </c>
      <c r="O75" s="61">
        <v>0</v>
      </c>
      <c r="P75" s="61">
        <v>0</v>
      </c>
      <c r="Q75" s="61">
        <v>0</v>
      </c>
      <c r="R75" s="61">
        <v>0</v>
      </c>
      <c r="S75" s="61">
        <v>0</v>
      </c>
    </row>
    <row r="76" spans="2:19" outlineLevel="1">
      <c r="B76" s="31" t="s">
        <v>501</v>
      </c>
      <c r="C76" s="31"/>
      <c r="D76" s="31"/>
      <c r="E76" s="31"/>
      <c r="F76" s="57"/>
      <c r="G76" s="57"/>
      <c r="H76" s="57"/>
      <c r="I76" s="57"/>
      <c r="J76" s="33">
        <f>'ControlSheet '!J80</f>
        <v>0</v>
      </c>
      <c r="K76" s="33">
        <f>'ControlSheet '!K80</f>
        <v>0</v>
      </c>
      <c r="L76" s="33">
        <f>'ControlSheet '!L80</f>
        <v>0</v>
      </c>
      <c r="M76" s="33">
        <f>'ControlSheet '!M80</f>
        <v>0</v>
      </c>
      <c r="N76" s="33">
        <f>'ControlSheet '!N80</f>
        <v>0</v>
      </c>
      <c r="O76" s="33">
        <f>'ControlSheet '!O80</f>
        <v>0</v>
      </c>
      <c r="P76" s="33">
        <f>'ControlSheet '!P80</f>
        <v>0</v>
      </c>
      <c r="Q76" s="33">
        <f>'ControlSheet '!Q80</f>
        <v>0</v>
      </c>
      <c r="R76" s="33">
        <f>'ControlSheet '!R80</f>
        <v>0</v>
      </c>
      <c r="S76" s="33">
        <f>'ControlSheet '!S80</f>
        <v>0</v>
      </c>
    </row>
    <row r="77" spans="2:19" outlineLevel="1"/>
    <row r="78" spans="2:19" outlineLevel="1">
      <c r="B78" s="20" t="s">
        <v>504</v>
      </c>
    </row>
    <row r="79" spans="2:19" outlineLevel="1">
      <c r="B79" s="27" t="str">
        <f>B78</f>
        <v>Intangible Assets (Excluding Goodwill)</v>
      </c>
      <c r="C79" s="27"/>
      <c r="D79" s="27"/>
      <c r="E79" s="205">
        <f>'Balance Sheet'!E11</f>
        <v>18.428600000000003</v>
      </c>
      <c r="F79" s="205">
        <f>'Balance Sheet'!F11</f>
        <v>1842.6152</v>
      </c>
      <c r="G79" s="205">
        <f>'Balance Sheet'!G11</f>
        <v>1701.4632999999999</v>
      </c>
      <c r="H79" s="205">
        <f>'Balance Sheet'!H11</f>
        <v>1588.3397</v>
      </c>
      <c r="I79" s="205">
        <f>'Balance Sheet'!I11</f>
        <v>9604.66</v>
      </c>
      <c r="J79" s="39">
        <f>I79</f>
        <v>9604.66</v>
      </c>
      <c r="K79" s="39">
        <f>J82</f>
        <v>9127.9787169304273</v>
      </c>
      <c r="L79" s="39">
        <f t="shared" ref="L79:N79" si="76">K82</f>
        <v>8651.2974338608547</v>
      </c>
      <c r="M79" s="39">
        <f t="shared" si="76"/>
        <v>8174.6161507912811</v>
      </c>
      <c r="N79" s="39">
        <f t="shared" si="76"/>
        <v>7697.9348677217076</v>
      </c>
      <c r="O79" s="39">
        <f t="shared" ref="O79" si="77">N82</f>
        <v>7221.2535846521341</v>
      </c>
      <c r="P79" s="39">
        <f t="shared" ref="P79" si="78">O82</f>
        <v>6744.5723015825606</v>
      </c>
      <c r="Q79" s="39">
        <f t="shared" ref="Q79" si="79">P82</f>
        <v>6267.8910185129871</v>
      </c>
      <c r="R79" s="39">
        <f t="shared" ref="R79" si="80">Q82</f>
        <v>5791.2097354434136</v>
      </c>
      <c r="S79" s="39">
        <f t="shared" ref="S79" si="81">R82</f>
        <v>5314.5284523738401</v>
      </c>
    </row>
    <row r="80" spans="2:19" outlineLevel="1">
      <c r="B80" t="s">
        <v>551</v>
      </c>
      <c r="J80" s="222">
        <v>0</v>
      </c>
      <c r="K80" s="222">
        <f>J80</f>
        <v>0</v>
      </c>
      <c r="L80" s="222">
        <f t="shared" ref="L80:N80" si="82">K80</f>
        <v>0</v>
      </c>
      <c r="M80" s="222">
        <f t="shared" si="82"/>
        <v>0</v>
      </c>
      <c r="N80" s="222">
        <f t="shared" si="82"/>
        <v>0</v>
      </c>
      <c r="O80" s="222">
        <f t="shared" ref="O80" si="83">N80</f>
        <v>0</v>
      </c>
      <c r="P80" s="222">
        <f t="shared" ref="P80" si="84">O80</f>
        <v>0</v>
      </c>
      <c r="Q80" s="222">
        <f t="shared" ref="Q80" si="85">P80</f>
        <v>0</v>
      </c>
      <c r="R80" s="222">
        <f t="shared" ref="R80" si="86">Q80</f>
        <v>0</v>
      </c>
      <c r="S80" s="222">
        <f t="shared" ref="S80" si="87">R80</f>
        <v>0</v>
      </c>
    </row>
    <row r="81" spans="2:19" outlineLevel="1">
      <c r="B81" t="s">
        <v>131</v>
      </c>
      <c r="C81" s="219"/>
      <c r="I81" s="205">
        <f>('Income Stmt'!I37*-1)/(SUM('Balance Sheet'!I7,'Balance Sheet'!I9,'Balance Sheet'!I11))*'Balance Sheet'!I11</f>
        <v>476.68128306957328</v>
      </c>
      <c r="J81" s="40">
        <f>I81+(J80/$C$117)</f>
        <v>476.68128306957328</v>
      </c>
      <c r="K81" s="40">
        <f t="shared" ref="K81:N81" si="88">J81+(K80/$C$117)</f>
        <v>476.68128306957328</v>
      </c>
      <c r="L81" s="40">
        <f t="shared" si="88"/>
        <v>476.68128306957328</v>
      </c>
      <c r="M81" s="40">
        <f t="shared" si="88"/>
        <v>476.68128306957328</v>
      </c>
      <c r="N81" s="40">
        <f t="shared" si="88"/>
        <v>476.68128306957328</v>
      </c>
      <c r="O81" s="40">
        <f t="shared" ref="O81" si="89">N81+(O80/$C$117)</f>
        <v>476.68128306957328</v>
      </c>
      <c r="P81" s="40">
        <f t="shared" ref="P81" si="90">O81+(P80/$C$117)</f>
        <v>476.68128306957328</v>
      </c>
      <c r="Q81" s="40">
        <f t="shared" ref="Q81" si="91">P81+(Q80/$C$117)</f>
        <v>476.68128306957328</v>
      </c>
      <c r="R81" s="40">
        <f t="shared" ref="R81" si="92">Q81+(R80/$C$117)</f>
        <v>476.68128306957328</v>
      </c>
      <c r="S81" s="40">
        <f t="shared" ref="S81" si="93">R81+(S80/$C$117)</f>
        <v>476.68128306957328</v>
      </c>
    </row>
    <row r="82" spans="2:19" outlineLevel="1">
      <c r="B82" s="30" t="s">
        <v>638</v>
      </c>
      <c r="C82" s="30"/>
      <c r="D82" s="30"/>
      <c r="E82" s="30"/>
      <c r="F82" s="30"/>
      <c r="G82" s="30"/>
      <c r="H82" s="30"/>
      <c r="I82" s="30"/>
      <c r="J82" s="32">
        <f>J79+J80-J81</f>
        <v>9127.9787169304273</v>
      </c>
      <c r="K82" s="32">
        <f t="shared" ref="K82" si="94">K79+K80-K81</f>
        <v>8651.2974338608547</v>
      </c>
      <c r="L82" s="32">
        <f t="shared" ref="L82" si="95">L79+L80-L81</f>
        <v>8174.6161507912811</v>
      </c>
      <c r="M82" s="32">
        <f t="shared" ref="M82" si="96">M79+M80-M81</f>
        <v>7697.9348677217076</v>
      </c>
      <c r="N82" s="32">
        <f t="shared" ref="N82:S82" si="97">N79+N80-N81</f>
        <v>7221.2535846521341</v>
      </c>
      <c r="O82" s="32">
        <f t="shared" si="97"/>
        <v>6744.5723015825606</v>
      </c>
      <c r="P82" s="32">
        <f t="shared" si="97"/>
        <v>6267.8910185129871</v>
      </c>
      <c r="Q82" s="32">
        <f t="shared" si="97"/>
        <v>5791.2097354434136</v>
      </c>
      <c r="R82" s="32">
        <f t="shared" si="97"/>
        <v>5314.5284523738401</v>
      </c>
      <c r="S82" s="32">
        <f t="shared" si="97"/>
        <v>4837.8471693042666</v>
      </c>
    </row>
    <row r="83" spans="2:19" outlineLevel="1">
      <c r="B83" s="31" t="s">
        <v>501</v>
      </c>
      <c r="C83" s="31"/>
      <c r="D83" s="31"/>
      <c r="E83" s="31"/>
      <c r="F83" s="57"/>
      <c r="G83" s="57"/>
      <c r="H83" s="57"/>
      <c r="I83" s="57"/>
      <c r="J83" s="33">
        <f>'ControlSheet '!J88</f>
        <v>3.2000000000000001E-2</v>
      </c>
      <c r="K83" s="33">
        <f>'ControlSheet '!K88</f>
        <v>3.1E-2</v>
      </c>
      <c r="L83" s="33">
        <f>'ControlSheet '!L88</f>
        <v>0.02</v>
      </c>
      <c r="M83" s="33">
        <f>'ControlSheet '!M88</f>
        <v>0.02</v>
      </c>
      <c r="N83" s="33">
        <f>'ControlSheet '!N88</f>
        <v>0.02</v>
      </c>
      <c r="O83" s="33">
        <f>'ControlSheet '!O88</f>
        <v>0.02</v>
      </c>
      <c r="P83" s="33">
        <f>'ControlSheet '!P88</f>
        <v>0.02</v>
      </c>
      <c r="Q83" s="33">
        <f>'ControlSheet '!Q88</f>
        <v>0.02</v>
      </c>
      <c r="R83" s="33">
        <f>'ControlSheet '!R88</f>
        <v>0.02</v>
      </c>
      <c r="S83" s="33">
        <f>'ControlSheet '!S88</f>
        <v>0.02</v>
      </c>
    </row>
    <row r="84" spans="2:19" outlineLevel="1">
      <c r="B84" s="27"/>
      <c r="C84" s="27"/>
      <c r="D84" s="27"/>
      <c r="E84" s="205"/>
      <c r="F84" s="205"/>
      <c r="G84" s="205"/>
      <c r="H84" s="205"/>
      <c r="I84" s="205"/>
      <c r="J84" s="39"/>
      <c r="K84" s="39"/>
      <c r="L84" s="39"/>
      <c r="M84" s="39"/>
      <c r="N84" s="39"/>
      <c r="O84" s="39"/>
      <c r="P84" s="39"/>
      <c r="Q84" s="39"/>
      <c r="R84" s="39"/>
      <c r="S84" s="39"/>
    </row>
    <row r="85" spans="2:19" outlineLevel="1">
      <c r="B85" s="31" t="s">
        <v>501</v>
      </c>
      <c r="C85" s="31"/>
      <c r="D85" s="31"/>
      <c r="E85" s="31"/>
      <c r="F85" s="57">
        <f>F79/E79-1</f>
        <v>98.986716299664636</v>
      </c>
      <c r="G85" s="57">
        <f>G79/F79-1</f>
        <v>-7.6604111373877792E-2</v>
      </c>
      <c r="H85" s="57">
        <f>H79/G79-1</f>
        <v>-6.6486065259238836E-2</v>
      </c>
      <c r="I85" s="57">
        <f>I79/H79-1</f>
        <v>5.0469810079040398</v>
      </c>
      <c r="J85" s="33">
        <f>'ControlSheet '!J88</f>
        <v>3.2000000000000001E-2</v>
      </c>
      <c r="K85" s="33">
        <f>'ControlSheet '!K88</f>
        <v>3.1E-2</v>
      </c>
      <c r="L85" s="33">
        <f>'ControlSheet '!L88</f>
        <v>0.02</v>
      </c>
      <c r="M85" s="33">
        <f>'ControlSheet '!M88</f>
        <v>0.02</v>
      </c>
      <c r="N85" s="33">
        <f>'ControlSheet '!N88</f>
        <v>0.02</v>
      </c>
      <c r="O85" s="33">
        <f>'ControlSheet '!O88</f>
        <v>0.02</v>
      </c>
      <c r="P85" s="33">
        <f>'ControlSheet '!P88</f>
        <v>0.02</v>
      </c>
      <c r="Q85" s="33">
        <f>'ControlSheet '!Q88</f>
        <v>0.02</v>
      </c>
      <c r="R85" s="33">
        <f>'ControlSheet '!R88</f>
        <v>0.02</v>
      </c>
      <c r="S85" s="33">
        <f>'ControlSheet '!S88</f>
        <v>0.02</v>
      </c>
    </row>
    <row r="86" spans="2:19" outlineLevel="1"/>
    <row r="87" spans="2:19" outlineLevel="1">
      <c r="B87" s="20" t="s">
        <v>13</v>
      </c>
    </row>
    <row r="88" spans="2:19" outlineLevel="1">
      <c r="B88" s="27" t="str">
        <f>B87</f>
        <v>Goodwill</v>
      </c>
      <c r="C88" s="27"/>
      <c r="D88" s="27"/>
      <c r="E88" s="205">
        <f>'Balance Sheet'!E10</f>
        <v>20.4422</v>
      </c>
      <c r="F88" s="205">
        <f>'Balance Sheet'!F10</f>
        <v>20.4422</v>
      </c>
      <c r="G88" s="205">
        <f>'Balance Sheet'!G10</f>
        <v>20.022500000000001</v>
      </c>
      <c r="H88" s="205">
        <f>'Balance Sheet'!H10</f>
        <v>20.022500000000001</v>
      </c>
      <c r="I88" s="205">
        <f>'Balance Sheet'!I10</f>
        <v>6492</v>
      </c>
      <c r="J88" s="39">
        <f>I88*(1+J89)</f>
        <v>6492</v>
      </c>
      <c r="K88" s="39">
        <f t="shared" ref="K88" si="98">J88*(1+K89)</f>
        <v>6492</v>
      </c>
      <c r="L88" s="39">
        <f t="shared" ref="L88" si="99">K88*(1+L89)</f>
        <v>6492</v>
      </c>
      <c r="M88" s="39">
        <f t="shared" ref="M88" si="100">L88*(1+M89)</f>
        <v>6492</v>
      </c>
      <c r="N88" s="39">
        <f t="shared" ref="N88" si="101">M88*(1+N89)</f>
        <v>6492</v>
      </c>
      <c r="O88" s="39">
        <f t="shared" ref="O88" si="102">N88*(1+O89)</f>
        <v>6492</v>
      </c>
      <c r="P88" s="39">
        <f t="shared" ref="P88" si="103">O88*(1+P89)</f>
        <v>6492</v>
      </c>
      <c r="Q88" s="39">
        <f t="shared" ref="Q88" si="104">P88*(1+Q89)</f>
        <v>6492</v>
      </c>
      <c r="R88" s="39">
        <f t="shared" ref="R88" si="105">Q88*(1+R89)</f>
        <v>6492</v>
      </c>
      <c r="S88" s="39">
        <f t="shared" ref="S88" si="106">R88*(1+S89)</f>
        <v>6492</v>
      </c>
    </row>
    <row r="89" spans="2:19" outlineLevel="1">
      <c r="B89" s="31" t="s">
        <v>501</v>
      </c>
      <c r="C89" s="31"/>
      <c r="D89" s="31"/>
      <c r="E89" s="31"/>
      <c r="F89" s="57">
        <f>F88/E88-1</f>
        <v>0</v>
      </c>
      <c r="G89" s="57">
        <f t="shared" ref="G89" si="107">G88/F88-1</f>
        <v>-2.0531058300965577E-2</v>
      </c>
      <c r="H89" s="57">
        <f t="shared" ref="H89" si="108">H88/G88-1</f>
        <v>0</v>
      </c>
      <c r="I89" s="57">
        <f t="shared" ref="I89" si="109">I88/H88-1</f>
        <v>323.23523536021975</v>
      </c>
      <c r="J89" s="33">
        <f>'ControlSheet '!J94</f>
        <v>0</v>
      </c>
      <c r="K89" s="33">
        <f>'ControlSheet '!K94</f>
        <v>0</v>
      </c>
      <c r="L89" s="33">
        <f>'ControlSheet '!L94</f>
        <v>0</v>
      </c>
      <c r="M89" s="33">
        <f>'ControlSheet '!M94</f>
        <v>0</v>
      </c>
      <c r="N89" s="33">
        <f>'ControlSheet '!N94</f>
        <v>0</v>
      </c>
      <c r="O89" s="33">
        <f>'ControlSheet '!O94</f>
        <v>0</v>
      </c>
      <c r="P89" s="33">
        <f>'ControlSheet '!P94</f>
        <v>0</v>
      </c>
      <c r="Q89" s="33">
        <f>'ControlSheet '!Q94</f>
        <v>0</v>
      </c>
      <c r="R89" s="33">
        <f>'ControlSheet '!R94</f>
        <v>0</v>
      </c>
      <c r="S89" s="33">
        <f>'ControlSheet '!S94</f>
        <v>0</v>
      </c>
    </row>
    <row r="90" spans="2:19">
      <c r="B90" s="27"/>
      <c r="C90" s="27"/>
      <c r="D90" s="27"/>
      <c r="E90" s="27"/>
      <c r="F90" s="27"/>
      <c r="G90" s="27"/>
      <c r="H90" s="27"/>
      <c r="I90" s="27"/>
      <c r="J90" s="27"/>
      <c r="K90" s="27"/>
      <c r="L90" s="27"/>
      <c r="M90" s="27"/>
      <c r="N90" s="27"/>
      <c r="O90" s="27"/>
      <c r="P90" s="27"/>
      <c r="Q90" s="27"/>
      <c r="R90" s="27"/>
      <c r="S90" s="27"/>
    </row>
    <row r="91" spans="2:19">
      <c r="B91" s="20" t="s">
        <v>512</v>
      </c>
    </row>
    <row r="92" spans="2:19">
      <c r="B92" s="27" t="str">
        <f>B91</f>
        <v>Non Current Financial Asset</v>
      </c>
      <c r="C92" s="27"/>
      <c r="D92" s="27"/>
      <c r="E92" s="205">
        <f>'Balance Sheet'!E15</f>
        <v>68.019000000000005</v>
      </c>
      <c r="F92" s="205">
        <f>'Balance Sheet'!F15</f>
        <v>95.644600000000011</v>
      </c>
      <c r="G92" s="205">
        <f>'Balance Sheet'!G15</f>
        <v>205.0883</v>
      </c>
      <c r="H92" s="205">
        <f>'Balance Sheet'!H15</f>
        <v>155.33539999999999</v>
      </c>
      <c r="I92" s="205">
        <f>'Balance Sheet'!I15</f>
        <v>360.57000000000005</v>
      </c>
      <c r="J92" s="39">
        <f>I92*(1+J93)</f>
        <v>360.57000000000005</v>
      </c>
      <c r="K92" s="39">
        <f t="shared" ref="K92" si="110">J92*(1+K93)</f>
        <v>360.57000000000005</v>
      </c>
      <c r="L92" s="39">
        <f t="shared" ref="L92" si="111">K92*(1+L93)</f>
        <v>360.57000000000005</v>
      </c>
      <c r="M92" s="39">
        <f t="shared" ref="M92" si="112">L92*(1+M93)</f>
        <v>360.57000000000005</v>
      </c>
      <c r="N92" s="39">
        <f t="shared" ref="N92" si="113">M92*(1+N93)</f>
        <v>360.57000000000005</v>
      </c>
      <c r="O92" s="39">
        <f t="shared" ref="O92" si="114">N92*(1+O93)</f>
        <v>360.57000000000005</v>
      </c>
      <c r="P92" s="39">
        <f t="shared" ref="P92" si="115">O92*(1+P93)</f>
        <v>360.57000000000005</v>
      </c>
      <c r="Q92" s="39">
        <f t="shared" ref="Q92" si="116">P92*(1+Q93)</f>
        <v>360.57000000000005</v>
      </c>
      <c r="R92" s="39">
        <f t="shared" ref="R92" si="117">Q92*(1+R93)</f>
        <v>360.57000000000005</v>
      </c>
      <c r="S92" s="39">
        <f t="shared" ref="S92" si="118">R92*(1+S93)</f>
        <v>360.57000000000005</v>
      </c>
    </row>
    <row r="93" spans="2:19">
      <c r="B93" s="31" t="s">
        <v>501</v>
      </c>
      <c r="C93" s="31"/>
      <c r="D93" s="31"/>
      <c r="E93" s="31"/>
      <c r="F93" s="57">
        <f>F92/E92-1</f>
        <v>0.4061453417427483</v>
      </c>
      <c r="G93" s="57">
        <f t="shared" ref="G93" si="119">G92/F92-1</f>
        <v>1.1442747421182164</v>
      </c>
      <c r="H93" s="57">
        <f t="shared" ref="H93" si="120">H92/G92-1</f>
        <v>-0.24259258085419799</v>
      </c>
      <c r="I93" s="57">
        <f t="shared" ref="I93" si="121">I92/H92-1</f>
        <v>1.3212352110336734</v>
      </c>
      <c r="J93" s="294">
        <f>'ControlSheet '!J100</f>
        <v>0</v>
      </c>
      <c r="K93" s="294">
        <f>'ControlSheet '!K100</f>
        <v>0</v>
      </c>
      <c r="L93" s="294">
        <f>'ControlSheet '!L100</f>
        <v>0</v>
      </c>
      <c r="M93" s="294">
        <f>'ControlSheet '!M100</f>
        <v>0</v>
      </c>
      <c r="N93" s="294">
        <f>'ControlSheet '!N100</f>
        <v>0</v>
      </c>
      <c r="O93" s="294">
        <f>'ControlSheet '!O100</f>
        <v>0</v>
      </c>
      <c r="P93" s="294">
        <f>'ControlSheet '!P100</f>
        <v>0</v>
      </c>
      <c r="Q93" s="294">
        <f>'ControlSheet '!Q100</f>
        <v>0</v>
      </c>
      <c r="R93" s="294">
        <f>'ControlSheet '!R100</f>
        <v>0</v>
      </c>
      <c r="S93" s="294">
        <f>'ControlSheet '!S100</f>
        <v>0</v>
      </c>
    </row>
    <row r="94" spans="2:19">
      <c r="B94" s="27"/>
      <c r="C94" s="27"/>
      <c r="D94" s="27"/>
      <c r="E94" s="27"/>
      <c r="F94" s="27"/>
      <c r="G94" s="27"/>
      <c r="H94" s="27"/>
      <c r="I94" s="27"/>
      <c r="J94" s="27"/>
      <c r="K94" s="27"/>
      <c r="L94" s="27"/>
      <c r="M94" s="27"/>
      <c r="N94" s="27"/>
      <c r="O94" s="27"/>
      <c r="P94" s="27"/>
      <c r="Q94" s="27"/>
      <c r="R94" s="27"/>
      <c r="S94" s="27"/>
    </row>
    <row r="95" spans="2:19">
      <c r="B95" s="20" t="s">
        <v>510</v>
      </c>
    </row>
    <row r="96" spans="2:19">
      <c r="B96" s="27" t="str">
        <f>B95</f>
        <v>Other Non Current Asset</v>
      </c>
      <c r="C96" s="27"/>
      <c r="D96" s="27"/>
      <c r="E96" s="205">
        <f>'Balance Sheet'!E20</f>
        <v>96.676599999999993</v>
      </c>
      <c r="F96" s="205">
        <f>'Balance Sheet'!F20</f>
        <v>74.184300000000007</v>
      </c>
      <c r="G96" s="205">
        <f>'Balance Sheet'!G20</f>
        <v>73.355000000000004</v>
      </c>
      <c r="H96" s="205">
        <f>'Balance Sheet'!H20</f>
        <v>66.281099999999995</v>
      </c>
      <c r="I96" s="205">
        <f>'Balance Sheet'!I20</f>
        <v>92.26</v>
      </c>
      <c r="J96" s="39">
        <f>I96*(1+J97)</f>
        <v>92.26</v>
      </c>
      <c r="K96" s="39">
        <f t="shared" ref="K96:N96" si="122">J96*(1+K97)</f>
        <v>92.26</v>
      </c>
      <c r="L96" s="39">
        <f t="shared" si="122"/>
        <v>92.26</v>
      </c>
      <c r="M96" s="39">
        <f t="shared" si="122"/>
        <v>92.26</v>
      </c>
      <c r="N96" s="39">
        <f t="shared" si="122"/>
        <v>92.26</v>
      </c>
      <c r="O96" s="39">
        <f t="shared" ref="O96" si="123">N96*(1+O97)</f>
        <v>92.26</v>
      </c>
      <c r="P96" s="39">
        <f t="shared" ref="P96" si="124">O96*(1+P97)</f>
        <v>92.26</v>
      </c>
      <c r="Q96" s="39">
        <f t="shared" ref="Q96" si="125">P96*(1+Q97)</f>
        <v>92.26</v>
      </c>
      <c r="R96" s="39">
        <f t="shared" ref="R96" si="126">Q96*(1+R97)</f>
        <v>92.26</v>
      </c>
      <c r="S96" s="39">
        <f t="shared" ref="S96" si="127">R96*(1+S97)</f>
        <v>92.26</v>
      </c>
    </row>
    <row r="97" spans="2:19">
      <c r="B97" s="31" t="s">
        <v>515</v>
      </c>
      <c r="C97" s="31"/>
      <c r="D97" s="31"/>
      <c r="E97" s="57">
        <f>E96/E13</f>
        <v>1.5533126811103691E-2</v>
      </c>
      <c r="F97" s="57">
        <f>F96/F13</f>
        <v>9.5333515019382191E-3</v>
      </c>
      <c r="G97" s="57">
        <f>G96/G13</f>
        <v>8.3839718528046329E-3</v>
      </c>
      <c r="H97" s="57">
        <f>H96/H13</f>
        <v>6.4134054747551055E-3</v>
      </c>
      <c r="I97" s="57">
        <f>I96/I13</f>
        <v>7.5579585483738845E-3</v>
      </c>
      <c r="J97" s="33">
        <f>'ControlSheet '!J106</f>
        <v>0</v>
      </c>
      <c r="K97" s="33">
        <f>'ControlSheet '!K106</f>
        <v>0</v>
      </c>
      <c r="L97" s="33">
        <f>'ControlSheet '!L106</f>
        <v>0</v>
      </c>
      <c r="M97" s="33">
        <f>'ControlSheet '!M106</f>
        <v>0</v>
      </c>
      <c r="N97" s="33">
        <f>'ControlSheet '!N106</f>
        <v>0</v>
      </c>
      <c r="O97" s="33">
        <f>'ControlSheet '!O106</f>
        <v>0</v>
      </c>
      <c r="P97" s="33">
        <f>'ControlSheet '!P106</f>
        <v>0</v>
      </c>
      <c r="Q97" s="33">
        <f>'ControlSheet '!Q106</f>
        <v>0</v>
      </c>
      <c r="R97" s="33">
        <f>'ControlSheet '!R106</f>
        <v>0</v>
      </c>
      <c r="S97" s="33">
        <f>'ControlSheet '!S106</f>
        <v>0</v>
      </c>
    </row>
    <row r="99" spans="2:19">
      <c r="B99" s="20" t="s">
        <v>513</v>
      </c>
    </row>
    <row r="100" spans="2:19">
      <c r="B100" s="27" t="str">
        <f>B99</f>
        <v>Income Tax Asset</v>
      </c>
      <c r="C100" s="27"/>
      <c r="D100" s="27"/>
      <c r="E100" s="205">
        <f>'Balance Sheet'!E21</f>
        <v>55.605600000000003</v>
      </c>
      <c r="F100" s="205">
        <f>'Balance Sheet'!F21</f>
        <v>79.824200000000005</v>
      </c>
      <c r="G100" s="205">
        <f>'Balance Sheet'!G21</f>
        <v>102.51530000000001</v>
      </c>
      <c r="H100" s="205">
        <f>'Balance Sheet'!H21</f>
        <v>81.983899999999991</v>
      </c>
      <c r="I100" s="205">
        <f>'Balance Sheet'!I21</f>
        <v>189.49</v>
      </c>
      <c r="J100" s="39">
        <f>I100*(1+J101)</f>
        <v>189.49</v>
      </c>
      <c r="K100" s="39">
        <f t="shared" ref="K100:N100" si="128">J100*(1+K101)</f>
        <v>189.49</v>
      </c>
      <c r="L100" s="39">
        <f t="shared" si="128"/>
        <v>189.49</v>
      </c>
      <c r="M100" s="39">
        <f t="shared" si="128"/>
        <v>189.49</v>
      </c>
      <c r="N100" s="39">
        <f t="shared" si="128"/>
        <v>189.49</v>
      </c>
      <c r="O100" s="39">
        <f t="shared" ref="O100" si="129">N100*(1+O101)</f>
        <v>189.49</v>
      </c>
      <c r="P100" s="39">
        <f t="shared" ref="P100" si="130">O100*(1+P101)</f>
        <v>189.49</v>
      </c>
      <c r="Q100" s="39">
        <f t="shared" ref="Q100" si="131">P100*(1+Q101)</f>
        <v>189.49</v>
      </c>
      <c r="R100" s="39">
        <f t="shared" ref="R100" si="132">Q100*(1+R101)</f>
        <v>189.49</v>
      </c>
      <c r="S100" s="39">
        <f t="shared" ref="S100" si="133">R100*(1+S101)</f>
        <v>189.49</v>
      </c>
    </row>
    <row r="101" spans="2:19">
      <c r="B101" s="31" t="s">
        <v>501</v>
      </c>
      <c r="C101" s="31"/>
      <c r="D101" s="31"/>
      <c r="E101" s="31"/>
      <c r="F101" s="57">
        <f>F100/E100-1</f>
        <v>0.43554246334901525</v>
      </c>
      <c r="G101" s="57">
        <f t="shared" ref="G101" si="134">G100/F100-1</f>
        <v>0.28426341886295137</v>
      </c>
      <c r="H101" s="57">
        <f t="shared" ref="H101" si="135">H100/G100-1</f>
        <v>-0.20027644654017518</v>
      </c>
      <c r="I101" s="57">
        <f t="shared" ref="I101" si="136">I100/H100-1</f>
        <v>1.3113074640264739</v>
      </c>
      <c r="J101" s="33">
        <f>'ControlSheet '!J112</f>
        <v>0</v>
      </c>
      <c r="K101" s="33">
        <f>'ControlSheet '!K112</f>
        <v>0</v>
      </c>
      <c r="L101" s="33">
        <f>'ControlSheet '!L112</f>
        <v>0</v>
      </c>
      <c r="M101" s="33">
        <f>'ControlSheet '!M112</f>
        <v>0</v>
      </c>
      <c r="N101" s="33">
        <f>'ControlSheet '!N112</f>
        <v>0</v>
      </c>
      <c r="O101" s="33">
        <f>'ControlSheet '!O112</f>
        <v>0</v>
      </c>
      <c r="P101" s="33">
        <f>'ControlSheet '!P112</f>
        <v>0</v>
      </c>
      <c r="Q101" s="33">
        <f>'ControlSheet '!Q112</f>
        <v>0</v>
      </c>
      <c r="R101" s="33">
        <f>'ControlSheet '!R112</f>
        <v>0</v>
      </c>
      <c r="S101" s="33">
        <f>'ControlSheet '!S112</f>
        <v>0</v>
      </c>
    </row>
    <row r="102" spans="2:19">
      <c r="B102" s="27"/>
      <c r="C102" s="27"/>
      <c r="D102" s="27"/>
      <c r="E102" s="27"/>
      <c r="F102" s="27"/>
      <c r="G102" s="27"/>
      <c r="H102" s="27"/>
      <c r="I102" s="27"/>
      <c r="J102" s="27"/>
      <c r="K102" s="27"/>
      <c r="L102" s="27"/>
      <c r="M102" s="27"/>
      <c r="N102" s="27"/>
      <c r="O102" s="27"/>
      <c r="P102" s="27"/>
      <c r="Q102" s="27"/>
      <c r="R102" s="27"/>
      <c r="S102" s="27"/>
    </row>
    <row r="103" spans="2:19">
      <c r="B103" s="20" t="s">
        <v>511</v>
      </c>
    </row>
    <row r="104" spans="2:19">
      <c r="B104" s="27" t="str">
        <f>B103</f>
        <v>Deferred Tax Asset</v>
      </c>
      <c r="C104" s="27"/>
      <c r="D104" s="27"/>
      <c r="E104" s="205">
        <f>'Balance Sheet'!E22</f>
        <v>49.011000000000003</v>
      </c>
      <c r="F104" s="205">
        <f>'Balance Sheet'!F22</f>
        <v>39.286200000000001</v>
      </c>
      <c r="G104" s="205">
        <f>'Balance Sheet'!G22</f>
        <v>29.776900000000001</v>
      </c>
      <c r="H104" s="205">
        <f>'Balance Sheet'!H22</f>
        <v>80.397499999999994</v>
      </c>
      <c r="I104" s="205">
        <f>'Balance Sheet'!I22</f>
        <v>107.89</v>
      </c>
      <c r="J104" s="39">
        <f>I104*(1+J105)</f>
        <v>107.89</v>
      </c>
      <c r="K104" s="39">
        <f t="shared" ref="K104:N104" si="137">J104*(1+K105)</f>
        <v>107.89</v>
      </c>
      <c r="L104" s="39">
        <f t="shared" si="137"/>
        <v>107.89</v>
      </c>
      <c r="M104" s="39">
        <f t="shared" si="137"/>
        <v>107.89</v>
      </c>
      <c r="N104" s="39">
        <f t="shared" si="137"/>
        <v>107.89</v>
      </c>
      <c r="O104" s="39">
        <f t="shared" ref="O104" si="138">N104*(1+O105)</f>
        <v>107.89</v>
      </c>
      <c r="P104" s="39">
        <f t="shared" ref="P104" si="139">O104*(1+P105)</f>
        <v>107.89</v>
      </c>
      <c r="Q104" s="39">
        <f t="shared" ref="Q104" si="140">P104*(1+Q105)</f>
        <v>107.89</v>
      </c>
      <c r="R104" s="39">
        <f t="shared" ref="R104" si="141">Q104*(1+R105)</f>
        <v>107.89</v>
      </c>
      <c r="S104" s="39">
        <f t="shared" ref="S104" si="142">R104*(1+S105)</f>
        <v>107.89</v>
      </c>
    </row>
    <row r="105" spans="2:19">
      <c r="B105" s="31" t="s">
        <v>501</v>
      </c>
      <c r="C105" s="31"/>
      <c r="D105" s="31"/>
      <c r="E105" s="31"/>
      <c r="F105" s="57">
        <f>F104/E104-1</f>
        <v>-0.19842076268592768</v>
      </c>
      <c r="G105" s="57">
        <f t="shared" ref="G105" si="143">G104/F104-1</f>
        <v>-0.24205191644903301</v>
      </c>
      <c r="H105" s="57">
        <f t="shared" ref="H105" si="144">H104/G104-1</f>
        <v>1.6999956341996647</v>
      </c>
      <c r="I105" s="57">
        <f t="shared" ref="I105" si="145">I104/H104-1</f>
        <v>0.34195715040890584</v>
      </c>
      <c r="J105" s="33">
        <f>'ControlSheet '!J118</f>
        <v>0</v>
      </c>
      <c r="K105" s="33">
        <f>'ControlSheet '!K118</f>
        <v>0</v>
      </c>
      <c r="L105" s="33">
        <f>'ControlSheet '!L118</f>
        <v>0</v>
      </c>
      <c r="M105" s="33">
        <f>'ControlSheet '!M118</f>
        <v>0</v>
      </c>
      <c r="N105" s="33">
        <f>'ControlSheet '!N118</f>
        <v>0</v>
      </c>
      <c r="O105" s="33">
        <f>'ControlSheet '!O118</f>
        <v>0</v>
      </c>
      <c r="P105" s="33">
        <f>'ControlSheet '!P118</f>
        <v>0</v>
      </c>
      <c r="Q105" s="33">
        <f>'ControlSheet '!Q118</f>
        <v>0</v>
      </c>
      <c r="R105" s="33">
        <f>'ControlSheet '!R118</f>
        <v>0</v>
      </c>
      <c r="S105" s="33">
        <f>'ControlSheet '!S118</f>
        <v>0</v>
      </c>
    </row>
    <row r="106" spans="2:19">
      <c r="B106" s="27"/>
      <c r="C106" s="27"/>
      <c r="D106" s="27"/>
      <c r="E106" s="27"/>
      <c r="F106" s="27"/>
      <c r="G106" s="27"/>
      <c r="H106" s="27"/>
      <c r="I106" s="27"/>
      <c r="J106" s="27"/>
      <c r="K106" s="27"/>
      <c r="L106" s="27"/>
      <c r="M106" s="27"/>
      <c r="N106" s="27"/>
      <c r="O106" s="27"/>
      <c r="P106" s="27"/>
      <c r="Q106" s="27"/>
      <c r="R106" s="27"/>
      <c r="S106" s="27"/>
    </row>
    <row r="107" spans="2:19">
      <c r="B107" s="20" t="s">
        <v>522</v>
      </c>
    </row>
    <row r="108" spans="2:19">
      <c r="B108" s="27" t="str">
        <f>B107</f>
        <v>Intangible Assets Under Development</v>
      </c>
      <c r="C108" s="27"/>
      <c r="D108" s="27"/>
      <c r="E108" s="207">
        <f>'Balance Sheet'!E12</f>
        <v>0.33360000000000001</v>
      </c>
      <c r="F108" s="205">
        <f>'Balance Sheet'!F12</f>
        <v>31.597899999999999</v>
      </c>
      <c r="G108" s="205">
        <f>'Balance Sheet'!G12</f>
        <v>56.953599999999994</v>
      </c>
      <c r="H108" s="205">
        <f>'Balance Sheet'!H12</f>
        <v>74.699200000000005</v>
      </c>
      <c r="I108" s="205">
        <f>'Balance Sheet'!I12</f>
        <v>519.54</v>
      </c>
      <c r="J108" s="39">
        <f>I108*(1+J109)</f>
        <v>519.54</v>
      </c>
      <c r="K108" s="39">
        <f t="shared" ref="K108" si="146">J108*(1+K109)</f>
        <v>519.54</v>
      </c>
      <c r="L108" s="39">
        <f t="shared" ref="L108" si="147">K108*(1+L109)</f>
        <v>519.54</v>
      </c>
      <c r="M108" s="39">
        <f t="shared" ref="M108" si="148">L108*(1+M109)</f>
        <v>519.54</v>
      </c>
      <c r="N108" s="39">
        <f t="shared" ref="N108" si="149">M108*(1+N109)</f>
        <v>519.54</v>
      </c>
      <c r="O108" s="39">
        <f t="shared" ref="O108" si="150">N108*(1+O109)</f>
        <v>519.54</v>
      </c>
      <c r="P108" s="39">
        <f t="shared" ref="P108" si="151">O108*(1+P109)</f>
        <v>519.54</v>
      </c>
      <c r="Q108" s="39">
        <f t="shared" ref="Q108" si="152">P108*(1+Q109)</f>
        <v>519.54</v>
      </c>
      <c r="R108" s="39">
        <f t="shared" ref="R108" si="153">Q108*(1+R109)</f>
        <v>519.54</v>
      </c>
      <c r="S108" s="39">
        <f t="shared" ref="S108" si="154">R108*(1+S109)</f>
        <v>519.54</v>
      </c>
    </row>
    <row r="109" spans="2:19">
      <c r="B109" s="31" t="s">
        <v>501</v>
      </c>
      <c r="C109" s="31"/>
      <c r="D109" s="31"/>
      <c r="E109" s="31"/>
      <c r="F109" s="57">
        <f>F108/E108-1</f>
        <v>93.717925659472414</v>
      </c>
      <c r="G109" s="57">
        <f t="shared" ref="G109" si="155">G108/F108-1</f>
        <v>0.80244889692036492</v>
      </c>
      <c r="H109" s="57">
        <f t="shared" ref="H109" si="156">H108/G108-1</f>
        <v>0.311579952803686</v>
      </c>
      <c r="I109" s="57">
        <f t="shared" ref="I109" si="157">I108/H108-1</f>
        <v>5.9550945659391257</v>
      </c>
      <c r="J109" s="33">
        <f>'ControlSheet '!J124</f>
        <v>0</v>
      </c>
      <c r="K109" s="33">
        <f>'ControlSheet '!K124</f>
        <v>0</v>
      </c>
      <c r="L109" s="33">
        <f>'ControlSheet '!L124</f>
        <v>0</v>
      </c>
      <c r="M109" s="33">
        <f>'ControlSheet '!M124</f>
        <v>0</v>
      </c>
      <c r="N109" s="33">
        <f>'ControlSheet '!N124</f>
        <v>0</v>
      </c>
      <c r="O109" s="33">
        <f>'ControlSheet '!O124</f>
        <v>0</v>
      </c>
      <c r="P109" s="33">
        <f>'ControlSheet '!P124</f>
        <v>0</v>
      </c>
      <c r="Q109" s="33">
        <f>'ControlSheet '!Q124</f>
        <v>0</v>
      </c>
      <c r="R109" s="33">
        <f>'ControlSheet '!R124</f>
        <v>0</v>
      </c>
      <c r="S109" s="33">
        <f>'ControlSheet '!S124</f>
        <v>0</v>
      </c>
    </row>
    <row r="110" spans="2:19">
      <c r="B110" s="27"/>
      <c r="C110" s="27"/>
      <c r="D110" s="27"/>
      <c r="E110" s="27"/>
      <c r="F110" s="27"/>
      <c r="G110" s="27"/>
      <c r="H110" s="27"/>
      <c r="I110" s="27"/>
      <c r="J110" s="27"/>
      <c r="K110" s="27"/>
      <c r="L110" s="27"/>
      <c r="M110" s="27"/>
      <c r="N110" s="27"/>
      <c r="O110" s="27"/>
      <c r="P110" s="27"/>
      <c r="Q110" s="27"/>
      <c r="R110" s="27"/>
      <c r="S110" s="27"/>
    </row>
    <row r="111" spans="2:19">
      <c r="B111" s="20" t="s">
        <v>523</v>
      </c>
    </row>
    <row r="112" spans="2:19">
      <c r="B112" s="27" t="str">
        <f>B111</f>
        <v xml:space="preserve">Investments in associates </v>
      </c>
      <c r="C112" s="27"/>
      <c r="D112" s="27"/>
      <c r="E112" s="205">
        <f>'Balance Sheet'!E13</f>
        <v>165.7868</v>
      </c>
      <c r="F112" s="205">
        <f>'Balance Sheet'!F13</f>
        <v>167.74279999999999</v>
      </c>
      <c r="G112" s="205">
        <f>'Balance Sheet'!G13</f>
        <v>181.41119999999998</v>
      </c>
      <c r="H112" s="205">
        <f>'Balance Sheet'!H13</f>
        <v>189.28139999999999</v>
      </c>
      <c r="I112" s="205">
        <f>'Balance Sheet'!I13</f>
        <v>190.9</v>
      </c>
      <c r="J112" s="39">
        <f>I112*(1+J113)</f>
        <v>190.9</v>
      </c>
      <c r="K112" s="39">
        <f t="shared" ref="K112" si="158">J112*(1+K113)</f>
        <v>190.9</v>
      </c>
      <c r="L112" s="39">
        <f t="shared" ref="L112" si="159">K112*(1+L113)</f>
        <v>190.9</v>
      </c>
      <c r="M112" s="39">
        <f t="shared" ref="M112" si="160">L112*(1+M113)</f>
        <v>190.9</v>
      </c>
      <c r="N112" s="39">
        <f t="shared" ref="N112" si="161">M112*(1+N113)</f>
        <v>190.9</v>
      </c>
      <c r="O112" s="39">
        <f t="shared" ref="O112" si="162">N112*(1+O113)</f>
        <v>190.9</v>
      </c>
      <c r="P112" s="39">
        <f t="shared" ref="P112" si="163">O112*(1+P113)</f>
        <v>190.9</v>
      </c>
      <c r="Q112" s="39">
        <f t="shared" ref="Q112" si="164">P112*(1+Q113)</f>
        <v>190.9</v>
      </c>
      <c r="R112" s="39">
        <f t="shared" ref="R112" si="165">Q112*(1+R113)</f>
        <v>190.9</v>
      </c>
      <c r="S112" s="39">
        <f t="shared" ref="S112" si="166">R112*(1+S113)</f>
        <v>190.9</v>
      </c>
    </row>
    <row r="113" spans="1:19">
      <c r="B113" s="31" t="s">
        <v>501</v>
      </c>
      <c r="C113" s="31"/>
      <c r="D113" s="31"/>
      <c r="E113" s="31"/>
      <c r="F113" s="57">
        <f>F112/E112-1</f>
        <v>1.1798285508858308E-2</v>
      </c>
      <c r="G113" s="57">
        <f t="shared" ref="G113" si="167">G112/F112-1</f>
        <v>8.1484272350288656E-2</v>
      </c>
      <c r="H113" s="57">
        <f t="shared" ref="H113" si="168">H112/G112-1</f>
        <v>4.3383208974969723E-2</v>
      </c>
      <c r="I113" s="57">
        <f t="shared" ref="I113" si="169">I112/H112-1</f>
        <v>8.5512892444794542E-3</v>
      </c>
      <c r="J113" s="33">
        <f>'ControlSheet '!J130</f>
        <v>0</v>
      </c>
      <c r="K113" s="33">
        <f>'ControlSheet '!K130</f>
        <v>0</v>
      </c>
      <c r="L113" s="33">
        <f>'ControlSheet '!L130</f>
        <v>0</v>
      </c>
      <c r="M113" s="33">
        <f>'ControlSheet '!M130</f>
        <v>0</v>
      </c>
      <c r="N113" s="33">
        <f>'ControlSheet '!N130</f>
        <v>0</v>
      </c>
      <c r="O113" s="33">
        <f>'ControlSheet '!O130</f>
        <v>0</v>
      </c>
      <c r="P113" s="33">
        <f>'ControlSheet '!P130</f>
        <v>0</v>
      </c>
      <c r="Q113" s="33">
        <f>'ControlSheet '!Q130</f>
        <v>0</v>
      </c>
      <c r="R113" s="33">
        <f>'ControlSheet '!R130</f>
        <v>0</v>
      </c>
      <c r="S113" s="33">
        <f>'ControlSheet '!S130</f>
        <v>0</v>
      </c>
    </row>
    <row r="114" spans="1:19">
      <c r="B114" s="27"/>
      <c r="C114" s="27"/>
      <c r="D114" s="27"/>
      <c r="E114" s="27"/>
      <c r="F114" s="27"/>
      <c r="G114" s="27"/>
      <c r="H114" s="27"/>
      <c r="I114" s="27"/>
      <c r="J114" s="27"/>
      <c r="K114" s="27"/>
      <c r="L114" s="27"/>
      <c r="M114" s="27"/>
      <c r="N114" s="27"/>
      <c r="O114" s="27"/>
      <c r="P114" s="27"/>
      <c r="Q114" s="27"/>
      <c r="R114" s="27"/>
      <c r="S114" s="27"/>
    </row>
    <row r="115" spans="1:19" ht="15.6">
      <c r="A115" t="s">
        <v>23</v>
      </c>
      <c r="B115" s="491" t="s">
        <v>38</v>
      </c>
      <c r="C115" s="492"/>
      <c r="D115" s="492"/>
      <c r="E115" s="492"/>
      <c r="F115" s="492"/>
      <c r="G115" s="492"/>
      <c r="H115" s="492"/>
      <c r="I115" s="492"/>
      <c r="J115" s="492"/>
      <c r="K115" s="492"/>
      <c r="L115" s="492"/>
      <c r="M115" s="492"/>
      <c r="N115" s="492"/>
      <c r="O115" s="492"/>
      <c r="P115" s="492"/>
      <c r="Q115" s="492"/>
      <c r="R115" s="492"/>
      <c r="S115" s="492"/>
    </row>
    <row r="116" spans="1:19" outlineLevel="1">
      <c r="B116" t="s">
        <v>31</v>
      </c>
    </row>
    <row r="117" spans="1:19" outlineLevel="1">
      <c r="B117" s="46"/>
      <c r="C117" s="214">
        <v>16</v>
      </c>
      <c r="E117" s="39"/>
      <c r="F117" s="39"/>
      <c r="G117" s="39"/>
      <c r="H117" s="39"/>
      <c r="I117" s="39"/>
      <c r="J117" s="39"/>
      <c r="K117" s="39"/>
      <c r="L117" s="39"/>
      <c r="M117" s="39"/>
      <c r="N117" s="39"/>
      <c r="O117" s="39"/>
      <c r="P117" s="39"/>
      <c r="Q117" s="39"/>
      <c r="R117" s="39"/>
      <c r="S117" s="39"/>
    </row>
    <row r="118" spans="1:19" outlineLevel="1">
      <c r="B118" s="46"/>
      <c r="C118" s="27"/>
      <c r="D118" s="27"/>
      <c r="E118" s="39"/>
      <c r="F118" s="39"/>
      <c r="G118" s="39"/>
      <c r="H118" s="39"/>
      <c r="I118" s="39"/>
      <c r="J118" s="39"/>
      <c r="K118" s="39"/>
      <c r="L118" s="39"/>
      <c r="M118" s="39"/>
      <c r="N118" s="39"/>
      <c r="O118" s="39"/>
      <c r="P118" s="39"/>
      <c r="Q118" s="39"/>
      <c r="R118" s="39"/>
      <c r="S118" s="39"/>
    </row>
    <row r="119" spans="1:19" outlineLevel="1">
      <c r="B119" s="27" t="s">
        <v>39</v>
      </c>
      <c r="C119" s="27"/>
      <c r="D119" s="27"/>
      <c r="E119" s="39"/>
      <c r="F119" s="39"/>
      <c r="G119" s="39"/>
      <c r="H119" s="39"/>
      <c r="I119" s="39"/>
      <c r="J119" s="39">
        <f>SUM(J61,J68,J81)</f>
        <v>661.80718875000002</v>
      </c>
      <c r="K119" s="39">
        <f t="shared" ref="K119:N119" si="170">SUM(K61,K68,K81)</f>
        <v>706.62506364374997</v>
      </c>
      <c r="L119" s="39">
        <f t="shared" si="170"/>
        <v>764.83402870312489</v>
      </c>
      <c r="M119" s="39">
        <f t="shared" si="170"/>
        <v>825.08030753957803</v>
      </c>
      <c r="N119" s="39">
        <f t="shared" si="170"/>
        <v>885.8621088545774</v>
      </c>
      <c r="O119" s="39">
        <f t="shared" ref="O119:S119" si="171">SUM(O61,O68,O81)</f>
        <v>953.93772632737682</v>
      </c>
      <c r="P119" s="39">
        <f t="shared" si="171"/>
        <v>1030.1824178969118</v>
      </c>
      <c r="Q119" s="39">
        <f t="shared" si="171"/>
        <v>1115.5764724547914</v>
      </c>
      <c r="R119" s="39">
        <f t="shared" si="171"/>
        <v>1211.2178135596164</v>
      </c>
      <c r="S119" s="39">
        <f t="shared" si="171"/>
        <v>1318.3361155970206</v>
      </c>
    </row>
    <row r="120" spans="1:19" outlineLevel="1">
      <c r="B120" s="34" t="s">
        <v>552</v>
      </c>
      <c r="C120" s="35"/>
      <c r="D120" s="35"/>
      <c r="E120" s="35"/>
      <c r="F120" s="35"/>
      <c r="G120" s="35"/>
      <c r="H120" s="35"/>
      <c r="I120" s="35"/>
      <c r="J120" s="38">
        <f>SUM(J62,J69,J82)</f>
        <v>12503.64833125</v>
      </c>
      <c r="K120" s="38">
        <f t="shared" ref="K120:N120" si="172">SUM(K62,K69,K82)</f>
        <v>12514.109265906251</v>
      </c>
      <c r="L120" s="38">
        <f t="shared" si="172"/>
        <v>12680.618678153125</v>
      </c>
      <c r="M120" s="38">
        <f t="shared" si="172"/>
        <v>12819.478831996796</v>
      </c>
      <c r="N120" s="38">
        <f t="shared" si="172"/>
        <v>12906.125544182207</v>
      </c>
      <c r="O120" s="38">
        <f t="shared" ref="O120:S120" si="173">SUM(O62,O69,O82)</f>
        <v>13041.397697419621</v>
      </c>
      <c r="P120" s="38">
        <f t="shared" si="173"/>
        <v>13231.130344635272</v>
      </c>
      <c r="Q120" s="38">
        <f t="shared" si="173"/>
        <v>13481.858745106554</v>
      </c>
      <c r="R120" s="38">
        <f t="shared" si="173"/>
        <v>13800.902389224138</v>
      </c>
      <c r="S120" s="38">
        <f t="shared" si="173"/>
        <v>14196.459106225582</v>
      </c>
    </row>
    <row r="121" spans="1:19" outlineLevel="1">
      <c r="B121" s="26"/>
      <c r="C121" s="27"/>
      <c r="D121" s="27"/>
      <c r="E121" s="27"/>
      <c r="F121" s="27"/>
      <c r="G121" s="27"/>
      <c r="H121" s="27"/>
      <c r="I121" s="27"/>
      <c r="J121" s="27"/>
      <c r="K121" s="27"/>
      <c r="L121" s="27"/>
      <c r="M121" s="27"/>
      <c r="N121" s="27"/>
      <c r="O121" s="27"/>
      <c r="P121" s="27"/>
      <c r="Q121" s="27"/>
      <c r="R121" s="27"/>
      <c r="S121" s="27"/>
    </row>
    <row r="122" spans="1:19" outlineLevel="1">
      <c r="B122" s="27" t="s">
        <v>542</v>
      </c>
      <c r="C122" s="27"/>
      <c r="D122" s="27"/>
      <c r="E122" s="27"/>
      <c r="F122" s="27"/>
      <c r="G122" s="27"/>
      <c r="H122" s="27"/>
      <c r="I122" s="27"/>
      <c r="J122" s="43">
        <f>J119/J13</f>
        <v>4.5945240418459543E-2</v>
      </c>
      <c r="K122" s="43">
        <f t="shared" ref="K122:N122" si="174">K119/K13</f>
        <v>4.2108731653518527E-2</v>
      </c>
      <c r="L122" s="43">
        <f t="shared" si="174"/>
        <v>3.9632592742190019E-2</v>
      </c>
      <c r="M122" s="43">
        <f t="shared" si="174"/>
        <v>3.7669134574616764E-2</v>
      </c>
      <c r="N122" s="43">
        <f t="shared" si="174"/>
        <v>3.6110834441622108E-2</v>
      </c>
      <c r="O122" s="43">
        <f t="shared" ref="O122:S122" si="175">O119/O13</f>
        <v>3.4719495037162595E-2</v>
      </c>
      <c r="P122" s="43">
        <f t="shared" si="175"/>
        <v>3.3477227711752308E-2</v>
      </c>
      <c r="Q122" s="43">
        <f t="shared" si="175"/>
        <v>3.2368060456921706E-2</v>
      </c>
      <c r="R122" s="43">
        <f t="shared" si="175"/>
        <v>3.1377732550822948E-2</v>
      </c>
      <c r="S122" s="43">
        <f t="shared" si="175"/>
        <v>3.0493511206091922E-2</v>
      </c>
    </row>
    <row r="123" spans="1:19" outlineLevel="1">
      <c r="B123" s="27" t="s">
        <v>539</v>
      </c>
      <c r="C123" s="27"/>
      <c r="D123" s="27"/>
      <c r="E123" s="27"/>
      <c r="F123" s="27"/>
      <c r="G123" s="27"/>
      <c r="H123" s="27"/>
      <c r="I123" s="27"/>
      <c r="J123" s="43">
        <f>J119/J120</f>
        <v>5.2929126860995025E-2</v>
      </c>
      <c r="K123" s="43">
        <f t="shared" ref="K123:N123" si="176">K119/K120</f>
        <v>5.6466269282856335E-2</v>
      </c>
      <c r="L123" s="43">
        <f t="shared" si="176"/>
        <v>6.0315198186727551E-2</v>
      </c>
      <c r="M123" s="43">
        <f t="shared" si="176"/>
        <v>6.4361454810488689E-2</v>
      </c>
      <c r="N123" s="43">
        <f t="shared" si="176"/>
        <v>6.863888824124327E-2</v>
      </c>
      <c r="O123" s="43">
        <f t="shared" ref="O123:S123" si="177">O119/O120</f>
        <v>7.3146893336143215E-2</v>
      </c>
      <c r="P123" s="43">
        <f t="shared" si="177"/>
        <v>7.7860499523732085E-2</v>
      </c>
      <c r="Q123" s="43">
        <f t="shared" si="177"/>
        <v>8.2746488710965529E-2</v>
      </c>
      <c r="R123" s="43">
        <f t="shared" si="177"/>
        <v>8.7763667867497244E-2</v>
      </c>
      <c r="S123" s="43">
        <f t="shared" si="177"/>
        <v>9.2863727900916487E-2</v>
      </c>
    </row>
    <row r="124" spans="1:19" outlineLevel="1">
      <c r="B124" s="26"/>
      <c r="C124" s="27"/>
      <c r="D124" s="27"/>
      <c r="E124" s="27"/>
      <c r="F124" s="27"/>
      <c r="G124" s="27"/>
      <c r="H124" s="27"/>
      <c r="I124" s="27"/>
      <c r="J124" s="27"/>
      <c r="K124" s="27"/>
      <c r="L124" s="27"/>
      <c r="M124" s="27"/>
      <c r="N124" s="27"/>
      <c r="O124" s="27"/>
      <c r="P124" s="27"/>
      <c r="Q124" s="27"/>
      <c r="R124" s="27"/>
      <c r="S124" s="27"/>
    </row>
    <row r="125" spans="1:19" outlineLevel="1">
      <c r="B125" s="47">
        <f>I9</f>
        <v>2025</v>
      </c>
      <c r="C125" s="27"/>
      <c r="D125" s="27"/>
      <c r="E125" s="27"/>
      <c r="F125" s="27"/>
      <c r="G125" s="27"/>
      <c r="H125" s="27"/>
      <c r="I125" s="48">
        <f>SUM(I61,I81)</f>
        <v>612.69934754656742</v>
      </c>
      <c r="J125" s="48">
        <f>I125</f>
        <v>612.69934754656742</v>
      </c>
      <c r="K125" s="48">
        <f t="shared" ref="K125:N125" si="178">J125</f>
        <v>612.69934754656742</v>
      </c>
      <c r="L125" s="48">
        <f t="shared" si="178"/>
        <v>612.69934754656742</v>
      </c>
      <c r="M125" s="48">
        <f t="shared" si="178"/>
        <v>612.69934754656742</v>
      </c>
      <c r="N125" s="48">
        <f t="shared" si="178"/>
        <v>612.69934754656742</v>
      </c>
      <c r="O125" s="48">
        <f t="shared" ref="O125:O129" si="179">N125</f>
        <v>612.69934754656742</v>
      </c>
      <c r="P125" s="48">
        <f t="shared" ref="P125:P129" si="180">O125</f>
        <v>612.69934754656742</v>
      </c>
      <c r="Q125" s="48">
        <f t="shared" ref="Q125:Q129" si="181">P125</f>
        <v>612.69934754656742</v>
      </c>
      <c r="R125" s="48">
        <f t="shared" ref="R125:R129" si="182">Q125</f>
        <v>612.69934754656742</v>
      </c>
      <c r="S125" s="48">
        <f t="shared" ref="S125:S129" si="183">R125</f>
        <v>612.69934754656742</v>
      </c>
    </row>
    <row r="126" spans="1:19" outlineLevel="1">
      <c r="B126" s="47">
        <f>B125+1</f>
        <v>2026</v>
      </c>
      <c r="C126" s="27"/>
      <c r="D126" s="27"/>
      <c r="E126" s="27"/>
      <c r="F126" s="27"/>
      <c r="G126" s="27"/>
      <c r="H126" s="27"/>
      <c r="I126" s="49"/>
      <c r="J126" s="213">
        <f>J119-J125</f>
        <v>49.107841203432599</v>
      </c>
      <c r="K126" s="213">
        <f>J126</f>
        <v>49.107841203432599</v>
      </c>
      <c r="L126" s="213">
        <f t="shared" ref="L126:N126" si="184">K126</f>
        <v>49.107841203432599</v>
      </c>
      <c r="M126" s="213">
        <f t="shared" si="184"/>
        <v>49.107841203432599</v>
      </c>
      <c r="N126" s="213">
        <f t="shared" si="184"/>
        <v>49.107841203432599</v>
      </c>
      <c r="O126" s="213">
        <f t="shared" si="179"/>
        <v>49.107841203432599</v>
      </c>
      <c r="P126" s="213">
        <f t="shared" si="180"/>
        <v>49.107841203432599</v>
      </c>
      <c r="Q126" s="213">
        <f t="shared" si="181"/>
        <v>49.107841203432599</v>
      </c>
      <c r="R126" s="213">
        <f t="shared" si="182"/>
        <v>49.107841203432599</v>
      </c>
      <c r="S126" s="213">
        <f t="shared" si="183"/>
        <v>49.107841203432599</v>
      </c>
    </row>
    <row r="127" spans="1:19" outlineLevel="1">
      <c r="B127" s="47">
        <f t="shared" ref="B127:B130" si="185">B126+1</f>
        <v>2027</v>
      </c>
      <c r="C127" s="27"/>
      <c r="D127" s="27"/>
      <c r="E127" s="27"/>
      <c r="F127" s="27"/>
      <c r="G127" s="27"/>
      <c r="H127" s="27"/>
      <c r="I127" s="49"/>
      <c r="J127" s="18"/>
      <c r="K127" s="213">
        <f>K119-J119</f>
        <v>44.817874893749945</v>
      </c>
      <c r="L127" s="213">
        <f>K127</f>
        <v>44.817874893749945</v>
      </c>
      <c r="M127" s="213">
        <f t="shared" ref="M127:N127" si="186">L127</f>
        <v>44.817874893749945</v>
      </c>
      <c r="N127" s="213">
        <f t="shared" si="186"/>
        <v>44.817874893749945</v>
      </c>
      <c r="O127" s="213">
        <f t="shared" si="179"/>
        <v>44.817874893749945</v>
      </c>
      <c r="P127" s="213">
        <f t="shared" si="180"/>
        <v>44.817874893749945</v>
      </c>
      <c r="Q127" s="213">
        <f t="shared" si="181"/>
        <v>44.817874893749945</v>
      </c>
      <c r="R127" s="213">
        <f t="shared" si="182"/>
        <v>44.817874893749945</v>
      </c>
      <c r="S127" s="213">
        <f t="shared" si="183"/>
        <v>44.817874893749945</v>
      </c>
    </row>
    <row r="128" spans="1:19" outlineLevel="1">
      <c r="B128" s="47">
        <f t="shared" si="185"/>
        <v>2028</v>
      </c>
      <c r="C128" s="27"/>
      <c r="D128" s="27"/>
      <c r="E128" s="27"/>
      <c r="F128" s="27"/>
      <c r="G128" s="27"/>
      <c r="H128" s="27"/>
      <c r="I128" s="49"/>
      <c r="J128" s="18"/>
      <c r="K128" s="50"/>
      <c r="L128" s="213">
        <f>L119-K119</f>
        <v>58.208965059374918</v>
      </c>
      <c r="M128" s="213">
        <f>L128</f>
        <v>58.208965059374918</v>
      </c>
      <c r="N128" s="213">
        <f t="shared" ref="N128" si="187">M128</f>
        <v>58.208965059374918</v>
      </c>
      <c r="O128" s="213">
        <f t="shared" si="179"/>
        <v>58.208965059374918</v>
      </c>
      <c r="P128" s="213">
        <f t="shared" si="180"/>
        <v>58.208965059374918</v>
      </c>
      <c r="Q128" s="213">
        <f t="shared" si="181"/>
        <v>58.208965059374918</v>
      </c>
      <c r="R128" s="213">
        <f t="shared" si="182"/>
        <v>58.208965059374918</v>
      </c>
      <c r="S128" s="213">
        <f t="shared" si="183"/>
        <v>58.208965059374918</v>
      </c>
    </row>
    <row r="129" spans="1:19" outlineLevel="1">
      <c r="B129" s="47">
        <f t="shared" si="185"/>
        <v>2029</v>
      </c>
      <c r="C129" s="27"/>
      <c r="D129" s="27"/>
      <c r="E129" s="27"/>
      <c r="F129" s="27"/>
      <c r="G129" s="27"/>
      <c r="H129" s="27"/>
      <c r="I129" s="49"/>
      <c r="J129" s="18"/>
      <c r="K129" s="50"/>
      <c r="L129" s="50"/>
      <c r="M129" s="213">
        <f>M119-L119</f>
        <v>60.246278836453143</v>
      </c>
      <c r="N129" s="213">
        <f>M129</f>
        <v>60.246278836453143</v>
      </c>
      <c r="O129" s="213">
        <f t="shared" si="179"/>
        <v>60.246278836453143</v>
      </c>
      <c r="P129" s="213">
        <f t="shared" si="180"/>
        <v>60.246278836453143</v>
      </c>
      <c r="Q129" s="213">
        <f t="shared" si="181"/>
        <v>60.246278836453143</v>
      </c>
      <c r="R129" s="213">
        <f t="shared" si="182"/>
        <v>60.246278836453143</v>
      </c>
      <c r="S129" s="213">
        <f t="shared" si="183"/>
        <v>60.246278836453143</v>
      </c>
    </row>
    <row r="130" spans="1:19" outlineLevel="1">
      <c r="B130" s="47">
        <f t="shared" si="185"/>
        <v>2030</v>
      </c>
      <c r="C130" s="27"/>
      <c r="D130" s="27"/>
      <c r="E130" s="27"/>
      <c r="F130" s="27"/>
      <c r="G130" s="27"/>
      <c r="H130" s="27"/>
      <c r="I130" s="49"/>
      <c r="J130" s="18"/>
      <c r="K130" s="50"/>
      <c r="L130" s="50"/>
      <c r="M130" s="50"/>
      <c r="N130" s="213">
        <f>N119-M119</f>
        <v>60.78180131499937</v>
      </c>
      <c r="O130" s="213">
        <f t="shared" ref="O130:S130" si="188">O119-N119</f>
        <v>68.075617472799422</v>
      </c>
      <c r="P130" s="213">
        <f t="shared" si="188"/>
        <v>76.244691569535007</v>
      </c>
      <c r="Q130" s="213">
        <f t="shared" si="188"/>
        <v>85.394054557879599</v>
      </c>
      <c r="R130" s="213">
        <f t="shared" si="188"/>
        <v>95.64134110482496</v>
      </c>
      <c r="S130" s="213">
        <f t="shared" si="188"/>
        <v>107.11830203740419</v>
      </c>
    </row>
    <row r="131" spans="1:19" outlineLevel="1">
      <c r="B131" s="34" t="s">
        <v>39</v>
      </c>
      <c r="C131" s="35"/>
      <c r="D131" s="35"/>
      <c r="E131" s="35"/>
      <c r="F131" s="35"/>
      <c r="G131" s="35"/>
      <c r="H131" s="35"/>
      <c r="I131" s="38">
        <f>SUM(I125:I130)</f>
        <v>612.69934754656742</v>
      </c>
      <c r="J131" s="38">
        <f t="shared" ref="J131:N131" si="189">SUM(J125:J130)</f>
        <v>661.80718875000002</v>
      </c>
      <c r="K131" s="38">
        <f t="shared" si="189"/>
        <v>706.62506364374997</v>
      </c>
      <c r="L131" s="38">
        <f t="shared" si="189"/>
        <v>764.83402870312489</v>
      </c>
      <c r="M131" s="38">
        <f t="shared" si="189"/>
        <v>825.08030753957803</v>
      </c>
      <c r="N131" s="38">
        <f t="shared" si="189"/>
        <v>885.8621088545774</v>
      </c>
      <c r="O131" s="38">
        <f t="shared" ref="O131:S131" si="190">SUM(O125:O130)</f>
        <v>893.15592501237745</v>
      </c>
      <c r="P131" s="38">
        <f t="shared" si="190"/>
        <v>901.32499910911304</v>
      </c>
      <c r="Q131" s="38">
        <f t="shared" si="190"/>
        <v>910.47436209745763</v>
      </c>
      <c r="R131" s="38">
        <f t="shared" si="190"/>
        <v>920.72164864440299</v>
      </c>
      <c r="S131" s="38">
        <f t="shared" si="190"/>
        <v>932.19860957698222</v>
      </c>
    </row>
    <row r="132" spans="1:19" outlineLevel="1">
      <c r="B132" s="27"/>
      <c r="C132" s="27"/>
      <c r="D132" s="27"/>
      <c r="E132" s="27"/>
      <c r="F132" s="27"/>
      <c r="G132" s="27"/>
      <c r="H132" s="27"/>
      <c r="I132" s="27"/>
      <c r="J132" s="27"/>
      <c r="K132" s="27"/>
      <c r="L132" s="27"/>
      <c r="M132" s="27"/>
      <c r="N132" s="27"/>
      <c r="O132" s="27"/>
      <c r="P132" s="27"/>
      <c r="Q132" s="27"/>
      <c r="R132" s="27"/>
      <c r="S132" s="27"/>
    </row>
    <row r="133" spans="1:19" ht="15.6">
      <c r="A133" t="s">
        <v>23</v>
      </c>
      <c r="B133" s="491" t="s">
        <v>40</v>
      </c>
      <c r="C133" s="492"/>
      <c r="D133" s="492"/>
      <c r="E133" s="492"/>
      <c r="F133" s="492"/>
      <c r="G133" s="492"/>
      <c r="H133" s="492"/>
      <c r="I133" s="492"/>
      <c r="J133" s="492"/>
      <c r="K133" s="492"/>
      <c r="L133" s="492"/>
      <c r="M133" s="492"/>
      <c r="N133" s="492"/>
      <c r="O133" s="492"/>
      <c r="P133" s="492"/>
      <c r="Q133" s="492"/>
      <c r="R133" s="492"/>
      <c r="S133" s="492"/>
    </row>
    <row r="134" spans="1:19" outlineLevel="1">
      <c r="B134" s="27"/>
      <c r="C134" s="27"/>
      <c r="D134" s="27"/>
      <c r="E134" s="27"/>
      <c r="F134" s="27"/>
      <c r="G134" s="27"/>
      <c r="H134" s="27"/>
      <c r="I134" s="27"/>
      <c r="J134" s="27"/>
      <c r="K134" s="27"/>
      <c r="L134" s="27"/>
      <c r="M134" s="27"/>
      <c r="N134" s="27"/>
      <c r="O134" s="27"/>
      <c r="P134" s="27"/>
      <c r="Q134" s="27"/>
      <c r="R134" s="27"/>
      <c r="S134" s="27"/>
    </row>
    <row r="135" spans="1:19" outlineLevel="1">
      <c r="B135" s="27" t="s">
        <v>41</v>
      </c>
      <c r="C135" s="27"/>
      <c r="D135" s="27"/>
      <c r="E135" s="27"/>
      <c r="F135" s="27"/>
      <c r="G135" s="27"/>
      <c r="H135" s="27"/>
      <c r="I135" s="296">
        <f>'3StatementModel'!H13</f>
        <v>12207</v>
      </c>
      <c r="J135" s="296">
        <f>'3StatementModel'!I13</f>
        <v>14404.259999999998</v>
      </c>
      <c r="K135" s="296">
        <f>'3StatementModel'!J13</f>
        <v>16780.962899999999</v>
      </c>
      <c r="L135" s="296">
        <f>'3StatementModel'!K13</f>
        <v>19298.107334999997</v>
      </c>
      <c r="M135" s="296">
        <f>'3StatementModel'!L13</f>
        <v>21903.351825224996</v>
      </c>
      <c r="N135" s="296">
        <f>'3StatementModel'!M13</f>
        <v>24531.754044251997</v>
      </c>
      <c r="O135" s="296">
        <f>'3StatementModel'!N13</f>
        <v>27475.564529562238</v>
      </c>
      <c r="P135" s="296">
        <f>'3StatementModel'!O13</f>
        <v>30772.63227310971</v>
      </c>
      <c r="Q135" s="296">
        <f>'3StatementModel'!P13</f>
        <v>34465.348145882876</v>
      </c>
      <c r="R135" s="296">
        <f>'3StatementModel'!Q13</f>
        <v>38601.189923388825</v>
      </c>
      <c r="S135" s="296">
        <f>'3StatementModel'!R13</f>
        <v>43233.332714195487</v>
      </c>
    </row>
    <row r="136" spans="1:19" outlineLevel="1">
      <c r="B136" s="27" t="s">
        <v>42</v>
      </c>
      <c r="C136" s="27"/>
      <c r="D136" s="27"/>
      <c r="E136" s="27"/>
      <c r="F136" s="27"/>
      <c r="G136" s="27"/>
      <c r="H136" s="27"/>
      <c r="I136" s="295">
        <f>'3StatementModel'!H14</f>
        <v>-3855.04</v>
      </c>
      <c r="J136" s="295">
        <f>'3StatementModel'!I14</f>
        <v>-4897.4483999999993</v>
      </c>
      <c r="K136" s="295">
        <f>'3StatementModel'!J14</f>
        <v>-5604.8416085999988</v>
      </c>
      <c r="L136" s="295">
        <f>'3StatementModel'!K14</f>
        <v>-6329.7792058799978</v>
      </c>
      <c r="M136" s="295">
        <f>'3StatementModel'!L14</f>
        <v>-7052.8792877224478</v>
      </c>
      <c r="N136" s="295">
        <f>'3StatementModel'!M14</f>
        <v>-7752.0342779836301</v>
      </c>
      <c r="O136" s="295">
        <f>'3StatementModel'!N14</f>
        <v>-8682.2783913416661</v>
      </c>
      <c r="P136" s="295">
        <f>'3StatementModel'!O14</f>
        <v>-9724.1517983026661</v>
      </c>
      <c r="Q136" s="295">
        <f>'3StatementModel'!P14</f>
        <v>-10891.050014098986</v>
      </c>
      <c r="R136" s="295">
        <f>'3StatementModel'!Q14</f>
        <v>-12197.976015790866</v>
      </c>
      <c r="S136" s="295">
        <f>'3StatementModel'!R14</f>
        <v>-13661.733137685771</v>
      </c>
    </row>
    <row r="137" spans="1:19" outlineLevel="1">
      <c r="B137" s="27" t="s">
        <v>43</v>
      </c>
      <c r="C137" s="27"/>
      <c r="D137" s="27"/>
      <c r="E137" s="27"/>
      <c r="F137" s="27"/>
      <c r="G137" s="27"/>
      <c r="H137" s="27"/>
      <c r="I137" s="295">
        <f>SUM('3StatementModel'!H20:H24)*-1</f>
        <v>-5700.1</v>
      </c>
      <c r="J137" s="295">
        <f>SUM('3StatementModel'!I20:I24)*-1</f>
        <v>-6409.8957</v>
      </c>
      <c r="K137" s="295">
        <f>SUM('3StatementModel'!J20:J24)*-1</f>
        <v>-7467.5284905000008</v>
      </c>
      <c r="L137" s="295">
        <f>SUM('3StatementModel'!K20:K24)*-1</f>
        <v>-8587.6577640749983</v>
      </c>
      <c r="M137" s="295">
        <f>SUM('3StatementModel'!L20:L24)*-1</f>
        <v>-9746.9915622251228</v>
      </c>
      <c r="N137" s="295">
        <f>SUM('3StatementModel'!M20:M24)*-1</f>
        <v>-10916.63054969214</v>
      </c>
      <c r="O137" s="295">
        <f>SUM('3StatementModel'!N20:N24)*-1</f>
        <v>-12226.626215655197</v>
      </c>
      <c r="P137" s="295">
        <f>SUM('3StatementModel'!O20:O24)*-1</f>
        <v>-13693.821361533821</v>
      </c>
      <c r="Q137" s="295">
        <f>SUM('3StatementModel'!P20:P24)*-1</f>
        <v>-15337.07992491788</v>
      </c>
      <c r="R137" s="295">
        <f>SUM('3StatementModel'!Q20:Q24)*-1</f>
        <v>-17177.529515908027</v>
      </c>
      <c r="S137" s="295">
        <f>SUM('3StatementModel'!R20:R24)*-1</f>
        <v>-19238.833057816992</v>
      </c>
    </row>
    <row r="138" spans="1:19" outlineLevel="1">
      <c r="B138" s="27" t="s">
        <v>44</v>
      </c>
      <c r="C138" s="27"/>
      <c r="D138" s="27"/>
      <c r="E138" s="27"/>
      <c r="F138" s="27"/>
      <c r="G138" s="27"/>
      <c r="H138" s="27"/>
      <c r="I138" s="295">
        <f>'3StatementModel'!H29*-1</f>
        <v>-621</v>
      </c>
      <c r="J138" s="295">
        <f>'3StatementModel'!I29*-1</f>
        <v>-661.80718875000002</v>
      </c>
      <c r="K138" s="295">
        <f>'3StatementModel'!J29*-1</f>
        <v>-706.62506364374997</v>
      </c>
      <c r="L138" s="295">
        <f>'3StatementModel'!K29*-1</f>
        <v>-764.83402870312489</v>
      </c>
      <c r="M138" s="295">
        <f>'3StatementModel'!L29*-1</f>
        <v>-825.08030753957803</v>
      </c>
      <c r="N138" s="295">
        <f>'3StatementModel'!M29*-1</f>
        <v>-885.8621088545774</v>
      </c>
      <c r="O138" s="295">
        <f>'3StatementModel'!N29*-1</f>
        <v>-953.93772632737682</v>
      </c>
      <c r="P138" s="295">
        <f>'3StatementModel'!O29*-1</f>
        <v>-1030.1824178969118</v>
      </c>
      <c r="Q138" s="295">
        <f>'3StatementModel'!P29*-1</f>
        <v>-1115.5764724547914</v>
      </c>
      <c r="R138" s="295">
        <f>'3StatementModel'!Q29*-1</f>
        <v>-1211.2178135596164</v>
      </c>
      <c r="S138" s="295">
        <f>'3StatementModel'!R29*-1</f>
        <v>-1318.3361155970206</v>
      </c>
    </row>
    <row r="139" spans="1:19" outlineLevel="1">
      <c r="B139" s="27" t="s">
        <v>177</v>
      </c>
      <c r="C139" s="27"/>
      <c r="D139" s="27"/>
      <c r="E139" s="27"/>
      <c r="F139" s="27"/>
      <c r="G139" s="27"/>
      <c r="H139" s="27"/>
      <c r="I139" s="295">
        <f>'3StatementModel'!I35</f>
        <v>432.12779999999992</v>
      </c>
      <c r="J139" s="295">
        <f>'3StatementModel'!I35</f>
        <v>432.12779999999992</v>
      </c>
      <c r="K139" s="295">
        <f>'3StatementModel'!J35</f>
        <v>503.42888699999992</v>
      </c>
      <c r="L139" s="295">
        <f>'3StatementModel'!K35</f>
        <v>578.94322004999992</v>
      </c>
      <c r="M139" s="295">
        <f>'3StatementModel'!L35</f>
        <v>657.10055475674983</v>
      </c>
      <c r="N139" s="295">
        <f>'3StatementModel'!M35</f>
        <v>735.95262132755988</v>
      </c>
      <c r="O139" s="295">
        <f>'3StatementModel'!N35</f>
        <v>824.26693588686715</v>
      </c>
      <c r="P139" s="295">
        <f>'3StatementModel'!O35</f>
        <v>923.17896819329121</v>
      </c>
      <c r="Q139" s="295">
        <f>'3StatementModel'!P35</f>
        <v>1033.9604443764863</v>
      </c>
      <c r="R139" s="295">
        <f>'3StatementModel'!Q35</f>
        <v>1158.0356977016647</v>
      </c>
      <c r="S139" s="295">
        <f>'3StatementModel'!R35</f>
        <v>1296.9999814258645</v>
      </c>
    </row>
    <row r="140" spans="1:19" outlineLevel="1">
      <c r="B140" s="27" t="s">
        <v>45</v>
      </c>
      <c r="C140" s="27"/>
      <c r="D140" s="27"/>
      <c r="E140" s="27"/>
      <c r="F140" s="27"/>
      <c r="G140" s="27"/>
      <c r="H140" s="27"/>
      <c r="I140" s="295">
        <f>'3StatementModel'!H34*-1</f>
        <v>429.4</v>
      </c>
      <c r="J140" s="295">
        <f>'3StatementModel'!I34</f>
        <v>-561.47040707646352</v>
      </c>
      <c r="K140" s="295">
        <f>'3StatementModel'!J34</f>
        <v>-503.42321216626988</v>
      </c>
      <c r="L140" s="295">
        <f>'3StatementModel'!K34</f>
        <v>-534.83288934759162</v>
      </c>
      <c r="M140" s="295">
        <f>'3StatementModel'!L34</f>
        <v>-576.99301434637562</v>
      </c>
      <c r="N140" s="295">
        <f>'3StatementModel'!M34</f>
        <v>-614.81290259022217</v>
      </c>
      <c r="O140" s="295">
        <f>'3StatementModel'!N34</f>
        <v>-567.30761576621592</v>
      </c>
      <c r="P140" s="295">
        <f>'3StatementModel'!O34</f>
        <v>-513.11570604827898</v>
      </c>
      <c r="Q140" s="295">
        <f>'3StatementModel'!P34</f>
        <v>-523.37836573982372</v>
      </c>
      <c r="R140" s="295">
        <f>'3StatementModel'!Q34</f>
        <v>-533.8455257726132</v>
      </c>
      <c r="S140" s="295">
        <f>'3StatementModel'!R34</f>
        <v>-544.52207580180186</v>
      </c>
    </row>
    <row r="141" spans="1:19" outlineLevel="1">
      <c r="B141" s="34" t="s">
        <v>46</v>
      </c>
      <c r="C141" s="35"/>
      <c r="D141" s="35"/>
      <c r="E141" s="35"/>
      <c r="F141" s="35"/>
      <c r="G141" s="35"/>
      <c r="H141" s="35"/>
      <c r="I141" s="38">
        <f>SUM(I135:I140)</f>
        <v>2892.3877999999986</v>
      </c>
      <c r="J141" s="38">
        <f t="shared" ref="J141:N141" si="191">SUM(J135:J140)</f>
        <v>2305.7661041735355</v>
      </c>
      <c r="K141" s="38">
        <f t="shared" si="191"/>
        <v>3001.9734120899784</v>
      </c>
      <c r="L141" s="38">
        <f t="shared" si="191"/>
        <v>3659.9466670442844</v>
      </c>
      <c r="M141" s="38">
        <f t="shared" si="191"/>
        <v>4358.5082081482224</v>
      </c>
      <c r="N141" s="38">
        <f t="shared" si="191"/>
        <v>5098.3668264589905</v>
      </c>
      <c r="O141" s="38">
        <f t="shared" ref="O141:S141" si="192">SUM(O135:O140)</f>
        <v>5869.6815163586516</v>
      </c>
      <c r="P141" s="38">
        <f t="shared" si="192"/>
        <v>6734.5399575213251</v>
      </c>
      <c r="Q141" s="38">
        <f t="shared" si="192"/>
        <v>7632.2238130478809</v>
      </c>
      <c r="R141" s="38">
        <f t="shared" si="192"/>
        <v>8638.6567500593665</v>
      </c>
      <c r="S141" s="38">
        <f t="shared" si="192"/>
        <v>9766.9083087197687</v>
      </c>
    </row>
    <row r="142" spans="1:19" outlineLevel="1">
      <c r="B142" s="27" t="s">
        <v>181</v>
      </c>
      <c r="C142" s="27"/>
      <c r="D142" s="27"/>
      <c r="E142" s="27"/>
      <c r="F142" s="27"/>
      <c r="G142" s="27"/>
      <c r="H142" s="27"/>
      <c r="I142" s="295">
        <f>'3StatementModel'!H39</f>
        <v>-509.74</v>
      </c>
      <c r="J142" s="51">
        <f>J141*J145*-1</f>
        <v>-576.44152604338387</v>
      </c>
      <c r="K142" s="51">
        <f t="shared" ref="K142:N142" si="193">K141*K145*-1</f>
        <v>-750.4933530224946</v>
      </c>
      <c r="L142" s="51">
        <f t="shared" si="193"/>
        <v>-914.98666676107109</v>
      </c>
      <c r="M142" s="51">
        <f t="shared" si="193"/>
        <v>-1089.6270520370556</v>
      </c>
      <c r="N142" s="51">
        <f t="shared" si="193"/>
        <v>-1274.5917066147476</v>
      </c>
      <c r="O142" s="51">
        <f t="shared" ref="O142:S142" si="194">O141*O145*-1</f>
        <v>-1467.4203790896629</v>
      </c>
      <c r="P142" s="51">
        <f t="shared" si="194"/>
        <v>-1683.6349893803313</v>
      </c>
      <c r="Q142" s="51">
        <f t="shared" si="194"/>
        <v>-1908.0559532619702</v>
      </c>
      <c r="R142" s="51">
        <f t="shared" si="194"/>
        <v>-2159.6641875148416</v>
      </c>
      <c r="S142" s="51">
        <f t="shared" si="194"/>
        <v>-2441.7270771799422</v>
      </c>
    </row>
    <row r="143" spans="1:19" outlineLevel="1">
      <c r="B143" s="34" t="s">
        <v>6</v>
      </c>
      <c r="C143" s="35"/>
      <c r="D143" s="35"/>
      <c r="E143" s="35"/>
      <c r="F143" s="35"/>
      <c r="G143" s="35"/>
      <c r="H143" s="35"/>
      <c r="I143" s="38">
        <f>I141+I142</f>
        <v>2382.6477999999988</v>
      </c>
      <c r="J143" s="38">
        <f t="shared" ref="J143:N143" si="195">J141+J142</f>
        <v>1729.3245781301516</v>
      </c>
      <c r="K143" s="38">
        <f t="shared" si="195"/>
        <v>2251.480059067484</v>
      </c>
      <c r="L143" s="38">
        <f t="shared" si="195"/>
        <v>2744.960000283213</v>
      </c>
      <c r="M143" s="38">
        <f t="shared" si="195"/>
        <v>3268.881156111167</v>
      </c>
      <c r="N143" s="38">
        <f t="shared" si="195"/>
        <v>3823.7751198442429</v>
      </c>
      <c r="O143" s="38">
        <f t="shared" ref="O143:S143" si="196">O141+O142</f>
        <v>4402.2611372689889</v>
      </c>
      <c r="P143" s="38">
        <f t="shared" si="196"/>
        <v>5050.9049681409942</v>
      </c>
      <c r="Q143" s="38">
        <f t="shared" si="196"/>
        <v>5724.1678597859109</v>
      </c>
      <c r="R143" s="38">
        <f t="shared" si="196"/>
        <v>6478.9925625445248</v>
      </c>
      <c r="S143" s="38">
        <f t="shared" si="196"/>
        <v>7325.1812315398265</v>
      </c>
    </row>
    <row r="144" spans="1:19" outlineLevel="1">
      <c r="B144" s="27"/>
      <c r="C144" s="27"/>
      <c r="D144" s="27"/>
      <c r="E144" s="27"/>
      <c r="F144" s="27"/>
      <c r="G144" s="27"/>
      <c r="H144" s="27"/>
      <c r="I144" s="27"/>
      <c r="J144" s="213"/>
      <c r="K144" s="27"/>
      <c r="L144" s="27"/>
      <c r="M144" s="27"/>
      <c r="N144" s="27"/>
      <c r="O144" s="27"/>
      <c r="P144" s="27"/>
      <c r="Q144" s="27"/>
      <c r="R144" s="27"/>
      <c r="S144" s="27"/>
    </row>
    <row r="145" spans="1:19" outlineLevel="1">
      <c r="B145" s="31" t="s">
        <v>35</v>
      </c>
      <c r="C145" s="31"/>
      <c r="D145" s="31"/>
      <c r="E145" s="31"/>
      <c r="F145" s="31"/>
      <c r="G145" s="31"/>
      <c r="H145" s="31"/>
      <c r="I145" s="52">
        <f>(I142*-1)/I141</f>
        <v>0.17623501246962811</v>
      </c>
      <c r="J145" s="53">
        <f>'ControlSheet '!J139</f>
        <v>0.25</v>
      </c>
      <c r="K145" s="53">
        <f>'ControlSheet '!K139</f>
        <v>0.25</v>
      </c>
      <c r="L145" s="53">
        <f>'ControlSheet '!L139</f>
        <v>0.25</v>
      </c>
      <c r="M145" s="53">
        <f>'ControlSheet '!M139</f>
        <v>0.25</v>
      </c>
      <c r="N145" s="53">
        <f>'ControlSheet '!N139</f>
        <v>0.25</v>
      </c>
      <c r="O145" s="53">
        <f>'ControlSheet '!O139</f>
        <v>0.25</v>
      </c>
      <c r="P145" s="53">
        <f>'ControlSheet '!P139</f>
        <v>0.25</v>
      </c>
      <c r="Q145" s="53">
        <f>'ControlSheet '!Q139</f>
        <v>0.25</v>
      </c>
      <c r="R145" s="53">
        <f>'ControlSheet '!R139</f>
        <v>0.25</v>
      </c>
      <c r="S145" s="53">
        <f>'ControlSheet '!S139</f>
        <v>0.25</v>
      </c>
    </row>
    <row r="146" spans="1:19">
      <c r="B146" s="27"/>
      <c r="C146" s="27"/>
      <c r="D146" s="27"/>
      <c r="E146" s="27"/>
      <c r="F146" s="27"/>
      <c r="G146" s="27"/>
      <c r="H146" s="27"/>
      <c r="I146" s="27"/>
      <c r="J146" s="27"/>
      <c r="K146" s="27"/>
      <c r="L146" s="27"/>
      <c r="M146" s="27"/>
      <c r="N146" s="27"/>
      <c r="O146" s="27"/>
      <c r="P146" s="27"/>
      <c r="Q146" s="27"/>
      <c r="R146" s="27"/>
      <c r="S146" s="27"/>
    </row>
    <row r="147" spans="1:19" ht="15.6">
      <c r="A147" t="s">
        <v>23</v>
      </c>
      <c r="B147" s="491" t="s">
        <v>625</v>
      </c>
      <c r="C147" s="492"/>
      <c r="D147" s="492"/>
      <c r="E147" s="492"/>
      <c r="F147" s="492"/>
      <c r="G147" s="492"/>
      <c r="H147" s="492"/>
      <c r="I147" s="492"/>
      <c r="J147" s="492"/>
      <c r="K147" s="492"/>
      <c r="L147" s="492"/>
      <c r="M147" s="492"/>
      <c r="N147" s="492"/>
      <c r="O147" s="492"/>
      <c r="P147" s="492"/>
      <c r="Q147" s="492"/>
      <c r="R147" s="492"/>
      <c r="S147" s="492"/>
    </row>
    <row r="148" spans="1:19" outlineLevel="1">
      <c r="B148" s="27"/>
      <c r="C148" s="27"/>
      <c r="D148" s="27"/>
      <c r="E148" s="27"/>
      <c r="F148" s="27"/>
      <c r="G148" s="27"/>
      <c r="H148" s="27"/>
      <c r="I148" s="27"/>
      <c r="J148" s="27"/>
      <c r="K148" s="27"/>
      <c r="L148" s="27"/>
      <c r="M148" s="27"/>
      <c r="N148" s="27"/>
      <c r="O148" s="27"/>
      <c r="P148" s="27"/>
      <c r="Q148" s="27"/>
      <c r="R148" s="27"/>
      <c r="S148" s="27"/>
    </row>
    <row r="149" spans="1:19" outlineLevel="1">
      <c r="B149" s="27" t="s">
        <v>626</v>
      </c>
      <c r="C149" s="27"/>
      <c r="D149" s="27"/>
      <c r="E149" s="27"/>
      <c r="F149" s="27"/>
      <c r="G149" s="27"/>
      <c r="H149" s="27"/>
      <c r="I149" s="27"/>
      <c r="J149" s="295">
        <f>'3StatementModel'!H82</f>
        <v>14291.13</v>
      </c>
      <c r="K149" s="295">
        <f>'3StatementModel'!I82</f>
        <v>16020.454578130151</v>
      </c>
      <c r="L149" s="295">
        <f>'3StatementModel'!J82</f>
        <v>18271.934637197635</v>
      </c>
      <c r="M149" s="295">
        <f>'3StatementModel'!K82</f>
        <v>21016.894637480851</v>
      </c>
      <c r="N149" s="295">
        <f>'3StatementModel'!L82</f>
        <v>24285.775793592016</v>
      </c>
      <c r="O149" s="295">
        <f>'3StatementModel'!M82</f>
        <v>28109.550913436258</v>
      </c>
      <c r="P149" s="295">
        <f>'3StatementModel'!N82</f>
        <v>32511.812050705248</v>
      </c>
      <c r="Q149" s="295">
        <f>'3StatementModel'!O82</f>
        <v>37562.717018846241</v>
      </c>
      <c r="R149" s="295">
        <f>'3StatementModel'!P82</f>
        <v>43286.884878632154</v>
      </c>
      <c r="S149" s="295">
        <f>'3StatementModel'!Q82</f>
        <v>49765.877441176679</v>
      </c>
    </row>
    <row r="150" spans="1:19" outlineLevel="1">
      <c r="B150" s="73" t="s">
        <v>47</v>
      </c>
      <c r="C150" s="27"/>
      <c r="D150" s="27"/>
      <c r="E150" s="27"/>
      <c r="F150" s="27"/>
      <c r="G150" s="27"/>
      <c r="H150" s="27"/>
      <c r="I150" s="27"/>
      <c r="J150" s="296">
        <f>'3StatementModel'!I40</f>
        <v>1729.3245781301516</v>
      </c>
      <c r="K150" s="296">
        <f>'3StatementModel'!J40</f>
        <v>2251.480059067484</v>
      </c>
      <c r="L150" s="296">
        <f>'3StatementModel'!K40</f>
        <v>2744.960000283214</v>
      </c>
      <c r="M150" s="296">
        <f>'3StatementModel'!L40</f>
        <v>3268.8811561111661</v>
      </c>
      <c r="N150" s="296">
        <f>'3StatementModel'!M40</f>
        <v>3823.7751198442429</v>
      </c>
      <c r="O150" s="296">
        <f>'3StatementModel'!N40</f>
        <v>4402.2611372689889</v>
      </c>
      <c r="P150" s="296">
        <f>'3StatementModel'!O40</f>
        <v>5050.9049681409942</v>
      </c>
      <c r="Q150" s="296">
        <f>'3StatementModel'!P40</f>
        <v>5724.1678597859109</v>
      </c>
      <c r="R150" s="296">
        <f>'3StatementModel'!Q40</f>
        <v>6478.9925625445248</v>
      </c>
      <c r="S150" s="296">
        <f>'3StatementModel'!R40</f>
        <v>7325.1812315398265</v>
      </c>
    </row>
    <row r="151" spans="1:19" outlineLevel="1">
      <c r="B151" s="73" t="s">
        <v>48</v>
      </c>
      <c r="C151" s="27"/>
      <c r="D151" s="27"/>
      <c r="E151" s="27"/>
      <c r="F151" s="27"/>
      <c r="G151" s="27"/>
      <c r="H151" s="27"/>
      <c r="I151" s="27"/>
      <c r="J151" s="272">
        <f>J150*J154</f>
        <v>0</v>
      </c>
      <c r="K151" s="272">
        <f t="shared" ref="K151:N151" si="197">K150*K154</f>
        <v>0</v>
      </c>
      <c r="L151" s="272">
        <f t="shared" si="197"/>
        <v>0</v>
      </c>
      <c r="M151" s="272">
        <f t="shared" si="197"/>
        <v>0</v>
      </c>
      <c r="N151" s="272">
        <f t="shared" si="197"/>
        <v>0</v>
      </c>
      <c r="O151" s="272">
        <f t="shared" ref="O151:S151" si="198">O150*O154</f>
        <v>0</v>
      </c>
      <c r="P151" s="272">
        <f t="shared" si="198"/>
        <v>0</v>
      </c>
      <c r="Q151" s="272">
        <f t="shared" si="198"/>
        <v>0</v>
      </c>
      <c r="R151" s="272">
        <f t="shared" si="198"/>
        <v>0</v>
      </c>
      <c r="S151" s="272">
        <f t="shared" si="198"/>
        <v>0</v>
      </c>
    </row>
    <row r="152" spans="1:19" outlineLevel="1">
      <c r="B152" s="34" t="s">
        <v>49</v>
      </c>
      <c r="C152" s="35"/>
      <c r="D152" s="35"/>
      <c r="E152" s="35"/>
      <c r="F152" s="35"/>
      <c r="G152" s="35"/>
      <c r="H152" s="35"/>
      <c r="I152" s="55"/>
      <c r="J152" s="54">
        <f>SUM(J149:J151)</f>
        <v>16020.454578130151</v>
      </c>
      <c r="K152" s="54">
        <f t="shared" ref="K152:N152" si="199">SUM(K149:K151)</f>
        <v>18271.934637197635</v>
      </c>
      <c r="L152" s="54">
        <f t="shared" si="199"/>
        <v>21016.894637480851</v>
      </c>
      <c r="M152" s="54">
        <f t="shared" si="199"/>
        <v>24285.775793592016</v>
      </c>
      <c r="N152" s="54">
        <f t="shared" si="199"/>
        <v>28109.550913436258</v>
      </c>
      <c r="O152" s="54">
        <f t="shared" ref="O152:S152" si="200">SUM(O149:O151)</f>
        <v>32511.812050705248</v>
      </c>
      <c r="P152" s="54">
        <f t="shared" si="200"/>
        <v>37562.717018846241</v>
      </c>
      <c r="Q152" s="54">
        <f t="shared" si="200"/>
        <v>43286.884878632154</v>
      </c>
      <c r="R152" s="54">
        <f t="shared" si="200"/>
        <v>49765.877441176679</v>
      </c>
      <c r="S152" s="54">
        <f t="shared" si="200"/>
        <v>57091.058672716506</v>
      </c>
    </row>
    <row r="153" spans="1:19" outlineLevel="1">
      <c r="B153" s="27"/>
      <c r="C153" s="27"/>
      <c r="D153" s="27"/>
      <c r="E153" s="27"/>
      <c r="F153" s="27"/>
      <c r="G153" s="27"/>
      <c r="H153" s="27"/>
      <c r="I153" s="27"/>
      <c r="J153" s="27"/>
      <c r="K153" s="27"/>
      <c r="L153" s="27"/>
      <c r="M153" s="27"/>
      <c r="N153" s="27"/>
      <c r="O153" s="27"/>
      <c r="P153" s="27"/>
      <c r="Q153" s="27"/>
      <c r="R153" s="27"/>
      <c r="S153" s="27"/>
    </row>
    <row r="154" spans="1:19" outlineLevel="1">
      <c r="B154" s="31" t="s">
        <v>50</v>
      </c>
      <c r="C154" s="31"/>
      <c r="D154" s="31"/>
      <c r="E154" s="31"/>
      <c r="F154" s="31"/>
      <c r="G154" s="31"/>
      <c r="H154" s="31"/>
      <c r="I154" s="52"/>
      <c r="J154" s="53">
        <f>'ControlSheet '!J179</f>
        <v>0</v>
      </c>
      <c r="K154" s="53">
        <f>'ControlSheet '!K179</f>
        <v>0</v>
      </c>
      <c r="L154" s="53">
        <f>'ControlSheet '!L179</f>
        <v>0</v>
      </c>
      <c r="M154" s="53">
        <f>'ControlSheet '!M179</f>
        <v>0</v>
      </c>
      <c r="N154" s="53">
        <f>'ControlSheet '!N179</f>
        <v>0</v>
      </c>
      <c r="O154" s="53">
        <f>'ControlSheet '!O179</f>
        <v>0</v>
      </c>
      <c r="P154" s="53">
        <f>'ControlSheet '!P179</f>
        <v>0</v>
      </c>
      <c r="Q154" s="53">
        <f>'ControlSheet '!Q179</f>
        <v>0</v>
      </c>
      <c r="R154" s="53">
        <f>'ControlSheet '!R179</f>
        <v>0</v>
      </c>
      <c r="S154" s="53">
        <f>'ControlSheet '!S179</f>
        <v>0</v>
      </c>
    </row>
    <row r="155" spans="1:19">
      <c r="B155" s="27"/>
      <c r="C155" s="27"/>
      <c r="D155" s="27"/>
      <c r="E155" s="27"/>
      <c r="F155" s="27"/>
      <c r="G155" s="27"/>
      <c r="H155" s="27"/>
      <c r="I155" s="27"/>
      <c r="J155" s="27"/>
      <c r="K155" s="27"/>
      <c r="L155" s="27"/>
      <c r="M155" s="27"/>
      <c r="N155" s="27"/>
      <c r="O155" s="27"/>
      <c r="P155" s="27"/>
      <c r="Q155" s="27"/>
      <c r="R155" s="27"/>
      <c r="S155" s="27"/>
    </row>
    <row r="156" spans="1:19" ht="15.6">
      <c r="A156" t="s">
        <v>23</v>
      </c>
      <c r="B156" s="491" t="s">
        <v>51</v>
      </c>
      <c r="C156" s="492"/>
      <c r="D156" s="492"/>
      <c r="E156" s="492"/>
      <c r="F156" s="492"/>
      <c r="G156" s="492"/>
      <c r="H156" s="492"/>
      <c r="I156" s="492"/>
      <c r="J156" s="492"/>
      <c r="K156" s="492"/>
      <c r="L156" s="492"/>
      <c r="M156" s="492"/>
      <c r="N156" s="492"/>
      <c r="O156" s="492"/>
      <c r="P156" s="492"/>
      <c r="Q156" s="492"/>
      <c r="R156" s="492"/>
      <c r="S156" s="492"/>
    </row>
    <row r="157" spans="1:19" outlineLevel="1">
      <c r="B157" s="27"/>
      <c r="C157" s="27"/>
      <c r="D157" s="27"/>
      <c r="E157" s="27"/>
      <c r="F157" s="27"/>
      <c r="G157" s="27"/>
      <c r="H157" s="27"/>
      <c r="I157" s="27"/>
      <c r="J157" s="27"/>
      <c r="K157" s="27"/>
      <c r="L157" s="27"/>
      <c r="M157" s="27"/>
      <c r="N157" s="56">
        <v>365</v>
      </c>
      <c r="O157" s="56">
        <v>365</v>
      </c>
      <c r="P157" s="56">
        <v>365</v>
      </c>
      <c r="Q157" s="56">
        <v>365</v>
      </c>
      <c r="R157" s="56">
        <v>365</v>
      </c>
      <c r="S157" s="56">
        <v>365</v>
      </c>
    </row>
    <row r="158" spans="1:19" outlineLevel="1">
      <c r="B158" s="20" t="s">
        <v>238</v>
      </c>
    </row>
    <row r="159" spans="1:19" outlineLevel="1">
      <c r="B159" s="27" t="s">
        <v>41</v>
      </c>
      <c r="C159" s="27"/>
      <c r="D159" s="27"/>
      <c r="E159" s="181">
        <f t="shared" ref="E159:N159" si="201">E13</f>
        <v>6223.8981999999996</v>
      </c>
      <c r="F159" s="181">
        <f t="shared" si="201"/>
        <v>7781.5551000000005</v>
      </c>
      <c r="G159" s="181">
        <f t="shared" si="201"/>
        <v>8749.4330000000009</v>
      </c>
      <c r="H159" s="181">
        <f t="shared" si="201"/>
        <v>10334.774599999999</v>
      </c>
      <c r="I159" s="181">
        <f t="shared" si="201"/>
        <v>12207</v>
      </c>
      <c r="J159" s="181">
        <f t="shared" si="201"/>
        <v>14404.259999999998</v>
      </c>
      <c r="K159" s="181">
        <f t="shared" si="201"/>
        <v>16780.962899999999</v>
      </c>
      <c r="L159" s="181">
        <f t="shared" si="201"/>
        <v>19298.107334999997</v>
      </c>
      <c r="M159" s="181">
        <f t="shared" si="201"/>
        <v>21903.351825224996</v>
      </c>
      <c r="N159" s="181">
        <f t="shared" si="201"/>
        <v>24531.754044251997</v>
      </c>
      <c r="O159" s="181">
        <f t="shared" ref="O159:S159" si="202">O13</f>
        <v>27475.564529562238</v>
      </c>
      <c r="P159" s="181">
        <f t="shared" si="202"/>
        <v>30772.63227310971</v>
      </c>
      <c r="Q159" s="181">
        <f t="shared" si="202"/>
        <v>34465.348145882876</v>
      </c>
      <c r="R159" s="181">
        <f t="shared" si="202"/>
        <v>38601.189923388825</v>
      </c>
      <c r="S159" s="181">
        <f t="shared" si="202"/>
        <v>43233.332714195487</v>
      </c>
    </row>
    <row r="160" spans="1:19" outlineLevel="1">
      <c r="B160" s="27" t="s">
        <v>238</v>
      </c>
      <c r="C160" s="27"/>
      <c r="D160" s="27"/>
      <c r="E160" s="48">
        <f>'Balance Sheet'!E27</f>
        <v>330.61129999999997</v>
      </c>
      <c r="F160" s="48">
        <f>'Balance Sheet'!F27</f>
        <v>388.166</v>
      </c>
      <c r="G160" s="48">
        <f>'Balance Sheet'!G27</f>
        <v>576.42139999999995</v>
      </c>
      <c r="H160" s="48">
        <f>'Balance Sheet'!H27</f>
        <v>848.2811999999999</v>
      </c>
      <c r="I160" s="48">
        <f>'Balance Sheet'!I27</f>
        <v>1538.34</v>
      </c>
      <c r="J160" s="39">
        <f t="shared" ref="J160:N160" si="203">J159/$N$157*J161</f>
        <v>940.18059535786006</v>
      </c>
      <c r="K160" s="39">
        <f t="shared" si="203"/>
        <v>1095.3103935919071</v>
      </c>
      <c r="L160" s="39">
        <f t="shared" si="203"/>
        <v>1321.788173630137</v>
      </c>
      <c r="M160" s="39">
        <f t="shared" si="203"/>
        <v>1500.2295770702051</v>
      </c>
      <c r="N160" s="39">
        <f t="shared" si="203"/>
        <v>1680.2571263186298</v>
      </c>
      <c r="O160" s="39">
        <f t="shared" ref="O160:S160" si="204">O159/$N$157*O161</f>
        <v>1881.8879814768657</v>
      </c>
      <c r="P160" s="39">
        <f t="shared" si="204"/>
        <v>2107.7145392540897</v>
      </c>
      <c r="Q160" s="39">
        <f t="shared" si="204"/>
        <v>2360.6402839645807</v>
      </c>
      <c r="R160" s="39">
        <f t="shared" si="204"/>
        <v>2643.9171180403305</v>
      </c>
      <c r="S160" s="39">
        <f t="shared" si="204"/>
        <v>2961.1871722051701</v>
      </c>
    </row>
    <row r="161" spans="2:19" outlineLevel="1">
      <c r="B161" s="58" t="s">
        <v>639</v>
      </c>
      <c r="C161" s="58"/>
      <c r="D161" s="58"/>
      <c r="E161" s="58"/>
      <c r="F161" s="59">
        <f>(AVERAGE(E160:F160))/F159*$N$157</f>
        <v>16.857409035116898</v>
      </c>
      <c r="G161" s="59">
        <f t="shared" ref="G161:I161" si="205">(AVERAGE(F160:G160))/G159*$N$157</f>
        <v>20.119840965694571</v>
      </c>
      <c r="H161" s="59">
        <f t="shared" si="205"/>
        <v>25.158577188514592</v>
      </c>
      <c r="I161" s="59">
        <f t="shared" si="205"/>
        <v>35.6810329319243</v>
      </c>
      <c r="J161" s="297">
        <f>'Assumptions Working'!P477</f>
        <v>23.823918570313154</v>
      </c>
      <c r="K161" s="182">
        <f t="shared" ref="K161:N161" si="206">J161</f>
        <v>23.823918570313154</v>
      </c>
      <c r="L161" s="182">
        <f>'Assumptions Working'!Q477</f>
        <v>25</v>
      </c>
      <c r="M161" s="182">
        <f t="shared" si="206"/>
        <v>25</v>
      </c>
      <c r="N161" s="182">
        <f t="shared" si="206"/>
        <v>25</v>
      </c>
      <c r="O161" s="182">
        <f t="shared" ref="O161" si="207">N161</f>
        <v>25</v>
      </c>
      <c r="P161" s="182">
        <f t="shared" ref="P161" si="208">O161</f>
        <v>25</v>
      </c>
      <c r="Q161" s="182">
        <f t="shared" ref="Q161" si="209">P161</f>
        <v>25</v>
      </c>
      <c r="R161" s="182">
        <f t="shared" ref="R161" si="210">Q161</f>
        <v>25</v>
      </c>
      <c r="S161" s="182">
        <f t="shared" ref="S161" si="211">R161</f>
        <v>25</v>
      </c>
    </row>
    <row r="162" spans="2:19" outlineLevel="1">
      <c r="B162" s="27"/>
      <c r="C162" s="27"/>
      <c r="D162" s="27"/>
      <c r="E162" s="27"/>
      <c r="F162" s="27"/>
      <c r="G162" s="27"/>
      <c r="H162" s="27"/>
      <c r="I162" s="27"/>
      <c r="J162" s="27"/>
      <c r="K162" s="27"/>
      <c r="L162" s="27"/>
      <c r="M162" s="27"/>
      <c r="N162" s="27"/>
      <c r="O162" s="27"/>
      <c r="P162" s="27"/>
      <c r="Q162" s="27"/>
      <c r="R162" s="27"/>
      <c r="S162" s="27"/>
    </row>
    <row r="163" spans="2:19" outlineLevel="1">
      <c r="B163" s="20" t="s">
        <v>9</v>
      </c>
    </row>
    <row r="164" spans="2:19" outlineLevel="1">
      <c r="B164" s="27" t="s">
        <v>41</v>
      </c>
      <c r="C164" s="27"/>
      <c r="D164" s="27"/>
      <c r="E164" s="181">
        <f t="shared" ref="E164:N164" si="212">E13</f>
        <v>6223.8981999999996</v>
      </c>
      <c r="F164" s="181">
        <f t="shared" si="212"/>
        <v>7781.5551000000005</v>
      </c>
      <c r="G164" s="181">
        <f t="shared" si="212"/>
        <v>8749.4330000000009</v>
      </c>
      <c r="H164" s="181">
        <f t="shared" si="212"/>
        <v>10334.774599999999</v>
      </c>
      <c r="I164" s="181">
        <f t="shared" si="212"/>
        <v>12207</v>
      </c>
      <c r="J164" s="181">
        <f t="shared" si="212"/>
        <v>14404.259999999998</v>
      </c>
      <c r="K164" s="181">
        <f t="shared" si="212"/>
        <v>16780.962899999999</v>
      </c>
      <c r="L164" s="181">
        <f t="shared" si="212"/>
        <v>19298.107334999997</v>
      </c>
      <c r="M164" s="181">
        <f t="shared" si="212"/>
        <v>21903.351825224996</v>
      </c>
      <c r="N164" s="181">
        <f t="shared" si="212"/>
        <v>24531.754044251997</v>
      </c>
      <c r="O164" s="181">
        <f t="shared" ref="O164:S164" si="213">O13</f>
        <v>27475.564529562238</v>
      </c>
      <c r="P164" s="181">
        <f t="shared" si="213"/>
        <v>30772.63227310971</v>
      </c>
      <c r="Q164" s="181">
        <f t="shared" si="213"/>
        <v>34465.348145882876</v>
      </c>
      <c r="R164" s="181">
        <f t="shared" si="213"/>
        <v>38601.189923388825</v>
      </c>
      <c r="S164" s="181">
        <f t="shared" si="213"/>
        <v>43233.332714195487</v>
      </c>
    </row>
    <row r="165" spans="2:19" outlineLevel="1">
      <c r="B165" s="27" t="s">
        <v>9</v>
      </c>
      <c r="C165" s="27"/>
      <c r="D165" s="27"/>
      <c r="E165" s="48">
        <f>'Balance Sheet'!E26</f>
        <v>1183.5377000000001</v>
      </c>
      <c r="F165" s="48">
        <f>'Balance Sheet'!F26</f>
        <v>1760.2381</v>
      </c>
      <c r="G165" s="48">
        <f>'Balance Sheet'!G26</f>
        <v>1498.4582</v>
      </c>
      <c r="H165" s="48">
        <f>'Balance Sheet'!H26</f>
        <v>1553.4612</v>
      </c>
      <c r="I165" s="48">
        <f>'Balance Sheet'!I26</f>
        <v>2093.71</v>
      </c>
      <c r="J165" s="39">
        <f>J164/$N$157*J166</f>
        <v>2311.8153078642554</v>
      </c>
      <c r="K165" s="39">
        <f t="shared" ref="K165:N165" si="214">K164/$N$157*K166</f>
        <v>2693.2648336618572</v>
      </c>
      <c r="L165" s="39">
        <f t="shared" si="214"/>
        <v>2907.9339819863012</v>
      </c>
      <c r="M165" s="39">
        <f t="shared" si="214"/>
        <v>3300.5050695544514</v>
      </c>
      <c r="N165" s="39">
        <f t="shared" si="214"/>
        <v>3696.5656779009855</v>
      </c>
      <c r="O165" s="39">
        <f t="shared" ref="O165:S165" si="215">O164/$N$157*O166</f>
        <v>4140.1535592491045</v>
      </c>
      <c r="P165" s="39">
        <f t="shared" si="215"/>
        <v>4636.9719863589971</v>
      </c>
      <c r="Q165" s="39">
        <f t="shared" si="215"/>
        <v>5193.4086247220775</v>
      </c>
      <c r="R165" s="39">
        <f t="shared" si="215"/>
        <v>5816.6176596887271</v>
      </c>
      <c r="S165" s="39">
        <f t="shared" si="215"/>
        <v>6514.6117788513748</v>
      </c>
    </row>
    <row r="166" spans="2:19" outlineLevel="1">
      <c r="B166" s="58" t="s">
        <v>54</v>
      </c>
      <c r="C166" s="58"/>
      <c r="D166" s="58"/>
      <c r="E166" s="59"/>
      <c r="F166" s="59">
        <f>(AVERAGE(E165:F165))/F164*$N$157</f>
        <v>69.040066747069616</v>
      </c>
      <c r="G166" s="59">
        <f t="shared" ref="G166:I166" si="216">(AVERAGE(F165:G165))/G164*$N$157</f>
        <v>67.971498810265757</v>
      </c>
      <c r="H166" s="59">
        <f t="shared" si="216"/>
        <v>53.893317663647942</v>
      </c>
      <c r="I166" s="59">
        <f t="shared" si="216"/>
        <v>54.526807897108213</v>
      </c>
      <c r="J166" s="297">
        <f>'Assumptions Working'!O423</f>
        <v>58.580766201835651</v>
      </c>
      <c r="K166" s="182">
        <f>J166</f>
        <v>58.580766201835651</v>
      </c>
      <c r="L166" s="182">
        <v>55</v>
      </c>
      <c r="M166" s="182">
        <f>L166</f>
        <v>55</v>
      </c>
      <c r="N166" s="182">
        <f>M166</f>
        <v>55</v>
      </c>
      <c r="O166" s="182">
        <f t="shared" ref="O166:S166" si="217">N166</f>
        <v>55</v>
      </c>
      <c r="P166" s="182">
        <f t="shared" si="217"/>
        <v>55</v>
      </c>
      <c r="Q166" s="182">
        <f t="shared" si="217"/>
        <v>55</v>
      </c>
      <c r="R166" s="182">
        <f t="shared" si="217"/>
        <v>55</v>
      </c>
      <c r="S166" s="182">
        <f t="shared" si="217"/>
        <v>55</v>
      </c>
    </row>
    <row r="167" spans="2:19" outlineLevel="1">
      <c r="B167" s="31" t="s">
        <v>441</v>
      </c>
      <c r="C167" s="58"/>
      <c r="D167" s="58"/>
      <c r="E167" s="60">
        <f>E165/E164</f>
        <v>0.19016019574356152</v>
      </c>
      <c r="F167" s="60">
        <f t="shared" ref="F167:N167" si="218">F165/F164</f>
        <v>0.22620646867873492</v>
      </c>
      <c r="G167" s="60">
        <f t="shared" si="218"/>
        <v>0.17126346358672612</v>
      </c>
      <c r="H167" s="60">
        <f t="shared" si="218"/>
        <v>0.15031398943137086</v>
      </c>
      <c r="I167" s="60">
        <f t="shared" si="218"/>
        <v>0.17151716228393546</v>
      </c>
      <c r="J167" s="60">
        <f t="shared" si="218"/>
        <v>0.16049524986804289</v>
      </c>
      <c r="K167" s="60">
        <f t="shared" si="218"/>
        <v>0.16049524986804287</v>
      </c>
      <c r="L167" s="60">
        <f t="shared" si="218"/>
        <v>0.15068493150684933</v>
      </c>
      <c r="M167" s="60">
        <f t="shared" si="218"/>
        <v>0.15068493150684931</v>
      </c>
      <c r="N167" s="60">
        <f t="shared" si="218"/>
        <v>0.15068493150684931</v>
      </c>
      <c r="O167" s="60">
        <f t="shared" ref="O167:S167" si="219">O165/O164</f>
        <v>0.15068493150684933</v>
      </c>
      <c r="P167" s="60">
        <f t="shared" si="219"/>
        <v>0.15068493150684931</v>
      </c>
      <c r="Q167" s="60">
        <f t="shared" si="219"/>
        <v>0.15068493150684933</v>
      </c>
      <c r="R167" s="60">
        <f t="shared" si="219"/>
        <v>0.15068493150684931</v>
      </c>
      <c r="S167" s="60">
        <f t="shared" si="219"/>
        <v>0.15068493150684931</v>
      </c>
    </row>
    <row r="168" spans="2:19" outlineLevel="1"/>
    <row r="169" spans="2:19" outlineLevel="1">
      <c r="B169" s="20" t="s">
        <v>11</v>
      </c>
    </row>
    <row r="170" spans="2:19" outlineLevel="1">
      <c r="B170" s="27" t="s">
        <v>41</v>
      </c>
      <c r="C170" s="27"/>
      <c r="D170" s="27"/>
      <c r="E170" s="39">
        <f>E164</f>
        <v>6223.8981999999996</v>
      </c>
      <c r="F170" s="39">
        <f t="shared" ref="F170:N170" si="220">F164</f>
        <v>7781.5551000000005</v>
      </c>
      <c r="G170" s="39">
        <f t="shared" si="220"/>
        <v>8749.4330000000009</v>
      </c>
      <c r="H170" s="39">
        <f t="shared" si="220"/>
        <v>10334.774599999999</v>
      </c>
      <c r="I170" s="39">
        <f t="shared" si="220"/>
        <v>12207</v>
      </c>
      <c r="J170" s="39">
        <f t="shared" si="220"/>
        <v>14404.259999999998</v>
      </c>
      <c r="K170" s="39">
        <f t="shared" si="220"/>
        <v>16780.962899999999</v>
      </c>
      <c r="L170" s="39">
        <f t="shared" si="220"/>
        <v>19298.107334999997</v>
      </c>
      <c r="M170" s="39">
        <f t="shared" si="220"/>
        <v>21903.351825224996</v>
      </c>
      <c r="N170" s="39">
        <f t="shared" si="220"/>
        <v>24531.754044251997</v>
      </c>
      <c r="O170" s="39">
        <f t="shared" ref="O170:S170" si="221">O164</f>
        <v>27475.564529562238</v>
      </c>
      <c r="P170" s="39">
        <f t="shared" si="221"/>
        <v>30772.63227310971</v>
      </c>
      <c r="Q170" s="39">
        <f t="shared" si="221"/>
        <v>34465.348145882876</v>
      </c>
      <c r="R170" s="39">
        <f t="shared" si="221"/>
        <v>38601.189923388825</v>
      </c>
      <c r="S170" s="39">
        <f t="shared" si="221"/>
        <v>43233.332714195487</v>
      </c>
    </row>
    <row r="171" spans="2:19" outlineLevel="1">
      <c r="B171" s="27" t="s">
        <v>11</v>
      </c>
      <c r="C171" s="27"/>
      <c r="D171" s="27"/>
      <c r="E171" s="296">
        <f>'Balance Sheet'!E28</f>
        <v>385.56990000000002</v>
      </c>
      <c r="F171" s="296">
        <f>'Balance Sheet'!F28</f>
        <v>978.01089999999999</v>
      </c>
      <c r="G171" s="296">
        <f>'Balance Sheet'!G28</f>
        <v>724.3196999999999</v>
      </c>
      <c r="H171" s="296">
        <f>'Balance Sheet'!H28</f>
        <v>710.4011999999999</v>
      </c>
      <c r="I171" s="296">
        <f>'Balance Sheet'!I28</f>
        <v>1110.8800000000001</v>
      </c>
      <c r="J171" s="39">
        <f>J170*J172</f>
        <v>993.89393999999993</v>
      </c>
      <c r="K171" s="39">
        <f t="shared" ref="K171" si="222">K170*K172</f>
        <v>1157.8864401000001</v>
      </c>
      <c r="L171" s="39">
        <f t="shared" ref="L171" si="223">L170*L172</f>
        <v>1331.569406115</v>
      </c>
      <c r="M171" s="39">
        <f t="shared" ref="M171" si="224">M170*M172</f>
        <v>1511.3312759405248</v>
      </c>
      <c r="N171" s="39">
        <f t="shared" ref="N171:S171" si="225">N170*N172</f>
        <v>1692.6910290533879</v>
      </c>
      <c r="O171" s="39">
        <f t="shared" si="225"/>
        <v>1895.8139525397946</v>
      </c>
      <c r="P171" s="39">
        <f t="shared" si="225"/>
        <v>2123.3116268445701</v>
      </c>
      <c r="Q171" s="39">
        <f t="shared" si="225"/>
        <v>2378.1090220659185</v>
      </c>
      <c r="R171" s="39">
        <f t="shared" si="225"/>
        <v>2663.4821047138294</v>
      </c>
      <c r="S171" s="39">
        <f t="shared" si="225"/>
        <v>2983.099957279489</v>
      </c>
    </row>
    <row r="172" spans="2:19" outlineLevel="1">
      <c r="B172" s="58" t="s">
        <v>55</v>
      </c>
      <c r="C172" s="58"/>
      <c r="D172" s="58"/>
      <c r="E172" s="60">
        <f t="shared" ref="E172:G172" si="226">E171/E170</f>
        <v>6.1949904643363231E-2</v>
      </c>
      <c r="F172" s="60">
        <f t="shared" si="226"/>
        <v>0.12568321979754407</v>
      </c>
      <c r="G172" s="60">
        <f t="shared" si="226"/>
        <v>8.2784758738080499E-2</v>
      </c>
      <c r="H172" s="60">
        <f>H171/H170</f>
        <v>6.8738915699235473E-2</v>
      </c>
      <c r="I172" s="60">
        <f>I171/I170</f>
        <v>9.1003522569017781E-2</v>
      </c>
      <c r="J172" s="266">
        <f>'ControlSheet '!J195</f>
        <v>6.9000000000000006E-2</v>
      </c>
      <c r="K172" s="266">
        <f>'ControlSheet '!K195</f>
        <v>6.9000000000000006E-2</v>
      </c>
      <c r="L172" s="266">
        <f>'ControlSheet '!L195</f>
        <v>6.9000000000000006E-2</v>
      </c>
      <c r="M172" s="266">
        <f>'ControlSheet '!M195</f>
        <v>6.9000000000000006E-2</v>
      </c>
      <c r="N172" s="266">
        <f>'ControlSheet '!N195</f>
        <v>6.9000000000000006E-2</v>
      </c>
      <c r="O172" s="266">
        <f>'ControlSheet '!O195</f>
        <v>6.9000000000000006E-2</v>
      </c>
      <c r="P172" s="266">
        <f>'ControlSheet '!P195</f>
        <v>6.9000000000000006E-2</v>
      </c>
      <c r="Q172" s="266">
        <f>'ControlSheet '!Q195</f>
        <v>6.9000000000000006E-2</v>
      </c>
      <c r="R172" s="266">
        <f>'ControlSheet '!R195</f>
        <v>6.9000000000000006E-2</v>
      </c>
      <c r="S172" s="266">
        <f>'ControlSheet '!S195</f>
        <v>6.9000000000000006E-2</v>
      </c>
    </row>
    <row r="173" spans="2:19" outlineLevel="1">
      <c r="B173" s="27"/>
      <c r="C173" s="27"/>
      <c r="D173" s="27"/>
      <c r="E173" s="27"/>
      <c r="F173" s="27"/>
      <c r="G173" s="27"/>
      <c r="H173" s="27"/>
      <c r="I173" s="27"/>
      <c r="J173" s="27"/>
      <c r="K173" s="27"/>
      <c r="L173" s="27"/>
      <c r="M173" s="27"/>
      <c r="N173" s="27"/>
      <c r="O173" s="27"/>
      <c r="P173" s="27"/>
      <c r="Q173" s="27"/>
      <c r="R173" s="27"/>
      <c r="S173" s="27"/>
    </row>
    <row r="174" spans="2:19" outlineLevel="1">
      <c r="B174" s="20" t="s">
        <v>216</v>
      </c>
    </row>
    <row r="175" spans="2:19" outlineLevel="1">
      <c r="B175" s="27" t="s">
        <v>52</v>
      </c>
      <c r="C175" s="27"/>
      <c r="D175" s="27"/>
      <c r="E175" s="298">
        <f>'Income Stmt'!E18*-1</f>
        <v>1780.6092000000001</v>
      </c>
      <c r="F175" s="298">
        <f>'Income Stmt'!F18*-1</f>
        <v>2421.7284</v>
      </c>
      <c r="G175" s="298">
        <f>'Income Stmt'!G18*-1</f>
        <v>2913.6419999999998</v>
      </c>
      <c r="H175" s="298">
        <f>'Income Stmt'!H18*-1</f>
        <v>3209.6958999999997</v>
      </c>
      <c r="I175" s="298">
        <f>'Income Stmt'!I18*-1</f>
        <v>3855.04</v>
      </c>
      <c r="J175" s="296">
        <f>'3StatementModel'!I14*-1</f>
        <v>4897.4483999999993</v>
      </c>
      <c r="K175" s="296">
        <f>'3StatementModel'!J14*-1</f>
        <v>5604.8416085999988</v>
      </c>
      <c r="L175" s="296">
        <f>'3StatementModel'!K14*-1</f>
        <v>6329.7792058799978</v>
      </c>
      <c r="M175" s="296">
        <f>'3StatementModel'!L14*-1</f>
        <v>7052.8792877224478</v>
      </c>
      <c r="N175" s="296">
        <f>'3StatementModel'!M14*-1</f>
        <v>7752.0342779836301</v>
      </c>
      <c r="O175" s="296">
        <f>'3StatementModel'!S14*-1</f>
        <v>0</v>
      </c>
      <c r="P175" s="296">
        <f>'3StatementModel'!T14*-1</f>
        <v>-0.14994576760794542</v>
      </c>
      <c r="Q175" s="296">
        <f>'3StatementModel'!U14*-1</f>
        <v>-0.11416825444747114</v>
      </c>
      <c r="R175" s="296">
        <f>'3StatementModel'!V14*-1</f>
        <v>0</v>
      </c>
      <c r="S175" s="296">
        <f>'3StatementModel'!W14*-1</f>
        <v>0</v>
      </c>
    </row>
    <row r="176" spans="2:19" outlineLevel="1">
      <c r="B176" s="27" t="s">
        <v>15</v>
      </c>
      <c r="C176" s="27"/>
      <c r="D176" s="27"/>
      <c r="E176" s="298">
        <f>'Balance Sheet'!E59</f>
        <v>667.16750000000002</v>
      </c>
      <c r="F176" s="298">
        <f>'Balance Sheet'!F59</f>
        <v>1076.4388000000001</v>
      </c>
      <c r="G176" s="298">
        <f>'Balance Sheet'!G59</f>
        <v>1007.7633</v>
      </c>
      <c r="H176" s="298">
        <f>'Balance Sheet'!H59</f>
        <v>1102.9988000000001</v>
      </c>
      <c r="I176" s="298">
        <f>'Balance Sheet'!I59</f>
        <v>1133.4605000000001</v>
      </c>
      <c r="J176" s="39">
        <f>J175/$N$157*J177</f>
        <v>1610.1200219178081</v>
      </c>
      <c r="K176" s="39">
        <f t="shared" ref="K176" si="227">K175/$N$157*K177</f>
        <v>1842.6876521424654</v>
      </c>
      <c r="L176" s="39">
        <f t="shared" ref="L176" si="228">L175/$N$157*L177</f>
        <v>2081.0233005632867</v>
      </c>
      <c r="M176" s="39">
        <f t="shared" ref="M176" si="229">M175/$N$157*M177</f>
        <v>2318.7548343197091</v>
      </c>
      <c r="N176" s="39">
        <f t="shared" ref="N176:S176" si="230">N175/$N$157*N177</f>
        <v>2548.6140092000974</v>
      </c>
      <c r="O176" s="39">
        <f t="shared" si="230"/>
        <v>0</v>
      </c>
      <c r="P176" s="39">
        <f t="shared" si="230"/>
        <v>-4.9297238665625888E-2</v>
      </c>
      <c r="Q176" s="39">
        <f t="shared" si="230"/>
        <v>-3.753476858546996E-2</v>
      </c>
      <c r="R176" s="39">
        <f t="shared" si="230"/>
        <v>0</v>
      </c>
      <c r="S176" s="39">
        <f t="shared" si="230"/>
        <v>0</v>
      </c>
    </row>
    <row r="177" spans="2:19" outlineLevel="1">
      <c r="B177" s="58" t="s">
        <v>56</v>
      </c>
      <c r="C177" s="58"/>
      <c r="D177" s="58"/>
      <c r="E177" s="58"/>
      <c r="F177" s="265">
        <f>(AVERAGE(E176:F176))/F175*$N$157</f>
        <v>131.39712518959598</v>
      </c>
      <c r="G177" s="265">
        <f t="shared" ref="G177" si="231">(AVERAGE(F176:G176))/G175*$N$157</f>
        <v>130.54688367685532</v>
      </c>
      <c r="H177" s="265">
        <f t="shared" ref="H177" si="232">(AVERAGE(G176:H176))/H175*$N$157</f>
        <v>120.01575702233973</v>
      </c>
      <c r="I177" s="265">
        <f t="shared" ref="I177" si="233">(AVERAGE(H176:I176))/I175*$N$157</f>
        <v>105.87537930864534</v>
      </c>
      <c r="J177" s="306">
        <f>'Assumptions Working'!J790</f>
        <v>120</v>
      </c>
      <c r="K177" s="264">
        <f>J177</f>
        <v>120</v>
      </c>
      <c r="L177" s="264">
        <f t="shared" ref="L177:N177" si="234">K177</f>
        <v>120</v>
      </c>
      <c r="M177" s="264">
        <f t="shared" si="234"/>
        <v>120</v>
      </c>
      <c r="N177" s="264">
        <f t="shared" si="234"/>
        <v>120</v>
      </c>
      <c r="O177" s="264">
        <f t="shared" ref="O177" si="235">N177</f>
        <v>120</v>
      </c>
      <c r="P177" s="264">
        <f t="shared" ref="P177" si="236">O177</f>
        <v>120</v>
      </c>
      <c r="Q177" s="264">
        <f t="shared" ref="Q177" si="237">P177</f>
        <v>120</v>
      </c>
      <c r="R177" s="264">
        <f t="shared" ref="R177" si="238">Q177</f>
        <v>120</v>
      </c>
      <c r="S177" s="264">
        <f t="shared" ref="S177" si="239">R177</f>
        <v>120</v>
      </c>
    </row>
    <row r="178" spans="2:19" outlineLevel="1">
      <c r="B178" s="27"/>
      <c r="C178" s="27"/>
      <c r="D178" s="27"/>
      <c r="E178" s="27"/>
      <c r="F178" s="27"/>
      <c r="G178" s="27"/>
      <c r="H178" s="27"/>
      <c r="I178" s="27"/>
      <c r="J178" s="27"/>
      <c r="K178" s="27"/>
      <c r="L178" s="27"/>
      <c r="M178" s="27"/>
      <c r="N178" s="27"/>
      <c r="O178" s="27"/>
      <c r="P178" s="27"/>
      <c r="Q178" s="27"/>
      <c r="R178" s="27"/>
      <c r="S178" s="27"/>
    </row>
    <row r="179" spans="2:19" outlineLevel="1">
      <c r="B179" s="20" t="s">
        <v>591</v>
      </c>
    </row>
    <row r="180" spans="2:19" outlineLevel="1">
      <c r="B180" s="27" t="s">
        <v>612</v>
      </c>
      <c r="C180" s="27"/>
      <c r="D180" s="27"/>
      <c r="E180" s="267">
        <f>'3StatementModel'!D99</f>
        <v>158.60389999999998</v>
      </c>
      <c r="F180" s="267">
        <f>'3StatementModel'!E99</f>
        <v>818.83320000000003</v>
      </c>
      <c r="G180" s="267">
        <f>'3StatementModel'!F99</f>
        <v>139.48990000000001</v>
      </c>
      <c r="H180" s="267">
        <f>'3StatementModel'!G99</f>
        <v>171.16810000000001</v>
      </c>
      <c r="I180" s="267">
        <f>'3StatementModel'!H99</f>
        <v>2956.84</v>
      </c>
      <c r="J180" s="39">
        <f>J181*J182</f>
        <v>720.21299999999997</v>
      </c>
      <c r="K180" s="39">
        <f t="shared" ref="K180:N180" si="240">K181*K182</f>
        <v>839.04814499999998</v>
      </c>
      <c r="L180" s="39">
        <f t="shared" si="240"/>
        <v>964.90536674999987</v>
      </c>
      <c r="M180" s="39">
        <f t="shared" si="240"/>
        <v>1533.2346277657498</v>
      </c>
      <c r="N180" s="39">
        <f t="shared" si="240"/>
        <v>1717.2227830976399</v>
      </c>
      <c r="O180" s="39">
        <f t="shared" ref="O180:S180" si="241">O181*O182</f>
        <v>0</v>
      </c>
      <c r="P180" s="39">
        <f t="shared" si="241"/>
        <v>1.0486301550627793E-2</v>
      </c>
      <c r="Q180" s="39">
        <f t="shared" si="241"/>
        <v>9.445374180015155E-3</v>
      </c>
      <c r="R180" s="39">
        <f t="shared" si="241"/>
        <v>0</v>
      </c>
      <c r="S180" s="39">
        <f t="shared" si="241"/>
        <v>0</v>
      </c>
    </row>
    <row r="181" spans="2:19" outlineLevel="1">
      <c r="B181" s="27" t="s">
        <v>41</v>
      </c>
      <c r="C181" s="27"/>
      <c r="D181" s="27"/>
      <c r="E181" s="267">
        <f>'3StatementModel'!D13</f>
        <v>6223.8981999999996</v>
      </c>
      <c r="F181" s="267">
        <f>'3StatementModel'!E13</f>
        <v>7781.5551000000005</v>
      </c>
      <c r="G181" s="267">
        <f>'3StatementModel'!F13</f>
        <v>8749.4330000000009</v>
      </c>
      <c r="H181" s="267">
        <f>'3StatementModel'!G13</f>
        <v>10334.774599999999</v>
      </c>
      <c r="I181" s="267">
        <f>'3StatementModel'!H13</f>
        <v>12207</v>
      </c>
      <c r="J181" s="267">
        <f>'3StatementModel'!I13</f>
        <v>14404.259999999998</v>
      </c>
      <c r="K181" s="267">
        <f>'3StatementModel'!J13</f>
        <v>16780.962899999999</v>
      </c>
      <c r="L181" s="267">
        <f>'3StatementModel'!K13</f>
        <v>19298.107334999997</v>
      </c>
      <c r="M181" s="267">
        <f>'3StatementModel'!L13</f>
        <v>21903.351825224996</v>
      </c>
      <c r="N181" s="267">
        <f>'3StatementModel'!M13</f>
        <v>24531.754044251997</v>
      </c>
      <c r="O181" s="267">
        <f>'3StatementModel'!S13</f>
        <v>0</v>
      </c>
      <c r="P181" s="267">
        <f>'3StatementModel'!T13</f>
        <v>0.14980430786611132</v>
      </c>
      <c r="Q181" s="267">
        <f>'3StatementModel'!U13</f>
        <v>0.13493391685735934</v>
      </c>
      <c r="R181" s="267">
        <f>'3StatementModel'!V13</f>
        <v>0</v>
      </c>
      <c r="S181" s="267">
        <f>'3StatementModel'!W13</f>
        <v>0</v>
      </c>
    </row>
    <row r="182" spans="2:19" outlineLevel="1">
      <c r="B182" s="58" t="s">
        <v>515</v>
      </c>
      <c r="C182" s="58"/>
      <c r="D182" s="58"/>
      <c r="E182" s="60">
        <f>E180/E181</f>
        <v>2.5483048549862206E-2</v>
      </c>
      <c r="F182" s="60">
        <f t="shared" ref="F182:I182" si="242">F180/F181</f>
        <v>0.10522744997333502</v>
      </c>
      <c r="G182" s="60">
        <f t="shared" si="242"/>
        <v>1.5942735946432186E-2</v>
      </c>
      <c r="H182" s="60">
        <f t="shared" si="242"/>
        <v>1.656234476560331E-2</v>
      </c>
      <c r="I182" s="60">
        <f t="shared" si="242"/>
        <v>0.24222495289587942</v>
      </c>
      <c r="J182" s="266">
        <f>'ControlSheet '!J155</f>
        <v>0.05</v>
      </c>
      <c r="K182" s="266">
        <f>'ControlSheet '!K155</f>
        <v>0.05</v>
      </c>
      <c r="L182" s="266">
        <f>'ControlSheet '!L155</f>
        <v>0.05</v>
      </c>
      <c r="M182" s="266">
        <f>'ControlSheet '!M155</f>
        <v>7.0000000000000007E-2</v>
      </c>
      <c r="N182" s="266">
        <f>'ControlSheet '!N155</f>
        <v>7.0000000000000007E-2</v>
      </c>
      <c r="O182" s="266">
        <f>'ControlSheet '!O155</f>
        <v>7.0000000000000007E-2</v>
      </c>
      <c r="P182" s="266">
        <f>'ControlSheet '!P155</f>
        <v>7.0000000000000007E-2</v>
      </c>
      <c r="Q182" s="266">
        <f>'ControlSheet '!Q155</f>
        <v>7.0000000000000007E-2</v>
      </c>
      <c r="R182" s="266">
        <f>'ControlSheet '!R155</f>
        <v>7.0000000000000007E-2</v>
      </c>
      <c r="S182" s="266">
        <f>'ControlSheet '!S155</f>
        <v>7.0000000000000007E-2</v>
      </c>
    </row>
    <row r="183" spans="2:19" outlineLevel="1"/>
    <row r="184" spans="2:19" outlineLevel="1">
      <c r="B184" s="20" t="s">
        <v>211</v>
      </c>
    </row>
    <row r="185" spans="2:19" outlineLevel="1">
      <c r="B185" s="27" t="str">
        <f>B184</f>
        <v>Lease Liabilities</v>
      </c>
      <c r="C185" s="27"/>
      <c r="D185" s="27"/>
      <c r="E185" s="267">
        <f>'3StatementModel'!D100</f>
        <v>0</v>
      </c>
      <c r="F185" s="267">
        <f>'3StatementModel'!E100</f>
        <v>2.0571999999999999</v>
      </c>
      <c r="G185" s="267">
        <f>'3StatementModel'!F100</f>
        <v>2.5565000000000002</v>
      </c>
      <c r="H185" s="267">
        <f>'3StatementModel'!G100</f>
        <v>3.4227999999999996</v>
      </c>
      <c r="I185" s="267">
        <f>'3StatementModel'!H100</f>
        <v>14.39</v>
      </c>
      <c r="J185" s="39">
        <f>I185*(1+J186)</f>
        <v>14.39</v>
      </c>
      <c r="K185" s="39">
        <f t="shared" ref="K185:N185" si="243">J185*(1+K186)</f>
        <v>14.39</v>
      </c>
      <c r="L185" s="39">
        <f t="shared" si="243"/>
        <v>14.39</v>
      </c>
      <c r="M185" s="39">
        <f t="shared" si="243"/>
        <v>14.39</v>
      </c>
      <c r="N185" s="39">
        <f t="shared" si="243"/>
        <v>14.39</v>
      </c>
      <c r="O185" s="39">
        <f t="shared" ref="O185" si="244">N185*(1+O186)</f>
        <v>14.39</v>
      </c>
      <c r="P185" s="39">
        <f t="shared" ref="P185" si="245">O185*(1+P186)</f>
        <v>14.39</v>
      </c>
      <c r="Q185" s="39">
        <f t="shared" ref="Q185" si="246">P185*(1+Q186)</f>
        <v>14.39</v>
      </c>
      <c r="R185" s="39">
        <f t="shared" ref="R185" si="247">Q185*(1+R186)</f>
        <v>14.39</v>
      </c>
      <c r="S185" s="39">
        <f t="shared" ref="S185" si="248">R185*(1+S186)</f>
        <v>14.39</v>
      </c>
    </row>
    <row r="186" spans="2:19" outlineLevel="1">
      <c r="B186" s="58" t="s">
        <v>501</v>
      </c>
      <c r="C186" s="58"/>
      <c r="D186" s="58"/>
      <c r="E186" s="60"/>
      <c r="F186" s="60"/>
      <c r="G186" s="60"/>
      <c r="H186" s="60"/>
      <c r="I186" s="60"/>
      <c r="J186" s="302">
        <f>'ControlSheet '!J163</f>
        <v>0</v>
      </c>
      <c r="K186" s="302">
        <f>'ControlSheet '!K163</f>
        <v>0</v>
      </c>
      <c r="L186" s="302">
        <f>'ControlSheet '!L163</f>
        <v>0</v>
      </c>
      <c r="M186" s="302">
        <f>'ControlSheet '!M163</f>
        <v>0</v>
      </c>
      <c r="N186" s="302">
        <f>'ControlSheet '!N163</f>
        <v>0</v>
      </c>
      <c r="O186" s="302">
        <f>'ControlSheet '!O163</f>
        <v>0</v>
      </c>
      <c r="P186" s="302">
        <f>'ControlSheet '!P163</f>
        <v>0</v>
      </c>
      <c r="Q186" s="302">
        <f>'ControlSheet '!Q163</f>
        <v>0</v>
      </c>
      <c r="R186" s="302">
        <f>'ControlSheet '!R163</f>
        <v>0</v>
      </c>
      <c r="S186" s="302">
        <f>'ControlSheet '!S163</f>
        <v>0</v>
      </c>
    </row>
    <row r="187" spans="2:19" outlineLevel="1"/>
    <row r="188" spans="2:19" outlineLevel="1">
      <c r="B188" s="20" t="s">
        <v>628</v>
      </c>
    </row>
    <row r="189" spans="2:19" outlineLevel="1">
      <c r="B189" s="27" t="str">
        <f>B188</f>
        <v>Other Financial liabilities - Short Term</v>
      </c>
      <c r="C189" s="27"/>
      <c r="D189" s="27"/>
      <c r="E189" s="267">
        <f>'3StatementModel'!D101</f>
        <v>183.58689999999999</v>
      </c>
      <c r="F189" s="267">
        <f>'3StatementModel'!E101</f>
        <v>221.489</v>
      </c>
      <c r="G189" s="267">
        <f>'3StatementModel'!F101</f>
        <v>236.49180000000001</v>
      </c>
      <c r="H189" s="267">
        <f>'3StatementModel'!G101</f>
        <v>235.54910000000001</v>
      </c>
      <c r="I189" s="267">
        <f>'3StatementModel'!H101</f>
        <v>674.16</v>
      </c>
      <c r="J189" s="39">
        <f>I189*(1+J190)</f>
        <v>674.16</v>
      </c>
      <c r="K189" s="39">
        <f t="shared" ref="K189" si="249">J189*(1+K190)</f>
        <v>674.16</v>
      </c>
      <c r="L189" s="39">
        <f t="shared" ref="L189" si="250">K189*(1+L190)</f>
        <v>674.16</v>
      </c>
      <c r="M189" s="39">
        <f t="shared" ref="M189" si="251">L189*(1+M190)</f>
        <v>674.16</v>
      </c>
      <c r="N189" s="39">
        <f t="shared" ref="N189" si="252">M189*(1+N190)</f>
        <v>674.16</v>
      </c>
      <c r="O189" s="39">
        <f t="shared" ref="O189" si="253">N189*(1+O190)</f>
        <v>674.16</v>
      </c>
      <c r="P189" s="39">
        <f t="shared" ref="P189" si="254">O189*(1+P190)</f>
        <v>674.16</v>
      </c>
      <c r="Q189" s="39">
        <f t="shared" ref="Q189" si="255">P189*(1+Q190)</f>
        <v>674.16</v>
      </c>
      <c r="R189" s="39">
        <f t="shared" ref="R189" si="256">Q189*(1+R190)</f>
        <v>674.16</v>
      </c>
      <c r="S189" s="39">
        <f t="shared" ref="S189" si="257">R189*(1+S190)</f>
        <v>674.16</v>
      </c>
    </row>
    <row r="190" spans="2:19" outlineLevel="1">
      <c r="B190" s="58" t="s">
        <v>501</v>
      </c>
      <c r="C190" s="58"/>
      <c r="D190" s="58"/>
      <c r="E190" s="60"/>
      <c r="F190" s="60"/>
      <c r="G190" s="60"/>
      <c r="H190" s="60"/>
      <c r="I190" s="60"/>
      <c r="J190" s="302">
        <f>'ControlSheet '!J227</f>
        <v>0</v>
      </c>
      <c r="K190" s="302">
        <f>'ControlSheet '!K227</f>
        <v>0</v>
      </c>
      <c r="L190" s="302">
        <f>'ControlSheet '!L227</f>
        <v>0</v>
      </c>
      <c r="M190" s="302">
        <f>'ControlSheet '!M227</f>
        <v>0</v>
      </c>
      <c r="N190" s="302">
        <f>'ControlSheet '!N227</f>
        <v>0</v>
      </c>
      <c r="O190" s="302">
        <f>'ControlSheet '!O227</f>
        <v>0</v>
      </c>
      <c r="P190" s="302">
        <f>'ControlSheet '!P227</f>
        <v>0</v>
      </c>
      <c r="Q190" s="302">
        <f>'ControlSheet '!Q227</f>
        <v>0</v>
      </c>
      <c r="R190" s="302">
        <f>'ControlSheet '!R227</f>
        <v>0</v>
      </c>
      <c r="S190" s="302">
        <f>'ControlSheet '!S227</f>
        <v>0</v>
      </c>
    </row>
    <row r="191" spans="2:19" outlineLevel="1"/>
    <row r="192" spans="2:19" outlineLevel="1">
      <c r="B192" s="20" t="s">
        <v>629</v>
      </c>
    </row>
    <row r="193" spans="2:19" outlineLevel="1">
      <c r="B193" s="27" t="str">
        <f>B192</f>
        <v xml:space="preserve">Current Tax liabilities </v>
      </c>
      <c r="C193" s="27"/>
      <c r="D193" s="27"/>
      <c r="E193" s="267">
        <f>'3StatementModel'!D103</f>
        <v>11.0847</v>
      </c>
      <c r="F193" s="267">
        <f>'3StatementModel'!E103</f>
        <v>15.089600000000001</v>
      </c>
      <c r="G193" s="267">
        <f>'3StatementModel'!F103</f>
        <v>46.255500000000005</v>
      </c>
      <c r="H193" s="267">
        <f>'3StatementModel'!G103</f>
        <v>46.378700000000002</v>
      </c>
      <c r="I193" s="267">
        <f>'3StatementModel'!H103</f>
        <v>18.079999999999998</v>
      </c>
      <c r="J193" s="39">
        <f>I193*(1+J194)</f>
        <v>18.079999999999998</v>
      </c>
      <c r="K193" s="39">
        <f t="shared" ref="K193" si="258">J193*(1+K194)</f>
        <v>18.079999999999998</v>
      </c>
      <c r="L193" s="39">
        <f t="shared" ref="L193" si="259">K193*(1+L194)</f>
        <v>18.079999999999998</v>
      </c>
      <c r="M193" s="39">
        <f t="shared" ref="M193" si="260">L193*(1+M194)</f>
        <v>18.079999999999998</v>
      </c>
      <c r="N193" s="39">
        <f t="shared" ref="N193" si="261">M193*(1+N194)</f>
        <v>18.079999999999998</v>
      </c>
      <c r="O193" s="39">
        <f t="shared" ref="O193" si="262">N193*(1+O194)</f>
        <v>18.079999999999998</v>
      </c>
      <c r="P193" s="39">
        <f t="shared" ref="P193" si="263">O193*(1+P194)</f>
        <v>18.079999999999998</v>
      </c>
      <c r="Q193" s="39">
        <f t="shared" ref="Q193" si="264">P193*(1+Q194)</f>
        <v>18.079999999999998</v>
      </c>
      <c r="R193" s="39">
        <f t="shared" ref="R193" si="265">Q193*(1+R194)</f>
        <v>18.079999999999998</v>
      </c>
      <c r="S193" s="39">
        <f t="shared" ref="S193" si="266">R193*(1+S194)</f>
        <v>18.079999999999998</v>
      </c>
    </row>
    <row r="194" spans="2:19" outlineLevel="1">
      <c r="B194" s="58" t="s">
        <v>501</v>
      </c>
      <c r="C194" s="58"/>
      <c r="D194" s="58"/>
      <c r="E194" s="60"/>
      <c r="F194" s="60"/>
      <c r="G194" s="60"/>
      <c r="H194" s="60"/>
      <c r="I194" s="60"/>
      <c r="J194" s="302">
        <f>'ControlSheet '!J219</f>
        <v>0</v>
      </c>
      <c r="K194" s="302">
        <f>'ControlSheet '!K219</f>
        <v>0</v>
      </c>
      <c r="L194" s="302">
        <f>'ControlSheet '!L219</f>
        <v>0</v>
      </c>
      <c r="M194" s="302">
        <f>'ControlSheet '!M219</f>
        <v>0</v>
      </c>
      <c r="N194" s="302">
        <f>'ControlSheet '!N219</f>
        <v>0</v>
      </c>
      <c r="O194" s="302">
        <f>'ControlSheet '!O219</f>
        <v>0</v>
      </c>
      <c r="P194" s="302">
        <f>'ControlSheet '!P219</f>
        <v>0</v>
      </c>
      <c r="Q194" s="302">
        <f>'ControlSheet '!Q219</f>
        <v>0</v>
      </c>
      <c r="R194" s="302">
        <f>'ControlSheet '!R219</f>
        <v>0</v>
      </c>
      <c r="S194" s="302">
        <f>'ControlSheet '!S219</f>
        <v>0</v>
      </c>
    </row>
    <row r="195" spans="2:19" outlineLevel="1"/>
    <row r="196" spans="2:19" outlineLevel="1">
      <c r="B196" s="20" t="s">
        <v>212</v>
      </c>
    </row>
    <row r="197" spans="2:19" outlineLevel="1">
      <c r="B197" s="27" t="str">
        <f>B196</f>
        <v>Provisions</v>
      </c>
      <c r="C197" s="27"/>
      <c r="D197" s="27"/>
      <c r="E197" s="267">
        <f>'3StatementModel'!D102</f>
        <v>234.21849999999998</v>
      </c>
      <c r="F197" s="267">
        <f>'3StatementModel'!E102</f>
        <v>264.51260000000002</v>
      </c>
      <c r="G197" s="267">
        <f>'3StatementModel'!F102</f>
        <v>307.63040000000001</v>
      </c>
      <c r="H197" s="267">
        <f>'3StatementModel'!G102</f>
        <v>389.30720000000002</v>
      </c>
      <c r="I197" s="267">
        <f>'3StatementModel'!H102</f>
        <v>663.87</v>
      </c>
      <c r="J197" s="39">
        <f>I197*(1+J198)</f>
        <v>663.87</v>
      </c>
      <c r="K197" s="39">
        <f t="shared" ref="K197" si="267">J197*(1+K198)</f>
        <v>663.87</v>
      </c>
      <c r="L197" s="39">
        <f t="shared" ref="L197" si="268">K197*(1+L198)</f>
        <v>663.87</v>
      </c>
      <c r="M197" s="39">
        <f t="shared" ref="M197" si="269">L197*(1+M198)</f>
        <v>663.87</v>
      </c>
      <c r="N197" s="39">
        <f t="shared" ref="N197" si="270">M197*(1+N198)</f>
        <v>663.87</v>
      </c>
      <c r="O197" s="39">
        <f t="shared" ref="O197" si="271">N197*(1+O198)</f>
        <v>663.87</v>
      </c>
      <c r="P197" s="39">
        <f t="shared" ref="P197" si="272">O197*(1+P198)</f>
        <v>663.87</v>
      </c>
      <c r="Q197" s="39">
        <f t="shared" ref="Q197" si="273">P197*(1+Q198)</f>
        <v>663.87</v>
      </c>
      <c r="R197" s="39">
        <f t="shared" ref="R197" si="274">Q197*(1+R198)</f>
        <v>663.87</v>
      </c>
      <c r="S197" s="39">
        <f t="shared" ref="S197" si="275">R197*(1+S198)</f>
        <v>663.87</v>
      </c>
    </row>
    <row r="198" spans="2:19" outlineLevel="1">
      <c r="B198" s="58" t="s">
        <v>501</v>
      </c>
      <c r="C198" s="58"/>
      <c r="D198" s="58"/>
      <c r="E198" s="60"/>
      <c r="F198" s="60"/>
      <c r="G198" s="60"/>
      <c r="H198" s="60"/>
      <c r="I198" s="60"/>
      <c r="J198" s="302">
        <f>'ControlSheet '!J203</f>
        <v>0</v>
      </c>
      <c r="K198" s="302">
        <f>'ControlSheet '!K203</f>
        <v>0</v>
      </c>
      <c r="L198" s="302">
        <f>'ControlSheet '!L203</f>
        <v>0</v>
      </c>
      <c r="M198" s="302">
        <f>'ControlSheet '!M203</f>
        <v>0</v>
      </c>
      <c r="N198" s="302">
        <f>'ControlSheet '!N203</f>
        <v>0</v>
      </c>
      <c r="O198" s="302">
        <f>'ControlSheet '!O203</f>
        <v>0</v>
      </c>
      <c r="P198" s="302">
        <f>'ControlSheet '!P203</f>
        <v>0</v>
      </c>
      <c r="Q198" s="302">
        <f>'ControlSheet '!Q203</f>
        <v>0</v>
      </c>
      <c r="R198" s="302">
        <f>'ControlSheet '!R203</f>
        <v>0</v>
      </c>
      <c r="S198" s="302">
        <f>'ControlSheet '!S203</f>
        <v>0</v>
      </c>
    </row>
    <row r="199" spans="2:19" outlineLevel="1"/>
    <row r="200" spans="2:19" outlineLevel="1">
      <c r="B200" s="20" t="s">
        <v>17</v>
      </c>
    </row>
    <row r="201" spans="2:19" outlineLevel="1">
      <c r="B201" s="27" t="str">
        <f>B200</f>
        <v>Other Current Liabilities</v>
      </c>
      <c r="C201" s="27"/>
      <c r="D201" s="27"/>
      <c r="E201" s="267">
        <f>'3StatementModel'!D103</f>
        <v>11.0847</v>
      </c>
      <c r="F201" s="267">
        <f>'3StatementModel'!E103</f>
        <v>15.089600000000001</v>
      </c>
      <c r="G201" s="267">
        <f>'3StatementModel'!F103</f>
        <v>46.255500000000005</v>
      </c>
      <c r="H201" s="267">
        <f>'3StatementModel'!G103</f>
        <v>46.378700000000002</v>
      </c>
      <c r="I201" s="267">
        <f>'3StatementModel'!H103</f>
        <v>18.079999999999998</v>
      </c>
      <c r="J201" s="39">
        <f>I201*(1+J202)</f>
        <v>18.079999999999998</v>
      </c>
      <c r="K201" s="39">
        <f t="shared" ref="K201" si="276">J201*(1+K202)</f>
        <v>18.079999999999998</v>
      </c>
      <c r="L201" s="39">
        <f t="shared" ref="L201" si="277">K201*(1+L202)</f>
        <v>18.079999999999998</v>
      </c>
      <c r="M201" s="39">
        <f t="shared" ref="M201" si="278">L201*(1+M202)</f>
        <v>18.079999999999998</v>
      </c>
      <c r="N201" s="39">
        <f t="shared" ref="N201" si="279">M201*(1+N202)</f>
        <v>18.079999999999998</v>
      </c>
      <c r="O201" s="39">
        <f t="shared" ref="O201" si="280">N201*(1+O202)</f>
        <v>18.079999999999998</v>
      </c>
      <c r="P201" s="39">
        <f t="shared" ref="P201" si="281">O201*(1+P202)</f>
        <v>18.079999999999998</v>
      </c>
      <c r="Q201" s="39">
        <f t="shared" ref="Q201" si="282">P201*(1+Q202)</f>
        <v>18.079999999999998</v>
      </c>
      <c r="R201" s="39">
        <f t="shared" ref="R201" si="283">Q201*(1+R202)</f>
        <v>18.079999999999998</v>
      </c>
      <c r="S201" s="39">
        <f t="shared" ref="S201" si="284">R201*(1+S202)</f>
        <v>18.079999999999998</v>
      </c>
    </row>
    <row r="202" spans="2:19" outlineLevel="1">
      <c r="B202" s="58" t="s">
        <v>501</v>
      </c>
      <c r="C202" s="58"/>
      <c r="D202" s="58"/>
      <c r="E202" s="60"/>
      <c r="F202" s="60"/>
      <c r="G202" s="60"/>
      <c r="H202" s="60"/>
      <c r="I202" s="60"/>
      <c r="J202" s="302">
        <f>'ControlSheet '!J211</f>
        <v>0</v>
      </c>
      <c r="K202" s="302">
        <f>'ControlSheet '!K211</f>
        <v>0</v>
      </c>
      <c r="L202" s="302">
        <f>'ControlSheet '!L211</f>
        <v>0</v>
      </c>
      <c r="M202" s="302">
        <f>'ControlSheet '!M211</f>
        <v>0</v>
      </c>
      <c r="N202" s="302">
        <f>'ControlSheet '!N211</f>
        <v>0</v>
      </c>
      <c r="O202" s="302">
        <f>'ControlSheet '!O211</f>
        <v>0</v>
      </c>
      <c r="P202" s="302">
        <f>'ControlSheet '!P211</f>
        <v>0</v>
      </c>
      <c r="Q202" s="302">
        <f>'ControlSheet '!Q211</f>
        <v>0</v>
      </c>
      <c r="R202" s="302">
        <f>'ControlSheet '!R211</f>
        <v>0</v>
      </c>
      <c r="S202" s="302">
        <f>'ControlSheet '!S211</f>
        <v>0</v>
      </c>
    </row>
    <row r="203" spans="2:19" outlineLevel="1"/>
    <row r="204" spans="2:19" outlineLevel="1">
      <c r="B204" s="20" t="s">
        <v>16</v>
      </c>
    </row>
    <row r="205" spans="2:19" outlineLevel="1">
      <c r="B205" s="27" t="s">
        <v>0</v>
      </c>
      <c r="C205" s="27"/>
      <c r="D205" s="27"/>
      <c r="E205" s="27"/>
      <c r="F205" s="27"/>
      <c r="G205" s="27"/>
      <c r="H205" s="27"/>
      <c r="I205" s="181">
        <f>I13</f>
        <v>12207</v>
      </c>
      <c r="J205" s="181">
        <f t="shared" ref="J205:N205" si="285">J13</f>
        <v>14404.259999999998</v>
      </c>
      <c r="K205" s="181">
        <f t="shared" si="285"/>
        <v>16780.962899999999</v>
      </c>
      <c r="L205" s="181">
        <f t="shared" si="285"/>
        <v>19298.107334999997</v>
      </c>
      <c r="M205" s="181">
        <f t="shared" si="285"/>
        <v>21903.351825224996</v>
      </c>
      <c r="N205" s="181">
        <f t="shared" si="285"/>
        <v>24531.754044251997</v>
      </c>
      <c r="O205" s="181">
        <f t="shared" ref="O205:S205" si="286">O13</f>
        <v>27475.564529562238</v>
      </c>
      <c r="P205" s="181">
        <f t="shared" si="286"/>
        <v>30772.63227310971</v>
      </c>
      <c r="Q205" s="181">
        <f t="shared" si="286"/>
        <v>34465.348145882876</v>
      </c>
      <c r="R205" s="181">
        <f t="shared" si="286"/>
        <v>38601.189923388825</v>
      </c>
      <c r="S205" s="181">
        <f t="shared" si="286"/>
        <v>43233.332714195487</v>
      </c>
    </row>
    <row r="206" spans="2:19" outlineLevel="1">
      <c r="B206" s="27" t="s">
        <v>16</v>
      </c>
      <c r="C206" s="27"/>
      <c r="D206" s="27"/>
      <c r="E206" s="27"/>
      <c r="F206" s="27"/>
      <c r="G206" s="27"/>
      <c r="H206" s="27"/>
      <c r="I206" s="48"/>
      <c r="J206" s="39">
        <f>J205*J207</f>
        <v>0</v>
      </c>
      <c r="K206" s="39">
        <f t="shared" ref="K206" si="287">K205*K207</f>
        <v>0</v>
      </c>
      <c r="L206" s="39">
        <f t="shared" ref="L206" si="288">L205*L207</f>
        <v>0</v>
      </c>
      <c r="M206" s="39">
        <f t="shared" ref="M206" si="289">M205*M207</f>
        <v>0</v>
      </c>
      <c r="N206" s="39">
        <f t="shared" ref="N206:S206" si="290">N205*N207</f>
        <v>0</v>
      </c>
      <c r="O206" s="39">
        <f t="shared" si="290"/>
        <v>0</v>
      </c>
      <c r="P206" s="39">
        <f t="shared" si="290"/>
        <v>0</v>
      </c>
      <c r="Q206" s="39">
        <f t="shared" si="290"/>
        <v>0</v>
      </c>
      <c r="R206" s="39">
        <f t="shared" si="290"/>
        <v>0</v>
      </c>
      <c r="S206" s="39">
        <f t="shared" si="290"/>
        <v>0</v>
      </c>
    </row>
    <row r="207" spans="2:19" outlineLevel="1">
      <c r="B207" s="58" t="s">
        <v>57</v>
      </c>
      <c r="C207" s="58"/>
      <c r="D207" s="58"/>
      <c r="E207" s="58"/>
      <c r="F207" s="58"/>
      <c r="G207" s="58"/>
      <c r="H207" s="58"/>
      <c r="I207" s="60">
        <f>I206/I205</f>
        <v>0</v>
      </c>
      <c r="J207" s="60">
        <f>I207</f>
        <v>0</v>
      </c>
      <c r="K207" s="60">
        <f t="shared" ref="K207:N207" si="291">J207</f>
        <v>0</v>
      </c>
      <c r="L207" s="60">
        <f t="shared" si="291"/>
        <v>0</v>
      </c>
      <c r="M207" s="60">
        <f t="shared" si="291"/>
        <v>0</v>
      </c>
      <c r="N207" s="60">
        <f t="shared" si="291"/>
        <v>0</v>
      </c>
      <c r="O207" s="60">
        <f t="shared" ref="O207" si="292">N207</f>
        <v>0</v>
      </c>
      <c r="P207" s="60">
        <f t="shared" ref="P207" si="293">O207</f>
        <v>0</v>
      </c>
      <c r="Q207" s="60">
        <f t="shared" ref="Q207" si="294">P207</f>
        <v>0</v>
      </c>
      <c r="R207" s="60">
        <f t="shared" ref="R207" si="295">Q207</f>
        <v>0</v>
      </c>
      <c r="S207" s="60">
        <f t="shared" ref="S207" si="296">R207</f>
        <v>0</v>
      </c>
    </row>
    <row r="208" spans="2:19" outlineLevel="1">
      <c r="B208" s="27"/>
      <c r="C208" s="27"/>
      <c r="D208" s="27"/>
      <c r="E208" s="27"/>
      <c r="F208" s="27"/>
      <c r="G208" s="27"/>
      <c r="H208" s="27"/>
      <c r="I208" s="27"/>
      <c r="J208" s="27"/>
      <c r="K208" s="27"/>
      <c r="L208" s="27"/>
      <c r="M208" s="27"/>
      <c r="N208" s="27"/>
      <c r="O208" s="27"/>
      <c r="P208" s="27"/>
      <c r="Q208" s="27"/>
      <c r="R208" s="27"/>
      <c r="S208" s="27"/>
    </row>
    <row r="209" spans="2:19" outlineLevel="1">
      <c r="B209" s="20" t="s">
        <v>17</v>
      </c>
    </row>
    <row r="210" spans="2:19" outlineLevel="1">
      <c r="B210" s="27" t="s">
        <v>0</v>
      </c>
      <c r="C210" s="27"/>
      <c r="D210" s="27"/>
      <c r="E210" s="27"/>
      <c r="F210" s="27"/>
      <c r="G210" s="27"/>
      <c r="H210" s="27"/>
      <c r="I210" s="181">
        <f>I13</f>
        <v>12207</v>
      </c>
      <c r="J210" s="181">
        <f t="shared" ref="J210:N210" si="297">J13</f>
        <v>14404.259999999998</v>
      </c>
      <c r="K210" s="181">
        <f t="shared" si="297"/>
        <v>16780.962899999999</v>
      </c>
      <c r="L210" s="181">
        <f t="shared" si="297"/>
        <v>19298.107334999997</v>
      </c>
      <c r="M210" s="181">
        <f t="shared" si="297"/>
        <v>21903.351825224996</v>
      </c>
      <c r="N210" s="181">
        <f t="shared" si="297"/>
        <v>24531.754044251997</v>
      </c>
      <c r="O210" s="181">
        <f t="shared" ref="O210:S210" si="298">O13</f>
        <v>27475.564529562238</v>
      </c>
      <c r="P210" s="181">
        <f t="shared" si="298"/>
        <v>30772.63227310971</v>
      </c>
      <c r="Q210" s="181">
        <f t="shared" si="298"/>
        <v>34465.348145882876</v>
      </c>
      <c r="R210" s="181">
        <f t="shared" si="298"/>
        <v>38601.189923388825</v>
      </c>
      <c r="S210" s="181">
        <f t="shared" si="298"/>
        <v>43233.332714195487</v>
      </c>
    </row>
    <row r="211" spans="2:19" outlineLevel="1">
      <c r="B211" s="27" t="s">
        <v>17</v>
      </c>
      <c r="C211" s="27"/>
      <c r="D211" s="27"/>
      <c r="E211" s="27"/>
      <c r="F211" s="27"/>
      <c r="G211" s="27"/>
      <c r="H211" s="27"/>
      <c r="I211" s="48"/>
      <c r="J211" s="39">
        <f>J210*J212</f>
        <v>0</v>
      </c>
      <c r="K211" s="39">
        <f t="shared" ref="K211" si="299">K210*K212</f>
        <v>0</v>
      </c>
      <c r="L211" s="39">
        <f t="shared" ref="L211" si="300">L210*L212</f>
        <v>0</v>
      </c>
      <c r="M211" s="39">
        <f t="shared" ref="M211" si="301">M210*M212</f>
        <v>0</v>
      </c>
      <c r="N211" s="39">
        <f t="shared" ref="N211:S211" si="302">N210*N212</f>
        <v>0</v>
      </c>
      <c r="O211" s="39">
        <f t="shared" si="302"/>
        <v>0</v>
      </c>
      <c r="P211" s="39">
        <f t="shared" si="302"/>
        <v>0</v>
      </c>
      <c r="Q211" s="39">
        <f t="shared" si="302"/>
        <v>0</v>
      </c>
      <c r="R211" s="39">
        <f t="shared" si="302"/>
        <v>0</v>
      </c>
      <c r="S211" s="39">
        <f t="shared" si="302"/>
        <v>0</v>
      </c>
    </row>
    <row r="212" spans="2:19" outlineLevel="1">
      <c r="B212" s="58" t="s">
        <v>58</v>
      </c>
      <c r="C212" s="31"/>
      <c r="D212" s="31"/>
      <c r="E212" s="31"/>
      <c r="F212" s="31"/>
      <c r="G212" s="31"/>
      <c r="H212" s="31"/>
      <c r="I212" s="60">
        <f>I211/I210</f>
        <v>0</v>
      </c>
      <c r="J212" s="60">
        <f>I212</f>
        <v>0</v>
      </c>
      <c r="K212" s="60">
        <f t="shared" ref="K212:N212" si="303">J212</f>
        <v>0</v>
      </c>
      <c r="L212" s="60">
        <f t="shared" si="303"/>
        <v>0</v>
      </c>
      <c r="M212" s="60">
        <f t="shared" si="303"/>
        <v>0</v>
      </c>
      <c r="N212" s="60">
        <f t="shared" si="303"/>
        <v>0</v>
      </c>
      <c r="O212" s="60">
        <f t="shared" ref="O212" si="304">N212</f>
        <v>0</v>
      </c>
      <c r="P212" s="60">
        <f t="shared" ref="P212" si="305">O212</f>
        <v>0</v>
      </c>
      <c r="Q212" s="60">
        <f t="shared" ref="Q212" si="306">P212</f>
        <v>0</v>
      </c>
      <c r="R212" s="60">
        <f t="shared" ref="R212" si="307">Q212</f>
        <v>0</v>
      </c>
      <c r="S212" s="60">
        <f t="shared" ref="S212" si="308">R212</f>
        <v>0</v>
      </c>
    </row>
    <row r="213" spans="2:19" outlineLevel="1">
      <c r="B213" s="27"/>
      <c r="C213" s="27"/>
      <c r="D213" s="27"/>
      <c r="E213" s="27"/>
      <c r="F213" s="27"/>
      <c r="G213" s="27"/>
      <c r="H213" s="27"/>
      <c r="I213" s="27"/>
      <c r="J213" s="27"/>
      <c r="K213" s="27"/>
      <c r="L213" s="27"/>
      <c r="M213" s="27"/>
      <c r="N213" s="27"/>
      <c r="O213" s="27"/>
      <c r="P213" s="27"/>
      <c r="Q213" s="27"/>
      <c r="R213" s="27"/>
      <c r="S213" s="27"/>
    </row>
    <row r="214" spans="2:19" outlineLevel="1">
      <c r="B214" s="20" t="s">
        <v>84</v>
      </c>
    </row>
    <row r="215" spans="2:19" outlineLevel="1">
      <c r="B215" s="84" t="s">
        <v>85</v>
      </c>
      <c r="C215" s="27"/>
      <c r="D215" s="27"/>
      <c r="E215" s="27"/>
      <c r="F215" s="27"/>
      <c r="G215" s="27"/>
      <c r="H215" s="27"/>
      <c r="I215" s="27"/>
      <c r="J215" s="247">
        <f>J165-I165</f>
        <v>218.10530786425534</v>
      </c>
      <c r="K215" s="247">
        <f>K165-J165</f>
        <v>381.44952579760184</v>
      </c>
      <c r="L215" s="247">
        <f>L165-K165</f>
        <v>214.669148324444</v>
      </c>
      <c r="M215" s="247">
        <f>M165-L165</f>
        <v>392.57108756815023</v>
      </c>
      <c r="N215" s="247">
        <f>N165-M165</f>
        <v>396.06060834653408</v>
      </c>
      <c r="O215" s="247">
        <f t="shared" ref="O215:S215" si="309">O165-N165</f>
        <v>443.58788134811903</v>
      </c>
      <c r="P215" s="247">
        <f t="shared" si="309"/>
        <v>496.81842710989258</v>
      </c>
      <c r="Q215" s="247">
        <f t="shared" si="309"/>
        <v>556.43663836308042</v>
      </c>
      <c r="R215" s="247">
        <f t="shared" si="309"/>
        <v>623.2090349666496</v>
      </c>
      <c r="S215" s="247">
        <f t="shared" si="309"/>
        <v>697.99411916264762</v>
      </c>
    </row>
    <row r="216" spans="2:19" outlineLevel="1">
      <c r="B216" s="84" t="s">
        <v>605</v>
      </c>
      <c r="C216" s="27"/>
      <c r="D216" s="27"/>
      <c r="E216" s="27"/>
      <c r="F216" s="27"/>
      <c r="G216" s="27"/>
      <c r="H216" s="27"/>
      <c r="I216" s="27"/>
      <c r="J216" s="247">
        <f>J160-I160</f>
        <v>-598.15940464213986</v>
      </c>
      <c r="K216" s="247">
        <f>K160-J160</f>
        <v>155.12979823404703</v>
      </c>
      <c r="L216" s="247">
        <f>L160-K160</f>
        <v>226.47778003822987</v>
      </c>
      <c r="M216" s="247">
        <f>M160-L160</f>
        <v>178.44140344006814</v>
      </c>
      <c r="N216" s="247">
        <f>N160-M160</f>
        <v>180.02754924842475</v>
      </c>
      <c r="O216" s="247">
        <f t="shared" ref="O216:S216" si="310">O160-N160</f>
        <v>201.63085515823582</v>
      </c>
      <c r="P216" s="247">
        <f t="shared" si="310"/>
        <v>225.82655777722402</v>
      </c>
      <c r="Q216" s="247">
        <f t="shared" si="310"/>
        <v>252.92574471049102</v>
      </c>
      <c r="R216" s="247">
        <f t="shared" si="310"/>
        <v>283.27683407574978</v>
      </c>
      <c r="S216" s="247">
        <f t="shared" si="310"/>
        <v>317.27005416483962</v>
      </c>
    </row>
    <row r="217" spans="2:19" outlineLevel="1">
      <c r="B217" s="84" t="s">
        <v>86</v>
      </c>
      <c r="C217" s="27"/>
      <c r="D217" s="27"/>
      <c r="E217" s="27"/>
      <c r="F217" s="27"/>
      <c r="G217" s="27"/>
      <c r="H217" s="27"/>
      <c r="I217" s="27"/>
      <c r="J217" s="247">
        <f>J171-I171</f>
        <v>-116.98606000000018</v>
      </c>
      <c r="K217" s="247">
        <f>K171-J171</f>
        <v>163.99250010000014</v>
      </c>
      <c r="L217" s="247">
        <f>L171-K171</f>
        <v>173.68296601499992</v>
      </c>
      <c r="M217" s="247">
        <f>M171-L171</f>
        <v>179.76186982552485</v>
      </c>
      <c r="N217" s="247">
        <f>N171-M171</f>
        <v>181.35975311286302</v>
      </c>
      <c r="O217" s="247">
        <f t="shared" ref="O217:S217" si="311">O171-N171</f>
        <v>203.12292348640676</v>
      </c>
      <c r="P217" s="247">
        <f t="shared" si="311"/>
        <v>227.4976743047755</v>
      </c>
      <c r="Q217" s="247">
        <f t="shared" si="311"/>
        <v>254.79739522134832</v>
      </c>
      <c r="R217" s="247">
        <f t="shared" si="311"/>
        <v>285.37308264791091</v>
      </c>
      <c r="S217" s="247">
        <f t="shared" si="311"/>
        <v>319.61785256565963</v>
      </c>
    </row>
    <row r="218" spans="2:19" outlineLevel="1">
      <c r="B218" s="34" t="s">
        <v>89</v>
      </c>
      <c r="C218" s="35"/>
      <c r="D218" s="35"/>
      <c r="E218" s="35"/>
      <c r="F218" s="35"/>
      <c r="G218" s="35"/>
      <c r="H218" s="35"/>
      <c r="I218" s="35"/>
      <c r="J218" s="248">
        <f>SUM(J215:J217)</f>
        <v>-497.0401567778847</v>
      </c>
      <c r="K218" s="248">
        <f>SUM(K215:K217)</f>
        <v>700.57182413164901</v>
      </c>
      <c r="L218" s="248">
        <f>SUM(L215:L217)</f>
        <v>614.82989437767378</v>
      </c>
      <c r="M218" s="248">
        <f>SUM(M215:M217)</f>
        <v>750.77436083374323</v>
      </c>
      <c r="N218" s="248">
        <f>SUM(N215:N217)</f>
        <v>757.44791070782185</v>
      </c>
      <c r="O218" s="248">
        <f t="shared" ref="O218:S218" si="312">SUM(O215:O217)</f>
        <v>848.34165999276161</v>
      </c>
      <c r="P218" s="248">
        <f t="shared" si="312"/>
        <v>950.14265919189211</v>
      </c>
      <c r="Q218" s="248">
        <f t="shared" si="312"/>
        <v>1064.1597782949198</v>
      </c>
      <c r="R218" s="248">
        <f t="shared" si="312"/>
        <v>1191.8589516903103</v>
      </c>
      <c r="S218" s="248">
        <f t="shared" si="312"/>
        <v>1334.8820258931469</v>
      </c>
    </row>
    <row r="219" spans="2:19" outlineLevel="1">
      <c r="B219" s="27"/>
      <c r="C219" s="27"/>
      <c r="D219" s="27"/>
      <c r="E219" s="27"/>
      <c r="F219" s="27"/>
      <c r="G219" s="27"/>
      <c r="H219" s="27"/>
      <c r="I219" s="27"/>
      <c r="J219" s="27"/>
      <c r="K219" s="27"/>
      <c r="L219" s="27"/>
      <c r="M219" s="27"/>
      <c r="N219" s="27"/>
      <c r="O219" s="27"/>
      <c r="P219" s="27"/>
      <c r="Q219" s="27"/>
      <c r="R219" s="27"/>
      <c r="S219" s="27"/>
    </row>
    <row r="220" spans="2:19" outlineLevel="1">
      <c r="B220" s="85" t="s">
        <v>606</v>
      </c>
      <c r="C220" s="27"/>
      <c r="D220" s="27"/>
      <c r="E220" s="27"/>
      <c r="F220" s="27"/>
      <c r="G220" s="27"/>
      <c r="H220" s="27"/>
      <c r="I220" s="27"/>
      <c r="J220" s="247">
        <f>J176-I176</f>
        <v>476.65952191780798</v>
      </c>
      <c r="K220" s="247">
        <f>K176-J176</f>
        <v>232.56763022465725</v>
      </c>
      <c r="L220" s="247">
        <f>L176-K176</f>
        <v>238.33564842082137</v>
      </c>
      <c r="M220" s="247">
        <f>M176-L176</f>
        <v>237.73153375642232</v>
      </c>
      <c r="N220" s="247">
        <f>N176-M176</f>
        <v>229.85917488038831</v>
      </c>
      <c r="O220" s="247">
        <f t="shared" ref="O220:S220" si="313">O176-N176</f>
        <v>-2548.6140092000974</v>
      </c>
      <c r="P220" s="247">
        <f t="shared" si="313"/>
        <v>-4.9297238665625888E-2</v>
      </c>
      <c r="Q220" s="247">
        <f t="shared" si="313"/>
        <v>1.1762470080155928E-2</v>
      </c>
      <c r="R220" s="247">
        <f t="shared" si="313"/>
        <v>3.753476858546996E-2</v>
      </c>
      <c r="S220" s="247">
        <f t="shared" si="313"/>
        <v>0</v>
      </c>
    </row>
    <row r="221" spans="2:19" outlineLevel="1">
      <c r="B221" s="27" t="s">
        <v>630</v>
      </c>
      <c r="C221" s="27"/>
      <c r="D221" s="27"/>
      <c r="E221" s="27"/>
      <c r="F221" s="27"/>
      <c r="G221" s="27"/>
      <c r="H221" s="27"/>
      <c r="I221" s="27"/>
      <c r="J221" s="247">
        <f>J180-I180</f>
        <v>-2236.6270000000004</v>
      </c>
      <c r="K221" s="247">
        <f>K180-J180</f>
        <v>118.83514500000001</v>
      </c>
      <c r="L221" s="247">
        <f>L180-K180</f>
        <v>125.85722174999989</v>
      </c>
      <c r="M221" s="247">
        <f>M180-L180</f>
        <v>568.32926101574992</v>
      </c>
      <c r="N221" s="247">
        <f>N180-M180</f>
        <v>183.98815533189008</v>
      </c>
      <c r="O221" s="247">
        <f t="shared" ref="O221:S221" si="314">O180-N180</f>
        <v>-1717.2227830976399</v>
      </c>
      <c r="P221" s="247">
        <f t="shared" si="314"/>
        <v>1.0486301550627793E-2</v>
      </c>
      <c r="Q221" s="247">
        <f t="shared" si="314"/>
        <v>-1.0409273706126383E-3</v>
      </c>
      <c r="R221" s="247">
        <f t="shared" si="314"/>
        <v>-9.445374180015155E-3</v>
      </c>
      <c r="S221" s="247">
        <f t="shared" si="314"/>
        <v>0</v>
      </c>
    </row>
    <row r="222" spans="2:19" outlineLevel="1">
      <c r="B222" s="85" t="s">
        <v>634</v>
      </c>
      <c r="C222" s="27"/>
      <c r="D222" s="27"/>
      <c r="E222" s="27"/>
      <c r="F222" s="27"/>
      <c r="G222" s="27"/>
      <c r="H222" s="27"/>
      <c r="I222" s="27"/>
      <c r="J222" s="247">
        <f>J189-I189</f>
        <v>0</v>
      </c>
      <c r="K222" s="247">
        <f t="shared" ref="K222:N222" si="315">K189-J189</f>
        <v>0</v>
      </c>
      <c r="L222" s="247">
        <f t="shared" si="315"/>
        <v>0</v>
      </c>
      <c r="M222" s="247">
        <f t="shared" si="315"/>
        <v>0</v>
      </c>
      <c r="N222" s="247">
        <f t="shared" si="315"/>
        <v>0</v>
      </c>
      <c r="O222" s="247">
        <f t="shared" ref="O222" si="316">O189-N189</f>
        <v>0</v>
      </c>
      <c r="P222" s="247">
        <f t="shared" ref="P222" si="317">P189-O189</f>
        <v>0</v>
      </c>
      <c r="Q222" s="247">
        <f t="shared" ref="Q222" si="318">Q189-P189</f>
        <v>0</v>
      </c>
      <c r="R222" s="247">
        <f t="shared" ref="R222" si="319">R189-Q189</f>
        <v>0</v>
      </c>
      <c r="S222" s="247">
        <f t="shared" ref="S222" si="320">S189-R189</f>
        <v>0</v>
      </c>
    </row>
    <row r="223" spans="2:19" outlineLevel="1">
      <c r="B223" s="27" t="s">
        <v>631</v>
      </c>
      <c r="C223" s="27"/>
      <c r="D223" s="27"/>
      <c r="E223" s="27"/>
      <c r="F223" s="27"/>
      <c r="G223" s="27"/>
      <c r="H223" s="27"/>
      <c r="I223" s="27"/>
      <c r="J223" s="247">
        <f>J185-I185</f>
        <v>0</v>
      </c>
      <c r="K223" s="247">
        <f>K185-J185</f>
        <v>0</v>
      </c>
      <c r="L223" s="247">
        <f>L185-K185</f>
        <v>0</v>
      </c>
      <c r="M223" s="247">
        <f>M185-L185</f>
        <v>0</v>
      </c>
      <c r="N223" s="247">
        <f>N185-M185</f>
        <v>0</v>
      </c>
      <c r="O223" s="247">
        <f t="shared" ref="O223:S223" si="321">O185-N185</f>
        <v>0</v>
      </c>
      <c r="P223" s="247">
        <f t="shared" si="321"/>
        <v>0</v>
      </c>
      <c r="Q223" s="247">
        <f t="shared" si="321"/>
        <v>0</v>
      </c>
      <c r="R223" s="247">
        <f t="shared" si="321"/>
        <v>0</v>
      </c>
      <c r="S223" s="247">
        <f t="shared" si="321"/>
        <v>0</v>
      </c>
    </row>
    <row r="224" spans="2:19" outlineLevel="1">
      <c r="B224" s="27" t="s">
        <v>632</v>
      </c>
      <c r="C224" s="27"/>
      <c r="D224" s="27"/>
      <c r="E224" s="27"/>
      <c r="F224" s="27"/>
      <c r="G224" s="27"/>
      <c r="H224" s="27"/>
      <c r="I224" s="27"/>
      <c r="J224" s="247">
        <f>J193-I193</f>
        <v>0</v>
      </c>
      <c r="K224" s="247">
        <f>K193-J193</f>
        <v>0</v>
      </c>
      <c r="L224" s="247">
        <f>L193-K193</f>
        <v>0</v>
      </c>
      <c r="M224" s="247">
        <f>M193-L193</f>
        <v>0</v>
      </c>
      <c r="N224" s="247">
        <f>N193-M193</f>
        <v>0</v>
      </c>
      <c r="O224" s="247">
        <f t="shared" ref="O224:S224" si="322">O193-N193</f>
        <v>0</v>
      </c>
      <c r="P224" s="247">
        <f t="shared" si="322"/>
        <v>0</v>
      </c>
      <c r="Q224" s="247">
        <f t="shared" si="322"/>
        <v>0</v>
      </c>
      <c r="R224" s="247">
        <f t="shared" si="322"/>
        <v>0</v>
      </c>
      <c r="S224" s="247">
        <f t="shared" si="322"/>
        <v>0</v>
      </c>
    </row>
    <row r="225" spans="1:19" outlineLevel="1">
      <c r="B225" s="27" t="s">
        <v>633</v>
      </c>
      <c r="J225" s="247">
        <f>J197-I197</f>
        <v>0</v>
      </c>
      <c r="K225" s="247">
        <f>K197-J197</f>
        <v>0</v>
      </c>
      <c r="L225" s="247">
        <f>L197-K197</f>
        <v>0</v>
      </c>
      <c r="M225" s="247">
        <f>M197-L197</f>
        <v>0</v>
      </c>
      <c r="N225" s="247">
        <f>N197-M197</f>
        <v>0</v>
      </c>
      <c r="O225" s="247">
        <f t="shared" ref="O225:S225" si="323">O197-N197</f>
        <v>0</v>
      </c>
      <c r="P225" s="247">
        <f t="shared" si="323"/>
        <v>0</v>
      </c>
      <c r="Q225" s="247">
        <f t="shared" si="323"/>
        <v>0</v>
      </c>
      <c r="R225" s="247">
        <f t="shared" si="323"/>
        <v>0</v>
      </c>
      <c r="S225" s="247">
        <f t="shared" si="323"/>
        <v>0</v>
      </c>
    </row>
    <row r="226" spans="1:19" outlineLevel="1">
      <c r="B226" s="85" t="s">
        <v>87</v>
      </c>
      <c r="C226" s="27"/>
      <c r="D226" s="27"/>
      <c r="E226" s="27"/>
      <c r="F226" s="27"/>
      <c r="G226" s="27"/>
      <c r="H226" s="27"/>
      <c r="I226" s="27"/>
      <c r="J226" s="247">
        <f>J211-I211</f>
        <v>0</v>
      </c>
      <c r="K226" s="247">
        <f>K211-J211</f>
        <v>0</v>
      </c>
      <c r="L226" s="247">
        <f>L211-K211</f>
        <v>0</v>
      </c>
      <c r="M226" s="247">
        <f>M211-L211</f>
        <v>0</v>
      </c>
      <c r="N226" s="247">
        <f>N211-M211</f>
        <v>0</v>
      </c>
      <c r="O226" s="247">
        <f t="shared" ref="O226:S226" si="324">O211-N211</f>
        <v>0</v>
      </c>
      <c r="P226" s="247">
        <f t="shared" si="324"/>
        <v>0</v>
      </c>
      <c r="Q226" s="247">
        <f t="shared" si="324"/>
        <v>0</v>
      </c>
      <c r="R226" s="247">
        <f t="shared" si="324"/>
        <v>0</v>
      </c>
      <c r="S226" s="247">
        <f t="shared" si="324"/>
        <v>0</v>
      </c>
    </row>
    <row r="227" spans="1:19" outlineLevel="1">
      <c r="B227" s="34" t="s">
        <v>88</v>
      </c>
      <c r="C227" s="35"/>
      <c r="D227" s="35"/>
      <c r="E227" s="35"/>
      <c r="F227" s="35"/>
      <c r="G227" s="35"/>
      <c r="H227" s="35"/>
      <c r="I227" s="35"/>
      <c r="J227" s="248">
        <f>SUM(J220:J226)</f>
        <v>-1759.9674780821924</v>
      </c>
      <c r="K227" s="248">
        <f>SUM(K220:K226)</f>
        <v>351.40277522465726</v>
      </c>
      <c r="L227" s="248">
        <f>SUM(L220:L226)</f>
        <v>364.19287017082127</v>
      </c>
      <c r="M227" s="248">
        <f>SUM(M220:M226)</f>
        <v>806.06079477217224</v>
      </c>
      <c r="N227" s="248">
        <f>SUM(N220:N226)</f>
        <v>413.84733021227839</v>
      </c>
      <c r="O227" s="248">
        <f t="shared" ref="O227:S227" si="325">SUM(O220:O226)</f>
        <v>-4265.8367922977377</v>
      </c>
      <c r="P227" s="248">
        <f t="shared" si="325"/>
        <v>-3.8810937114998098E-2</v>
      </c>
      <c r="Q227" s="248">
        <f t="shared" si="325"/>
        <v>1.0721542709543289E-2</v>
      </c>
      <c r="R227" s="248">
        <f t="shared" si="325"/>
        <v>2.8089394405454805E-2</v>
      </c>
      <c r="S227" s="248">
        <f t="shared" si="325"/>
        <v>0</v>
      </c>
    </row>
    <row r="228" spans="1:19" outlineLevel="1">
      <c r="B228" s="27"/>
      <c r="C228" s="27"/>
      <c r="D228" s="27"/>
      <c r="E228" s="27"/>
      <c r="F228" s="27"/>
      <c r="G228" s="27"/>
      <c r="H228" s="27"/>
      <c r="I228" s="27"/>
      <c r="J228" s="27"/>
      <c r="K228" s="27"/>
      <c r="L228" s="27"/>
      <c r="M228" s="27"/>
      <c r="N228" s="27"/>
      <c r="O228" s="27"/>
      <c r="P228" s="27"/>
      <c r="Q228" s="27"/>
      <c r="R228" s="27"/>
      <c r="S228" s="27"/>
    </row>
    <row r="229" spans="1:19" outlineLevel="1">
      <c r="B229" s="26" t="s">
        <v>604</v>
      </c>
      <c r="C229" s="27"/>
      <c r="D229" s="27"/>
      <c r="E229" s="27">
        <f t="shared" ref="E229:N229" si="326">E218-E220</f>
        <v>0</v>
      </c>
      <c r="F229" s="27">
        <f t="shared" si="326"/>
        <v>0</v>
      </c>
      <c r="G229" s="27">
        <f t="shared" si="326"/>
        <v>0</v>
      </c>
      <c r="H229" s="27">
        <f t="shared" si="326"/>
        <v>0</v>
      </c>
      <c r="I229" s="27">
        <f t="shared" si="326"/>
        <v>0</v>
      </c>
      <c r="J229" s="249">
        <f t="shared" si="326"/>
        <v>-973.69967869569268</v>
      </c>
      <c r="K229" s="249">
        <f t="shared" si="326"/>
        <v>468.00419390699176</v>
      </c>
      <c r="L229" s="249">
        <f t="shared" si="326"/>
        <v>376.49424595685241</v>
      </c>
      <c r="M229" s="249">
        <f t="shared" si="326"/>
        <v>513.04282707732091</v>
      </c>
      <c r="N229" s="249">
        <f t="shared" si="326"/>
        <v>527.58873582743354</v>
      </c>
      <c r="O229" s="249">
        <f t="shared" ref="O229:S229" si="327">O218-O220</f>
        <v>3396.9556691928592</v>
      </c>
      <c r="P229" s="249">
        <f t="shared" si="327"/>
        <v>950.19195643055775</v>
      </c>
      <c r="Q229" s="249">
        <f t="shared" si="327"/>
        <v>1064.1480158248396</v>
      </c>
      <c r="R229" s="249">
        <f t="shared" si="327"/>
        <v>1191.8214169217249</v>
      </c>
      <c r="S229" s="249">
        <f t="shared" si="327"/>
        <v>1334.8820258931469</v>
      </c>
    </row>
    <row r="230" spans="1:19" outlineLevel="1">
      <c r="B230" s="27" t="s">
        <v>635</v>
      </c>
      <c r="C230" s="27"/>
      <c r="D230" s="27"/>
      <c r="E230" s="27"/>
      <c r="F230" s="27"/>
      <c r="G230" s="27"/>
      <c r="H230" s="27"/>
      <c r="I230" s="27"/>
      <c r="J230" s="247">
        <f>J218-J229</f>
        <v>476.65952191780798</v>
      </c>
      <c r="K230" s="247">
        <f t="shared" ref="K230:N230" si="328">K218-K229</f>
        <v>232.56763022465725</v>
      </c>
      <c r="L230" s="247">
        <f t="shared" si="328"/>
        <v>238.33564842082137</v>
      </c>
      <c r="M230" s="247">
        <f t="shared" si="328"/>
        <v>237.73153375642232</v>
      </c>
      <c r="N230" s="247">
        <f t="shared" si="328"/>
        <v>229.85917488038831</v>
      </c>
      <c r="O230" s="247">
        <f t="shared" ref="O230:S230" si="329">O218-O229</f>
        <v>-2548.6140092000978</v>
      </c>
      <c r="P230" s="247">
        <f t="shared" si="329"/>
        <v>-4.9297238665644727E-2</v>
      </c>
      <c r="Q230" s="247">
        <f t="shared" si="329"/>
        <v>1.1762470080157073E-2</v>
      </c>
      <c r="R230" s="247">
        <f t="shared" si="329"/>
        <v>3.7534768585373968E-2</v>
      </c>
      <c r="S230" s="247">
        <f t="shared" si="329"/>
        <v>0</v>
      </c>
    </row>
    <row r="231" spans="1:19">
      <c r="B231" s="27"/>
      <c r="C231" s="27"/>
      <c r="D231" s="27"/>
      <c r="E231" s="27"/>
      <c r="F231" s="27"/>
      <c r="G231" s="27"/>
      <c r="H231" s="27"/>
      <c r="I231" s="27"/>
      <c r="J231" s="27"/>
      <c r="K231" s="27"/>
      <c r="L231" s="27"/>
      <c r="M231" s="27"/>
      <c r="N231" s="27"/>
      <c r="O231" s="27"/>
      <c r="P231" s="27"/>
      <c r="Q231" s="27"/>
      <c r="R231" s="27"/>
      <c r="S231" s="27"/>
    </row>
    <row r="232" spans="1:19" ht="15.6">
      <c r="A232" t="s">
        <v>23</v>
      </c>
      <c r="B232" s="523" t="s">
        <v>91</v>
      </c>
      <c r="C232" s="524"/>
      <c r="D232" s="524"/>
      <c r="E232" s="524"/>
      <c r="F232" s="524"/>
      <c r="G232" s="524"/>
      <c r="H232" s="524"/>
      <c r="I232" s="524"/>
      <c r="J232" s="524"/>
      <c r="K232" s="524"/>
      <c r="L232" s="524"/>
      <c r="M232" s="524"/>
      <c r="N232" s="524"/>
      <c r="O232" s="524"/>
      <c r="P232" s="524"/>
      <c r="Q232" s="524"/>
      <c r="R232" s="524"/>
      <c r="S232" s="524"/>
    </row>
    <row r="233" spans="1:19" outlineLevel="1">
      <c r="B233" s="27"/>
      <c r="C233" s="27"/>
      <c r="D233" s="27"/>
      <c r="E233" s="27"/>
      <c r="F233" s="27"/>
      <c r="G233" s="27"/>
      <c r="H233" s="27"/>
      <c r="I233" s="27"/>
      <c r="J233" s="27"/>
      <c r="K233" s="27"/>
      <c r="L233" s="27"/>
      <c r="M233" s="27"/>
      <c r="N233" s="27"/>
      <c r="O233" s="27"/>
      <c r="P233" s="27"/>
      <c r="Q233" s="27"/>
      <c r="R233" s="27"/>
      <c r="S233" s="27"/>
    </row>
    <row r="234" spans="1:19" outlineLevel="1">
      <c r="B234" s="27" t="s">
        <v>607</v>
      </c>
      <c r="C234" s="27"/>
      <c r="D234" s="27"/>
      <c r="E234" s="298">
        <f>'3StatementModel'!D90</f>
        <v>57.419899999999998</v>
      </c>
      <c r="F234" s="298">
        <f>'3StatementModel'!E90</f>
        <v>49.193999999999996</v>
      </c>
      <c r="G234" s="298">
        <f>'3StatementModel'!F90</f>
        <v>23.186499999999999</v>
      </c>
      <c r="H234" s="298">
        <f>'3StatementModel'!G90</f>
        <v>24.867699999999999</v>
      </c>
      <c r="I234" s="298">
        <f>'3StatementModel'!H90</f>
        <v>5526.19</v>
      </c>
      <c r="J234" s="39">
        <f>I234*(1+J235)</f>
        <v>5802.4994999999999</v>
      </c>
      <c r="K234" s="39">
        <f t="shared" ref="K234:N234" si="330">J234*(1+K235)</f>
        <v>6092.6244750000005</v>
      </c>
      <c r="L234" s="39">
        <f t="shared" si="330"/>
        <v>6397.2556987500011</v>
      </c>
      <c r="M234" s="39">
        <f t="shared" si="330"/>
        <v>6525.200812725001</v>
      </c>
      <c r="N234" s="39">
        <f t="shared" si="330"/>
        <v>6655.7048289795011</v>
      </c>
      <c r="O234" s="39">
        <f t="shared" ref="O234" si="331">N234*(1+O235)</f>
        <v>6788.8189255590914</v>
      </c>
      <c r="P234" s="39">
        <f t="shared" ref="P234" si="332">O234*(1+P235)</f>
        <v>6924.5953040702734</v>
      </c>
      <c r="Q234" s="39">
        <f t="shared" ref="Q234" si="333">P234*(1+Q235)</f>
        <v>7063.0872101516788</v>
      </c>
      <c r="R234" s="39">
        <f t="shared" ref="R234" si="334">Q234*(1+R235)</f>
        <v>7204.348954354713</v>
      </c>
      <c r="S234" s="39">
        <f t="shared" ref="S234" si="335">R234*(1+S235)</f>
        <v>7348.4359334418077</v>
      </c>
    </row>
    <row r="235" spans="1:19" outlineLevel="1">
      <c r="B235" s="250" t="s">
        <v>389</v>
      </c>
      <c r="C235" s="27"/>
      <c r="D235" s="27"/>
      <c r="E235" s="27"/>
      <c r="F235" s="43">
        <f>F234/E234-1</f>
        <v>-0.14325869602698726</v>
      </c>
      <c r="G235" s="43">
        <f t="shared" ref="G235:I235" si="336">G234/F234-1</f>
        <v>-0.52867219579623526</v>
      </c>
      <c r="H235" s="43">
        <f t="shared" si="336"/>
        <v>7.2507709227352057E-2</v>
      </c>
      <c r="I235" s="43">
        <f t="shared" si="336"/>
        <v>221.2236073299903</v>
      </c>
      <c r="J235" s="87">
        <f>'ControlSheet '!J147</f>
        <v>0.05</v>
      </c>
      <c r="K235" s="87">
        <f>'ControlSheet '!K147</f>
        <v>0.05</v>
      </c>
      <c r="L235" s="87">
        <f>'ControlSheet '!L147</f>
        <v>0.05</v>
      </c>
      <c r="M235" s="87">
        <f>'ControlSheet '!M147</f>
        <v>0.02</v>
      </c>
      <c r="N235" s="87">
        <f>'ControlSheet '!N147</f>
        <v>0.02</v>
      </c>
      <c r="O235" s="87">
        <f>'ControlSheet '!O147</f>
        <v>0.02</v>
      </c>
      <c r="P235" s="87">
        <f>'ControlSheet '!P147</f>
        <v>0.02</v>
      </c>
      <c r="Q235" s="87">
        <f>'ControlSheet '!Q147</f>
        <v>0.02</v>
      </c>
      <c r="R235" s="87">
        <f>'ControlSheet '!R147</f>
        <v>0.02</v>
      </c>
      <c r="S235" s="87">
        <f>'ControlSheet '!S147</f>
        <v>0.02</v>
      </c>
    </row>
    <row r="236" spans="1:19" outlineLevel="1">
      <c r="B236" s="250"/>
      <c r="C236" s="27"/>
      <c r="D236" s="27"/>
      <c r="E236" s="27"/>
      <c r="F236" s="27"/>
      <c r="G236" s="27"/>
      <c r="H236" s="27"/>
      <c r="I236" s="39"/>
      <c r="J236" s="39"/>
      <c r="K236" s="39"/>
      <c r="L236" s="39"/>
      <c r="M236" s="39"/>
      <c r="N236" s="39"/>
      <c r="O236" s="39"/>
      <c r="P236" s="39"/>
      <c r="Q236" s="39"/>
      <c r="R236" s="39"/>
      <c r="S236" s="39"/>
    </row>
    <row r="237" spans="1:19" outlineLevel="1">
      <c r="B237" s="18" t="s">
        <v>612</v>
      </c>
      <c r="C237" s="18"/>
      <c r="D237" s="18"/>
      <c r="E237" s="268">
        <f t="shared" ref="E237:N237" si="337">E180</f>
        <v>158.60389999999998</v>
      </c>
      <c r="F237" s="268">
        <f t="shared" si="337"/>
        <v>818.83320000000003</v>
      </c>
      <c r="G237" s="268">
        <f t="shared" si="337"/>
        <v>139.48990000000001</v>
      </c>
      <c r="H237" s="268">
        <f t="shared" si="337"/>
        <v>171.16810000000001</v>
      </c>
      <c r="I237" s="268">
        <f t="shared" si="337"/>
        <v>2956.84</v>
      </c>
      <c r="J237" s="268">
        <f t="shared" si="337"/>
        <v>720.21299999999997</v>
      </c>
      <c r="K237" s="268">
        <f t="shared" si="337"/>
        <v>839.04814499999998</v>
      </c>
      <c r="L237" s="268">
        <f t="shared" si="337"/>
        <v>964.90536674999987</v>
      </c>
      <c r="M237" s="268">
        <f t="shared" si="337"/>
        <v>1533.2346277657498</v>
      </c>
      <c r="N237" s="268">
        <f t="shared" si="337"/>
        <v>1717.2227830976399</v>
      </c>
      <c r="O237" s="268">
        <f t="shared" ref="O237:S237" si="338">O180</f>
        <v>0</v>
      </c>
      <c r="P237" s="268">
        <f t="shared" si="338"/>
        <v>1.0486301550627793E-2</v>
      </c>
      <c r="Q237" s="268">
        <f t="shared" si="338"/>
        <v>9.445374180015155E-3</v>
      </c>
      <c r="R237" s="268">
        <f t="shared" si="338"/>
        <v>0</v>
      </c>
      <c r="S237" s="268">
        <f t="shared" si="338"/>
        <v>0</v>
      </c>
    </row>
    <row r="238" spans="1:19" outlineLevel="1">
      <c r="B238" s="18" t="s">
        <v>613</v>
      </c>
      <c r="C238" s="18"/>
      <c r="D238" s="18"/>
      <c r="E238" s="268">
        <f>E237+E234</f>
        <v>216.02379999999999</v>
      </c>
      <c r="F238" s="268">
        <f t="shared" ref="F238:N238" si="339">F237+F234</f>
        <v>868.02719999999999</v>
      </c>
      <c r="G238" s="268">
        <f t="shared" si="339"/>
        <v>162.6764</v>
      </c>
      <c r="H238" s="268">
        <f t="shared" si="339"/>
        <v>196.03579999999999</v>
      </c>
      <c r="I238" s="268">
        <f t="shared" si="339"/>
        <v>8483.0299999999988</v>
      </c>
      <c r="J238" s="268">
        <f t="shared" si="339"/>
        <v>6522.7124999999996</v>
      </c>
      <c r="K238" s="268">
        <f t="shared" si="339"/>
        <v>6931.6726200000003</v>
      </c>
      <c r="L238" s="268">
        <f t="shared" si="339"/>
        <v>7362.1610655000013</v>
      </c>
      <c r="M238" s="268">
        <f t="shared" si="339"/>
        <v>8058.4354404907508</v>
      </c>
      <c r="N238" s="268">
        <f t="shared" si="339"/>
        <v>8372.927612077141</v>
      </c>
      <c r="O238" s="268">
        <f t="shared" ref="O238:S238" si="340">O237+O234</f>
        <v>6788.8189255590914</v>
      </c>
      <c r="P238" s="268">
        <f t="shared" si="340"/>
        <v>6924.6057903718238</v>
      </c>
      <c r="Q238" s="268">
        <f t="shared" si="340"/>
        <v>7063.0966555258592</v>
      </c>
      <c r="R238" s="268">
        <f t="shared" si="340"/>
        <v>7204.348954354713</v>
      </c>
      <c r="S238" s="268">
        <f t="shared" si="340"/>
        <v>7348.4359334418077</v>
      </c>
    </row>
    <row r="239" spans="1:19" outlineLevel="1">
      <c r="B239" s="269" t="s">
        <v>594</v>
      </c>
      <c r="C239" s="18"/>
      <c r="D239" s="18"/>
      <c r="E239" s="107">
        <f>E234/E238</f>
        <v>0.26580358275338178</v>
      </c>
      <c r="F239" s="107">
        <f t="shared" ref="F239:N239" si="341">F234/F238</f>
        <v>5.6673339268631211E-2</v>
      </c>
      <c r="G239" s="107">
        <f t="shared" si="341"/>
        <v>0.14253143049637193</v>
      </c>
      <c r="H239" s="107">
        <f t="shared" si="341"/>
        <v>0.12685285034672239</v>
      </c>
      <c r="I239" s="107">
        <f t="shared" si="341"/>
        <v>0.65144058196186982</v>
      </c>
      <c r="J239" s="107">
        <f t="shared" si="341"/>
        <v>0.8895838196149225</v>
      </c>
      <c r="K239" s="107">
        <f t="shared" si="341"/>
        <v>0.87895444707254511</v>
      </c>
      <c r="L239" s="107">
        <f t="shared" si="341"/>
        <v>0.86893721039713923</v>
      </c>
      <c r="M239" s="107">
        <f t="shared" si="341"/>
        <v>0.80973544565961342</v>
      </c>
      <c r="N239" s="107">
        <f t="shared" si="341"/>
        <v>0.79490772371891627</v>
      </c>
      <c r="O239" s="107">
        <f t="shared" ref="O239:S239" si="342">O234/O238</f>
        <v>1</v>
      </c>
      <c r="P239" s="107">
        <f t="shared" si="342"/>
        <v>0.99999848564642269</v>
      </c>
      <c r="Q239" s="107">
        <f t="shared" si="342"/>
        <v>0.99999866271486271</v>
      </c>
      <c r="R239" s="107">
        <f t="shared" si="342"/>
        <v>1</v>
      </c>
      <c r="S239" s="107">
        <f t="shared" si="342"/>
        <v>1</v>
      </c>
    </row>
    <row r="240" spans="1:19" outlineLevel="1">
      <c r="B240" s="269" t="s">
        <v>595</v>
      </c>
      <c r="C240" s="18"/>
      <c r="D240" s="18"/>
      <c r="E240" s="107">
        <f t="shared" ref="E240:M240" si="343">E237/E238</f>
        <v>0.7341964172466181</v>
      </c>
      <c r="F240" s="107">
        <f t="shared" si="343"/>
        <v>0.94332666073136884</v>
      </c>
      <c r="G240" s="107">
        <f t="shared" si="343"/>
        <v>0.85746856950362804</v>
      </c>
      <c r="H240" s="107">
        <f t="shared" si="343"/>
        <v>0.87314714965327767</v>
      </c>
      <c r="I240" s="107">
        <f t="shared" si="343"/>
        <v>0.34855941803813029</v>
      </c>
      <c r="J240" s="107">
        <f t="shared" si="343"/>
        <v>0.11041618038507753</v>
      </c>
      <c r="K240" s="107">
        <f t="shared" si="343"/>
        <v>0.12104555292745489</v>
      </c>
      <c r="L240" s="107">
        <f t="shared" si="343"/>
        <v>0.13106278960286077</v>
      </c>
      <c r="M240" s="107">
        <f t="shared" si="343"/>
        <v>0.19026455434038661</v>
      </c>
      <c r="N240" s="107">
        <f>N237/N238</f>
        <v>0.20509227628108376</v>
      </c>
      <c r="O240" s="107">
        <f t="shared" ref="O240:S240" si="344">O237/O238</f>
        <v>0</v>
      </c>
      <c r="P240" s="107">
        <f t="shared" si="344"/>
        <v>1.5143535773846153E-6</v>
      </c>
      <c r="Q240" s="107">
        <f t="shared" si="344"/>
        <v>1.3372851371962333E-6</v>
      </c>
      <c r="R240" s="107">
        <f t="shared" si="344"/>
        <v>0</v>
      </c>
      <c r="S240" s="107">
        <f t="shared" si="344"/>
        <v>0</v>
      </c>
    </row>
    <row r="241" spans="1:19">
      <c r="B241" s="27"/>
      <c r="C241" s="27"/>
      <c r="D241" s="27"/>
      <c r="E241" s="27"/>
      <c r="F241" s="27"/>
      <c r="G241" s="27"/>
      <c r="H241" s="27"/>
      <c r="I241" s="27"/>
      <c r="J241" s="27"/>
      <c r="K241" s="27"/>
      <c r="L241" s="27"/>
      <c r="M241" s="27"/>
      <c r="N241" s="27"/>
      <c r="O241" s="27"/>
      <c r="P241" s="27"/>
      <c r="Q241" s="27"/>
      <c r="R241" s="27"/>
      <c r="S241" s="27"/>
    </row>
    <row r="242" spans="1:19" ht="15.6">
      <c r="A242" t="s">
        <v>23</v>
      </c>
      <c r="B242" s="491" t="s">
        <v>59</v>
      </c>
      <c r="C242" s="492"/>
      <c r="D242" s="492"/>
      <c r="E242" s="492"/>
      <c r="F242" s="492"/>
      <c r="G242" s="492"/>
      <c r="H242" s="492"/>
      <c r="I242" s="492"/>
      <c r="J242" s="492"/>
      <c r="K242" s="492"/>
      <c r="L242" s="492"/>
      <c r="M242" s="492"/>
      <c r="N242" s="492"/>
      <c r="O242" s="492"/>
      <c r="P242" s="492"/>
      <c r="Q242" s="492"/>
      <c r="R242" s="492"/>
      <c r="S242" s="492"/>
    </row>
    <row r="243" spans="1:19" outlineLevel="1">
      <c r="B243" s="27"/>
      <c r="C243" s="27"/>
      <c r="D243" s="27"/>
      <c r="E243" s="27"/>
      <c r="F243" s="27"/>
      <c r="G243" s="27"/>
      <c r="H243" s="27"/>
      <c r="I243" s="27"/>
      <c r="J243" s="27"/>
      <c r="K243" s="27"/>
      <c r="L243" s="27"/>
      <c r="M243" s="27"/>
      <c r="N243" s="27"/>
      <c r="O243" s="27"/>
      <c r="P243" s="27"/>
      <c r="Q243" s="27"/>
      <c r="R243" s="27"/>
      <c r="S243" s="27"/>
    </row>
    <row r="244" spans="1:19" outlineLevel="1">
      <c r="B244" s="27" t="s">
        <v>616</v>
      </c>
      <c r="C244" s="27"/>
      <c r="D244" s="27"/>
      <c r="E244" s="27"/>
      <c r="F244" s="27"/>
      <c r="G244" s="27"/>
      <c r="H244" s="27"/>
      <c r="I244" s="63"/>
      <c r="J244" s="301">
        <f>'ControlSheet '!J171</f>
        <v>7.48340719663107E-2</v>
      </c>
      <c r="K244" s="301">
        <f>'ControlSheet '!K171</f>
        <v>7.48340719663107E-2</v>
      </c>
      <c r="L244" s="301">
        <f>'ControlSheet '!L171</f>
        <v>7.48340719663107E-2</v>
      </c>
      <c r="M244" s="301">
        <f>'ControlSheet '!M171</f>
        <v>7.48340719663107E-2</v>
      </c>
      <c r="N244" s="301">
        <f>'ControlSheet '!N171</f>
        <v>7.48340719663107E-2</v>
      </c>
      <c r="O244" s="301">
        <f>'ControlSheet '!O171</f>
        <v>7.48340719663107E-2</v>
      </c>
      <c r="P244" s="301">
        <f>'ControlSheet '!P171</f>
        <v>7.48340719663107E-2</v>
      </c>
      <c r="Q244" s="301">
        <f>'ControlSheet '!Q171</f>
        <v>7.48340719663107E-2</v>
      </c>
      <c r="R244" s="301">
        <f>'ControlSheet '!R171</f>
        <v>7.48340719663107E-2</v>
      </c>
      <c r="S244" s="301">
        <f>'ControlSheet '!S171</f>
        <v>7.48340719663107E-2</v>
      </c>
    </row>
    <row r="245" spans="1:19" outlineLevel="1">
      <c r="B245" s="27" t="s">
        <v>619</v>
      </c>
      <c r="C245" s="27"/>
      <c r="D245" s="27"/>
      <c r="E245" s="27"/>
      <c r="F245" s="27"/>
      <c r="G245" s="27"/>
      <c r="H245" s="27"/>
      <c r="I245" s="63"/>
      <c r="J245" s="39">
        <f>AVERAGE(I238:J238)</f>
        <v>7502.8712499999992</v>
      </c>
      <c r="K245" s="39">
        <f t="shared" ref="K245:N245" si="345">AVERAGE(J238:K238)</f>
        <v>6727.1925599999995</v>
      </c>
      <c r="L245" s="39">
        <f t="shared" si="345"/>
        <v>7146.9168427500008</v>
      </c>
      <c r="M245" s="39">
        <f t="shared" si="345"/>
        <v>7710.2982529953761</v>
      </c>
      <c r="N245" s="39">
        <f t="shared" si="345"/>
        <v>8215.6815262839464</v>
      </c>
      <c r="O245" s="39">
        <f t="shared" ref="O245" si="346">AVERAGE(N238:O238)</f>
        <v>7580.8732688181162</v>
      </c>
      <c r="P245" s="39">
        <f t="shared" ref="P245" si="347">AVERAGE(O238:P238)</f>
        <v>6856.7123579654581</v>
      </c>
      <c r="Q245" s="39">
        <f t="shared" ref="Q245" si="348">AVERAGE(P238:Q238)</f>
        <v>6993.8512229488415</v>
      </c>
      <c r="R245" s="39">
        <f t="shared" ref="R245" si="349">AVERAGE(Q238:R238)</f>
        <v>7133.7228049402856</v>
      </c>
      <c r="S245" s="39">
        <f t="shared" ref="S245" si="350">AVERAGE(R238:S238)</f>
        <v>7276.3924438982604</v>
      </c>
    </row>
    <row r="246" spans="1:19" outlineLevel="1">
      <c r="B246" s="34" t="s">
        <v>620</v>
      </c>
      <c r="C246" s="35"/>
      <c r="D246" s="35"/>
      <c r="E246" s="35"/>
      <c r="F246" s="35"/>
      <c r="G246" s="35"/>
      <c r="H246" s="35"/>
      <c r="I246" s="35"/>
      <c r="J246" s="248">
        <f>J245*J244</f>
        <v>561.47040707646352</v>
      </c>
      <c r="K246" s="248">
        <f t="shared" ref="K246:N246" si="351">K245*K244</f>
        <v>503.42321216626988</v>
      </c>
      <c r="L246" s="248">
        <f t="shared" si="351"/>
        <v>534.83288934759162</v>
      </c>
      <c r="M246" s="248">
        <f t="shared" si="351"/>
        <v>576.99301434637562</v>
      </c>
      <c r="N246" s="248">
        <f t="shared" si="351"/>
        <v>614.81290259022217</v>
      </c>
      <c r="O246" s="248">
        <f t="shared" ref="O246:S246" si="352">O245*O244</f>
        <v>567.30761576621592</v>
      </c>
      <c r="P246" s="248">
        <f t="shared" si="352"/>
        <v>513.11570604827898</v>
      </c>
      <c r="Q246" s="248">
        <f t="shared" si="352"/>
        <v>523.37836573982372</v>
      </c>
      <c r="R246" s="248">
        <f t="shared" si="352"/>
        <v>533.8455257726132</v>
      </c>
      <c r="S246" s="248">
        <f t="shared" si="352"/>
        <v>544.52207580180186</v>
      </c>
    </row>
    <row r="247" spans="1:19" outlineLevel="1">
      <c r="B247" s="27"/>
      <c r="C247" s="27"/>
      <c r="D247" s="27"/>
      <c r="E247" s="27"/>
      <c r="F247" s="27"/>
      <c r="G247" s="27"/>
      <c r="H247" s="27"/>
      <c r="I247" s="63"/>
      <c r="J247" s="62"/>
      <c r="K247" s="62"/>
      <c r="L247" s="62"/>
      <c r="M247" s="62"/>
      <c r="N247" s="62"/>
      <c r="O247" s="62"/>
      <c r="P247" s="62"/>
      <c r="Q247" s="62"/>
      <c r="R247" s="62"/>
      <c r="S247" s="62"/>
    </row>
    <row r="248" spans="1:19" ht="15.6" outlineLevel="1">
      <c r="A248" t="s">
        <v>23</v>
      </c>
      <c r="B248" s="491" t="s">
        <v>554</v>
      </c>
      <c r="C248" s="492"/>
      <c r="D248" s="492"/>
      <c r="E248" s="492"/>
      <c r="F248" s="492"/>
      <c r="G248" s="492"/>
      <c r="H248" s="492"/>
      <c r="I248" s="492"/>
      <c r="J248" s="492"/>
      <c r="K248" s="492"/>
      <c r="L248" s="492"/>
      <c r="M248" s="492"/>
      <c r="N248" s="492"/>
      <c r="O248" s="492"/>
      <c r="P248" s="492"/>
      <c r="Q248" s="492"/>
      <c r="R248" s="492"/>
      <c r="S248" s="492"/>
    </row>
    <row r="249" spans="1:19" outlineLevel="1">
      <c r="B249" s="27"/>
      <c r="C249" s="27"/>
      <c r="D249" s="27"/>
      <c r="E249" s="27"/>
      <c r="F249" s="27"/>
      <c r="G249" s="27"/>
      <c r="H249" s="27"/>
      <c r="I249" s="27"/>
      <c r="J249" s="27"/>
      <c r="K249" s="27"/>
      <c r="L249" s="27"/>
      <c r="M249" s="27"/>
      <c r="N249" s="27"/>
      <c r="O249" s="27"/>
      <c r="P249" s="27"/>
      <c r="Q249" s="27"/>
      <c r="R249" s="27"/>
      <c r="S249" s="27"/>
    </row>
    <row r="250" spans="1:19" outlineLevel="1">
      <c r="B250" s="27" t="s">
        <v>41</v>
      </c>
      <c r="C250" s="27"/>
      <c r="D250" s="27"/>
      <c r="E250" s="247">
        <f t="shared" ref="E250:N250" si="353">E13</f>
        <v>6223.8981999999996</v>
      </c>
      <c r="F250" s="247">
        <f t="shared" si="353"/>
        <v>7781.5551000000005</v>
      </c>
      <c r="G250" s="247">
        <f t="shared" si="353"/>
        <v>8749.4330000000009</v>
      </c>
      <c r="H250" s="247">
        <f t="shared" si="353"/>
        <v>10334.774599999999</v>
      </c>
      <c r="I250" s="247">
        <f t="shared" si="353"/>
        <v>12207</v>
      </c>
      <c r="J250" s="247">
        <f t="shared" si="353"/>
        <v>14404.259999999998</v>
      </c>
      <c r="K250" s="247">
        <f t="shared" si="353"/>
        <v>16780.962899999999</v>
      </c>
      <c r="L250" s="247">
        <f t="shared" si="353"/>
        <v>19298.107334999997</v>
      </c>
      <c r="M250" s="247">
        <f t="shared" si="353"/>
        <v>21903.351825224996</v>
      </c>
      <c r="N250" s="247">
        <f t="shared" si="353"/>
        <v>24531.754044251997</v>
      </c>
      <c r="O250" s="247">
        <f t="shared" ref="O250:S250" si="354">O13</f>
        <v>27475.564529562238</v>
      </c>
      <c r="P250" s="247">
        <f t="shared" si="354"/>
        <v>30772.63227310971</v>
      </c>
      <c r="Q250" s="247">
        <f t="shared" si="354"/>
        <v>34465.348145882876</v>
      </c>
      <c r="R250" s="247">
        <f t="shared" si="354"/>
        <v>38601.189923388825</v>
      </c>
      <c r="S250" s="247">
        <f t="shared" si="354"/>
        <v>43233.332714195487</v>
      </c>
    </row>
    <row r="251" spans="1:19" outlineLevel="1">
      <c r="B251" s="27" t="s">
        <v>622</v>
      </c>
      <c r="C251" s="27"/>
      <c r="D251" s="27"/>
      <c r="E251" s="43">
        <f>E252/E250</f>
        <v>2.5945491846251601E-2</v>
      </c>
      <c r="F251" s="43">
        <f t="shared" ref="F251:I251" si="355">F252/F250</f>
        <v>2.5191571283739927E-2</v>
      </c>
      <c r="G251" s="43">
        <f t="shared" si="355"/>
        <v>1.4694300762117956E-2</v>
      </c>
      <c r="H251" s="43">
        <f t="shared" si="355"/>
        <v>2.7176006334961582E-2</v>
      </c>
      <c r="I251" s="43">
        <f t="shared" si="355"/>
        <v>4.3973949373310395E-2</v>
      </c>
      <c r="J251" s="88">
        <f>'ControlSheet '!J187</f>
        <v>0.03</v>
      </c>
      <c r="K251" s="88">
        <f>'ControlSheet '!K187</f>
        <v>0.03</v>
      </c>
      <c r="L251" s="88">
        <f>'ControlSheet '!L187</f>
        <v>0.03</v>
      </c>
      <c r="M251" s="88">
        <f>'ControlSheet '!M187</f>
        <v>0.03</v>
      </c>
      <c r="N251" s="88">
        <f>'ControlSheet '!N187</f>
        <v>0.03</v>
      </c>
      <c r="O251" s="88">
        <f>'ControlSheet '!O187</f>
        <v>0.03</v>
      </c>
      <c r="P251" s="88">
        <f>'ControlSheet '!P187</f>
        <v>0.03</v>
      </c>
      <c r="Q251" s="88">
        <f>'ControlSheet '!Q187</f>
        <v>0.03</v>
      </c>
      <c r="R251" s="88">
        <f>'ControlSheet '!R187</f>
        <v>0.03</v>
      </c>
      <c r="S251" s="88">
        <f>'ControlSheet '!S187</f>
        <v>0.03</v>
      </c>
    </row>
    <row r="252" spans="1:19" outlineLevel="1">
      <c r="B252" s="34" t="s">
        <v>554</v>
      </c>
      <c r="C252" s="35"/>
      <c r="D252" s="35"/>
      <c r="E252" s="271">
        <f>'Income Stmt'!E42</f>
        <v>161.4821</v>
      </c>
      <c r="F252" s="271">
        <f>'Income Stmt'!F42</f>
        <v>196.02959999999999</v>
      </c>
      <c r="G252" s="271">
        <f>'Income Stmt'!G42</f>
        <v>128.5668</v>
      </c>
      <c r="H252" s="271">
        <f>'Income Stmt'!H42</f>
        <v>280.85790000000003</v>
      </c>
      <c r="I252" s="271">
        <f>'Income Stmt'!I42</f>
        <v>536.79</v>
      </c>
      <c r="J252" s="248">
        <f>J251*J250</f>
        <v>432.12779999999992</v>
      </c>
      <c r="K252" s="248">
        <f t="shared" ref="K252:N252" si="356">K251*K250</f>
        <v>503.42888699999992</v>
      </c>
      <c r="L252" s="248">
        <f t="shared" si="356"/>
        <v>578.94322004999992</v>
      </c>
      <c r="M252" s="248">
        <f t="shared" si="356"/>
        <v>657.10055475674983</v>
      </c>
      <c r="N252" s="248">
        <f t="shared" si="356"/>
        <v>735.95262132755988</v>
      </c>
      <c r="O252" s="248">
        <f t="shared" ref="O252:S252" si="357">O251*O250</f>
        <v>824.26693588686715</v>
      </c>
      <c r="P252" s="248">
        <f t="shared" si="357"/>
        <v>923.17896819329121</v>
      </c>
      <c r="Q252" s="248">
        <f t="shared" si="357"/>
        <v>1033.9604443764863</v>
      </c>
      <c r="R252" s="248">
        <f t="shared" si="357"/>
        <v>1158.0356977016647</v>
      </c>
      <c r="S252" s="248">
        <f t="shared" si="357"/>
        <v>1296.9999814258645</v>
      </c>
    </row>
    <row r="253" spans="1:19" outlineLevel="1"/>
    <row r="254" spans="1:19" ht="15.6" outlineLevel="1">
      <c r="A254" t="s">
        <v>23</v>
      </c>
      <c r="B254" s="491" t="s">
        <v>191</v>
      </c>
      <c r="C254" s="492"/>
      <c r="D254" s="492"/>
      <c r="E254" s="492"/>
      <c r="F254" s="492"/>
      <c r="G254" s="492"/>
      <c r="H254" s="492"/>
      <c r="I254" s="492"/>
      <c r="J254" s="492"/>
      <c r="K254" s="492"/>
      <c r="L254" s="492"/>
      <c r="M254" s="492"/>
      <c r="N254" s="492"/>
      <c r="O254" s="492"/>
      <c r="P254" s="492"/>
      <c r="Q254" s="492"/>
      <c r="R254" s="492"/>
      <c r="S254" s="492"/>
    </row>
    <row r="255" spans="1:19" outlineLevel="1">
      <c r="B255" s="27"/>
      <c r="C255" s="27"/>
      <c r="D255" s="27"/>
      <c r="E255" s="27"/>
      <c r="F255" s="27"/>
      <c r="G255" s="27"/>
      <c r="H255" s="27"/>
      <c r="I255" s="27"/>
      <c r="J255" s="27"/>
      <c r="K255" s="27"/>
      <c r="L255" s="27"/>
      <c r="M255" s="27"/>
      <c r="N255" s="27"/>
      <c r="O255" s="27"/>
      <c r="P255" s="27"/>
      <c r="Q255" s="27"/>
      <c r="R255" s="27"/>
      <c r="S255" s="27"/>
    </row>
    <row r="256" spans="1:19" outlineLevel="1">
      <c r="B256" s="27" t="s">
        <v>41</v>
      </c>
      <c r="C256" s="27"/>
      <c r="D256" s="27"/>
      <c r="E256" s="298">
        <f>'Assumptions Working'!I894</f>
        <v>6223.8981999999996</v>
      </c>
      <c r="F256" s="298">
        <f>'Assumptions Working'!J894</f>
        <v>7781.5551000000005</v>
      </c>
      <c r="G256" s="298">
        <f>'Assumptions Working'!K894</f>
        <v>8749.4330000000009</v>
      </c>
      <c r="H256" s="298">
        <f>'Assumptions Working'!L894</f>
        <v>10334.774599999999</v>
      </c>
      <c r="I256" s="298">
        <f>'Assumptions Working'!M894</f>
        <v>12207</v>
      </c>
      <c r="J256" s="298">
        <f>Schedules!J13</f>
        <v>14404.259999999998</v>
      </c>
      <c r="K256" s="298">
        <f>Schedules!K13</f>
        <v>16780.962899999999</v>
      </c>
      <c r="L256" s="298">
        <f>Schedules!L13</f>
        <v>19298.107334999997</v>
      </c>
      <c r="M256" s="298">
        <f>Schedules!M13</f>
        <v>21903.351825224996</v>
      </c>
      <c r="N256" s="298">
        <f>Schedules!N13</f>
        <v>24531.754044251997</v>
      </c>
      <c r="O256" s="298">
        <f>Schedules!O13</f>
        <v>27475.564529562238</v>
      </c>
      <c r="P256" s="298">
        <f>Schedules!P13</f>
        <v>30772.63227310971</v>
      </c>
      <c r="Q256" s="298">
        <f>Schedules!Q13</f>
        <v>34465.348145882876</v>
      </c>
      <c r="R256" s="298">
        <f>Schedules!R13</f>
        <v>38601.189923388825</v>
      </c>
      <c r="S256" s="298">
        <f>Schedules!S13</f>
        <v>43233.332714195487</v>
      </c>
    </row>
    <row r="257" spans="2:19" outlineLevel="1">
      <c r="B257" s="27" t="s">
        <v>191</v>
      </c>
      <c r="C257" s="27"/>
      <c r="D257" s="27"/>
      <c r="E257" s="298">
        <f>'Assumptions Working'!I895</f>
        <v>1306.1741</v>
      </c>
      <c r="F257" s="298">
        <f>'Assumptions Working'!J895</f>
        <v>874.46179999999993</v>
      </c>
      <c r="G257" s="298">
        <f>'Assumptions Working'!K895</f>
        <v>1075.4741000000001</v>
      </c>
      <c r="H257" s="298">
        <f>'Assumptions Working'!L895</f>
        <v>2258.1124</v>
      </c>
      <c r="I257" s="298">
        <f>'Assumptions Working'!M895</f>
        <v>1690.84</v>
      </c>
      <c r="J257" s="247">
        <f>J256*J258</f>
        <v>1995.1911999999998</v>
      </c>
      <c r="K257" s="247">
        <f t="shared" ref="K257:N257" si="358">K256*K258</f>
        <v>2324.3977479999999</v>
      </c>
      <c r="L257" s="247">
        <f t="shared" si="358"/>
        <v>2673.0574101999996</v>
      </c>
      <c r="M257" s="247">
        <f t="shared" si="358"/>
        <v>3033.9201605769995</v>
      </c>
      <c r="N257" s="247">
        <f t="shared" si="358"/>
        <v>3397.9905798462396</v>
      </c>
      <c r="O257" s="247">
        <f t="shared" ref="O257:S257" si="359">O256*O258</f>
        <v>3805.7494494277885</v>
      </c>
      <c r="P257" s="247">
        <f t="shared" si="359"/>
        <v>4262.439383359123</v>
      </c>
      <c r="Q257" s="247">
        <f t="shared" si="359"/>
        <v>4773.9321093622184</v>
      </c>
      <c r="R257" s="247">
        <f t="shared" si="359"/>
        <v>5346.8039624856847</v>
      </c>
      <c r="S257" s="247">
        <f t="shared" si="359"/>
        <v>5988.4204379839675</v>
      </c>
    </row>
    <row r="258" spans="2:19" s="20" customFormat="1" outlineLevel="1">
      <c r="B258" s="26" t="s">
        <v>637</v>
      </c>
      <c r="C258" s="26"/>
      <c r="D258" s="26"/>
      <c r="E258" s="275">
        <f>E257/E256</f>
        <v>0.20986430979864035</v>
      </c>
      <c r="F258" s="275">
        <f t="shared" ref="F258:I258" si="360">F257/F256</f>
        <v>0.11237622670049588</v>
      </c>
      <c r="G258" s="275">
        <f t="shared" si="360"/>
        <v>0.12291929088433502</v>
      </c>
      <c r="H258" s="275">
        <f t="shared" si="360"/>
        <v>0.21849653111931441</v>
      </c>
      <c r="I258" s="275">
        <f t="shared" si="360"/>
        <v>0.13851396739575653</v>
      </c>
      <c r="J258" s="276">
        <f>'Assumptions Working'!O896</f>
        <v>0.13851396739575653</v>
      </c>
      <c r="K258" s="276">
        <f>J258</f>
        <v>0.13851396739575653</v>
      </c>
      <c r="L258" s="276">
        <f t="shared" ref="L258:N258" si="361">K258</f>
        <v>0.13851396739575653</v>
      </c>
      <c r="M258" s="276">
        <f t="shared" si="361"/>
        <v>0.13851396739575653</v>
      </c>
      <c r="N258" s="276">
        <f t="shared" si="361"/>
        <v>0.13851396739575653</v>
      </c>
      <c r="O258" s="276">
        <f t="shared" ref="O258" si="362">N258</f>
        <v>0.13851396739575653</v>
      </c>
      <c r="P258" s="276">
        <f t="shared" ref="P258" si="363">O258</f>
        <v>0.13851396739575653</v>
      </c>
      <c r="Q258" s="276">
        <f t="shared" ref="Q258" si="364">P258</f>
        <v>0.13851396739575653</v>
      </c>
      <c r="R258" s="276">
        <f t="shared" ref="R258" si="365">Q258</f>
        <v>0.13851396739575653</v>
      </c>
      <c r="S258" s="276">
        <f t="shared" ref="S258" si="366">R258</f>
        <v>0.13851396739575653</v>
      </c>
    </row>
    <row r="259" spans="2:19" outlineLevel="1"/>
    <row r="260" spans="2:19" outlineLevel="1"/>
    <row r="261" spans="2:19" outlineLevel="1"/>
    <row r="262" spans="2:19" outlineLevel="1"/>
  </sheetData>
  <sheetProtection sheet="1" objects="1" scenarios="1" selectLockedCells="1"/>
  <mergeCells count="4">
    <mergeCell ref="J8:N8"/>
    <mergeCell ref="O8:S8"/>
    <mergeCell ref="E8:I8"/>
    <mergeCell ref="I4:J4"/>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anchor moveWithCells="1">
                  <from>
                    <xdr:col>10</xdr:col>
                    <xdr:colOff>114300</xdr:colOff>
                    <xdr:row>3</xdr:row>
                    <xdr:rowOff>60960</xdr:rowOff>
                  </from>
                  <to>
                    <xdr:col>11</xdr:col>
                    <xdr:colOff>609600</xdr:colOff>
                    <xdr:row>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Z282"/>
  <sheetViews>
    <sheetView showGridLines="0" zoomScale="80" zoomScaleNormal="80" workbookViewId="0">
      <pane ySplit="9" topLeftCell="A39" activePane="bottomLeft" state="frozen"/>
      <selection pane="bottomLeft" activeCell="K4" sqref="K4"/>
    </sheetView>
  </sheetViews>
  <sheetFormatPr defaultRowHeight="14.4" customHeight="1" outlineLevelRow="1"/>
  <cols>
    <col min="1" max="1" width="1.88671875" customWidth="1"/>
    <col min="2" max="2" width="32.21875" bestFit="1" customWidth="1"/>
    <col min="3" max="3" width="20.109375" bestFit="1" customWidth="1"/>
    <col min="4" max="18" width="11.88671875" customWidth="1"/>
    <col min="19" max="19" width="2.77734375" customWidth="1"/>
    <col min="20" max="21" width="11.88671875" customWidth="1"/>
    <col min="22" max="22" width="9.44140625" bestFit="1" customWidth="1"/>
  </cols>
  <sheetData>
    <row r="2" spans="1:21" ht="25.8">
      <c r="B2" s="522" t="str">
        <f>'Input Sheet'!C5</f>
        <v>Mankind Pharma Ltd</v>
      </c>
    </row>
    <row r="3" spans="1:21" ht="18">
      <c r="B3" s="14" t="s">
        <v>60</v>
      </c>
    </row>
    <row r="4" spans="1:21" ht="18">
      <c r="B4" s="14"/>
      <c r="H4" s="546" t="s">
        <v>27</v>
      </c>
      <c r="I4" s="546"/>
      <c r="J4" s="544">
        <v>1</v>
      </c>
      <c r="K4" s="544"/>
    </row>
    <row r="5" spans="1:21" ht="18">
      <c r="B5" s="14"/>
      <c r="H5" s="544"/>
      <c r="I5" s="544"/>
      <c r="J5" s="544"/>
      <c r="K5" s="544"/>
    </row>
    <row r="6" spans="1:21" ht="18">
      <c r="B6" s="14"/>
    </row>
    <row r="7" spans="1:21">
      <c r="T7" s="540" t="s">
        <v>274</v>
      </c>
      <c r="U7" s="540"/>
    </row>
    <row r="8" spans="1:21">
      <c r="D8" s="537" t="s">
        <v>21</v>
      </c>
      <c r="E8" s="537"/>
      <c r="F8" s="537"/>
      <c r="G8" s="537"/>
      <c r="H8" s="537"/>
      <c r="I8" s="108" t="s">
        <v>61</v>
      </c>
      <c r="J8" s="108"/>
      <c r="K8" s="108"/>
      <c r="L8" s="108"/>
      <c r="M8" s="108"/>
      <c r="N8" s="535" t="s">
        <v>995</v>
      </c>
      <c r="O8" s="535"/>
      <c r="P8" s="535"/>
      <c r="Q8" s="535"/>
      <c r="R8" s="535"/>
      <c r="T8" s="184" t="s">
        <v>66</v>
      </c>
      <c r="U8" s="184" t="s">
        <v>67</v>
      </c>
    </row>
    <row r="9" spans="1:21">
      <c r="A9" t="s">
        <v>31</v>
      </c>
      <c r="B9" s="16" t="s">
        <v>20</v>
      </c>
      <c r="C9" s="15"/>
      <c r="D9" s="64">
        <f>'ControlSheet '!E9</f>
        <v>2021</v>
      </c>
      <c r="E9" s="64">
        <f>'ControlSheet '!F9</f>
        <v>2022</v>
      </c>
      <c r="F9" s="64">
        <f>'ControlSheet '!G9</f>
        <v>2023</v>
      </c>
      <c r="G9" s="64">
        <f>'ControlSheet '!H9</f>
        <v>2024</v>
      </c>
      <c r="H9" s="64">
        <f>'ControlSheet '!I9</f>
        <v>2025</v>
      </c>
      <c r="I9" s="64">
        <f>'ControlSheet '!J9</f>
        <v>2026</v>
      </c>
      <c r="J9" s="64">
        <f>'ControlSheet '!K9</f>
        <v>2027</v>
      </c>
      <c r="K9" s="64">
        <f>'ControlSheet '!L9</f>
        <v>2028</v>
      </c>
      <c r="L9" s="64">
        <f>'ControlSheet '!M9</f>
        <v>2029</v>
      </c>
      <c r="M9" s="64">
        <f>'ControlSheet '!N9</f>
        <v>2030</v>
      </c>
      <c r="N9" s="64">
        <f>'ControlSheet '!O9</f>
        <v>2031</v>
      </c>
      <c r="O9" s="64">
        <f>'ControlSheet '!P9</f>
        <v>2032</v>
      </c>
      <c r="P9" s="64">
        <f>'ControlSheet '!Q9</f>
        <v>2033</v>
      </c>
      <c r="Q9" s="64">
        <f>'ControlSheet '!R9</f>
        <v>2034</v>
      </c>
      <c r="R9" s="64">
        <f>'ControlSheet '!S9</f>
        <v>2035</v>
      </c>
    </row>
    <row r="10" spans="1:21">
      <c r="B10" s="77"/>
      <c r="D10" s="78"/>
      <c r="E10" s="78"/>
      <c r="F10" s="78"/>
      <c r="G10" s="79"/>
      <c r="H10" s="79"/>
      <c r="I10" s="79"/>
      <c r="J10" s="79"/>
      <c r="K10" s="79"/>
      <c r="L10" s="79"/>
      <c r="M10" s="79"/>
      <c r="N10" s="79"/>
      <c r="O10" s="79"/>
      <c r="P10" s="79"/>
      <c r="Q10" s="79"/>
      <c r="R10" s="79"/>
    </row>
    <row r="11" spans="1:21" ht="15.6">
      <c r="A11" t="s">
        <v>23</v>
      </c>
      <c r="B11" s="491" t="s">
        <v>74</v>
      </c>
      <c r="C11" s="492"/>
      <c r="D11" s="492"/>
      <c r="E11" s="492"/>
      <c r="F11" s="492"/>
      <c r="G11" s="492"/>
      <c r="H11" s="492"/>
      <c r="I11" s="492"/>
      <c r="J11" s="492"/>
      <c r="K11" s="492"/>
      <c r="L11" s="492"/>
      <c r="M11" s="492"/>
      <c r="N11" s="492"/>
      <c r="O11" s="492"/>
      <c r="P11" s="492"/>
      <c r="Q11" s="492"/>
      <c r="R11" s="492"/>
    </row>
    <row r="13" spans="1:21" ht="14.4" customHeight="1">
      <c r="B13" s="2" t="s">
        <v>41</v>
      </c>
      <c r="D13" s="154">
        <f>Schedules!E13</f>
        <v>6223.8981999999996</v>
      </c>
      <c r="E13" s="154">
        <f>Schedules!F13</f>
        <v>7781.5551000000005</v>
      </c>
      <c r="F13" s="154">
        <f>Schedules!G13</f>
        <v>8749.4330000000009</v>
      </c>
      <c r="G13" s="154">
        <f>Schedules!H13</f>
        <v>10334.774599999999</v>
      </c>
      <c r="H13" s="154">
        <f>Schedules!I13</f>
        <v>12207</v>
      </c>
      <c r="I13" s="154">
        <f>Schedules!J13</f>
        <v>14404.259999999998</v>
      </c>
      <c r="J13" s="154">
        <f>Schedules!K13</f>
        <v>16780.962899999999</v>
      </c>
      <c r="K13" s="154">
        <f>Schedules!L13</f>
        <v>19298.107334999997</v>
      </c>
      <c r="L13" s="154">
        <f>Schedules!M13</f>
        <v>21903.351825224996</v>
      </c>
      <c r="M13" s="154">
        <f>Schedules!N13</f>
        <v>24531.754044251997</v>
      </c>
      <c r="N13" s="154">
        <f>Schedules!O13</f>
        <v>27475.564529562238</v>
      </c>
      <c r="O13" s="154">
        <f>Schedules!P13</f>
        <v>30772.63227310971</v>
      </c>
      <c r="P13" s="154">
        <f>Schedules!Q13</f>
        <v>34465.348145882876</v>
      </c>
      <c r="Q13" s="154">
        <f>Schedules!R13</f>
        <v>38601.189923388825</v>
      </c>
      <c r="R13" s="154">
        <f>Schedules!S13</f>
        <v>43233.332714195487</v>
      </c>
      <c r="T13" s="76">
        <f>_xlfn.RRI($M$9-$H$9,H13,M13)</f>
        <v>0.14980430786611132</v>
      </c>
      <c r="U13" s="76">
        <f>_xlfn.RRI($M$9-$J$9,J13,M13)</f>
        <v>0.13493391685735934</v>
      </c>
    </row>
    <row r="14" spans="1:21" ht="14.4" customHeight="1">
      <c r="B14" s="11" t="s">
        <v>1</v>
      </c>
      <c r="D14" s="66">
        <f>Schedules!E20*-1</f>
        <v>-1780.6092000000001</v>
      </c>
      <c r="E14" s="66">
        <f>Schedules!F20*-1</f>
        <v>-2421.7284</v>
      </c>
      <c r="F14" s="66">
        <f>Schedules!G20*-1</f>
        <v>-2913.6419999999998</v>
      </c>
      <c r="G14" s="66">
        <f>Schedules!H20*-1</f>
        <v>-3209.6958999999997</v>
      </c>
      <c r="H14" s="66">
        <f>Schedules!I20*-1</f>
        <v>-3855.04</v>
      </c>
      <c r="I14" s="66">
        <f>Schedules!J20*-1</f>
        <v>-4897.4483999999993</v>
      </c>
      <c r="J14" s="66">
        <f>Schedules!K20*-1</f>
        <v>-5604.8416085999988</v>
      </c>
      <c r="K14" s="66">
        <f>Schedules!L20*-1</f>
        <v>-6329.7792058799978</v>
      </c>
      <c r="L14" s="66">
        <f>Schedules!M20*-1</f>
        <v>-7052.8792877224478</v>
      </c>
      <c r="M14" s="66">
        <f>Schedules!N20*-1</f>
        <v>-7752.0342779836301</v>
      </c>
      <c r="N14" s="66">
        <f>Schedules!O20*-1</f>
        <v>-8682.2783913416661</v>
      </c>
      <c r="O14" s="66">
        <f>Schedules!P20*-1</f>
        <v>-9724.1517983026661</v>
      </c>
      <c r="P14" s="66">
        <f>Schedules!Q20*-1</f>
        <v>-10891.050014098986</v>
      </c>
      <c r="Q14" s="66">
        <f>Schedules!R20*-1</f>
        <v>-12197.976015790866</v>
      </c>
      <c r="R14" s="66">
        <f>Schedules!S20*-1</f>
        <v>-13661.733137685771</v>
      </c>
      <c r="T14" s="76">
        <f>_xlfn.RRI($M$9-$H$9,H14,M14)</f>
        <v>0.14994576760794542</v>
      </c>
      <c r="U14" s="76">
        <f t="shared" ref="U14:U15" si="0">_xlfn.RRI($M$9-$J$9,J14,M14)</f>
        <v>0.11416825444747114</v>
      </c>
    </row>
    <row r="15" spans="1:21" ht="14.4" customHeight="1">
      <c r="B15" s="68" t="s">
        <v>2</v>
      </c>
      <c r="C15" s="19"/>
      <c r="D15" s="230">
        <f>D13+D14</f>
        <v>4443.2889999999998</v>
      </c>
      <c r="E15" s="230">
        <f t="shared" ref="E15:H15" si="1">E13+E14</f>
        <v>5359.8267000000005</v>
      </c>
      <c r="F15" s="230">
        <f t="shared" si="1"/>
        <v>5835.7910000000011</v>
      </c>
      <c r="G15" s="230">
        <f t="shared" si="1"/>
        <v>7125.0786999999991</v>
      </c>
      <c r="H15" s="230">
        <f t="shared" si="1"/>
        <v>8351.9599999999991</v>
      </c>
      <c r="I15" s="230">
        <f t="shared" ref="I15:M15" si="2">I13+I14</f>
        <v>9506.8115999999991</v>
      </c>
      <c r="J15" s="230">
        <f t="shared" si="2"/>
        <v>11176.121291399999</v>
      </c>
      <c r="K15" s="230">
        <f t="shared" si="2"/>
        <v>12968.32812912</v>
      </c>
      <c r="L15" s="230">
        <f t="shared" si="2"/>
        <v>14850.472537502548</v>
      </c>
      <c r="M15" s="230">
        <f t="shared" si="2"/>
        <v>16779.719766268368</v>
      </c>
      <c r="N15" s="230">
        <f t="shared" ref="N15:R15" si="3">N13+N14</f>
        <v>18793.286138220574</v>
      </c>
      <c r="O15" s="230">
        <f t="shared" si="3"/>
        <v>21048.480474807046</v>
      </c>
      <c r="P15" s="230">
        <f t="shared" si="3"/>
        <v>23574.298131783889</v>
      </c>
      <c r="Q15" s="230">
        <f t="shared" si="3"/>
        <v>26403.213907597958</v>
      </c>
      <c r="R15" s="230">
        <f t="shared" si="3"/>
        <v>29571.599576509718</v>
      </c>
      <c r="T15" s="76">
        <f>_xlfn.RRI($M$9-$H$9,H15,M15)</f>
        <v>0.14973899036693572</v>
      </c>
      <c r="U15" s="76">
        <f t="shared" si="0"/>
        <v>0.14506779160929328</v>
      </c>
    </row>
    <row r="16" spans="1:21" ht="14.4" customHeight="1">
      <c r="B16" s="5"/>
      <c r="D16" s="71"/>
      <c r="E16" s="71"/>
      <c r="F16" s="71"/>
      <c r="G16" s="71"/>
      <c r="H16" s="71"/>
      <c r="I16" s="71"/>
      <c r="J16" s="71"/>
      <c r="K16" s="71"/>
      <c r="L16" s="71"/>
      <c r="M16" s="71"/>
      <c r="N16" s="71"/>
      <c r="O16" s="71"/>
      <c r="P16" s="71"/>
      <c r="Q16" s="71"/>
      <c r="R16" s="71"/>
      <c r="T16" s="76"/>
      <c r="U16" s="76"/>
    </row>
    <row r="17" spans="1:23" ht="14.4" customHeight="1">
      <c r="B17" s="174" t="s">
        <v>106</v>
      </c>
      <c r="C17" s="18"/>
      <c r="D17" s="175">
        <f>D15/D13</f>
        <v>0.71390772426194249</v>
      </c>
      <c r="E17" s="175">
        <f t="shared" ref="E17:M17" si="4">E15/E13</f>
        <v>0.68878606282695343</v>
      </c>
      <c r="F17" s="175">
        <f t="shared" si="4"/>
        <v>0.66699076385864098</v>
      </c>
      <c r="G17" s="175">
        <f t="shared" si="4"/>
        <v>0.68942758558082151</v>
      </c>
      <c r="H17" s="175">
        <f t="shared" si="4"/>
        <v>0.68419431473744563</v>
      </c>
      <c r="I17" s="175">
        <f t="shared" si="4"/>
        <v>0.66</v>
      </c>
      <c r="J17" s="175">
        <f t="shared" si="4"/>
        <v>0.66600000000000004</v>
      </c>
      <c r="K17" s="175">
        <f t="shared" si="4"/>
        <v>0.67200000000000015</v>
      </c>
      <c r="L17" s="175">
        <f t="shared" si="4"/>
        <v>0.67800000000000005</v>
      </c>
      <c r="M17" s="175">
        <f t="shared" si="4"/>
        <v>0.68400000000000016</v>
      </c>
      <c r="N17" s="175">
        <f t="shared" ref="N17:R17" si="5">N15/N13</f>
        <v>0.68400000000000016</v>
      </c>
      <c r="O17" s="175">
        <f t="shared" si="5"/>
        <v>0.68400000000000016</v>
      </c>
      <c r="P17" s="175">
        <f t="shared" si="5"/>
        <v>0.68400000000000005</v>
      </c>
      <c r="Q17" s="175">
        <f t="shared" si="5"/>
        <v>0.68400000000000005</v>
      </c>
      <c r="R17" s="175">
        <f t="shared" si="5"/>
        <v>0.68400000000000016</v>
      </c>
      <c r="T17" s="76"/>
      <c r="U17" s="76"/>
    </row>
    <row r="18" spans="1:23" ht="14.4" customHeight="1">
      <c r="B18" s="3"/>
      <c r="D18" s="65"/>
      <c r="E18" s="65"/>
      <c r="F18" s="65"/>
      <c r="G18" s="65"/>
      <c r="H18" s="65"/>
      <c r="I18" s="65"/>
      <c r="J18" s="65"/>
      <c r="K18" s="65"/>
      <c r="L18" s="65"/>
      <c r="M18" s="65"/>
      <c r="N18" s="65"/>
      <c r="O18" s="65"/>
      <c r="P18" s="65"/>
      <c r="Q18" s="65"/>
      <c r="R18" s="65"/>
    </row>
    <row r="19" spans="1:23" ht="14.4" customHeight="1">
      <c r="B19" s="70" t="s">
        <v>62</v>
      </c>
      <c r="D19" s="517">
        <f>SUM(D20:D24)</f>
        <v>2785.6961999999999</v>
      </c>
      <c r="E19" s="517">
        <f t="shared" ref="E19:R19" si="6">SUM(E20:E24)</f>
        <v>3370.4605000000001</v>
      </c>
      <c r="F19" s="517">
        <f t="shared" si="6"/>
        <v>3935.1329000000005</v>
      </c>
      <c r="G19" s="517">
        <f t="shared" si="6"/>
        <v>4589.9753999999994</v>
      </c>
      <c r="H19" s="517">
        <f t="shared" si="6"/>
        <v>5700.1</v>
      </c>
      <c r="I19" s="517">
        <f t="shared" si="6"/>
        <v>6409.8957</v>
      </c>
      <c r="J19" s="517">
        <f t="shared" si="6"/>
        <v>7467.5284905000008</v>
      </c>
      <c r="K19" s="517">
        <f t="shared" si="6"/>
        <v>8587.6577640749983</v>
      </c>
      <c r="L19" s="517">
        <f t="shared" si="6"/>
        <v>9746.9915622251228</v>
      </c>
      <c r="M19" s="517">
        <f t="shared" si="6"/>
        <v>10916.63054969214</v>
      </c>
      <c r="N19" s="517">
        <f t="shared" si="6"/>
        <v>12226.626215655197</v>
      </c>
      <c r="O19" s="517">
        <f t="shared" si="6"/>
        <v>13693.821361533821</v>
      </c>
      <c r="P19" s="517">
        <f t="shared" si="6"/>
        <v>15337.07992491788</v>
      </c>
      <c r="Q19" s="517">
        <f t="shared" si="6"/>
        <v>17177.529515908027</v>
      </c>
      <c r="R19" s="517">
        <f t="shared" si="6"/>
        <v>19238.833057816992</v>
      </c>
    </row>
    <row r="20" spans="1:23" ht="14.4" hidden="1" customHeight="1" outlineLevel="1">
      <c r="B20" s="11" t="str">
        <f>Schedules!B26</f>
        <v>Employee Benefit Expense</v>
      </c>
      <c r="D20" s="66">
        <f>Schedules!E28</f>
        <v>1415.76</v>
      </c>
      <c r="E20" s="66">
        <f>Schedules!F28</f>
        <v>1620.5800000000002</v>
      </c>
      <c r="F20" s="66">
        <f>Schedules!G28</f>
        <v>1918.45</v>
      </c>
      <c r="G20" s="66">
        <f>Schedules!H28</f>
        <v>2274.6999999999994</v>
      </c>
      <c r="H20" s="66">
        <f>Schedules!I28</f>
        <v>2692</v>
      </c>
      <c r="I20" s="66">
        <f>Schedules!J28</f>
        <v>3168.9371999999998</v>
      </c>
      <c r="J20" s="66">
        <f>Schedules!K28</f>
        <v>3691.8118379999996</v>
      </c>
      <c r="K20" s="66">
        <f>Schedules!L28</f>
        <v>4245.5836136999997</v>
      </c>
      <c r="L20" s="66">
        <f>Schedules!M28</f>
        <v>4818.7374015494988</v>
      </c>
      <c r="M20" s="66">
        <f>Schedules!N28</f>
        <v>5396.9858897354397</v>
      </c>
      <c r="N20" s="66">
        <f>Schedules!O28</f>
        <v>6044.6241965036925</v>
      </c>
      <c r="O20" s="66">
        <f>Schedules!P28</f>
        <v>6769.979100084136</v>
      </c>
      <c r="P20" s="66">
        <f>Schedules!Q28</f>
        <v>7582.3765920942324</v>
      </c>
      <c r="Q20" s="66">
        <f>Schedules!R28</f>
        <v>8492.2617831455409</v>
      </c>
      <c r="R20" s="66">
        <f>Schedules!S28</f>
        <v>9511.3331971230073</v>
      </c>
      <c r="T20" s="76">
        <f t="shared" ref="T20:T25" si="7">_xlfn.RRI($M$9-$H$9,H20,M20)</f>
        <v>0.149251939674796</v>
      </c>
      <c r="U20" s="76">
        <f t="shared" ref="U20:U25" si="8">_xlfn.RRI($M$9-$J$9,J20,M20)</f>
        <v>0.13493391685735956</v>
      </c>
    </row>
    <row r="21" spans="1:23" s="27" customFormat="1" ht="14.4" hidden="1" customHeight="1" outlineLevel="1">
      <c r="A21"/>
      <c r="B21" s="11" t="str">
        <f>Schedules!B31</f>
        <v xml:space="preserve">Advertising &amp; Sales Promotion Expense </v>
      </c>
      <c r="C21"/>
      <c r="D21" s="66">
        <f>Schedules!E33</f>
        <v>385.74</v>
      </c>
      <c r="E21" s="66">
        <f>Schedules!F33</f>
        <v>451.56</v>
      </c>
      <c r="F21" s="66">
        <f>Schedules!G33</f>
        <v>373.66559999999998</v>
      </c>
      <c r="G21" s="66">
        <f>Schedules!H33</f>
        <v>603.8922</v>
      </c>
      <c r="H21" s="66">
        <f>Schedules!I33</f>
        <v>755</v>
      </c>
      <c r="I21" s="66">
        <f>Schedules!J33</f>
        <v>835.44707999999991</v>
      </c>
      <c r="J21" s="66">
        <f>Schedules!K33</f>
        <v>973.29584820000002</v>
      </c>
      <c r="K21" s="66">
        <f>Schedules!L33</f>
        <v>1119.29022543</v>
      </c>
      <c r="L21" s="66">
        <f>Schedules!M33</f>
        <v>1270.3944058630498</v>
      </c>
      <c r="M21" s="66">
        <f>Schedules!N33</f>
        <v>1422.841734566616</v>
      </c>
      <c r="N21" s="66">
        <f>Schedules!O33</f>
        <v>1593.5827427146098</v>
      </c>
      <c r="O21" s="66">
        <f>Schedules!P33</f>
        <v>1784.8126718403632</v>
      </c>
      <c r="P21" s="66">
        <f>Schedules!Q33</f>
        <v>1998.9901924612068</v>
      </c>
      <c r="Q21" s="66">
        <f>Schedules!R33</f>
        <v>2238.8690155565519</v>
      </c>
      <c r="R21" s="66">
        <f>Schedules!S33</f>
        <v>2507.5332974233384</v>
      </c>
      <c r="S21"/>
      <c r="T21" s="76">
        <f t="shared" si="7"/>
        <v>0.13512040001890524</v>
      </c>
      <c r="U21" s="76">
        <f t="shared" si="8"/>
        <v>0.13493391685735934</v>
      </c>
      <c r="V21"/>
      <c r="W21"/>
    </row>
    <row r="22" spans="1:23" s="27" customFormat="1" ht="14.4" hidden="1" customHeight="1" outlineLevel="1">
      <c r="A22"/>
      <c r="B22" s="12" t="str">
        <f>Schedules!B36</f>
        <v xml:space="preserve">Travelling and conveyance Expense </v>
      </c>
      <c r="C22"/>
      <c r="D22" s="66">
        <f>Schedules!E38</f>
        <v>270.39999999999998</v>
      </c>
      <c r="E22" s="66">
        <f>Schedules!F38</f>
        <v>358.11</v>
      </c>
      <c r="F22" s="66">
        <f>Schedules!G38</f>
        <v>496.04690000000005</v>
      </c>
      <c r="G22" s="66">
        <f>Schedules!H38</f>
        <v>378.40019999999998</v>
      </c>
      <c r="H22" s="66">
        <f>Schedules!I38</f>
        <v>461</v>
      </c>
      <c r="I22" s="66">
        <f>Schedules!J38</f>
        <v>662.59595999999988</v>
      </c>
      <c r="J22" s="66">
        <f>Schedules!K38</f>
        <v>771.9242933999999</v>
      </c>
      <c r="K22" s="66">
        <f>Schedules!L38</f>
        <v>887.71293740999988</v>
      </c>
      <c r="L22" s="66">
        <f>Schedules!M38</f>
        <v>1007.5541839603497</v>
      </c>
      <c r="M22" s="66">
        <f>Schedules!N38</f>
        <v>1128.4606860355918</v>
      </c>
      <c r="N22" s="66">
        <f>Schedules!O38</f>
        <v>1263.875968359863</v>
      </c>
      <c r="O22" s="66">
        <f>Schedules!P38</f>
        <v>1415.5410845630465</v>
      </c>
      <c r="P22" s="66">
        <f>Schedules!Q38</f>
        <v>1585.4060147106122</v>
      </c>
      <c r="Q22" s="66">
        <f>Schedules!R38</f>
        <v>1775.654736475886</v>
      </c>
      <c r="R22" s="66">
        <f>Schedules!S38</f>
        <v>1988.7333048529924</v>
      </c>
      <c r="S22"/>
      <c r="T22" s="76">
        <f t="shared" si="7"/>
        <v>0.19607138841604077</v>
      </c>
      <c r="U22" s="76">
        <f t="shared" si="8"/>
        <v>0.13493391685735956</v>
      </c>
      <c r="V22"/>
      <c r="W22"/>
    </row>
    <row r="23" spans="1:23" s="27" customFormat="1" ht="14.4" hidden="1" customHeight="1" outlineLevel="1">
      <c r="A23"/>
      <c r="B23" s="11" t="str">
        <f>Schedules!B41</f>
        <v xml:space="preserve">Other Operating Expense </v>
      </c>
      <c r="C23"/>
      <c r="D23" s="66">
        <f>Schedules!E43</f>
        <v>369.96</v>
      </c>
      <c r="E23" s="66">
        <f>Schedules!F43</f>
        <v>510.97</v>
      </c>
      <c r="F23" s="66">
        <f>Schedules!G43</f>
        <v>619.18450000000007</v>
      </c>
      <c r="G23" s="66">
        <f>Schedules!H43</f>
        <v>803.90940000000023</v>
      </c>
      <c r="H23" s="66">
        <f>Schedules!I43</f>
        <v>1073</v>
      </c>
      <c r="I23" s="66">
        <f>Schedules!J43</f>
        <v>950.68115999999998</v>
      </c>
      <c r="J23" s="66">
        <f>Schedules!K43</f>
        <v>1107.5435514000001</v>
      </c>
      <c r="K23" s="66">
        <f>Schedules!L43</f>
        <v>1273.6750841099999</v>
      </c>
      <c r="L23" s="66">
        <f>Schedules!M43</f>
        <v>1445.6212204648498</v>
      </c>
      <c r="M23" s="66">
        <f>Schedules!N43</f>
        <v>1619.0957669206318</v>
      </c>
      <c r="N23" s="66">
        <f>Schedules!O43</f>
        <v>1813.3872589511077</v>
      </c>
      <c r="O23" s="66">
        <f>Schedules!P43</f>
        <v>2030.9937300252409</v>
      </c>
      <c r="P23" s="66">
        <f>Schedules!Q43</f>
        <v>2274.71297762827</v>
      </c>
      <c r="Q23" s="66">
        <f>Schedules!R43</f>
        <v>2547.6785349436627</v>
      </c>
      <c r="R23" s="66">
        <f>Schedules!S43</f>
        <v>2853.3999591369025</v>
      </c>
      <c r="S23"/>
      <c r="T23" s="76">
        <f t="shared" si="7"/>
        <v>8.5761812813664795E-2</v>
      </c>
      <c r="U23" s="76">
        <f t="shared" si="8"/>
        <v>0.13493391685735934</v>
      </c>
      <c r="V23"/>
      <c r="W23"/>
    </row>
    <row r="24" spans="1:23" s="27" customFormat="1" ht="14.4" hidden="1" customHeight="1" outlineLevel="1">
      <c r="A24"/>
      <c r="B24" s="11" t="str">
        <f>Schedules!B46</f>
        <v>Other Misc SG&amp;A Expenses</v>
      </c>
      <c r="C24"/>
      <c r="D24" s="66">
        <f>Schedules!E48</f>
        <v>343.83619999999985</v>
      </c>
      <c r="E24" s="66">
        <f>Schedules!F48</f>
        <v>429.24049999999994</v>
      </c>
      <c r="F24" s="66">
        <f>Schedules!G48</f>
        <v>527.78589999999986</v>
      </c>
      <c r="G24" s="66">
        <f>Schedules!H48</f>
        <v>529.07359999999971</v>
      </c>
      <c r="H24" s="66">
        <f>Schedules!I48</f>
        <v>719.09999999999991</v>
      </c>
      <c r="I24" s="66">
        <f>Schedules!J48</f>
        <v>792.23429999999996</v>
      </c>
      <c r="J24" s="66">
        <f>Schedules!K48</f>
        <v>922.95295949999991</v>
      </c>
      <c r="K24" s="66">
        <f>Schedules!L48</f>
        <v>1061.3959034249999</v>
      </c>
      <c r="L24" s="66">
        <f>Schedules!M48</f>
        <v>1204.6843503873747</v>
      </c>
      <c r="M24" s="66">
        <f>Schedules!N48</f>
        <v>1349.2464724338599</v>
      </c>
      <c r="N24" s="66">
        <f>Schedules!O48</f>
        <v>1511.1560491259231</v>
      </c>
      <c r="O24" s="66">
        <f>Schedules!P48</f>
        <v>1692.494775021034</v>
      </c>
      <c r="P24" s="66">
        <f>Schedules!Q48</f>
        <v>1895.5941480235581</v>
      </c>
      <c r="Q24" s="66">
        <f>Schedules!R48</f>
        <v>2123.0654457863852</v>
      </c>
      <c r="R24" s="66">
        <f>Schedules!S48</f>
        <v>2377.8332992807518</v>
      </c>
      <c r="S24"/>
      <c r="T24" s="76">
        <f t="shared" si="7"/>
        <v>0.13412363324051313</v>
      </c>
      <c r="U24" s="76">
        <f t="shared" si="8"/>
        <v>0.13493391685735956</v>
      </c>
      <c r="V24"/>
      <c r="W24"/>
    </row>
    <row r="25" spans="1:23" s="27" customFormat="1" ht="14.4" customHeight="1" collapsed="1">
      <c r="A25"/>
      <c r="B25" s="67" t="s">
        <v>63</v>
      </c>
      <c r="C25" s="19"/>
      <c r="D25" s="229">
        <f t="shared" ref="D25:M25" si="9">D15-SUM(D20:D24)</f>
        <v>1657.5927999999999</v>
      </c>
      <c r="E25" s="229">
        <f t="shared" si="9"/>
        <v>1989.3662000000004</v>
      </c>
      <c r="F25" s="229">
        <f t="shared" si="9"/>
        <v>1900.6581000000006</v>
      </c>
      <c r="G25" s="229">
        <f t="shared" si="9"/>
        <v>2535.1032999999998</v>
      </c>
      <c r="H25" s="229">
        <f t="shared" si="9"/>
        <v>2651.8599999999988</v>
      </c>
      <c r="I25" s="229">
        <f t="shared" si="9"/>
        <v>3096.9158999999991</v>
      </c>
      <c r="J25" s="229">
        <f t="shared" si="9"/>
        <v>3708.5928008999981</v>
      </c>
      <c r="K25" s="229">
        <f t="shared" si="9"/>
        <v>4380.6703650450017</v>
      </c>
      <c r="L25" s="229">
        <f t="shared" si="9"/>
        <v>5103.4809752774254</v>
      </c>
      <c r="M25" s="229">
        <f t="shared" si="9"/>
        <v>5863.0892165762289</v>
      </c>
      <c r="N25" s="229">
        <f t="shared" ref="N25:R25" si="10">N15-SUM(N20:N24)</f>
        <v>6566.6599225653772</v>
      </c>
      <c r="O25" s="229">
        <f t="shared" si="10"/>
        <v>7354.6591132732246</v>
      </c>
      <c r="P25" s="229">
        <f t="shared" si="10"/>
        <v>8237.2182068660095</v>
      </c>
      <c r="Q25" s="229">
        <f t="shared" si="10"/>
        <v>9225.6843916899306</v>
      </c>
      <c r="R25" s="229">
        <f t="shared" si="10"/>
        <v>10332.766518692726</v>
      </c>
      <c r="S25"/>
      <c r="T25" s="76">
        <f t="shared" si="7"/>
        <v>0.17196645746272265</v>
      </c>
      <c r="U25" s="76">
        <f t="shared" si="8"/>
        <v>0.16494597165031633</v>
      </c>
      <c r="V25"/>
      <c r="W25"/>
    </row>
    <row r="26" spans="1:23" s="27" customFormat="1" ht="14.4" customHeight="1">
      <c r="A26"/>
      <c r="B26" s="70"/>
      <c r="C26"/>
      <c r="D26" s="486"/>
      <c r="E26" s="486"/>
      <c r="F26" s="486"/>
      <c r="G26" s="486"/>
      <c r="H26" s="486"/>
      <c r="I26" s="486"/>
      <c r="J26" s="486"/>
      <c r="K26" s="486"/>
      <c r="L26" s="486"/>
      <c r="M26" s="486"/>
      <c r="N26" s="486"/>
      <c r="O26" s="486"/>
      <c r="P26" s="486"/>
      <c r="Q26" s="176"/>
      <c r="R26" s="176"/>
      <c r="S26"/>
      <c r="T26" s="76"/>
      <c r="U26" s="76"/>
      <c r="V26"/>
      <c r="W26"/>
    </row>
    <row r="27" spans="1:23" s="27" customFormat="1" ht="14.4" customHeight="1">
      <c r="A27"/>
      <c r="B27" s="174" t="s">
        <v>108</v>
      </c>
      <c r="C27" s="18"/>
      <c r="D27" s="175">
        <f>D25/D13</f>
        <v>0.26632710669978504</v>
      </c>
      <c r="E27" s="175">
        <f t="shared" ref="E27:H27" si="11">E25/E13</f>
        <v>0.25565149567597362</v>
      </c>
      <c r="F27" s="175">
        <f t="shared" si="11"/>
        <v>0.21723214521443851</v>
      </c>
      <c r="G27" s="175">
        <f t="shared" si="11"/>
        <v>0.24529836383659495</v>
      </c>
      <c r="H27" s="175">
        <f t="shared" si="11"/>
        <v>0.21724092733677389</v>
      </c>
      <c r="I27" s="175">
        <f t="shared" ref="I27:M27" si="12">I25/I13</f>
        <v>0.21499999999999997</v>
      </c>
      <c r="J27" s="175">
        <f t="shared" si="12"/>
        <v>0.22099999999999992</v>
      </c>
      <c r="K27" s="175">
        <f t="shared" si="12"/>
        <v>0.22700000000000012</v>
      </c>
      <c r="L27" s="175">
        <f t="shared" si="12"/>
        <v>0.23300000000000007</v>
      </c>
      <c r="M27" s="175">
        <f t="shared" si="12"/>
        <v>0.23900000000000007</v>
      </c>
      <c r="N27" s="175">
        <f t="shared" ref="N27:R27" si="13">N25/N13</f>
        <v>0.23900000000000007</v>
      </c>
      <c r="O27" s="175">
        <f t="shared" si="13"/>
        <v>0.23900000000000013</v>
      </c>
      <c r="P27" s="175">
        <f t="shared" si="13"/>
        <v>0.23900000000000007</v>
      </c>
      <c r="Q27" s="175">
        <f t="shared" si="13"/>
        <v>0.23900000000000005</v>
      </c>
      <c r="R27" s="175">
        <f t="shared" si="13"/>
        <v>0.2390000000000001</v>
      </c>
      <c r="S27"/>
      <c r="T27" s="76"/>
      <c r="U27" s="76"/>
      <c r="V27"/>
      <c r="W27"/>
    </row>
    <row r="28" spans="1:23" s="27" customFormat="1" ht="14.4" customHeight="1">
      <c r="A28"/>
      <c r="B28" s="70"/>
      <c r="C28"/>
      <c r="D28" s="71"/>
      <c r="E28" s="71"/>
      <c r="F28" s="71"/>
      <c r="G28" s="71"/>
      <c r="H28" s="71"/>
      <c r="I28" s="65"/>
      <c r="J28" s="65"/>
      <c r="K28" s="65"/>
      <c r="L28" s="65"/>
      <c r="M28" s="65"/>
      <c r="N28" s="65"/>
      <c r="O28" s="65"/>
      <c r="P28" s="65"/>
      <c r="Q28" s="65"/>
      <c r="R28" s="65"/>
      <c r="S28"/>
      <c r="T28"/>
      <c r="U28"/>
      <c r="V28"/>
      <c r="W28"/>
    </row>
    <row r="29" spans="1:23" s="27" customFormat="1" ht="14.4" customHeight="1">
      <c r="A29"/>
      <c r="B29" s="70" t="s">
        <v>543</v>
      </c>
      <c r="C29"/>
      <c r="D29" s="66">
        <f>'Income Stmt'!E37*-1</f>
        <v>118.97030000000001</v>
      </c>
      <c r="E29" s="66">
        <f>'Income Stmt'!F37*-1</f>
        <v>166.61919999999998</v>
      </c>
      <c r="F29" s="66">
        <f>'Income Stmt'!G37*-1</f>
        <v>325.91950000000003</v>
      </c>
      <c r="G29" s="66">
        <f>'Income Stmt'!H37*-1</f>
        <v>398.25370000000004</v>
      </c>
      <c r="H29" s="66">
        <f>'Income Stmt'!I37*-1</f>
        <v>621</v>
      </c>
      <c r="I29" s="66">
        <f>Schedules!J119</f>
        <v>661.80718875000002</v>
      </c>
      <c r="J29" s="66">
        <f>Schedules!K119</f>
        <v>706.62506364374997</v>
      </c>
      <c r="K29" s="66">
        <f>Schedules!L119</f>
        <v>764.83402870312489</v>
      </c>
      <c r="L29" s="66">
        <f>Schedules!M119</f>
        <v>825.08030753957803</v>
      </c>
      <c r="M29" s="66">
        <f>Schedules!N119</f>
        <v>885.8621088545774</v>
      </c>
      <c r="N29" s="66">
        <f>Schedules!O119</f>
        <v>953.93772632737682</v>
      </c>
      <c r="O29" s="66">
        <f>Schedules!P119</f>
        <v>1030.1824178969118</v>
      </c>
      <c r="P29" s="66">
        <f>Schedules!Q119</f>
        <v>1115.5764724547914</v>
      </c>
      <c r="Q29" s="66">
        <f>Schedules!R119</f>
        <v>1211.2178135596164</v>
      </c>
      <c r="R29" s="66">
        <f>Schedules!S119</f>
        <v>1318.3361155970206</v>
      </c>
      <c r="S29"/>
      <c r="T29" s="76">
        <f>_xlfn.RRI($M$9-$H$9,H29,M29)</f>
        <v>7.3630659670168797E-2</v>
      </c>
      <c r="U29" s="76">
        <f t="shared" ref="U29:U30" si="14">_xlfn.RRI($M$9-$J$9,J29,M29)</f>
        <v>7.8265465970333459E-2</v>
      </c>
      <c r="V29"/>
      <c r="W29"/>
    </row>
    <row r="30" spans="1:23" s="73" customFormat="1" ht="14.4" customHeight="1">
      <c r="A30" s="72"/>
      <c r="B30" s="67" t="s">
        <v>64</v>
      </c>
      <c r="C30" s="74"/>
      <c r="D30" s="75">
        <f t="shared" ref="D30:M30" si="15">D25-D29</f>
        <v>1538.6224999999999</v>
      </c>
      <c r="E30" s="75">
        <f t="shared" si="15"/>
        <v>1822.7470000000003</v>
      </c>
      <c r="F30" s="75">
        <f t="shared" si="15"/>
        <v>1574.7386000000006</v>
      </c>
      <c r="G30" s="75">
        <f t="shared" si="15"/>
        <v>2136.8495999999996</v>
      </c>
      <c r="H30" s="75">
        <f t="shared" si="15"/>
        <v>2030.8599999999988</v>
      </c>
      <c r="I30" s="75">
        <f t="shared" si="15"/>
        <v>2435.108711249999</v>
      </c>
      <c r="J30" s="75">
        <f t="shared" si="15"/>
        <v>3001.9677372562483</v>
      </c>
      <c r="K30" s="75">
        <f t="shared" si="15"/>
        <v>3615.8363363418766</v>
      </c>
      <c r="L30" s="75">
        <f t="shared" si="15"/>
        <v>4278.4006677378475</v>
      </c>
      <c r="M30" s="75">
        <f t="shared" si="15"/>
        <v>4977.2271077216519</v>
      </c>
      <c r="N30" s="75">
        <f t="shared" ref="N30:R30" si="16">N25-N29</f>
        <v>5612.7221962380008</v>
      </c>
      <c r="O30" s="75">
        <f t="shared" si="16"/>
        <v>6324.4766953763128</v>
      </c>
      <c r="P30" s="75">
        <f t="shared" si="16"/>
        <v>7121.6417344112178</v>
      </c>
      <c r="Q30" s="75">
        <f t="shared" si="16"/>
        <v>8014.4665781303138</v>
      </c>
      <c r="R30" s="75">
        <f t="shared" si="16"/>
        <v>9014.4304030957064</v>
      </c>
      <c r="S30" s="72"/>
      <c r="T30" s="76">
        <f>_xlfn.RRI($M$9-$H$9,H30,M30)</f>
        <v>0.19635892655935616</v>
      </c>
      <c r="U30" s="76">
        <f t="shared" si="14"/>
        <v>0.18356962904884777</v>
      </c>
      <c r="V30" s="72"/>
      <c r="W30" s="72"/>
    </row>
    <row r="31" spans="1:23" s="73" customFormat="1" ht="14.4" customHeight="1">
      <c r="A31" s="72"/>
      <c r="B31" s="70"/>
      <c r="C31" s="72"/>
      <c r="D31" s="215"/>
      <c r="E31" s="215"/>
      <c r="F31" s="215"/>
      <c r="G31" s="215"/>
      <c r="H31" s="215"/>
      <c r="I31" s="215"/>
      <c r="J31" s="215"/>
      <c r="K31" s="215"/>
      <c r="L31" s="215"/>
      <c r="M31" s="215"/>
      <c r="N31" s="215"/>
      <c r="O31" s="215"/>
      <c r="P31" s="215"/>
      <c r="Q31" s="215"/>
      <c r="R31" s="215"/>
      <c r="S31" s="72"/>
      <c r="T31" s="76"/>
      <c r="U31" s="76"/>
      <c r="V31" s="72"/>
      <c r="W31" s="72"/>
    </row>
    <row r="32" spans="1:23" s="73" customFormat="1" ht="14.4" customHeight="1">
      <c r="A32" s="72"/>
      <c r="B32" s="174" t="s">
        <v>107</v>
      </c>
      <c r="C32" s="18"/>
      <c r="D32" s="175">
        <f>D30/D13</f>
        <v>0.24721202862861735</v>
      </c>
      <c r="E32" s="175">
        <f t="shared" ref="E32:M32" si="17">E30/E13</f>
        <v>0.23423942599853853</v>
      </c>
      <c r="F32" s="175">
        <f t="shared" si="17"/>
        <v>0.17998178853418278</v>
      </c>
      <c r="G32" s="175">
        <f t="shared" si="17"/>
        <v>0.20676305799644626</v>
      </c>
      <c r="H32" s="175">
        <f t="shared" si="17"/>
        <v>0.16636847710330127</v>
      </c>
      <c r="I32" s="175">
        <f t="shared" si="17"/>
        <v>0.16905475958154043</v>
      </c>
      <c r="J32" s="175">
        <f t="shared" si="17"/>
        <v>0.17889126834648139</v>
      </c>
      <c r="K32" s="175">
        <f t="shared" si="17"/>
        <v>0.18736740725781009</v>
      </c>
      <c r="L32" s="175">
        <f t="shared" si="17"/>
        <v>0.1953308654253833</v>
      </c>
      <c r="M32" s="175">
        <f t="shared" si="17"/>
        <v>0.20288916555837799</v>
      </c>
      <c r="N32" s="175">
        <f t="shared" ref="N32:R32" si="18">N30/N13</f>
        <v>0.20428050496283751</v>
      </c>
      <c r="O32" s="175">
        <f t="shared" si="18"/>
        <v>0.20552277228824783</v>
      </c>
      <c r="P32" s="175">
        <f t="shared" si="18"/>
        <v>0.20663193954307835</v>
      </c>
      <c r="Q32" s="175">
        <f t="shared" si="18"/>
        <v>0.20762226744917708</v>
      </c>
      <c r="R32" s="175">
        <f t="shared" si="18"/>
        <v>0.20850648879390821</v>
      </c>
      <c r="S32" s="72"/>
      <c r="T32" s="76"/>
      <c r="U32" s="76"/>
      <c r="V32" s="72"/>
      <c r="W32" s="72"/>
    </row>
    <row r="33" spans="1:23" s="27" customFormat="1" ht="14.4" customHeight="1">
      <c r="A33"/>
      <c r="B33" s="11"/>
      <c r="C33"/>
      <c r="D33" s="66"/>
      <c r="E33" s="66"/>
      <c r="F33" s="66"/>
      <c r="G33" s="66"/>
      <c r="H33" s="66"/>
      <c r="I33" s="65"/>
      <c r="J33" s="65"/>
      <c r="K33" s="65"/>
      <c r="L33" s="65"/>
      <c r="M33" s="65"/>
      <c r="N33" s="65"/>
      <c r="O33" s="65"/>
      <c r="P33" s="65"/>
      <c r="Q33" s="65"/>
      <c r="R33" s="65"/>
      <c r="S33"/>
      <c r="T33"/>
      <c r="U33"/>
      <c r="V33"/>
      <c r="W33"/>
    </row>
    <row r="34" spans="1:23" s="27" customFormat="1" ht="14.4" customHeight="1">
      <c r="A34"/>
      <c r="B34" s="2" t="s">
        <v>553</v>
      </c>
      <c r="C34"/>
      <c r="D34" s="66">
        <f>'Income Stmt'!E41</f>
        <v>-20.147400000000001</v>
      </c>
      <c r="E34" s="66">
        <f>'Income Stmt'!F41</f>
        <v>-58.610399999999998</v>
      </c>
      <c r="F34" s="66">
        <f>'Income Stmt'!G41</f>
        <v>-44.468999999999994</v>
      </c>
      <c r="G34" s="66">
        <f>'Income Stmt'!H41</f>
        <v>-33.531599999999997</v>
      </c>
      <c r="H34" s="66">
        <f>'Income Stmt'!I41</f>
        <v>-429.4</v>
      </c>
      <c r="I34" s="66">
        <f>Schedules!J246*-1</f>
        <v>-561.47040707646352</v>
      </c>
      <c r="J34" s="66">
        <f>Schedules!K246*-1</f>
        <v>-503.42321216626988</v>
      </c>
      <c r="K34" s="66">
        <f>Schedules!L246*-1</f>
        <v>-534.83288934759162</v>
      </c>
      <c r="L34" s="66">
        <f>Schedules!M246*-1</f>
        <v>-576.99301434637562</v>
      </c>
      <c r="M34" s="66">
        <f>Schedules!N246*-1</f>
        <v>-614.81290259022217</v>
      </c>
      <c r="N34" s="66">
        <f>Schedules!O246*-1</f>
        <v>-567.30761576621592</v>
      </c>
      <c r="O34" s="66">
        <f>Schedules!P246*-1</f>
        <v>-513.11570604827898</v>
      </c>
      <c r="P34" s="66">
        <f>Schedules!Q246*-1</f>
        <v>-523.37836573982372</v>
      </c>
      <c r="Q34" s="66">
        <f>Schedules!R246*-1</f>
        <v>-533.8455257726132</v>
      </c>
      <c r="R34" s="66">
        <f>Schedules!S246*-1</f>
        <v>-544.52207580180186</v>
      </c>
      <c r="S34"/>
      <c r="T34"/>
      <c r="U34"/>
      <c r="V34"/>
      <c r="W34"/>
    </row>
    <row r="35" spans="1:23" s="27" customFormat="1" ht="14.4" customHeight="1">
      <c r="A35"/>
      <c r="B35" s="2" t="s">
        <v>177</v>
      </c>
      <c r="C35"/>
      <c r="D35" s="66">
        <f>'Income Stmt'!E42</f>
        <v>161.4821</v>
      </c>
      <c r="E35" s="66">
        <f>'Income Stmt'!F42</f>
        <v>196.02959999999999</v>
      </c>
      <c r="F35" s="66">
        <f>'Income Stmt'!G42</f>
        <v>128.5668</v>
      </c>
      <c r="G35" s="66">
        <f>'Income Stmt'!H42</f>
        <v>280.85790000000003</v>
      </c>
      <c r="H35" s="66">
        <f>'Income Stmt'!I42</f>
        <v>536.79</v>
      </c>
      <c r="I35" s="66">
        <f>Schedules!J252</f>
        <v>432.12779999999992</v>
      </c>
      <c r="J35" s="66">
        <f>Schedules!K252</f>
        <v>503.42888699999992</v>
      </c>
      <c r="K35" s="66">
        <f>Schedules!L252</f>
        <v>578.94322004999992</v>
      </c>
      <c r="L35" s="66">
        <f>Schedules!M252</f>
        <v>657.10055475674983</v>
      </c>
      <c r="M35" s="66">
        <f>Schedules!N252</f>
        <v>735.95262132755988</v>
      </c>
      <c r="N35" s="66">
        <f>Schedules!O252</f>
        <v>824.26693588686715</v>
      </c>
      <c r="O35" s="66">
        <f>Schedules!P252</f>
        <v>923.17896819329121</v>
      </c>
      <c r="P35" s="66">
        <f>Schedules!Q252</f>
        <v>1033.9604443764863</v>
      </c>
      <c r="Q35" s="66">
        <f>Schedules!R252</f>
        <v>1158.0356977016647</v>
      </c>
      <c r="R35" s="66">
        <f>Schedules!S252</f>
        <v>1296.9999814258645</v>
      </c>
      <c r="S35"/>
      <c r="T35"/>
      <c r="U35"/>
      <c r="V35"/>
      <c r="W35"/>
    </row>
    <row r="36" spans="1:23" s="27" customFormat="1" ht="14.4" customHeight="1">
      <c r="A36"/>
      <c r="B36" t="s">
        <v>555</v>
      </c>
      <c r="C36"/>
      <c r="D36" s="66">
        <f>'Income Stmt'!E45*-1</f>
        <v>-11.677100000000001</v>
      </c>
      <c r="E36" s="66">
        <f>'Income Stmt'!F45*-1</f>
        <v>-14.447699999999999</v>
      </c>
      <c r="F36" s="66">
        <f>'Income Stmt'!G45*-1</f>
        <v>-12.424200000000001</v>
      </c>
      <c r="G36" s="66">
        <f>'Income Stmt'!H45*-1</f>
        <v>-15.2135</v>
      </c>
      <c r="H36" s="66">
        <f>'Income Stmt'!I45*-1</f>
        <v>-12.24</v>
      </c>
      <c r="I36" s="307">
        <v>0</v>
      </c>
      <c r="J36" s="307">
        <v>0</v>
      </c>
      <c r="K36" s="307">
        <v>0</v>
      </c>
      <c r="L36" s="307">
        <v>0</v>
      </c>
      <c r="M36" s="307">
        <v>0</v>
      </c>
      <c r="N36" s="307">
        <v>0</v>
      </c>
      <c r="O36" s="307">
        <v>0</v>
      </c>
      <c r="P36" s="307">
        <v>0</v>
      </c>
      <c r="Q36" s="307">
        <v>0</v>
      </c>
      <c r="R36" s="307">
        <v>0</v>
      </c>
      <c r="S36"/>
      <c r="T36"/>
      <c r="U36"/>
      <c r="V36"/>
      <c r="W36"/>
    </row>
    <row r="37" spans="1:23" s="27" customFormat="1" ht="14.4" customHeight="1">
      <c r="A37"/>
      <c r="B37" s="67" t="s">
        <v>65</v>
      </c>
      <c r="C37" s="74"/>
      <c r="D37" s="75">
        <f>SUM(D30,D34:D36)</f>
        <v>1668.2800999999997</v>
      </c>
      <c r="E37" s="75">
        <f t="shared" ref="E37:H37" si="19">SUM(E30,E34:E36)</f>
        <v>1945.7185000000004</v>
      </c>
      <c r="F37" s="75">
        <f t="shared" si="19"/>
        <v>1646.4122000000007</v>
      </c>
      <c r="G37" s="75">
        <f t="shared" si="19"/>
        <v>2368.9623999999999</v>
      </c>
      <c r="H37" s="75">
        <f t="shared" si="19"/>
        <v>2126.0099999999989</v>
      </c>
      <c r="I37" s="281">
        <f t="shared" ref="I37" si="20">SUM(I30,I34:I36)</f>
        <v>2305.7661041735355</v>
      </c>
      <c r="J37" s="281">
        <f t="shared" ref="J37" si="21">SUM(J30,J34:J36)</f>
        <v>3001.9734120899784</v>
      </c>
      <c r="K37" s="281">
        <f t="shared" ref="K37" si="22">SUM(K30,K34:K36)</f>
        <v>3659.9466670442848</v>
      </c>
      <c r="L37" s="281">
        <f t="shared" ref="L37" si="23">SUM(L30,L34:L36)</f>
        <v>4358.5082081482215</v>
      </c>
      <c r="M37" s="281">
        <f t="shared" ref="M37:R37" si="24">SUM(M30,M34:M36)</f>
        <v>5098.3668264589905</v>
      </c>
      <c r="N37" s="281">
        <f t="shared" si="24"/>
        <v>5869.6815163586516</v>
      </c>
      <c r="O37" s="281">
        <f t="shared" si="24"/>
        <v>6734.5399575213251</v>
      </c>
      <c r="P37" s="281">
        <f t="shared" si="24"/>
        <v>7632.2238130478809</v>
      </c>
      <c r="Q37" s="281">
        <f t="shared" si="24"/>
        <v>8638.6567500593665</v>
      </c>
      <c r="R37" s="281">
        <f t="shared" si="24"/>
        <v>9766.9083087197687</v>
      </c>
      <c r="S37"/>
      <c r="T37"/>
      <c r="U37"/>
      <c r="V37"/>
      <c r="W37"/>
    </row>
    <row r="38" spans="1:23" s="27" customFormat="1" ht="14.4" customHeight="1">
      <c r="A38"/>
      <c r="B38"/>
      <c r="C38"/>
      <c r="D38" s="66"/>
      <c r="E38" s="66"/>
      <c r="F38" s="66"/>
      <c r="G38" s="66"/>
      <c r="H38" s="66"/>
      <c r="I38" s="65"/>
      <c r="J38" s="65"/>
      <c r="K38" s="65"/>
      <c r="L38" s="65"/>
      <c r="M38" s="65"/>
      <c r="N38" s="65"/>
      <c r="O38" s="65"/>
      <c r="P38" s="65"/>
      <c r="Q38" s="65"/>
      <c r="R38" s="65"/>
      <c r="S38"/>
      <c r="T38"/>
      <c r="U38"/>
      <c r="V38"/>
      <c r="W38"/>
    </row>
    <row r="39" spans="1:23" s="27" customFormat="1" ht="14.4" customHeight="1">
      <c r="A39"/>
      <c r="B39" s="223" t="s">
        <v>5</v>
      </c>
      <c r="C39"/>
      <c r="D39" s="66">
        <f>'Income Stmt'!E48</f>
        <v>-398.58389999999997</v>
      </c>
      <c r="E39" s="66">
        <f>'Income Stmt'!F48</f>
        <v>-521.64350000000002</v>
      </c>
      <c r="F39" s="66">
        <f>'Income Stmt'!G48</f>
        <v>-361.56330000000003</v>
      </c>
      <c r="G39" s="66">
        <f>'Income Stmt'!H48</f>
        <v>-457.5865</v>
      </c>
      <c r="H39" s="66">
        <f>'Income Stmt'!I48</f>
        <v>-509.74</v>
      </c>
      <c r="I39" s="66">
        <f>Schedules!J142</f>
        <v>-576.44152604338387</v>
      </c>
      <c r="J39" s="66">
        <f>Schedules!K142</f>
        <v>-750.4933530224946</v>
      </c>
      <c r="K39" s="66">
        <f>Schedules!L142</f>
        <v>-914.98666676107109</v>
      </c>
      <c r="L39" s="66">
        <f>Schedules!M142</f>
        <v>-1089.6270520370556</v>
      </c>
      <c r="M39" s="66">
        <f>Schedules!N142</f>
        <v>-1274.5917066147476</v>
      </c>
      <c r="N39" s="66">
        <f>Schedules!O142</f>
        <v>-1467.4203790896629</v>
      </c>
      <c r="O39" s="66">
        <f>Schedules!P142</f>
        <v>-1683.6349893803313</v>
      </c>
      <c r="P39" s="66">
        <f>Schedules!Q142</f>
        <v>-1908.0559532619702</v>
      </c>
      <c r="Q39" s="66">
        <f>Schedules!R142</f>
        <v>-2159.6641875148416</v>
      </c>
      <c r="R39" s="66">
        <f>Schedules!S142</f>
        <v>-2441.7270771799422</v>
      </c>
      <c r="S39"/>
      <c r="T39" s="76">
        <f>_xlfn.RRI($M$9-$H$9,H39,M39)</f>
        <v>0.20116999410185321</v>
      </c>
      <c r="U39" s="76">
        <f t="shared" ref="U39:U40" si="25">_xlfn.RRI($M$9-$J$9,J39,M39)</f>
        <v>0.1930942318530311</v>
      </c>
      <c r="V39"/>
      <c r="W39"/>
    </row>
    <row r="40" spans="1:23" s="27" customFormat="1" ht="14.4" customHeight="1" thickBot="1">
      <c r="A40"/>
      <c r="B40" s="13" t="s">
        <v>6</v>
      </c>
      <c r="C40" s="69"/>
      <c r="D40" s="228">
        <f t="shared" ref="D40:G40" si="26">SUM(D37,D39)</f>
        <v>1269.6961999999999</v>
      </c>
      <c r="E40" s="228">
        <f t="shared" si="26"/>
        <v>1424.0750000000003</v>
      </c>
      <c r="F40" s="228">
        <f t="shared" si="26"/>
        <v>1284.8489000000006</v>
      </c>
      <c r="G40" s="228">
        <f t="shared" si="26"/>
        <v>1911.3759</v>
      </c>
      <c r="H40" s="228">
        <f>SUM(H37,H39)</f>
        <v>1616.2699999999988</v>
      </c>
      <c r="I40" s="279">
        <f t="shared" ref="I40:M40" si="27">SUM(I37,I39)</f>
        <v>1729.3245781301516</v>
      </c>
      <c r="J40" s="279">
        <f t="shared" si="27"/>
        <v>2251.480059067484</v>
      </c>
      <c r="K40" s="279">
        <f t="shared" si="27"/>
        <v>2744.960000283214</v>
      </c>
      <c r="L40" s="279">
        <f t="shared" si="27"/>
        <v>3268.8811561111661</v>
      </c>
      <c r="M40" s="279">
        <f t="shared" si="27"/>
        <v>3823.7751198442429</v>
      </c>
      <c r="N40" s="279">
        <f t="shared" ref="N40:R40" si="28">SUM(N37,N39)</f>
        <v>4402.2611372689889</v>
      </c>
      <c r="O40" s="279">
        <f t="shared" si="28"/>
        <v>5050.9049681409942</v>
      </c>
      <c r="P40" s="279">
        <f t="shared" si="28"/>
        <v>5724.1678597859109</v>
      </c>
      <c r="Q40" s="279">
        <f t="shared" si="28"/>
        <v>6478.9925625445248</v>
      </c>
      <c r="R40" s="279">
        <f t="shared" si="28"/>
        <v>7325.1812315398265</v>
      </c>
      <c r="S40"/>
      <c r="T40" s="76">
        <f>_xlfn.RRI($M$9-$H$9,H40,M40)</f>
        <v>0.18794322822291076</v>
      </c>
      <c r="U40" s="76">
        <f t="shared" si="25"/>
        <v>0.1930942318530311</v>
      </c>
      <c r="V40"/>
      <c r="W40"/>
    </row>
    <row r="41" spans="1:23" s="27" customFormat="1" ht="14.4" customHeight="1">
      <c r="A41"/>
      <c r="B41"/>
      <c r="C41"/>
      <c r="D41"/>
      <c r="E41"/>
      <c r="F41"/>
      <c r="G41"/>
      <c r="H41"/>
      <c r="I41"/>
      <c r="J41"/>
      <c r="K41"/>
      <c r="L41"/>
      <c r="M41"/>
      <c r="N41"/>
      <c r="O41"/>
      <c r="P41"/>
      <c r="Q41"/>
      <c r="R41"/>
      <c r="S41"/>
      <c r="T41"/>
      <c r="U41"/>
      <c r="V41"/>
      <c r="W41"/>
    </row>
    <row r="42" spans="1:23" s="27" customFormat="1" ht="14.4" customHeight="1">
      <c r="A42"/>
      <c r="B42" s="31" t="s">
        <v>68</v>
      </c>
      <c r="C42" s="31"/>
      <c r="D42" s="57">
        <f t="shared" ref="D42" si="29">IFERROR(D13/C13-1,0)</f>
        <v>0</v>
      </c>
      <c r="E42" s="57">
        <f t="shared" ref="E42" si="30">IFERROR(E13/D13-1,0)</f>
        <v>0.25027030487098911</v>
      </c>
      <c r="F42" s="57">
        <f t="shared" ref="F42" si="31">IFERROR(F13/E13-1,0)</f>
        <v>0.12438103792389787</v>
      </c>
      <c r="G42" s="57">
        <f t="shared" ref="G42" si="32">IFERROR(G13/F13-1,0)</f>
        <v>0.18119363849063097</v>
      </c>
      <c r="H42" s="57">
        <f t="shared" ref="H42" si="33">IFERROR(H13/G13-1,0)</f>
        <v>0.18115783579837341</v>
      </c>
      <c r="I42" s="57">
        <f t="shared" ref="I42" si="34">IFERROR(I13/H13-1,0)</f>
        <v>0.17999999999999994</v>
      </c>
      <c r="J42" s="57">
        <f t="shared" ref="J42" si="35">IFERROR(J13/I13-1,0)</f>
        <v>0.16500000000000004</v>
      </c>
      <c r="K42" s="57">
        <f t="shared" ref="K42" si="36">IFERROR(K13/J13-1,0)</f>
        <v>0.14999999999999991</v>
      </c>
      <c r="L42" s="57">
        <f t="shared" ref="L42" si="37">IFERROR(L13/K13-1,0)</f>
        <v>0.13500000000000001</v>
      </c>
      <c r="M42" s="57">
        <f t="shared" ref="M42" si="38">IFERROR(M13/L13-1,0)</f>
        <v>0.12000000000000011</v>
      </c>
      <c r="N42" s="57">
        <f t="shared" ref="N42" si="39">IFERROR(N13/M13-1,0)</f>
        <v>0.12000000000000011</v>
      </c>
      <c r="O42" s="57">
        <f t="shared" ref="O42" si="40">IFERROR(O13/N13-1,0)</f>
        <v>0.12000000000000011</v>
      </c>
      <c r="P42" s="57">
        <f t="shared" ref="P42" si="41">IFERROR(P13/O13-1,0)</f>
        <v>0.12000000000000011</v>
      </c>
      <c r="Q42" s="57">
        <f t="shared" ref="Q42" si="42">IFERROR(Q13/P13-1,0)</f>
        <v>0.12000000000000011</v>
      </c>
      <c r="R42" s="57">
        <f t="shared" ref="R42" si="43">IFERROR(R13/Q13-1,0)</f>
        <v>0.12000000000000011</v>
      </c>
      <c r="S42"/>
      <c r="T42" s="76">
        <f t="shared" ref="T42:T47" si="44">_xlfn.RRI($M$9-$H$9,H42,M42)</f>
        <v>-7.9073808901100051E-2</v>
      </c>
      <c r="U42" s="76">
        <f t="shared" ref="U42:U47" si="45">_xlfn.RRI($M$9-$J$9,J42,M42)</f>
        <v>-0.10071137395478147</v>
      </c>
      <c r="V42"/>
      <c r="W42"/>
    </row>
    <row r="43" spans="1:23" s="27" customFormat="1" ht="14.4" customHeight="1">
      <c r="A43"/>
      <c r="B43" s="31" t="s">
        <v>69</v>
      </c>
      <c r="C43" s="31"/>
      <c r="D43" s="57">
        <f t="shared" ref="D43:I43" si="46">IFERROR(D15/D13,"NM")</f>
        <v>0.71390772426194249</v>
      </c>
      <c r="E43" s="57">
        <f t="shared" si="46"/>
        <v>0.68878606282695343</v>
      </c>
      <c r="F43" s="57">
        <f t="shared" si="46"/>
        <v>0.66699076385864098</v>
      </c>
      <c r="G43" s="57">
        <f t="shared" si="46"/>
        <v>0.68942758558082151</v>
      </c>
      <c r="H43" s="57">
        <f t="shared" si="46"/>
        <v>0.68419431473744563</v>
      </c>
      <c r="I43" s="57">
        <f t="shared" si="46"/>
        <v>0.66</v>
      </c>
      <c r="J43" s="57">
        <f t="shared" ref="J43" si="47">IFERROR(J15/J13,"NM")</f>
        <v>0.66600000000000004</v>
      </c>
      <c r="K43" s="57">
        <f t="shared" ref="K43:M43" si="48">IFERROR(K15/K13,"NM")</f>
        <v>0.67200000000000015</v>
      </c>
      <c r="L43" s="57">
        <f t="shared" si="48"/>
        <v>0.67800000000000005</v>
      </c>
      <c r="M43" s="57">
        <f t="shared" si="48"/>
        <v>0.68400000000000016</v>
      </c>
      <c r="N43" s="57">
        <f t="shared" ref="N43:R43" si="49">IFERROR(N15/N13,"NM")</f>
        <v>0.68400000000000016</v>
      </c>
      <c r="O43" s="57">
        <f t="shared" si="49"/>
        <v>0.68400000000000016</v>
      </c>
      <c r="P43" s="57">
        <f t="shared" si="49"/>
        <v>0.68400000000000005</v>
      </c>
      <c r="Q43" s="57">
        <f t="shared" si="49"/>
        <v>0.68400000000000005</v>
      </c>
      <c r="R43" s="57">
        <f t="shared" si="49"/>
        <v>0.68400000000000016</v>
      </c>
      <c r="S43"/>
      <c r="T43" s="76">
        <f t="shared" si="44"/>
        <v>-5.6807492134769433E-5</v>
      </c>
      <c r="U43" s="76">
        <f t="shared" si="45"/>
        <v>8.929043886532817E-3</v>
      </c>
      <c r="V43"/>
      <c r="W43"/>
    </row>
    <row r="44" spans="1:23" s="27" customFormat="1" ht="14.4" customHeight="1">
      <c r="A44"/>
      <c r="B44" s="31" t="s">
        <v>70</v>
      </c>
      <c r="C44" s="31"/>
      <c r="D44" s="57">
        <f t="shared" ref="D44:I44" si="50">IFERROR(D25/D13,"NM")</f>
        <v>0.26632710669978504</v>
      </c>
      <c r="E44" s="57">
        <f t="shared" si="50"/>
        <v>0.25565149567597362</v>
      </c>
      <c r="F44" s="57">
        <f t="shared" si="50"/>
        <v>0.21723214521443851</v>
      </c>
      <c r="G44" s="57">
        <f t="shared" si="50"/>
        <v>0.24529836383659495</v>
      </c>
      <c r="H44" s="57">
        <f t="shared" si="50"/>
        <v>0.21724092733677389</v>
      </c>
      <c r="I44" s="57">
        <f t="shared" si="50"/>
        <v>0.21499999999999997</v>
      </c>
      <c r="J44" s="57">
        <f t="shared" ref="J44" si="51">IFERROR(J25/J13,"NM")</f>
        <v>0.22099999999999992</v>
      </c>
      <c r="K44" s="57">
        <f t="shared" ref="K44:M44" si="52">IFERROR(K25/K13,"NM")</f>
        <v>0.22700000000000012</v>
      </c>
      <c r="L44" s="57">
        <f t="shared" si="52"/>
        <v>0.23300000000000007</v>
      </c>
      <c r="M44" s="57">
        <f t="shared" si="52"/>
        <v>0.23900000000000007</v>
      </c>
      <c r="N44" s="57">
        <f t="shared" ref="N44:R44" si="53">IFERROR(N25/N13,"NM")</f>
        <v>0.23900000000000007</v>
      </c>
      <c r="O44" s="57">
        <f t="shared" si="53"/>
        <v>0.23900000000000013</v>
      </c>
      <c r="P44" s="57">
        <f t="shared" si="53"/>
        <v>0.23900000000000007</v>
      </c>
      <c r="Q44" s="57">
        <f t="shared" si="53"/>
        <v>0.23900000000000005</v>
      </c>
      <c r="R44" s="57">
        <f t="shared" si="53"/>
        <v>0.2390000000000001</v>
      </c>
      <c r="S44"/>
      <c r="T44" s="76">
        <f t="shared" si="44"/>
        <v>1.9274714353559208E-2</v>
      </c>
      <c r="U44" s="76">
        <f t="shared" si="45"/>
        <v>2.6443878667456344E-2</v>
      </c>
      <c r="V44"/>
      <c r="W44"/>
    </row>
    <row r="45" spans="1:23" s="27" customFormat="1" ht="14.4" customHeight="1">
      <c r="A45"/>
      <c r="B45" s="31" t="s">
        <v>71</v>
      </c>
      <c r="C45" s="31"/>
      <c r="D45" s="57">
        <f t="shared" ref="D45:I45" si="54">IFERROR(D30/D13,"NM")</f>
        <v>0.24721202862861735</v>
      </c>
      <c r="E45" s="57">
        <f t="shared" si="54"/>
        <v>0.23423942599853853</v>
      </c>
      <c r="F45" s="57">
        <f t="shared" si="54"/>
        <v>0.17998178853418278</v>
      </c>
      <c r="G45" s="57">
        <f t="shared" si="54"/>
        <v>0.20676305799644626</v>
      </c>
      <c r="H45" s="57">
        <f t="shared" si="54"/>
        <v>0.16636847710330127</v>
      </c>
      <c r="I45" s="57">
        <f t="shared" si="54"/>
        <v>0.16905475958154043</v>
      </c>
      <c r="J45" s="57">
        <f t="shared" ref="J45" si="55">IFERROR(J30/J13,"NM")</f>
        <v>0.17889126834648139</v>
      </c>
      <c r="K45" s="57">
        <f t="shared" ref="K45:M45" si="56">IFERROR(K30/K13,"NM")</f>
        <v>0.18736740725781009</v>
      </c>
      <c r="L45" s="57">
        <f t="shared" si="56"/>
        <v>0.1953308654253833</v>
      </c>
      <c r="M45" s="57">
        <f t="shared" si="56"/>
        <v>0.20288916555837799</v>
      </c>
      <c r="N45" s="57">
        <f t="shared" ref="N45:R45" si="57">IFERROR(N30/N13,"NM")</f>
        <v>0.20428050496283751</v>
      </c>
      <c r="O45" s="57">
        <f t="shared" si="57"/>
        <v>0.20552277228824783</v>
      </c>
      <c r="P45" s="57">
        <f t="shared" si="57"/>
        <v>0.20663193954307835</v>
      </c>
      <c r="Q45" s="57">
        <f t="shared" si="57"/>
        <v>0.20762226744917708</v>
      </c>
      <c r="R45" s="57">
        <f t="shared" si="57"/>
        <v>0.20850648879390821</v>
      </c>
      <c r="S45"/>
      <c r="T45" s="76">
        <f t="shared" si="44"/>
        <v>4.0489167047603303E-2</v>
      </c>
      <c r="U45" s="76">
        <f t="shared" si="45"/>
        <v>4.2853342797403604E-2</v>
      </c>
      <c r="V45"/>
      <c r="W45"/>
    </row>
    <row r="46" spans="1:23" s="27" customFormat="1" ht="14.4" customHeight="1">
      <c r="A46"/>
      <c r="B46" s="31" t="s">
        <v>72</v>
      </c>
      <c r="C46" s="31"/>
      <c r="D46" s="57">
        <f t="shared" ref="D46:I46" si="58">-D39/D37*-1</f>
        <v>-0.23891905202249913</v>
      </c>
      <c r="E46" s="57">
        <f t="shared" si="58"/>
        <v>-0.26809813444236663</v>
      </c>
      <c r="F46" s="57">
        <f t="shared" si="58"/>
        <v>-0.21960679105754918</v>
      </c>
      <c r="G46" s="57">
        <f t="shared" si="58"/>
        <v>-0.19315903874202478</v>
      </c>
      <c r="H46" s="57">
        <f t="shared" si="58"/>
        <v>-0.2397636887879174</v>
      </c>
      <c r="I46" s="57">
        <f t="shared" si="58"/>
        <v>-0.25</v>
      </c>
      <c r="J46" s="57">
        <f t="shared" ref="J46" si="59">-J39/J37*-1</f>
        <v>-0.25</v>
      </c>
      <c r="K46" s="57">
        <f t="shared" ref="K46:M46" si="60">-K39/K37*-1</f>
        <v>-0.24999999999999997</v>
      </c>
      <c r="L46" s="57">
        <f t="shared" si="60"/>
        <v>-0.25000000000000006</v>
      </c>
      <c r="M46" s="57">
        <f t="shared" si="60"/>
        <v>-0.25</v>
      </c>
      <c r="N46" s="57">
        <f t="shared" ref="N46:R46" si="61">-N39/N37*-1</f>
        <v>-0.25</v>
      </c>
      <c r="O46" s="57">
        <f t="shared" si="61"/>
        <v>-0.25</v>
      </c>
      <c r="P46" s="57">
        <f t="shared" si="61"/>
        <v>-0.25</v>
      </c>
      <c r="Q46" s="57">
        <f t="shared" si="61"/>
        <v>-0.25</v>
      </c>
      <c r="R46" s="57">
        <f t="shared" si="61"/>
        <v>-0.25</v>
      </c>
      <c r="S46"/>
      <c r="T46" s="76">
        <f t="shared" si="44"/>
        <v>8.3964762489738831E-3</v>
      </c>
      <c r="U46" s="76">
        <f t="shared" si="45"/>
        <v>0</v>
      </c>
      <c r="V46"/>
      <c r="W46"/>
    </row>
    <row r="47" spans="1:23" s="27" customFormat="1" ht="14.4" customHeight="1">
      <c r="A47"/>
      <c r="B47" s="31" t="s">
        <v>73</v>
      </c>
      <c r="C47" s="31"/>
      <c r="D47" s="57">
        <f t="shared" ref="D47:I47" si="62">IFERROR(D40/D13,"NM")</f>
        <v>0.2040033688211674</v>
      </c>
      <c r="E47" s="57">
        <f t="shared" si="62"/>
        <v>0.18300647900057923</v>
      </c>
      <c r="F47" s="57">
        <f t="shared" si="62"/>
        <v>0.14684939012619452</v>
      </c>
      <c r="G47" s="57">
        <f t="shared" si="62"/>
        <v>0.18494606549038817</v>
      </c>
      <c r="H47" s="57">
        <f t="shared" si="62"/>
        <v>0.13240517735725393</v>
      </c>
      <c r="I47" s="57">
        <f t="shared" si="62"/>
        <v>0.12005646788728833</v>
      </c>
      <c r="J47" s="57">
        <f t="shared" ref="J47" si="63">IFERROR(J40/J13,"NM")</f>
        <v>0.13416870488805407</v>
      </c>
      <c r="K47" s="57">
        <f t="shared" ref="K47:M47" si="64">IFERROR(K40/K13,"NM")</f>
        <v>0.14223985557924737</v>
      </c>
      <c r="L47" s="57">
        <f t="shared" si="64"/>
        <v>0.14924113816893353</v>
      </c>
      <c r="M47" s="57">
        <f t="shared" si="64"/>
        <v>0.15587043278465393</v>
      </c>
      <c r="N47" s="57">
        <f t="shared" ref="N47:R47" si="65">IFERROR(N40/N13,"NM")</f>
        <v>0.16022459274794487</v>
      </c>
      <c r="O47" s="57">
        <f t="shared" si="65"/>
        <v>0.16413626638481188</v>
      </c>
      <c r="P47" s="57">
        <f t="shared" si="65"/>
        <v>0.1660847247373505</v>
      </c>
      <c r="Q47" s="57">
        <f t="shared" si="65"/>
        <v>0.1678443741087588</v>
      </c>
      <c r="R47" s="57">
        <f t="shared" si="65"/>
        <v>0.16943364694932792</v>
      </c>
      <c r="S47"/>
      <c r="T47" s="76">
        <f t="shared" si="44"/>
        <v>3.3169922999836565E-2</v>
      </c>
      <c r="U47" s="76">
        <f t="shared" si="45"/>
        <v>5.1245551949595347E-2</v>
      </c>
      <c r="V47"/>
      <c r="W47"/>
    </row>
    <row r="48" spans="1:23" s="27" customFormat="1" ht="14.4" customHeight="1">
      <c r="A48"/>
      <c r="B48"/>
      <c r="C48"/>
      <c r="D48"/>
      <c r="E48"/>
      <c r="F48"/>
      <c r="G48"/>
      <c r="H48"/>
      <c r="I48"/>
      <c r="J48"/>
      <c r="K48"/>
      <c r="L48"/>
      <c r="M48"/>
      <c r="N48"/>
      <c r="O48"/>
      <c r="P48"/>
      <c r="Q48"/>
      <c r="R48"/>
      <c r="S48"/>
      <c r="T48"/>
      <c r="U48"/>
      <c r="V48"/>
      <c r="W48"/>
    </row>
    <row r="49" spans="1:26" s="27" customFormat="1" ht="14.4" customHeight="1">
      <c r="A49" t="s">
        <v>23</v>
      </c>
      <c r="B49" s="491" t="s">
        <v>75</v>
      </c>
      <c r="C49" s="492"/>
      <c r="D49" s="492"/>
      <c r="E49" s="492"/>
      <c r="F49" s="492"/>
      <c r="G49" s="492"/>
      <c r="H49" s="492"/>
      <c r="I49" s="492"/>
      <c r="J49" s="492"/>
      <c r="K49" s="492"/>
      <c r="L49" s="492"/>
      <c r="M49" s="492"/>
      <c r="N49" s="492"/>
      <c r="O49" s="492"/>
      <c r="P49" s="492"/>
      <c r="Q49" s="492"/>
      <c r="R49" s="492"/>
      <c r="S49"/>
      <c r="T49"/>
      <c r="U49"/>
      <c r="V49"/>
      <c r="W49"/>
    </row>
    <row r="50" spans="1:26" s="27" customFormat="1" ht="14.4" customHeight="1">
      <c r="A50"/>
      <c r="B50"/>
      <c r="C50"/>
      <c r="D50"/>
      <c r="E50"/>
      <c r="F50"/>
      <c r="G50"/>
      <c r="H50"/>
      <c r="I50"/>
      <c r="J50"/>
      <c r="K50"/>
      <c r="L50"/>
      <c r="M50"/>
      <c r="N50"/>
      <c r="O50"/>
      <c r="P50"/>
      <c r="Q50"/>
      <c r="R50"/>
      <c r="S50"/>
      <c r="T50"/>
      <c r="U50"/>
      <c r="V50"/>
      <c r="W50"/>
      <c r="X50"/>
      <c r="Y50"/>
      <c r="Z50"/>
    </row>
    <row r="51" spans="1:26" s="27" customFormat="1" ht="14.4" customHeight="1">
      <c r="A51"/>
      <c r="B51" s="233" t="s">
        <v>7</v>
      </c>
      <c r="C51" s="1"/>
      <c r="D51" s="80"/>
      <c r="E51" s="80"/>
      <c r="F51" s="80"/>
      <c r="G51" s="80"/>
      <c r="H51" s="80"/>
      <c r="I51" s="1"/>
      <c r="J51" s="1"/>
      <c r="K51" s="1"/>
      <c r="L51" s="1"/>
      <c r="M51" s="1"/>
      <c r="N51" s="1"/>
      <c r="O51" s="1"/>
      <c r="P51" s="1"/>
      <c r="Q51" s="1"/>
      <c r="R51" s="1"/>
      <c r="S51"/>
      <c r="T51"/>
      <c r="U51"/>
      <c r="V51"/>
      <c r="W51"/>
      <c r="X51"/>
      <c r="Y51"/>
      <c r="Z51"/>
    </row>
    <row r="52" spans="1:26" s="27" customFormat="1" ht="14.4" customHeight="1">
      <c r="A52"/>
      <c r="B52" s="233"/>
      <c r="C52" s="1"/>
      <c r="D52" s="80"/>
      <c r="E52" s="80"/>
      <c r="F52" s="80"/>
      <c r="G52" s="80"/>
      <c r="H52" s="80"/>
      <c r="I52" s="1"/>
      <c r="J52" s="1"/>
      <c r="K52" s="1"/>
      <c r="L52" s="1"/>
      <c r="M52" s="1"/>
      <c r="N52" s="1"/>
      <c r="O52" s="1"/>
      <c r="P52" s="1"/>
      <c r="Q52" s="1"/>
      <c r="R52" s="1"/>
      <c r="S52"/>
      <c r="T52"/>
      <c r="U52"/>
      <c r="V52"/>
      <c r="W52"/>
      <c r="X52"/>
      <c r="Y52"/>
      <c r="Z52"/>
    </row>
    <row r="53" spans="1:26" ht="14.4" customHeight="1">
      <c r="B53" s="232" t="s">
        <v>183</v>
      </c>
    </row>
    <row r="54" spans="1:26" ht="14.4" customHeight="1">
      <c r="B54" t="s">
        <v>500</v>
      </c>
      <c r="D54" s="66">
        <f>'Balance Sheet'!E7</f>
        <v>1620.2787999999998</v>
      </c>
      <c r="E54" s="66">
        <f>'Balance Sheet'!F7</f>
        <v>1652.4046000000003</v>
      </c>
      <c r="F54" s="66">
        <f>'Balance Sheet'!G7</f>
        <v>2409.4607000000005</v>
      </c>
      <c r="G54" s="66">
        <f>'Balance Sheet'!H7</f>
        <v>2812.5396000000014</v>
      </c>
      <c r="H54" s="66">
        <f>'Balance Sheet'!I7</f>
        <v>2740.6304999999998</v>
      </c>
      <c r="I54" s="66">
        <f>Schedules!J62</f>
        <v>3216.7202667730057</v>
      </c>
      <c r="J54" s="66">
        <f>Schedules!K62</f>
        <v>3712.1631369522615</v>
      </c>
      <c r="K54" s="66">
        <f>Schedules!L62</f>
        <v>4363.6544847221412</v>
      </c>
      <c r="L54" s="66">
        <f>Schedules!M62</f>
        <v>4987.4965740888183</v>
      </c>
      <c r="M54" s="66">
        <f>Schedules!N62</f>
        <v>5559.1252217972369</v>
      </c>
      <c r="N54" s="66">
        <f>Schedules!O62</f>
        <v>6179.379310557656</v>
      </c>
      <c r="O54" s="66">
        <f>Schedules!P62</f>
        <v>6854.0938932963145</v>
      </c>
      <c r="P54" s="66">
        <f>Schedules!Q62</f>
        <v>7589.8042292906011</v>
      </c>
      <c r="Q54" s="66">
        <f>Schedules!R62</f>
        <v>8393.829808931192</v>
      </c>
      <c r="R54" s="66">
        <f>Schedules!S62</f>
        <v>9274.3684614556423</v>
      </c>
      <c r="S54" s="65"/>
    </row>
    <row r="55" spans="1:26" ht="14.4" customHeight="1">
      <c r="B55" t="s">
        <v>505</v>
      </c>
      <c r="D55" s="66">
        <f>'Balance Sheet'!E9</f>
        <v>0</v>
      </c>
      <c r="E55" s="66">
        <f>'Balance Sheet'!F9</f>
        <v>67.357100000000003</v>
      </c>
      <c r="F55" s="66">
        <f>'Balance Sheet'!G9</f>
        <v>114.3647</v>
      </c>
      <c r="G55" s="66">
        <f>'Balance Sheet'!H9</f>
        <v>119.06129999999999</v>
      </c>
      <c r="H55" s="66">
        <f>'Balance Sheet'!I9</f>
        <v>167.25</v>
      </c>
      <c r="I55" s="66">
        <f>Schedules!J69</f>
        <v>158.94934754656737</v>
      </c>
      <c r="J55" s="66">
        <f>Schedules!K69</f>
        <v>150.64869509313473</v>
      </c>
      <c r="K55" s="66">
        <f>Schedules!L69</f>
        <v>142.3480426397021</v>
      </c>
      <c r="L55" s="66">
        <f>Schedules!M69</f>
        <v>134.04739018626947</v>
      </c>
      <c r="M55" s="66">
        <f>Schedules!N69</f>
        <v>125.74673773283685</v>
      </c>
      <c r="N55" s="66">
        <f>Schedules!O69</f>
        <v>117.44608527940423</v>
      </c>
      <c r="O55" s="66">
        <f>Schedules!P69</f>
        <v>109.14543282597161</v>
      </c>
      <c r="P55" s="66">
        <f>Schedules!Q69</f>
        <v>100.84478037253899</v>
      </c>
      <c r="Q55" s="66">
        <f>Schedules!R69</f>
        <v>92.544127919106373</v>
      </c>
      <c r="R55" s="66">
        <f>Schedules!S69</f>
        <v>84.243475465673754</v>
      </c>
    </row>
    <row r="56" spans="1:26" ht="14.4" customHeight="1">
      <c r="B56" t="s">
        <v>503</v>
      </c>
      <c r="D56" s="66">
        <f>'Balance Sheet'!E8</f>
        <v>371.61620000000005</v>
      </c>
      <c r="E56" s="66">
        <f>'Balance Sheet'!F8</f>
        <v>669.87339999999995</v>
      </c>
      <c r="F56" s="66">
        <f>'Balance Sheet'!G8</f>
        <v>493.19199999999995</v>
      </c>
      <c r="G56" s="66">
        <f>'Balance Sheet'!H8</f>
        <v>207.09389999999999</v>
      </c>
      <c r="H56" s="66">
        <f>'Balance Sheet'!I8</f>
        <v>306.13</v>
      </c>
      <c r="I56" s="65">
        <f>Schedules!J75</f>
        <v>0</v>
      </c>
      <c r="J56" s="65">
        <f>Schedules!K75</f>
        <v>0</v>
      </c>
      <c r="K56" s="65">
        <f>Schedules!L75</f>
        <v>0</v>
      </c>
      <c r="L56" s="65">
        <f>Schedules!M75</f>
        <v>0</v>
      </c>
      <c r="M56" s="65">
        <f>Schedules!N75</f>
        <v>0</v>
      </c>
      <c r="N56" s="65">
        <f>Schedules!O75</f>
        <v>0</v>
      </c>
      <c r="O56" s="65">
        <f>Schedules!P75</f>
        <v>0</v>
      </c>
      <c r="P56" s="65">
        <f>Schedules!Q75</f>
        <v>0</v>
      </c>
      <c r="Q56" s="65">
        <f>Schedules!R75</f>
        <v>0</v>
      </c>
      <c r="R56" s="65">
        <f>Schedules!S75</f>
        <v>0</v>
      </c>
    </row>
    <row r="57" spans="1:26" ht="14.4" customHeight="1">
      <c r="B57" t="s">
        <v>13</v>
      </c>
      <c r="D57" s="66">
        <f>'Balance Sheet'!E10</f>
        <v>20.4422</v>
      </c>
      <c r="E57" s="66">
        <f>'Balance Sheet'!F10</f>
        <v>20.4422</v>
      </c>
      <c r="F57" s="66">
        <f>'Balance Sheet'!G10</f>
        <v>20.022500000000001</v>
      </c>
      <c r="G57" s="66">
        <f>'Balance Sheet'!H10</f>
        <v>20.022500000000001</v>
      </c>
      <c r="H57" s="66">
        <f>'Balance Sheet'!I10</f>
        <v>6492</v>
      </c>
      <c r="I57" s="66">
        <f>Schedules!J88</f>
        <v>6492</v>
      </c>
      <c r="J57" s="66">
        <f>Schedules!K88</f>
        <v>6492</v>
      </c>
      <c r="K57" s="66">
        <f>Schedules!L88</f>
        <v>6492</v>
      </c>
      <c r="L57" s="66">
        <f>Schedules!M88</f>
        <v>6492</v>
      </c>
      <c r="M57" s="66">
        <f>Schedules!N88</f>
        <v>6492</v>
      </c>
      <c r="N57" s="66">
        <f>Schedules!O88</f>
        <v>6492</v>
      </c>
      <c r="O57" s="66">
        <f>Schedules!P88</f>
        <v>6492</v>
      </c>
      <c r="P57" s="66">
        <f>Schedules!Q88</f>
        <v>6492</v>
      </c>
      <c r="Q57" s="66">
        <f>Schedules!R88</f>
        <v>6492</v>
      </c>
      <c r="R57" s="66">
        <f>Schedules!S88</f>
        <v>6492</v>
      </c>
    </row>
    <row r="58" spans="1:26" ht="14.4" customHeight="1">
      <c r="B58" t="s">
        <v>506</v>
      </c>
      <c r="D58" s="66">
        <f>'Balance Sheet'!E11</f>
        <v>18.428600000000003</v>
      </c>
      <c r="E58" s="66">
        <f>'Balance Sheet'!F11</f>
        <v>1842.6152</v>
      </c>
      <c r="F58" s="66">
        <f>'Balance Sheet'!G11</f>
        <v>1701.4632999999999</v>
      </c>
      <c r="G58" s="66">
        <f>'Balance Sheet'!H11</f>
        <v>1588.3397</v>
      </c>
      <c r="H58" s="66">
        <f>'Balance Sheet'!I11</f>
        <v>9604.66</v>
      </c>
      <c r="I58" s="66">
        <f>Schedules!J82</f>
        <v>9127.9787169304273</v>
      </c>
      <c r="J58" s="66">
        <f>Schedules!K82</f>
        <v>8651.2974338608547</v>
      </c>
      <c r="K58" s="66">
        <f>Schedules!L82</f>
        <v>8174.6161507912811</v>
      </c>
      <c r="L58" s="66">
        <f>Schedules!M82</f>
        <v>7697.9348677217076</v>
      </c>
      <c r="M58" s="66">
        <f>Schedules!N82</f>
        <v>7221.2535846521341</v>
      </c>
      <c r="N58" s="66">
        <f>Schedules!O82</f>
        <v>6744.5723015825606</v>
      </c>
      <c r="O58" s="66">
        <f>Schedules!P82</f>
        <v>6267.8910185129871</v>
      </c>
      <c r="P58" s="66">
        <f>Schedules!Q82</f>
        <v>5791.2097354434136</v>
      </c>
      <c r="Q58" s="66">
        <f>Schedules!R82</f>
        <v>5314.5284523738401</v>
      </c>
      <c r="R58" s="66">
        <f>Schedules!S82</f>
        <v>4837.8471693042666</v>
      </c>
    </row>
    <row r="59" spans="1:26" ht="14.4" customHeight="1">
      <c r="B59" t="s">
        <v>516</v>
      </c>
      <c r="D59" s="66">
        <f>'Balance Sheet'!E15</f>
        <v>68.019000000000005</v>
      </c>
      <c r="E59" s="66">
        <f>'Balance Sheet'!F15</f>
        <v>95.644600000000011</v>
      </c>
      <c r="F59" s="66">
        <f>'Balance Sheet'!G15</f>
        <v>205.0883</v>
      </c>
      <c r="G59" s="66">
        <f>'Balance Sheet'!H15</f>
        <v>155.33539999999999</v>
      </c>
      <c r="H59" s="66">
        <f>'Balance Sheet'!I15</f>
        <v>360.57000000000005</v>
      </c>
      <c r="I59" s="66">
        <f>Schedules!J92</f>
        <v>360.57000000000005</v>
      </c>
      <c r="J59" s="66">
        <f>Schedules!K92</f>
        <v>360.57000000000005</v>
      </c>
      <c r="K59" s="66">
        <f>Schedules!L92</f>
        <v>360.57000000000005</v>
      </c>
      <c r="L59" s="66">
        <f>Schedules!M92</f>
        <v>360.57000000000005</v>
      </c>
      <c r="M59" s="66">
        <f>Schedules!N92</f>
        <v>360.57000000000005</v>
      </c>
      <c r="N59" s="66">
        <f>Schedules!O92</f>
        <v>360.57000000000005</v>
      </c>
      <c r="O59" s="66">
        <f>Schedules!P92</f>
        <v>360.57000000000005</v>
      </c>
      <c r="P59" s="66">
        <f>Schedules!Q92</f>
        <v>360.57000000000005</v>
      </c>
      <c r="Q59" s="66">
        <f>Schedules!R92</f>
        <v>360.57000000000005</v>
      </c>
      <c r="R59" s="66">
        <f>Schedules!S92</f>
        <v>360.57000000000005</v>
      </c>
    </row>
    <row r="60" spans="1:26" ht="14.4" customHeight="1">
      <c r="B60" t="s">
        <v>562</v>
      </c>
      <c r="D60" s="66">
        <f>'Balance Sheet'!E20</f>
        <v>96.676599999999993</v>
      </c>
      <c r="E60" s="66">
        <f>'Balance Sheet'!F20</f>
        <v>74.184300000000007</v>
      </c>
      <c r="F60" s="66">
        <f>'Balance Sheet'!G20</f>
        <v>73.355000000000004</v>
      </c>
      <c r="G60" s="66">
        <f>'Balance Sheet'!H20</f>
        <v>66.281099999999995</v>
      </c>
      <c r="H60" s="66">
        <f>'Balance Sheet'!I20</f>
        <v>92.26</v>
      </c>
      <c r="I60" s="66">
        <f>Schedules!J96</f>
        <v>92.26</v>
      </c>
      <c r="J60" s="66">
        <f>Schedules!K96</f>
        <v>92.26</v>
      </c>
      <c r="K60" s="66">
        <f>Schedules!L96</f>
        <v>92.26</v>
      </c>
      <c r="L60" s="66">
        <f>Schedules!M96</f>
        <v>92.26</v>
      </c>
      <c r="M60" s="66">
        <f>Schedules!N96</f>
        <v>92.26</v>
      </c>
      <c r="N60" s="66">
        <f>Schedules!O96</f>
        <v>92.26</v>
      </c>
      <c r="O60" s="66">
        <f>Schedules!P96</f>
        <v>92.26</v>
      </c>
      <c r="P60" s="66">
        <f>Schedules!Q96</f>
        <v>92.26</v>
      </c>
      <c r="Q60" s="66">
        <f>Schedules!R96</f>
        <v>92.26</v>
      </c>
      <c r="R60" s="66">
        <f>Schedules!S96</f>
        <v>92.26</v>
      </c>
    </row>
    <row r="61" spans="1:26" ht="14.4" customHeight="1">
      <c r="B61" t="s">
        <v>517</v>
      </c>
      <c r="D61" s="66">
        <f>'Balance Sheet'!E22</f>
        <v>49.011000000000003</v>
      </c>
      <c r="E61" s="66">
        <f>'Balance Sheet'!F22</f>
        <v>39.286200000000001</v>
      </c>
      <c r="F61" s="66">
        <f>'Balance Sheet'!G22</f>
        <v>29.776900000000001</v>
      </c>
      <c r="G61" s="66">
        <f>'Balance Sheet'!H22</f>
        <v>80.397499999999994</v>
      </c>
      <c r="H61" s="66">
        <f>'Balance Sheet'!I22</f>
        <v>107.89</v>
      </c>
      <c r="I61" s="66">
        <f>Schedules!J104</f>
        <v>107.89</v>
      </c>
      <c r="J61" s="66">
        <f>Schedules!K104</f>
        <v>107.89</v>
      </c>
      <c r="K61" s="66">
        <f>Schedules!L104</f>
        <v>107.89</v>
      </c>
      <c r="L61" s="66">
        <f>Schedules!M104</f>
        <v>107.89</v>
      </c>
      <c r="M61" s="66">
        <f>Schedules!N104</f>
        <v>107.89</v>
      </c>
      <c r="N61" s="66">
        <f>Schedules!O104</f>
        <v>107.89</v>
      </c>
      <c r="O61" s="66">
        <f>Schedules!P104</f>
        <v>107.89</v>
      </c>
      <c r="P61" s="66">
        <f>Schedules!Q104</f>
        <v>107.89</v>
      </c>
      <c r="Q61" s="66">
        <f>Schedules!R104</f>
        <v>107.89</v>
      </c>
      <c r="R61" s="66">
        <f>Schedules!S104</f>
        <v>107.89</v>
      </c>
    </row>
    <row r="62" spans="1:26" ht="14.4" customHeight="1">
      <c r="B62" t="s">
        <v>518</v>
      </c>
      <c r="D62" s="66">
        <f>'Balance Sheet'!E21</f>
        <v>55.605600000000003</v>
      </c>
      <c r="E62" s="66">
        <f>'Balance Sheet'!F21</f>
        <v>79.824200000000005</v>
      </c>
      <c r="F62" s="66">
        <f>'Balance Sheet'!G21</f>
        <v>102.51530000000001</v>
      </c>
      <c r="G62" s="66">
        <f>'Balance Sheet'!H21</f>
        <v>81.983899999999991</v>
      </c>
      <c r="H62" s="66">
        <f>'Balance Sheet'!I21</f>
        <v>189.49</v>
      </c>
      <c r="I62" s="66">
        <f>Schedules!J100</f>
        <v>189.49</v>
      </c>
      <c r="J62" s="66">
        <f>Schedules!K100</f>
        <v>189.49</v>
      </c>
      <c r="K62" s="66">
        <f>Schedules!L100</f>
        <v>189.49</v>
      </c>
      <c r="L62" s="66">
        <f>Schedules!M100</f>
        <v>189.49</v>
      </c>
      <c r="M62" s="66">
        <f>Schedules!N100</f>
        <v>189.49</v>
      </c>
      <c r="N62" s="66">
        <f>Schedules!O100</f>
        <v>189.49</v>
      </c>
      <c r="O62" s="66">
        <f>Schedules!P100</f>
        <v>189.49</v>
      </c>
      <c r="P62" s="66">
        <f>Schedules!Q100</f>
        <v>189.49</v>
      </c>
      <c r="Q62" s="66">
        <f>Schedules!R100</f>
        <v>189.49</v>
      </c>
      <c r="R62" s="66">
        <f>Schedules!S100</f>
        <v>189.49</v>
      </c>
    </row>
    <row r="63" spans="1:26" ht="14.4" customHeight="1">
      <c r="B63" t="s">
        <v>522</v>
      </c>
      <c r="D63" s="66">
        <f>'Balance Sheet'!E12</f>
        <v>0.33360000000000001</v>
      </c>
      <c r="E63" s="66">
        <f>'Balance Sheet'!F12</f>
        <v>31.597899999999999</v>
      </c>
      <c r="F63" s="66">
        <f>'Balance Sheet'!G12</f>
        <v>56.953599999999994</v>
      </c>
      <c r="G63" s="66">
        <f>'Balance Sheet'!H12</f>
        <v>74.699200000000005</v>
      </c>
      <c r="H63" s="66">
        <f>'Balance Sheet'!I12</f>
        <v>519.54</v>
      </c>
      <c r="I63" s="66">
        <f>Schedules!J108</f>
        <v>519.54</v>
      </c>
      <c r="J63" s="66">
        <f>Schedules!K108</f>
        <v>519.54</v>
      </c>
      <c r="K63" s="66">
        <f>Schedules!L108</f>
        <v>519.54</v>
      </c>
      <c r="L63" s="66">
        <f>Schedules!M108</f>
        <v>519.54</v>
      </c>
      <c r="M63" s="66">
        <f>Schedules!N108</f>
        <v>519.54</v>
      </c>
      <c r="N63" s="66">
        <f>Schedules!O108</f>
        <v>519.54</v>
      </c>
      <c r="O63" s="66">
        <f>Schedules!P108</f>
        <v>519.54</v>
      </c>
      <c r="P63" s="66">
        <f>Schedules!Q108</f>
        <v>519.54</v>
      </c>
      <c r="Q63" s="66">
        <f>Schedules!R108</f>
        <v>519.54</v>
      </c>
      <c r="R63" s="66">
        <f>Schedules!S108</f>
        <v>519.54</v>
      </c>
    </row>
    <row r="64" spans="1:26" ht="14.4" customHeight="1">
      <c r="B64" t="s">
        <v>523</v>
      </c>
      <c r="D64" s="66">
        <f>'Balance Sheet'!E13</f>
        <v>165.7868</v>
      </c>
      <c r="E64" s="66">
        <f>'Balance Sheet'!F13</f>
        <v>167.74279999999999</v>
      </c>
      <c r="F64" s="66">
        <f>'Balance Sheet'!G13</f>
        <v>181.41119999999998</v>
      </c>
      <c r="G64" s="66">
        <f>'Balance Sheet'!H13</f>
        <v>189.28139999999999</v>
      </c>
      <c r="H64" s="66">
        <f>'Balance Sheet'!I13</f>
        <v>190.9</v>
      </c>
      <c r="I64" s="66">
        <f>Schedules!J112</f>
        <v>190.9</v>
      </c>
      <c r="J64" s="66">
        <f>Schedules!K112</f>
        <v>190.9</v>
      </c>
      <c r="K64" s="66">
        <f>Schedules!L112</f>
        <v>190.9</v>
      </c>
      <c r="L64" s="66">
        <f>Schedules!M112</f>
        <v>190.9</v>
      </c>
      <c r="M64" s="66">
        <f>Schedules!N112</f>
        <v>190.9</v>
      </c>
      <c r="N64" s="66">
        <f>Schedules!O112</f>
        <v>190.9</v>
      </c>
      <c r="O64" s="66">
        <f>Schedules!P112</f>
        <v>190.9</v>
      </c>
      <c r="P64" s="66">
        <f>Schedules!Q112</f>
        <v>190.9</v>
      </c>
      <c r="Q64" s="66">
        <f>Schedules!R112</f>
        <v>190.9</v>
      </c>
      <c r="R64" s="66">
        <f>Schedules!S112</f>
        <v>190.9</v>
      </c>
    </row>
    <row r="65" spans="1:26" s="20" customFormat="1" ht="14.4" customHeight="1" thickBot="1">
      <c r="B65" s="105" t="s">
        <v>519</v>
      </c>
      <c r="C65" s="105"/>
      <c r="D65" s="225">
        <f>SUM(D54:D64)</f>
        <v>2466.1983999999993</v>
      </c>
      <c r="E65" s="225">
        <f t="shared" ref="E65:M65" si="66">SUM(E54:E64)</f>
        <v>4740.9724999999989</v>
      </c>
      <c r="F65" s="225">
        <f t="shared" si="66"/>
        <v>5387.6035000000002</v>
      </c>
      <c r="G65" s="225">
        <f t="shared" si="66"/>
        <v>5395.0355000000009</v>
      </c>
      <c r="H65" s="225">
        <f t="shared" si="66"/>
        <v>20771.320500000002</v>
      </c>
      <c r="I65" s="225">
        <f t="shared" si="66"/>
        <v>20456.29833125</v>
      </c>
      <c r="J65" s="225">
        <f t="shared" si="66"/>
        <v>20466.75926590625</v>
      </c>
      <c r="K65" s="225">
        <f t="shared" si="66"/>
        <v>20633.268678153127</v>
      </c>
      <c r="L65" s="225">
        <f t="shared" si="66"/>
        <v>20772.128831996797</v>
      </c>
      <c r="M65" s="225">
        <f t="shared" si="66"/>
        <v>20858.775544182208</v>
      </c>
      <c r="N65" s="225">
        <f t="shared" ref="N65:R65" si="67">SUM(N54:N64)</f>
        <v>20994.047697419621</v>
      </c>
      <c r="O65" s="225">
        <f t="shared" si="67"/>
        <v>21183.780344635274</v>
      </c>
      <c r="P65" s="225">
        <f t="shared" si="67"/>
        <v>21434.508745106556</v>
      </c>
      <c r="Q65" s="225">
        <f t="shared" si="67"/>
        <v>21753.55238922414</v>
      </c>
      <c r="R65" s="225">
        <f t="shared" si="67"/>
        <v>22149.109106225584</v>
      </c>
      <c r="T65"/>
      <c r="U65"/>
      <c r="V65"/>
      <c r="W65"/>
      <c r="X65"/>
      <c r="Y65"/>
      <c r="Z65"/>
    </row>
    <row r="66" spans="1:26" ht="14.4" customHeight="1">
      <c r="D66" s="65"/>
      <c r="E66" s="65"/>
      <c r="F66" s="65"/>
      <c r="G66" s="65"/>
      <c r="H66" s="65"/>
    </row>
    <row r="67" spans="1:26" ht="14.4" customHeight="1">
      <c r="B67" s="232" t="s">
        <v>94</v>
      </c>
      <c r="D67" s="113"/>
      <c r="E67" s="76"/>
      <c r="F67" s="76"/>
      <c r="G67" s="76"/>
      <c r="H67" s="76"/>
      <c r="I67" s="76"/>
      <c r="J67" s="76"/>
      <c r="K67" s="76"/>
      <c r="L67" s="76"/>
      <c r="M67" s="76"/>
      <c r="N67" s="76"/>
      <c r="O67" s="76"/>
      <c r="P67" s="76"/>
      <c r="Q67" s="76"/>
      <c r="R67" s="76"/>
    </row>
    <row r="68" spans="1:26" s="27" customFormat="1" ht="14.4" customHeight="1">
      <c r="A68"/>
      <c r="B68" s="2" t="s">
        <v>8</v>
      </c>
      <c r="C68" s="1"/>
      <c r="D68" s="66">
        <f>'Balance Sheet'!E34</f>
        <v>167.18200000000002</v>
      </c>
      <c r="E68" s="66">
        <f>'Balance Sheet'!F34</f>
        <v>302.53469999999999</v>
      </c>
      <c r="F68" s="66">
        <f>'Balance Sheet'!G34</f>
        <v>304.82069999999999</v>
      </c>
      <c r="G68" s="66">
        <f>'Balance Sheet'!H34</f>
        <v>382.00749999999999</v>
      </c>
      <c r="H68" s="66">
        <f>'Balance Sheet'!I34</f>
        <v>407.36</v>
      </c>
      <c r="I68" s="89">
        <f>I145</f>
        <v>1160.7377255758443</v>
      </c>
      <c r="J68" s="89">
        <f t="shared" ref="J68:M68" si="68">J145</f>
        <v>3013.5062280800871</v>
      </c>
      <c r="K68" s="89">
        <f t="shared" si="68"/>
        <v>5297.2913534595755</v>
      </c>
      <c r="L68" s="89">
        <f t="shared" si="68"/>
        <v>8249.6811532634983</v>
      </c>
      <c r="M68" s="89">
        <f t="shared" si="68"/>
        <v>11409.642577412043</v>
      </c>
      <c r="N68" s="89">
        <f t="shared" ref="N68:R68" si="69">N145</f>
        <v>10287.808336151164</v>
      </c>
      <c r="O68" s="89">
        <f t="shared" si="69"/>
        <v>13877.885631527344</v>
      </c>
      <c r="P68" s="89">
        <f t="shared" si="69"/>
        <v>17914.175214168074</v>
      </c>
      <c r="Q68" s="89">
        <f t="shared" si="69"/>
        <v>22450.683161378678</v>
      </c>
      <c r="R68" s="89">
        <f t="shared" si="69"/>
        <v>27547.896153612724</v>
      </c>
      <c r="S68"/>
      <c r="T68"/>
      <c r="U68"/>
      <c r="V68"/>
      <c r="W68"/>
      <c r="X68"/>
      <c r="Y68"/>
      <c r="Z68"/>
    </row>
    <row r="69" spans="1:26" s="27" customFormat="1" ht="14.4" customHeight="1">
      <c r="A69"/>
      <c r="B69" s="72" t="s">
        <v>556</v>
      </c>
      <c r="C69" s="1"/>
      <c r="D69" s="66">
        <f>'Balance Sheet'!E35</f>
        <v>533.5598</v>
      </c>
      <c r="E69" s="66">
        <f>'Balance Sheet'!F35</f>
        <v>103.4068</v>
      </c>
      <c r="F69" s="66">
        <f>'Balance Sheet'!G35</f>
        <v>148.37790000000001</v>
      </c>
      <c r="G69" s="66">
        <f>'Balance Sheet'!H35</f>
        <v>815.9636999999999</v>
      </c>
      <c r="H69" s="66">
        <f>'Balance Sheet'!I35</f>
        <v>147.13999999999999</v>
      </c>
      <c r="I69" s="65">
        <f>H69</f>
        <v>147.13999999999999</v>
      </c>
      <c r="J69" s="65">
        <f t="shared" ref="J69:M69" si="70">I69</f>
        <v>147.13999999999999</v>
      </c>
      <c r="K69" s="65">
        <f t="shared" si="70"/>
        <v>147.13999999999999</v>
      </c>
      <c r="L69" s="65">
        <f t="shared" si="70"/>
        <v>147.13999999999999</v>
      </c>
      <c r="M69" s="65">
        <f t="shared" si="70"/>
        <v>147.13999999999999</v>
      </c>
      <c r="N69" s="65">
        <f t="shared" ref="N69" si="71">M69</f>
        <v>147.13999999999999</v>
      </c>
      <c r="O69" s="65">
        <f t="shared" ref="O69" si="72">N69</f>
        <v>147.13999999999999</v>
      </c>
      <c r="P69" s="65">
        <f t="shared" ref="P69" si="73">O69</f>
        <v>147.13999999999999</v>
      </c>
      <c r="Q69" s="65">
        <f t="shared" ref="Q69" si="74">P69</f>
        <v>147.13999999999999</v>
      </c>
      <c r="R69" s="65">
        <f t="shared" ref="R69" si="75">Q69</f>
        <v>147.13999999999999</v>
      </c>
      <c r="S69"/>
      <c r="T69"/>
      <c r="U69"/>
      <c r="V69"/>
      <c r="W69"/>
      <c r="X69"/>
      <c r="Y69"/>
      <c r="Z69"/>
    </row>
    <row r="70" spans="1:26" s="27" customFormat="1" ht="14.4" customHeight="1">
      <c r="A70"/>
      <c r="B70" s="2" t="s">
        <v>9</v>
      </c>
      <c r="C70" s="1"/>
      <c r="D70" s="66">
        <f>'Balance Sheet'!E26</f>
        <v>1183.5377000000001</v>
      </c>
      <c r="E70" s="66">
        <f>'Balance Sheet'!F26</f>
        <v>1760.2381</v>
      </c>
      <c r="F70" s="66">
        <f>'Balance Sheet'!G26</f>
        <v>1498.4582</v>
      </c>
      <c r="G70" s="66">
        <f>'Balance Sheet'!H26</f>
        <v>1553.4612</v>
      </c>
      <c r="H70" s="66">
        <f>'Balance Sheet'!I26</f>
        <v>2093.71</v>
      </c>
      <c r="I70" s="66">
        <f>Schedules!J165</f>
        <v>2311.8153078642554</v>
      </c>
      <c r="J70" s="66">
        <f>Schedules!K165</f>
        <v>2693.2648336618572</v>
      </c>
      <c r="K70" s="66">
        <f>Schedules!L165</f>
        <v>2907.9339819863012</v>
      </c>
      <c r="L70" s="66">
        <f>Schedules!M165</f>
        <v>3300.5050695544514</v>
      </c>
      <c r="M70" s="66">
        <f>Schedules!N165</f>
        <v>3696.5656779009855</v>
      </c>
      <c r="N70" s="66">
        <f>Schedules!O165</f>
        <v>4140.1535592491045</v>
      </c>
      <c r="O70" s="66">
        <f>Schedules!P165</f>
        <v>4636.9719863589971</v>
      </c>
      <c r="P70" s="66">
        <f>Schedules!Q165</f>
        <v>5193.4086247220775</v>
      </c>
      <c r="Q70" s="66">
        <f>Schedules!R165</f>
        <v>5816.6176596887271</v>
      </c>
      <c r="R70" s="66">
        <f>Schedules!S165</f>
        <v>6514.6117788513748</v>
      </c>
      <c r="S70"/>
      <c r="T70"/>
      <c r="U70"/>
      <c r="V70"/>
      <c r="W70"/>
      <c r="X70"/>
      <c r="Y70"/>
      <c r="Z70"/>
    </row>
    <row r="71" spans="1:26" s="27" customFormat="1" ht="14.4" customHeight="1">
      <c r="A71"/>
      <c r="B71" s="2" t="s">
        <v>451</v>
      </c>
      <c r="C71" s="1"/>
      <c r="D71" s="66">
        <f>'Balance Sheet'!E27</f>
        <v>330.61129999999997</v>
      </c>
      <c r="E71" s="66">
        <f>'Balance Sheet'!F27</f>
        <v>388.166</v>
      </c>
      <c r="F71" s="66">
        <f>'Balance Sheet'!G27</f>
        <v>576.42139999999995</v>
      </c>
      <c r="G71" s="66">
        <f>'Balance Sheet'!H27</f>
        <v>848.2811999999999</v>
      </c>
      <c r="H71" s="66">
        <f>'Balance Sheet'!I27</f>
        <v>1538.34</v>
      </c>
      <c r="I71" s="66">
        <f>Schedules!J160</f>
        <v>940.18059535786006</v>
      </c>
      <c r="J71" s="66">
        <f>Schedules!K160</f>
        <v>1095.3103935919071</v>
      </c>
      <c r="K71" s="66">
        <f>Schedules!L160</f>
        <v>1321.788173630137</v>
      </c>
      <c r="L71" s="66">
        <f>Schedules!M160</f>
        <v>1500.2295770702051</v>
      </c>
      <c r="M71" s="66">
        <f>Schedules!N160</f>
        <v>1680.2571263186298</v>
      </c>
      <c r="N71" s="66">
        <f>Schedules!O160</f>
        <v>1881.8879814768657</v>
      </c>
      <c r="O71" s="66">
        <f>Schedules!P160</f>
        <v>2107.7145392540897</v>
      </c>
      <c r="P71" s="66">
        <f>Schedules!Q160</f>
        <v>2360.6402839645807</v>
      </c>
      <c r="Q71" s="66">
        <f>Schedules!R160</f>
        <v>2643.9171180403305</v>
      </c>
      <c r="R71" s="66">
        <f>Schedules!S160</f>
        <v>2961.1871722051701</v>
      </c>
      <c r="S71"/>
      <c r="T71"/>
      <c r="U71"/>
      <c r="V71"/>
      <c r="W71"/>
      <c r="X71"/>
      <c r="Y71"/>
      <c r="Z71"/>
    </row>
    <row r="72" spans="1:26" s="27" customFormat="1" ht="14.4" customHeight="1">
      <c r="A72"/>
      <c r="B72" s="2" t="s">
        <v>191</v>
      </c>
      <c r="C72" s="1"/>
      <c r="D72" s="66">
        <f>'Balance Sheet'!E33</f>
        <v>1306.1741</v>
      </c>
      <c r="E72" s="66">
        <f>'Balance Sheet'!F33</f>
        <v>874.46179999999993</v>
      </c>
      <c r="F72" s="66">
        <f>'Balance Sheet'!G33</f>
        <v>1075.4741000000001</v>
      </c>
      <c r="G72" s="66">
        <f>'Balance Sheet'!H33</f>
        <v>2258.1124</v>
      </c>
      <c r="H72" s="66">
        <f>'Balance Sheet'!I33</f>
        <v>1690.84</v>
      </c>
      <c r="I72" s="66">
        <f>Schedules!J257</f>
        <v>1995.1911999999998</v>
      </c>
      <c r="J72" s="66">
        <f>Schedules!K257</f>
        <v>2324.3977479999999</v>
      </c>
      <c r="K72" s="66">
        <f>Schedules!L257</f>
        <v>2673.0574101999996</v>
      </c>
      <c r="L72" s="66">
        <f>Schedules!M257</f>
        <v>3033.9201605769995</v>
      </c>
      <c r="M72" s="66">
        <f>Schedules!N257</f>
        <v>3397.9905798462396</v>
      </c>
      <c r="N72" s="66">
        <f>Schedules!O257</f>
        <v>3805.7494494277885</v>
      </c>
      <c r="O72" s="66">
        <f>Schedules!P257</f>
        <v>4262.439383359123</v>
      </c>
      <c r="P72" s="66">
        <f>Schedules!Q257</f>
        <v>4773.9321093622184</v>
      </c>
      <c r="Q72" s="66">
        <f>Schedules!R257</f>
        <v>5346.8039624856847</v>
      </c>
      <c r="R72" s="66">
        <f>Schedules!S257</f>
        <v>5988.4204379839675</v>
      </c>
      <c r="S72"/>
      <c r="T72"/>
      <c r="U72"/>
      <c r="V72"/>
      <c r="W72"/>
      <c r="X72"/>
      <c r="Y72"/>
      <c r="Z72"/>
    </row>
    <row r="73" spans="1:26" s="27" customFormat="1" ht="14.4" customHeight="1">
      <c r="A73"/>
      <c r="B73" s="223" t="s">
        <v>11</v>
      </c>
      <c r="C73" s="4"/>
      <c r="D73" s="66">
        <f>'Balance Sheet'!E28</f>
        <v>385.56990000000002</v>
      </c>
      <c r="E73" s="66">
        <f>'Balance Sheet'!F28</f>
        <v>978.01089999999999</v>
      </c>
      <c r="F73" s="66">
        <f>'Balance Sheet'!G28</f>
        <v>724.3196999999999</v>
      </c>
      <c r="G73" s="66">
        <f>'Balance Sheet'!H28</f>
        <v>710.4011999999999</v>
      </c>
      <c r="H73" s="66">
        <f>'Balance Sheet'!I28</f>
        <v>1110.8800000000001</v>
      </c>
      <c r="I73" s="66">
        <f>Schedules!J171</f>
        <v>993.89393999999993</v>
      </c>
      <c r="J73" s="66">
        <f>Schedules!K171</f>
        <v>1157.8864401000001</v>
      </c>
      <c r="K73" s="66">
        <f>Schedules!L171</f>
        <v>1331.569406115</v>
      </c>
      <c r="L73" s="66">
        <f>Schedules!M171</f>
        <v>1511.3312759405248</v>
      </c>
      <c r="M73" s="66">
        <f>Schedules!N171</f>
        <v>1692.6910290533879</v>
      </c>
      <c r="N73" s="66">
        <f>Schedules!O171</f>
        <v>1895.8139525397946</v>
      </c>
      <c r="O73" s="66">
        <f>Schedules!P171</f>
        <v>2123.3116268445701</v>
      </c>
      <c r="P73" s="66">
        <f>Schedules!Q171</f>
        <v>2378.1090220659185</v>
      </c>
      <c r="Q73" s="66">
        <f>Schedules!R171</f>
        <v>2663.4821047138294</v>
      </c>
      <c r="R73" s="66">
        <f>Schedules!S171</f>
        <v>2983.099957279489</v>
      </c>
      <c r="S73"/>
      <c r="T73"/>
      <c r="U73"/>
      <c r="V73"/>
      <c r="W73"/>
      <c r="X73"/>
      <c r="Y73"/>
      <c r="Z73"/>
    </row>
    <row r="74" spans="1:26" s="27" customFormat="1" ht="14.4" customHeight="1">
      <c r="A74"/>
      <c r="B74" s="5" t="s">
        <v>12</v>
      </c>
      <c r="C74" s="6"/>
      <c r="D74" s="75">
        <f>SUM(D68:D73)</f>
        <v>3906.6348000000003</v>
      </c>
      <c r="E74" s="75">
        <f t="shared" ref="E74:H74" si="76">SUM(E68:E73)</f>
        <v>4406.8182999999999</v>
      </c>
      <c r="F74" s="75">
        <f t="shared" si="76"/>
        <v>4327.8720000000003</v>
      </c>
      <c r="G74" s="75">
        <f t="shared" si="76"/>
        <v>6568.2271999999994</v>
      </c>
      <c r="H74" s="75">
        <f t="shared" si="76"/>
        <v>6988.27</v>
      </c>
      <c r="I74" s="75">
        <f t="shared" ref="I74:M74" si="77">SUM(I68:I73)</f>
        <v>7548.9587687979583</v>
      </c>
      <c r="J74" s="75">
        <f t="shared" si="77"/>
        <v>10431.505643433851</v>
      </c>
      <c r="K74" s="75">
        <f t="shared" si="77"/>
        <v>13678.780325391013</v>
      </c>
      <c r="L74" s="75">
        <f t="shared" si="77"/>
        <v>17742.807236405679</v>
      </c>
      <c r="M74" s="75">
        <f t="shared" si="77"/>
        <v>22024.286990531287</v>
      </c>
      <c r="N74" s="75">
        <f t="shared" ref="N74:R74" si="78">SUM(N68:N73)</f>
        <v>22158.553278844716</v>
      </c>
      <c r="O74" s="75">
        <f t="shared" si="78"/>
        <v>27155.463167344122</v>
      </c>
      <c r="P74" s="75">
        <f t="shared" si="78"/>
        <v>32767.405254282865</v>
      </c>
      <c r="Q74" s="75">
        <f t="shared" si="78"/>
        <v>39068.644006307251</v>
      </c>
      <c r="R74" s="75">
        <f t="shared" si="78"/>
        <v>46142.355499932724</v>
      </c>
      <c r="S74"/>
      <c r="T74"/>
      <c r="U74"/>
      <c r="V74"/>
      <c r="W74"/>
      <c r="X74"/>
      <c r="Y74"/>
      <c r="Z74"/>
    </row>
    <row r="75" spans="1:26" s="27" customFormat="1" ht="14.4" customHeight="1">
      <c r="A75"/>
      <c r="B75" s="3"/>
      <c r="C75" s="490"/>
      <c r="D75" s="8"/>
      <c r="E75" s="8"/>
      <c r="F75" s="8"/>
      <c r="G75" s="8"/>
      <c r="H75" s="8"/>
      <c r="I75" s="8"/>
      <c r="J75" s="8"/>
      <c r="K75" s="8"/>
      <c r="L75" s="8"/>
      <c r="M75" s="8"/>
      <c r="N75" s="8"/>
      <c r="O75" s="8"/>
      <c r="P75" s="8"/>
      <c r="Q75" s="8"/>
      <c r="R75" s="8"/>
      <c r="S75"/>
      <c r="T75"/>
      <c r="U75"/>
      <c r="V75"/>
      <c r="W75"/>
      <c r="X75"/>
      <c r="Y75"/>
      <c r="Z75"/>
    </row>
    <row r="76" spans="1:26" ht="14.4" customHeight="1" thickBot="1">
      <c r="B76" s="234" t="s">
        <v>14</v>
      </c>
      <c r="C76" s="234"/>
      <c r="D76" s="228">
        <f>D74+D65</f>
        <v>6372.8331999999991</v>
      </c>
      <c r="E76" s="228">
        <f t="shared" ref="E76:M76" si="79">E74+E65</f>
        <v>9147.7907999999989</v>
      </c>
      <c r="F76" s="228">
        <f t="shared" si="79"/>
        <v>9715.4755000000005</v>
      </c>
      <c r="G76" s="228">
        <f t="shared" si="79"/>
        <v>11963.262699999999</v>
      </c>
      <c r="H76" s="228">
        <f t="shared" si="79"/>
        <v>27759.590500000002</v>
      </c>
      <c r="I76" s="228">
        <f t="shared" si="79"/>
        <v>28005.257100047958</v>
      </c>
      <c r="J76" s="228">
        <f t="shared" si="79"/>
        <v>30898.264909340101</v>
      </c>
      <c r="K76" s="228">
        <f t="shared" si="79"/>
        <v>34312.04900354414</v>
      </c>
      <c r="L76" s="228">
        <f t="shared" si="79"/>
        <v>38514.936068402472</v>
      </c>
      <c r="M76" s="228">
        <f t="shared" si="79"/>
        <v>42883.062534713492</v>
      </c>
      <c r="N76" s="228">
        <f t="shared" ref="N76:R76" si="80">N74+N65</f>
        <v>43152.600976264337</v>
      </c>
      <c r="O76" s="228">
        <f t="shared" si="80"/>
        <v>48339.243511979395</v>
      </c>
      <c r="P76" s="228">
        <f t="shared" si="80"/>
        <v>54201.91399938942</v>
      </c>
      <c r="Q76" s="228">
        <f t="shared" si="80"/>
        <v>60822.196395531391</v>
      </c>
      <c r="R76" s="228">
        <f t="shared" si="80"/>
        <v>68291.464606158304</v>
      </c>
    </row>
    <row r="77" spans="1:26" s="27" customFormat="1" ht="14.4" customHeight="1">
      <c r="A77"/>
      <c r="B77" s="1"/>
      <c r="C77" s="1"/>
      <c r="D77" s="7"/>
      <c r="E77" s="7"/>
      <c r="F77" s="7"/>
      <c r="G77" s="10"/>
      <c r="H77" s="10"/>
      <c r="I77" s="10"/>
      <c r="J77" s="10"/>
      <c r="K77" s="10"/>
      <c r="L77" s="10"/>
      <c r="M77" s="10"/>
      <c r="N77" s="10"/>
      <c r="O77" s="10"/>
      <c r="P77" s="10"/>
      <c r="Q77" s="10"/>
      <c r="R77" s="10"/>
      <c r="S77"/>
      <c r="T77"/>
      <c r="U77"/>
      <c r="V77"/>
      <c r="W77"/>
      <c r="X77"/>
      <c r="Y77"/>
      <c r="Z77"/>
    </row>
    <row r="78" spans="1:26" s="27" customFormat="1" ht="14.4" customHeight="1">
      <c r="A78"/>
      <c r="B78" s="6" t="s">
        <v>557</v>
      </c>
      <c r="C78" s="1"/>
      <c r="D78" s="7"/>
      <c r="E78" s="7"/>
      <c r="F78" s="7"/>
      <c r="G78" s="10"/>
      <c r="H78" s="10"/>
      <c r="I78" s="10"/>
      <c r="J78" s="10"/>
      <c r="K78" s="10"/>
      <c r="L78" s="10"/>
      <c r="M78" s="10"/>
      <c r="N78" s="10"/>
      <c r="O78" s="10"/>
      <c r="P78" s="10"/>
      <c r="Q78" s="10"/>
      <c r="R78" s="10"/>
      <c r="S78"/>
      <c r="T78"/>
      <c r="U78"/>
      <c r="V78"/>
      <c r="W78"/>
      <c r="X78"/>
      <c r="Y78"/>
      <c r="Z78"/>
    </row>
    <row r="79" spans="1:26" s="27" customFormat="1" ht="6.6" customHeight="1">
      <c r="A79"/>
      <c r="B79" s="6"/>
      <c r="C79" s="1"/>
      <c r="D79" s="7"/>
      <c r="E79" s="7"/>
      <c r="F79" s="7"/>
      <c r="G79" s="10"/>
      <c r="H79" s="10"/>
      <c r="I79" s="10"/>
      <c r="J79" s="10"/>
      <c r="K79" s="10"/>
      <c r="L79" s="10"/>
      <c r="M79" s="10"/>
      <c r="N79" s="10"/>
      <c r="O79" s="10"/>
      <c r="P79" s="10"/>
      <c r="Q79" s="10"/>
      <c r="R79" s="10"/>
      <c r="S79"/>
      <c r="T79"/>
      <c r="U79"/>
      <c r="V79"/>
      <c r="W79"/>
      <c r="X79"/>
      <c r="Y79"/>
      <c r="Z79"/>
    </row>
    <row r="80" spans="1:26" s="27" customFormat="1" ht="14.4" customHeight="1">
      <c r="A80"/>
      <c r="B80" s="232" t="s">
        <v>558</v>
      </c>
      <c r="C80" s="1"/>
      <c r="D80" s="7"/>
      <c r="E80" s="7"/>
      <c r="F80" s="7"/>
      <c r="G80" s="10"/>
      <c r="H80" s="10"/>
      <c r="I80" s="10"/>
      <c r="J80" s="10"/>
      <c r="K80" s="10"/>
      <c r="L80" s="10"/>
      <c r="M80" s="10"/>
      <c r="N80" s="10"/>
      <c r="O80" s="10"/>
      <c r="P80" s="10"/>
      <c r="Q80" s="10"/>
      <c r="R80" s="10"/>
      <c r="S80"/>
      <c r="T80"/>
      <c r="U80"/>
      <c r="V80"/>
      <c r="W80"/>
      <c r="X80"/>
      <c r="Y80"/>
      <c r="Z80"/>
    </row>
    <row r="81" spans="1:26" s="39" customFormat="1" ht="14.4" customHeight="1">
      <c r="A81"/>
      <c r="B81" t="s">
        <v>206</v>
      </c>
      <c r="C81" s="1"/>
      <c r="D81" s="66">
        <f>'Balance Sheet'!E43</f>
        <v>40.058799999999998</v>
      </c>
      <c r="E81" s="66">
        <f>'Balance Sheet'!F43</f>
        <v>40.058799999999998</v>
      </c>
      <c r="F81" s="66">
        <f>'Balance Sheet'!G43</f>
        <v>40.058799999999998</v>
      </c>
      <c r="G81" s="66">
        <f>'Balance Sheet'!H43</f>
        <v>40.058799999999998</v>
      </c>
      <c r="H81" s="66">
        <f>'Balance Sheet'!I43</f>
        <v>41.26</v>
      </c>
      <c r="I81" s="89">
        <f>H81</f>
        <v>41.26</v>
      </c>
      <c r="J81" s="89">
        <f>I81</f>
        <v>41.26</v>
      </c>
      <c r="K81" s="89">
        <f t="shared" ref="K81:M81" si="81">J81</f>
        <v>41.26</v>
      </c>
      <c r="L81" s="89">
        <f t="shared" si="81"/>
        <v>41.26</v>
      </c>
      <c r="M81" s="89">
        <f t="shared" si="81"/>
        <v>41.26</v>
      </c>
      <c r="N81" s="89">
        <f t="shared" ref="N81" si="82">M81</f>
        <v>41.26</v>
      </c>
      <c r="O81" s="89">
        <f t="shared" ref="O81" si="83">N81</f>
        <v>41.26</v>
      </c>
      <c r="P81" s="89">
        <f t="shared" ref="P81" si="84">O81</f>
        <v>41.26</v>
      </c>
      <c r="Q81" s="89">
        <f t="shared" ref="Q81" si="85">P81</f>
        <v>41.26</v>
      </c>
      <c r="R81" s="89">
        <f t="shared" ref="R81" si="86">Q81</f>
        <v>41.26</v>
      </c>
      <c r="S81"/>
      <c r="T81"/>
      <c r="U81"/>
      <c r="V81"/>
      <c r="W81"/>
      <c r="X81"/>
      <c r="Y81"/>
      <c r="Z81"/>
    </row>
    <row r="82" spans="1:26" s="27" customFormat="1" ht="14.4" customHeight="1">
      <c r="A82"/>
      <c r="B82" t="s">
        <v>207</v>
      </c>
      <c r="C82" s="1"/>
      <c r="D82" s="66">
        <f>'Balance Sheet'!E44</f>
        <v>4681.9449999999997</v>
      </c>
      <c r="E82" s="66">
        <f>'Balance Sheet'!F44</f>
        <v>6115.1732999999995</v>
      </c>
      <c r="F82" s="66">
        <f>'Balance Sheet'!G44</f>
        <v>7395.5640000000003</v>
      </c>
      <c r="G82" s="66">
        <f>'Balance Sheet'!H44</f>
        <v>9323.0293000000001</v>
      </c>
      <c r="H82" s="66">
        <f>'Balance Sheet'!I44</f>
        <v>14291.13</v>
      </c>
      <c r="I82" s="66">
        <f>Schedules!J152</f>
        <v>16020.454578130151</v>
      </c>
      <c r="J82" s="66">
        <f>Schedules!K152</f>
        <v>18271.934637197635</v>
      </c>
      <c r="K82" s="66">
        <f>Schedules!L152</f>
        <v>21016.894637480851</v>
      </c>
      <c r="L82" s="66">
        <f>Schedules!M152</f>
        <v>24285.775793592016</v>
      </c>
      <c r="M82" s="66">
        <f>Schedules!N152</f>
        <v>28109.550913436258</v>
      </c>
      <c r="N82" s="66">
        <f>Schedules!O152</f>
        <v>32511.812050705248</v>
      </c>
      <c r="O82" s="66">
        <f>Schedules!P152</f>
        <v>37562.717018846241</v>
      </c>
      <c r="P82" s="66">
        <f>Schedules!Q152</f>
        <v>43286.884878632154</v>
      </c>
      <c r="Q82" s="66">
        <f>Schedules!R152</f>
        <v>49765.877441176679</v>
      </c>
      <c r="R82" s="66">
        <f>Schedules!S152</f>
        <v>57091.058672716506</v>
      </c>
      <c r="S82"/>
      <c r="T82"/>
      <c r="U82"/>
      <c r="V82"/>
      <c r="W82"/>
      <c r="X82"/>
      <c r="Y82"/>
      <c r="Z82"/>
    </row>
    <row r="83" spans="1:26" s="27" customFormat="1" ht="14.4" customHeight="1">
      <c r="A83"/>
      <c r="B83" s="226" t="s">
        <v>559</v>
      </c>
      <c r="C83" s="75"/>
      <c r="D83" s="75">
        <f>D82+D81</f>
        <v>4722.0037999999995</v>
      </c>
      <c r="E83" s="75">
        <f t="shared" ref="E83:M83" si="87">E82+E81</f>
        <v>6155.2320999999993</v>
      </c>
      <c r="F83" s="75">
        <f t="shared" si="87"/>
        <v>7435.6228000000001</v>
      </c>
      <c r="G83" s="75">
        <f t="shared" si="87"/>
        <v>9363.0881000000008</v>
      </c>
      <c r="H83" s="75">
        <f t="shared" si="87"/>
        <v>14332.39</v>
      </c>
      <c r="I83" s="75">
        <f t="shared" si="87"/>
        <v>16061.714578130151</v>
      </c>
      <c r="J83" s="75">
        <f t="shared" si="87"/>
        <v>18313.194637197634</v>
      </c>
      <c r="K83" s="75">
        <f t="shared" si="87"/>
        <v>21058.154637480849</v>
      </c>
      <c r="L83" s="75">
        <f t="shared" si="87"/>
        <v>24327.035793592015</v>
      </c>
      <c r="M83" s="75">
        <f t="shared" si="87"/>
        <v>28150.810913436257</v>
      </c>
      <c r="N83" s="75">
        <f t="shared" ref="N83:R83" si="88">N82+N81</f>
        <v>32553.072050705247</v>
      </c>
      <c r="O83" s="75">
        <f t="shared" si="88"/>
        <v>37603.977018846243</v>
      </c>
      <c r="P83" s="75">
        <f t="shared" si="88"/>
        <v>43328.144878632156</v>
      </c>
      <c r="Q83" s="75">
        <f t="shared" si="88"/>
        <v>49807.137441176681</v>
      </c>
      <c r="R83" s="75">
        <f t="shared" si="88"/>
        <v>57132.318672716508</v>
      </c>
      <c r="S83"/>
      <c r="T83"/>
      <c r="U83"/>
      <c r="V83"/>
      <c r="W83"/>
      <c r="X83"/>
      <c r="Y83"/>
      <c r="Z83"/>
    </row>
    <row r="84" spans="1:26" s="27" customFormat="1" ht="14.4" customHeight="1">
      <c r="A84"/>
      <c r="B84" s="1" t="s">
        <v>560</v>
      </c>
      <c r="C84" s="1"/>
      <c r="D84" s="66">
        <f>'Balance Sheet'!E46</f>
        <v>140.88739999999999</v>
      </c>
      <c r="E84" s="66">
        <f>'Balance Sheet'!F46</f>
        <v>161.07990000000001</v>
      </c>
      <c r="F84" s="66">
        <f>'Balance Sheet'!G46</f>
        <v>188.0701</v>
      </c>
      <c r="G84" s="66">
        <f>'Balance Sheet'!H46</f>
        <v>212.7</v>
      </c>
      <c r="H84" s="66">
        <f>'Balance Sheet'!I46</f>
        <v>235.79</v>
      </c>
      <c r="I84" s="89">
        <f>H84</f>
        <v>235.79</v>
      </c>
      <c r="J84" s="89">
        <f>I84</f>
        <v>235.79</v>
      </c>
      <c r="K84" s="89">
        <f t="shared" ref="K84:M84" si="89">J84</f>
        <v>235.79</v>
      </c>
      <c r="L84" s="89">
        <f t="shared" si="89"/>
        <v>235.79</v>
      </c>
      <c r="M84" s="89">
        <f t="shared" si="89"/>
        <v>235.79</v>
      </c>
      <c r="N84" s="89">
        <f t="shared" ref="N84" si="90">M84</f>
        <v>235.79</v>
      </c>
      <c r="O84" s="89">
        <f t="shared" ref="O84" si="91">N84</f>
        <v>235.79</v>
      </c>
      <c r="P84" s="89">
        <f t="shared" ref="P84" si="92">O84</f>
        <v>235.79</v>
      </c>
      <c r="Q84" s="89">
        <f t="shared" ref="Q84" si="93">P84</f>
        <v>235.79</v>
      </c>
      <c r="R84" s="89">
        <f t="shared" ref="R84" si="94">Q84</f>
        <v>235.79</v>
      </c>
      <c r="S84"/>
      <c r="T84"/>
      <c r="U84"/>
      <c r="V84"/>
      <c r="W84"/>
      <c r="X84"/>
      <c r="Y84"/>
      <c r="Z84"/>
    </row>
    <row r="85" spans="1:26" s="26" customFormat="1" ht="14.4" customHeight="1">
      <c r="A85" s="20"/>
      <c r="B85" s="227" t="s">
        <v>102</v>
      </c>
      <c r="C85" s="227"/>
      <c r="D85" s="75">
        <f>D83+D84</f>
        <v>4862.8911999999991</v>
      </c>
      <c r="E85" s="75">
        <f t="shared" ref="E85:H85" si="95">E83+E84</f>
        <v>6316.311999999999</v>
      </c>
      <c r="F85" s="75">
        <f t="shared" si="95"/>
        <v>7623.6929</v>
      </c>
      <c r="G85" s="75">
        <f t="shared" si="95"/>
        <v>9575.7881000000016</v>
      </c>
      <c r="H85" s="75">
        <f t="shared" si="95"/>
        <v>14568.18</v>
      </c>
      <c r="I85" s="75">
        <f t="shared" ref="I85" si="96">I83+I84</f>
        <v>16297.504578130152</v>
      </c>
      <c r="J85" s="75">
        <f t="shared" ref="J85" si="97">J83+J84</f>
        <v>18548.984637197635</v>
      </c>
      <c r="K85" s="75">
        <f t="shared" ref="K85" si="98">K83+K84</f>
        <v>21293.94463748085</v>
      </c>
      <c r="L85" s="75">
        <f t="shared" ref="L85" si="99">L83+L84</f>
        <v>24562.825793592016</v>
      </c>
      <c r="M85" s="75">
        <f t="shared" ref="M85:R85" si="100">M83+M84</f>
        <v>28386.600913436258</v>
      </c>
      <c r="N85" s="75">
        <f t="shared" si="100"/>
        <v>32788.862050705247</v>
      </c>
      <c r="O85" s="75">
        <f t="shared" si="100"/>
        <v>37839.767018846243</v>
      </c>
      <c r="P85" s="75">
        <f t="shared" si="100"/>
        <v>43563.934878632157</v>
      </c>
      <c r="Q85" s="75">
        <f t="shared" si="100"/>
        <v>50042.927441176682</v>
      </c>
      <c r="R85" s="75">
        <f t="shared" si="100"/>
        <v>57368.108672716509</v>
      </c>
      <c r="S85" s="20"/>
      <c r="T85"/>
      <c r="U85"/>
      <c r="V85"/>
      <c r="W85"/>
      <c r="X85"/>
      <c r="Y85"/>
      <c r="Z85"/>
    </row>
    <row r="86" spans="1:26" s="27" customFormat="1" ht="14.4" customHeight="1">
      <c r="A86"/>
      <c r="B86" s="1"/>
      <c r="C86" s="1"/>
      <c r="D86" s="7"/>
      <c r="E86" s="7"/>
      <c r="F86" s="7"/>
      <c r="G86" s="10"/>
      <c r="H86" s="10"/>
      <c r="I86" s="10"/>
      <c r="J86" s="10"/>
      <c r="K86" s="10"/>
      <c r="L86" s="10"/>
      <c r="M86" s="10"/>
      <c r="N86" s="10"/>
      <c r="O86" s="10"/>
      <c r="P86" s="10"/>
      <c r="Q86" s="10"/>
      <c r="R86" s="10"/>
      <c r="S86"/>
      <c r="T86"/>
      <c r="U86"/>
      <c r="V86"/>
      <c r="W86"/>
      <c r="X86"/>
      <c r="Y86"/>
      <c r="Z86"/>
    </row>
    <row r="87" spans="1:26" s="27" customFormat="1" ht="14.4" customHeight="1">
      <c r="A87"/>
      <c r="B87" s="232" t="s">
        <v>561</v>
      </c>
      <c r="C87" s="1"/>
      <c r="D87" s="7"/>
      <c r="E87" s="7"/>
      <c r="F87" s="7"/>
      <c r="G87" s="10"/>
      <c r="H87" s="10"/>
      <c r="I87" s="10"/>
      <c r="J87" s="10"/>
      <c r="K87" s="10"/>
      <c r="L87" s="10"/>
      <c r="M87" s="10"/>
      <c r="N87" s="10"/>
      <c r="O87" s="10"/>
      <c r="P87" s="10"/>
      <c r="Q87" s="10"/>
      <c r="R87" s="10"/>
      <c r="S87"/>
      <c r="T87"/>
      <c r="U87"/>
      <c r="V87"/>
      <c r="W87"/>
      <c r="X87"/>
      <c r="Y87"/>
      <c r="Z87"/>
    </row>
    <row r="88" spans="1:26" s="27" customFormat="1" ht="14.4" customHeight="1">
      <c r="A88"/>
      <c r="B88" s="20"/>
      <c r="C88" s="1"/>
      <c r="D88" s="7"/>
      <c r="E88" s="7"/>
      <c r="F88" s="7"/>
      <c r="G88" s="10"/>
      <c r="H88" s="10"/>
      <c r="I88" s="10"/>
      <c r="J88" s="10"/>
      <c r="K88" s="10"/>
      <c r="L88" s="10"/>
      <c r="M88" s="10"/>
      <c r="N88" s="10"/>
      <c r="O88" s="10"/>
      <c r="P88" s="10"/>
      <c r="Q88" s="10"/>
      <c r="R88" s="10"/>
      <c r="S88"/>
      <c r="T88"/>
      <c r="U88"/>
      <c r="V88"/>
      <c r="W88"/>
      <c r="X88"/>
      <c r="Y88"/>
      <c r="Z88"/>
    </row>
    <row r="89" spans="1:26" s="27" customFormat="1" ht="14.4" customHeight="1">
      <c r="A89"/>
      <c r="B89" s="231" t="s">
        <v>563</v>
      </c>
      <c r="C89" s="1"/>
      <c r="D89" s="7"/>
      <c r="E89" s="7"/>
      <c r="F89" s="7"/>
      <c r="G89" s="10"/>
      <c r="H89" s="10"/>
      <c r="I89" s="10"/>
      <c r="J89" s="10"/>
      <c r="K89" s="10"/>
      <c r="L89" s="10"/>
      <c r="M89" s="10"/>
      <c r="N89" s="10"/>
      <c r="O89" s="10"/>
      <c r="P89" s="10"/>
      <c r="Q89" s="10"/>
      <c r="R89" s="10"/>
      <c r="S89"/>
      <c r="T89"/>
      <c r="U89"/>
      <c r="V89"/>
      <c r="W89"/>
      <c r="X89"/>
      <c r="Y89"/>
      <c r="Z89"/>
    </row>
    <row r="90" spans="1:26" s="27" customFormat="1" ht="14.4" customHeight="1">
      <c r="A90"/>
      <c r="B90" s="122" t="s">
        <v>607</v>
      </c>
      <c r="C90" s="1"/>
      <c r="D90" s="66">
        <f>'Balance Sheet'!E51</f>
        <v>57.419899999999998</v>
      </c>
      <c r="E90" s="66">
        <f>'Balance Sheet'!F51</f>
        <v>49.193999999999996</v>
      </c>
      <c r="F90" s="66">
        <f>'Balance Sheet'!G51</f>
        <v>23.186499999999999</v>
      </c>
      <c r="G90" s="66">
        <f>'Balance Sheet'!H51</f>
        <v>24.867699999999999</v>
      </c>
      <c r="H90" s="66">
        <f>'Balance Sheet'!I51</f>
        <v>5526.19</v>
      </c>
      <c r="I90" s="66">
        <f>Schedules!J234</f>
        <v>5802.4994999999999</v>
      </c>
      <c r="J90" s="66">
        <f>Schedules!K234</f>
        <v>6092.6244750000005</v>
      </c>
      <c r="K90" s="66">
        <f>Schedules!L234</f>
        <v>6397.2556987500011</v>
      </c>
      <c r="L90" s="66">
        <f>Schedules!M234</f>
        <v>6525.200812725001</v>
      </c>
      <c r="M90" s="66">
        <f>Schedules!N234</f>
        <v>6655.7048289795011</v>
      </c>
      <c r="N90" s="66">
        <f>Schedules!O234</f>
        <v>6788.8189255590914</v>
      </c>
      <c r="O90" s="66">
        <f>Schedules!P234</f>
        <v>6924.5953040702734</v>
      </c>
      <c r="P90" s="66">
        <f>Schedules!Q234</f>
        <v>7063.0872101516788</v>
      </c>
      <c r="Q90" s="66">
        <f>Schedules!R234</f>
        <v>7204.348954354713</v>
      </c>
      <c r="R90" s="66">
        <f>Schedules!S234</f>
        <v>7348.4359334418077</v>
      </c>
      <c r="S90"/>
      <c r="T90"/>
      <c r="U90"/>
      <c r="V90"/>
      <c r="W90"/>
      <c r="X90"/>
      <c r="Y90"/>
      <c r="Z90"/>
    </row>
    <row r="91" spans="1:26" s="27" customFormat="1" ht="14.4" customHeight="1">
      <c r="A91"/>
      <c r="B91" s="122" t="s">
        <v>211</v>
      </c>
      <c r="C91" s="1"/>
      <c r="D91" s="66">
        <f>'Balance Sheet'!E52</f>
        <v>5.5104999999999995</v>
      </c>
      <c r="E91" s="66">
        <f>'Balance Sheet'!F52</f>
        <v>2.99</v>
      </c>
      <c r="F91" s="66">
        <f>'Balance Sheet'!G52</f>
        <v>5.1779999999999999</v>
      </c>
      <c r="G91" s="66">
        <f>'Balance Sheet'!H52</f>
        <v>7.7138</v>
      </c>
      <c r="H91" s="66">
        <f>'Balance Sheet'!I52</f>
        <v>14.03</v>
      </c>
      <c r="I91" s="89">
        <f t="shared" ref="I91:J94" si="101">H91</f>
        <v>14.03</v>
      </c>
      <c r="J91" s="89">
        <f t="shared" si="101"/>
        <v>14.03</v>
      </c>
      <c r="K91" s="89">
        <f t="shared" ref="K91:M91" si="102">J91</f>
        <v>14.03</v>
      </c>
      <c r="L91" s="89">
        <f t="shared" si="102"/>
        <v>14.03</v>
      </c>
      <c r="M91" s="89">
        <f t="shared" si="102"/>
        <v>14.03</v>
      </c>
      <c r="N91" s="89">
        <f t="shared" ref="N91:N94" si="103">M91</f>
        <v>14.03</v>
      </c>
      <c r="O91" s="89">
        <f t="shared" ref="O91:O94" si="104">N91</f>
        <v>14.03</v>
      </c>
      <c r="P91" s="89">
        <f t="shared" ref="P91:P94" si="105">O91</f>
        <v>14.03</v>
      </c>
      <c r="Q91" s="89">
        <f t="shared" ref="Q91:Q94" si="106">P91</f>
        <v>14.03</v>
      </c>
      <c r="R91" s="89">
        <f t="shared" ref="R91:R94" si="107">Q91</f>
        <v>14.03</v>
      </c>
      <c r="S91"/>
      <c r="T91"/>
      <c r="U91"/>
      <c r="V91"/>
      <c r="W91"/>
      <c r="X91"/>
      <c r="Y91"/>
      <c r="Z91"/>
    </row>
    <row r="92" spans="1:26" s="27" customFormat="1" ht="14.4" customHeight="1">
      <c r="A92"/>
      <c r="B92" s="122" t="s">
        <v>212</v>
      </c>
      <c r="C92" s="1"/>
      <c r="D92" s="66">
        <f>'Balance Sheet'!E53</f>
        <v>72.24430000000001</v>
      </c>
      <c r="E92" s="66">
        <f>'Balance Sheet'!F53</f>
        <v>80.004300000000001</v>
      </c>
      <c r="F92" s="66">
        <f>'Balance Sheet'!G53</f>
        <v>97.888799999999989</v>
      </c>
      <c r="G92" s="66">
        <f>'Balance Sheet'!H53</f>
        <v>123.12459999999999</v>
      </c>
      <c r="H92" s="66">
        <f>'Balance Sheet'!I53</f>
        <v>155.06</v>
      </c>
      <c r="I92" s="89">
        <f t="shared" si="101"/>
        <v>155.06</v>
      </c>
      <c r="J92" s="89">
        <f t="shared" si="101"/>
        <v>155.06</v>
      </c>
      <c r="K92" s="89">
        <f t="shared" ref="K92:M94" si="108">J92</f>
        <v>155.06</v>
      </c>
      <c r="L92" s="89">
        <f t="shared" si="108"/>
        <v>155.06</v>
      </c>
      <c r="M92" s="89">
        <f t="shared" si="108"/>
        <v>155.06</v>
      </c>
      <c r="N92" s="89">
        <f t="shared" si="103"/>
        <v>155.06</v>
      </c>
      <c r="O92" s="89">
        <f t="shared" si="104"/>
        <v>155.06</v>
      </c>
      <c r="P92" s="89">
        <f t="shared" si="105"/>
        <v>155.06</v>
      </c>
      <c r="Q92" s="89">
        <f t="shared" si="106"/>
        <v>155.06</v>
      </c>
      <c r="R92" s="89">
        <f t="shared" si="107"/>
        <v>155.06</v>
      </c>
      <c r="S92"/>
      <c r="T92"/>
      <c r="U92"/>
      <c r="V92"/>
      <c r="W92"/>
      <c r="X92"/>
      <c r="Y92"/>
      <c r="Z92"/>
    </row>
    <row r="93" spans="1:26" s="27" customFormat="1" ht="14.4" customHeight="1">
      <c r="A93"/>
      <c r="B93" s="122" t="s">
        <v>213</v>
      </c>
      <c r="C93" s="1"/>
      <c r="D93" s="66">
        <f>'Balance Sheet'!E54</f>
        <v>13.0319</v>
      </c>
      <c r="E93" s="66">
        <f>'Balance Sheet'!F54</f>
        <v>55.620600000000003</v>
      </c>
      <c r="F93" s="66">
        <f>'Balance Sheet'!G54</f>
        <v>77.312100000000001</v>
      </c>
      <c r="G93" s="66">
        <f>'Balance Sheet'!H54</f>
        <v>89.069199999999995</v>
      </c>
      <c r="H93" s="66">
        <f>'Balance Sheet'!I54</f>
        <v>1812.51</v>
      </c>
      <c r="I93" s="89">
        <f t="shared" si="101"/>
        <v>1812.51</v>
      </c>
      <c r="J93" s="89">
        <f t="shared" si="101"/>
        <v>1812.51</v>
      </c>
      <c r="K93" s="89">
        <f t="shared" si="108"/>
        <v>1812.51</v>
      </c>
      <c r="L93" s="89">
        <f t="shared" si="108"/>
        <v>1812.51</v>
      </c>
      <c r="M93" s="89">
        <f t="shared" si="108"/>
        <v>1812.51</v>
      </c>
      <c r="N93" s="89">
        <f t="shared" si="103"/>
        <v>1812.51</v>
      </c>
      <c r="O93" s="89">
        <f t="shared" si="104"/>
        <v>1812.51</v>
      </c>
      <c r="P93" s="89">
        <f t="shared" si="105"/>
        <v>1812.51</v>
      </c>
      <c r="Q93" s="89">
        <f t="shared" si="106"/>
        <v>1812.51</v>
      </c>
      <c r="R93" s="89">
        <f t="shared" si="107"/>
        <v>1812.51</v>
      </c>
      <c r="S93"/>
      <c r="T93"/>
      <c r="U93"/>
      <c r="V93"/>
      <c r="W93"/>
      <c r="X93"/>
      <c r="Y93"/>
      <c r="Z93"/>
    </row>
    <row r="94" spans="1:26" s="27" customFormat="1" ht="14.4" customHeight="1">
      <c r="A94"/>
      <c r="B94" s="122" t="s">
        <v>214</v>
      </c>
      <c r="C94" s="1"/>
      <c r="D94" s="66">
        <f>'Balance Sheet'!E55</f>
        <v>7.8869000000000007</v>
      </c>
      <c r="E94" s="66">
        <f>'Balance Sheet'!F55</f>
        <v>20.154199999999999</v>
      </c>
      <c r="F94" s="66">
        <f>'Balance Sheet'!G55</f>
        <v>25.494600000000002</v>
      </c>
      <c r="G94" s="66">
        <f>'Balance Sheet'!H55</f>
        <v>22.961500000000001</v>
      </c>
      <c r="H94" s="66">
        <f>'Balance Sheet'!I55</f>
        <v>20</v>
      </c>
      <c r="I94" s="89">
        <f t="shared" si="101"/>
        <v>20</v>
      </c>
      <c r="J94" s="89">
        <f t="shared" si="101"/>
        <v>20</v>
      </c>
      <c r="K94" s="89">
        <f t="shared" si="108"/>
        <v>20</v>
      </c>
      <c r="L94" s="89">
        <f t="shared" si="108"/>
        <v>20</v>
      </c>
      <c r="M94" s="89">
        <f t="shared" si="108"/>
        <v>20</v>
      </c>
      <c r="N94" s="89">
        <f t="shared" si="103"/>
        <v>20</v>
      </c>
      <c r="O94" s="89">
        <f t="shared" si="104"/>
        <v>20</v>
      </c>
      <c r="P94" s="89">
        <f t="shared" si="105"/>
        <v>20</v>
      </c>
      <c r="Q94" s="89">
        <f t="shared" si="106"/>
        <v>20</v>
      </c>
      <c r="R94" s="89">
        <f t="shared" si="107"/>
        <v>20</v>
      </c>
      <c r="S94"/>
      <c r="T94"/>
      <c r="U94"/>
      <c r="V94"/>
      <c r="W94"/>
      <c r="X94"/>
      <c r="Y94"/>
      <c r="Z94"/>
    </row>
    <row r="95" spans="1:26" ht="14.4" customHeight="1">
      <c r="B95" s="227" t="s">
        <v>215</v>
      </c>
      <c r="C95" s="227"/>
      <c r="D95" s="75">
        <f>SUM(D90:D94)</f>
        <v>156.09350000000001</v>
      </c>
      <c r="E95" s="75">
        <f t="shared" ref="E95:H95" si="109">SUM(E90:E94)</f>
        <v>207.9631</v>
      </c>
      <c r="F95" s="75">
        <f t="shared" si="109"/>
        <v>229.06</v>
      </c>
      <c r="G95" s="75">
        <f t="shared" si="109"/>
        <v>267.73680000000002</v>
      </c>
      <c r="H95" s="75">
        <f t="shared" si="109"/>
        <v>7527.79</v>
      </c>
      <c r="I95" s="75">
        <f t="shared" ref="I95:M95" si="110">SUM(I90:I94)</f>
        <v>7804.0995000000003</v>
      </c>
      <c r="J95" s="75">
        <f t="shared" si="110"/>
        <v>8094.2244750000009</v>
      </c>
      <c r="K95" s="75">
        <f t="shared" si="110"/>
        <v>8398.8556987500015</v>
      </c>
      <c r="L95" s="75">
        <f t="shared" si="110"/>
        <v>8526.8008127250014</v>
      </c>
      <c r="M95" s="75">
        <f t="shared" si="110"/>
        <v>8657.3048289795006</v>
      </c>
      <c r="N95" s="75">
        <f t="shared" ref="N95:R95" si="111">SUM(N90:N94)</f>
        <v>8790.4189255590918</v>
      </c>
      <c r="O95" s="75">
        <f t="shared" si="111"/>
        <v>8926.1953040702738</v>
      </c>
      <c r="P95" s="75">
        <f t="shared" si="111"/>
        <v>9064.6872101516783</v>
      </c>
      <c r="Q95" s="75">
        <f t="shared" si="111"/>
        <v>9205.9489543547134</v>
      </c>
      <c r="R95" s="75">
        <f t="shared" si="111"/>
        <v>9350.0359334418081</v>
      </c>
    </row>
    <row r="96" spans="1:26" s="27" customFormat="1" ht="14.4" customHeight="1">
      <c r="A96"/>
      <c r="B96" s="1"/>
      <c r="C96" s="1"/>
      <c r="D96" s="7"/>
      <c r="E96" s="7"/>
      <c r="F96" s="7"/>
      <c r="G96" s="10"/>
      <c r="H96" s="10"/>
      <c r="I96" s="10"/>
      <c r="J96" s="10"/>
      <c r="K96" s="10"/>
      <c r="L96" s="10"/>
      <c r="M96" s="10"/>
      <c r="N96" s="10"/>
      <c r="O96" s="10"/>
      <c r="P96" s="10"/>
      <c r="Q96" s="10"/>
      <c r="R96" s="10"/>
      <c r="S96"/>
      <c r="T96"/>
      <c r="U96"/>
      <c r="V96"/>
      <c r="W96"/>
      <c r="X96"/>
      <c r="Y96"/>
      <c r="Z96"/>
    </row>
    <row r="97" spans="1:26" s="27" customFormat="1" ht="14.4" customHeight="1">
      <c r="A97"/>
      <c r="B97" s="231" t="s">
        <v>95</v>
      </c>
      <c r="C97" s="1"/>
      <c r="D97" s="7"/>
      <c r="E97" s="7"/>
      <c r="F97" s="7"/>
      <c r="G97" s="10"/>
      <c r="H97" s="10"/>
      <c r="I97" s="10"/>
      <c r="J97" s="10"/>
      <c r="K97" s="10"/>
      <c r="L97" s="10"/>
      <c r="M97" s="10"/>
      <c r="N97" s="10"/>
      <c r="O97" s="10"/>
      <c r="P97" s="10"/>
      <c r="Q97" s="10"/>
      <c r="R97" s="10"/>
      <c r="S97"/>
      <c r="T97"/>
      <c r="U97"/>
      <c r="V97"/>
      <c r="W97"/>
      <c r="X97"/>
      <c r="Y97"/>
      <c r="Z97"/>
    </row>
    <row r="98" spans="1:26" s="27" customFormat="1" ht="14.4" customHeight="1">
      <c r="A98"/>
      <c r="B98" s="122" t="s">
        <v>216</v>
      </c>
      <c r="C98" s="1"/>
      <c r="D98" s="66">
        <f>'Balance Sheet'!E59</f>
        <v>667.16750000000002</v>
      </c>
      <c r="E98" s="66">
        <f>'Balance Sheet'!F59</f>
        <v>1076.4388000000001</v>
      </c>
      <c r="F98" s="66">
        <f>'Balance Sheet'!G59</f>
        <v>1007.7633</v>
      </c>
      <c r="G98" s="66">
        <f>'Balance Sheet'!H59</f>
        <v>1102.9988000000001</v>
      </c>
      <c r="H98" s="66">
        <f>'Balance Sheet'!I59</f>
        <v>1133.4605000000001</v>
      </c>
      <c r="I98" s="66">
        <f>Schedules!J176</f>
        <v>1610.1200219178081</v>
      </c>
      <c r="J98" s="66">
        <f>Schedules!K176</f>
        <v>1842.6876521424654</v>
      </c>
      <c r="K98" s="66">
        <f>Schedules!L176</f>
        <v>2081.0233005632867</v>
      </c>
      <c r="L98" s="66">
        <f>Schedules!M176</f>
        <v>2318.7548343197091</v>
      </c>
      <c r="M98" s="66">
        <f>Schedules!N176</f>
        <v>2548.6140092000974</v>
      </c>
      <c r="N98" s="66">
        <f>Schedules!O176</f>
        <v>0</v>
      </c>
      <c r="O98" s="66">
        <f>Schedules!P176</f>
        <v>-4.9297238665625888E-2</v>
      </c>
      <c r="P98" s="66">
        <f>Schedules!Q176</f>
        <v>-3.753476858546996E-2</v>
      </c>
      <c r="Q98" s="66">
        <f>Schedules!R176</f>
        <v>0</v>
      </c>
      <c r="R98" s="66">
        <f>Schedules!S176</f>
        <v>0</v>
      </c>
      <c r="S98"/>
      <c r="T98"/>
      <c r="U98"/>
      <c r="V98"/>
      <c r="W98"/>
      <c r="X98"/>
      <c r="Y98"/>
      <c r="Z98"/>
    </row>
    <row r="99" spans="1:26" s="27" customFormat="1" ht="14.4" customHeight="1">
      <c r="A99"/>
      <c r="B99" s="122" t="s">
        <v>612</v>
      </c>
      <c r="C99" s="1"/>
      <c r="D99" s="66">
        <f>'Balance Sheet'!E61</f>
        <v>158.60389999999998</v>
      </c>
      <c r="E99" s="66">
        <f>'Balance Sheet'!F61</f>
        <v>818.83320000000003</v>
      </c>
      <c r="F99" s="66">
        <f>'Balance Sheet'!G61</f>
        <v>139.48990000000001</v>
      </c>
      <c r="G99" s="66">
        <f>'Balance Sheet'!H61</f>
        <v>171.16810000000001</v>
      </c>
      <c r="H99" s="66">
        <f>'Balance Sheet'!I61</f>
        <v>2956.84</v>
      </c>
      <c r="I99" s="66">
        <f>Schedules!J180</f>
        <v>720.21299999999997</v>
      </c>
      <c r="J99" s="66">
        <f>Schedules!K180</f>
        <v>839.04814499999998</v>
      </c>
      <c r="K99" s="66">
        <f>Schedules!L180</f>
        <v>964.90536674999987</v>
      </c>
      <c r="L99" s="66">
        <f>Schedules!M180</f>
        <v>1533.2346277657498</v>
      </c>
      <c r="M99" s="66">
        <f>Schedules!N180</f>
        <v>1717.2227830976399</v>
      </c>
      <c r="N99" s="66">
        <f>Schedules!O180</f>
        <v>0</v>
      </c>
      <c r="O99" s="66">
        <f>Schedules!P180</f>
        <v>1.0486301550627793E-2</v>
      </c>
      <c r="P99" s="66">
        <f>Schedules!Q180</f>
        <v>9.445374180015155E-3</v>
      </c>
      <c r="Q99" s="66">
        <f>Schedules!R180</f>
        <v>0</v>
      </c>
      <c r="R99" s="66">
        <f>Schedules!S180</f>
        <v>0</v>
      </c>
      <c r="S99"/>
      <c r="T99"/>
      <c r="U99"/>
      <c r="V99"/>
      <c r="W99"/>
      <c r="X99"/>
      <c r="Y99"/>
      <c r="Z99"/>
    </row>
    <row r="100" spans="1:26" s="27" customFormat="1" ht="14.4" customHeight="1">
      <c r="A100"/>
      <c r="B100" s="122" t="s">
        <v>211</v>
      </c>
      <c r="C100" s="1"/>
      <c r="D100" s="66">
        <f>'Balance Sheet'!E62</f>
        <v>0</v>
      </c>
      <c r="E100" s="66">
        <f>'Balance Sheet'!F62</f>
        <v>2.0571999999999999</v>
      </c>
      <c r="F100" s="66">
        <f>'Balance Sheet'!G62</f>
        <v>2.5565000000000002</v>
      </c>
      <c r="G100" s="66">
        <f>'Balance Sheet'!H62</f>
        <v>3.4227999999999996</v>
      </c>
      <c r="H100" s="66">
        <f>'Balance Sheet'!I62</f>
        <v>14.39</v>
      </c>
      <c r="I100" s="89">
        <f>H100</f>
        <v>14.39</v>
      </c>
      <c r="J100" s="89">
        <f>I100</f>
        <v>14.39</v>
      </c>
      <c r="K100" s="89">
        <f t="shared" ref="K100:M100" si="112">J100</f>
        <v>14.39</v>
      </c>
      <c r="L100" s="89">
        <f t="shared" si="112"/>
        <v>14.39</v>
      </c>
      <c r="M100" s="89">
        <f t="shared" si="112"/>
        <v>14.39</v>
      </c>
      <c r="N100" s="89">
        <f t="shared" ref="N100:N104" si="113">M100</f>
        <v>14.39</v>
      </c>
      <c r="O100" s="89">
        <f t="shared" ref="O100:O104" si="114">N100</f>
        <v>14.39</v>
      </c>
      <c r="P100" s="89">
        <f t="shared" ref="P100:P104" si="115">O100</f>
        <v>14.39</v>
      </c>
      <c r="Q100" s="89">
        <f t="shared" ref="Q100:Q104" si="116">P100</f>
        <v>14.39</v>
      </c>
      <c r="R100" s="89">
        <f t="shared" ref="R100:R104" si="117">Q100</f>
        <v>14.39</v>
      </c>
      <c r="S100"/>
      <c r="T100"/>
      <c r="U100"/>
      <c r="V100"/>
      <c r="W100"/>
      <c r="X100"/>
      <c r="Y100"/>
      <c r="Z100"/>
    </row>
    <row r="101" spans="1:26" s="27" customFormat="1" ht="14.4" customHeight="1">
      <c r="A101"/>
      <c r="B101" s="122" t="s">
        <v>217</v>
      </c>
      <c r="C101" s="1"/>
      <c r="D101" s="66">
        <f>'Balance Sheet'!E63</f>
        <v>183.58689999999999</v>
      </c>
      <c r="E101" s="66">
        <f>'Balance Sheet'!F63</f>
        <v>221.489</v>
      </c>
      <c r="F101" s="66">
        <f>'Balance Sheet'!G63</f>
        <v>236.49180000000001</v>
      </c>
      <c r="G101" s="66">
        <f>'Balance Sheet'!H63</f>
        <v>235.54910000000001</v>
      </c>
      <c r="H101" s="66">
        <f>'Balance Sheet'!I63</f>
        <v>674.16</v>
      </c>
      <c r="I101" s="89">
        <f t="shared" ref="I101:M104" si="118">H101</f>
        <v>674.16</v>
      </c>
      <c r="J101" s="89">
        <f t="shared" si="118"/>
        <v>674.16</v>
      </c>
      <c r="K101" s="89">
        <f t="shared" si="118"/>
        <v>674.16</v>
      </c>
      <c r="L101" s="89">
        <f t="shared" si="118"/>
        <v>674.16</v>
      </c>
      <c r="M101" s="89">
        <f t="shared" si="118"/>
        <v>674.16</v>
      </c>
      <c r="N101" s="89">
        <f t="shared" si="113"/>
        <v>674.16</v>
      </c>
      <c r="O101" s="89">
        <f t="shared" si="114"/>
        <v>674.16</v>
      </c>
      <c r="P101" s="89">
        <f t="shared" si="115"/>
        <v>674.16</v>
      </c>
      <c r="Q101" s="89">
        <f t="shared" si="116"/>
        <v>674.16</v>
      </c>
      <c r="R101" s="89">
        <f t="shared" si="117"/>
        <v>674.16</v>
      </c>
      <c r="S101"/>
      <c r="T101"/>
      <c r="U101"/>
      <c r="V101"/>
      <c r="W101"/>
      <c r="X101"/>
      <c r="Y101"/>
      <c r="Z101"/>
    </row>
    <row r="102" spans="1:26" s="27" customFormat="1" ht="14.4" customHeight="1">
      <c r="A102"/>
      <c r="B102" s="122" t="s">
        <v>212</v>
      </c>
      <c r="C102" s="1"/>
      <c r="D102" s="66">
        <f>'Balance Sheet'!E64</f>
        <v>234.21849999999998</v>
      </c>
      <c r="E102" s="66">
        <f>'Balance Sheet'!F64</f>
        <v>264.51260000000002</v>
      </c>
      <c r="F102" s="66">
        <f>'Balance Sheet'!G64</f>
        <v>307.63040000000001</v>
      </c>
      <c r="G102" s="66">
        <f>'Balance Sheet'!H64</f>
        <v>389.30720000000002</v>
      </c>
      <c r="H102" s="66">
        <f>'Balance Sheet'!I64</f>
        <v>663.87</v>
      </c>
      <c r="I102" s="89">
        <f t="shared" si="118"/>
        <v>663.87</v>
      </c>
      <c r="J102" s="89">
        <f t="shared" si="118"/>
        <v>663.87</v>
      </c>
      <c r="K102" s="89">
        <f t="shared" si="118"/>
        <v>663.87</v>
      </c>
      <c r="L102" s="89">
        <f t="shared" si="118"/>
        <v>663.87</v>
      </c>
      <c r="M102" s="89">
        <f t="shared" si="118"/>
        <v>663.87</v>
      </c>
      <c r="N102" s="89">
        <f t="shared" si="113"/>
        <v>663.87</v>
      </c>
      <c r="O102" s="89">
        <f t="shared" si="114"/>
        <v>663.87</v>
      </c>
      <c r="P102" s="89">
        <f t="shared" si="115"/>
        <v>663.87</v>
      </c>
      <c r="Q102" s="89">
        <f t="shared" si="116"/>
        <v>663.87</v>
      </c>
      <c r="R102" s="89">
        <f t="shared" si="117"/>
        <v>663.87</v>
      </c>
      <c r="S102"/>
      <c r="T102"/>
      <c r="U102"/>
      <c r="V102"/>
      <c r="W102"/>
      <c r="X102"/>
      <c r="Y102"/>
      <c r="Z102"/>
    </row>
    <row r="103" spans="1:26" s="27" customFormat="1" ht="14.4" customHeight="1">
      <c r="A103"/>
      <c r="B103" s="122" t="s">
        <v>218</v>
      </c>
      <c r="C103" s="1"/>
      <c r="D103" s="66">
        <f>'Balance Sheet'!E65</f>
        <v>11.0847</v>
      </c>
      <c r="E103" s="66">
        <f>'Balance Sheet'!F65</f>
        <v>15.089600000000001</v>
      </c>
      <c r="F103" s="66">
        <f>'Balance Sheet'!G65</f>
        <v>46.255500000000005</v>
      </c>
      <c r="G103" s="66">
        <f>'Balance Sheet'!H65</f>
        <v>46.378700000000002</v>
      </c>
      <c r="H103" s="66">
        <f>'Balance Sheet'!I65</f>
        <v>18.079999999999998</v>
      </c>
      <c r="I103" s="89">
        <f t="shared" si="118"/>
        <v>18.079999999999998</v>
      </c>
      <c r="J103" s="89">
        <f t="shared" si="118"/>
        <v>18.079999999999998</v>
      </c>
      <c r="K103" s="89">
        <f t="shared" si="118"/>
        <v>18.079999999999998</v>
      </c>
      <c r="L103" s="89">
        <f t="shared" si="118"/>
        <v>18.079999999999998</v>
      </c>
      <c r="M103" s="89">
        <f t="shared" si="118"/>
        <v>18.079999999999998</v>
      </c>
      <c r="N103" s="89">
        <f t="shared" si="113"/>
        <v>18.079999999999998</v>
      </c>
      <c r="O103" s="89">
        <f t="shared" si="114"/>
        <v>18.079999999999998</v>
      </c>
      <c r="P103" s="89">
        <f t="shared" si="115"/>
        <v>18.079999999999998</v>
      </c>
      <c r="Q103" s="89">
        <f t="shared" si="116"/>
        <v>18.079999999999998</v>
      </c>
      <c r="R103" s="89">
        <f t="shared" si="117"/>
        <v>18.079999999999998</v>
      </c>
      <c r="S103"/>
      <c r="T103"/>
      <c r="U103"/>
      <c r="V103"/>
      <c r="W103"/>
      <c r="X103"/>
      <c r="Y103"/>
      <c r="Z103"/>
    </row>
    <row r="104" spans="1:26" s="27" customFormat="1" ht="14.4" customHeight="1">
      <c r="A104"/>
      <c r="B104" s="122" t="s">
        <v>219</v>
      </c>
      <c r="C104" s="1"/>
      <c r="D104" s="66">
        <f>'Balance Sheet'!E66</f>
        <v>99.187000000000012</v>
      </c>
      <c r="E104" s="66">
        <f>'Balance Sheet'!F66</f>
        <v>225.09529999999998</v>
      </c>
      <c r="F104" s="66">
        <f>'Balance Sheet'!G66</f>
        <v>122.5352</v>
      </c>
      <c r="G104" s="66">
        <f>'Balance Sheet'!H66</f>
        <v>170.91310000000001</v>
      </c>
      <c r="H104" s="66">
        <f>'Balance Sheet'!I66</f>
        <v>202.82</v>
      </c>
      <c r="I104" s="89">
        <f t="shared" si="118"/>
        <v>202.82</v>
      </c>
      <c r="J104" s="89">
        <f t="shared" si="118"/>
        <v>202.82</v>
      </c>
      <c r="K104" s="89">
        <f t="shared" si="118"/>
        <v>202.82</v>
      </c>
      <c r="L104" s="89">
        <f t="shared" si="118"/>
        <v>202.82</v>
      </c>
      <c r="M104" s="89">
        <f t="shared" si="118"/>
        <v>202.82</v>
      </c>
      <c r="N104" s="89">
        <f t="shared" si="113"/>
        <v>202.82</v>
      </c>
      <c r="O104" s="89">
        <f t="shared" si="114"/>
        <v>202.82</v>
      </c>
      <c r="P104" s="89">
        <f t="shared" si="115"/>
        <v>202.82</v>
      </c>
      <c r="Q104" s="89">
        <f t="shared" si="116"/>
        <v>202.82</v>
      </c>
      <c r="R104" s="89">
        <f t="shared" si="117"/>
        <v>202.82</v>
      </c>
      <c r="S104"/>
      <c r="T104"/>
      <c r="U104"/>
      <c r="V104"/>
      <c r="W104"/>
      <c r="X104"/>
      <c r="Y104"/>
      <c r="Z104"/>
    </row>
    <row r="105" spans="1:26" ht="14.4" customHeight="1">
      <c r="B105" s="227" t="s">
        <v>564</v>
      </c>
      <c r="C105" s="227"/>
      <c r="D105" s="75">
        <f>SUM(D98:D104)</f>
        <v>1353.8485000000001</v>
      </c>
      <c r="E105" s="75">
        <f t="shared" ref="E105:M105" si="119">SUM(E98:E104)</f>
        <v>2623.5156999999999</v>
      </c>
      <c r="F105" s="75">
        <f t="shared" si="119"/>
        <v>1862.7225999999998</v>
      </c>
      <c r="G105" s="75">
        <f t="shared" si="119"/>
        <v>2119.7378000000003</v>
      </c>
      <c r="H105" s="75">
        <f t="shared" si="119"/>
        <v>5663.6205</v>
      </c>
      <c r="I105" s="75">
        <f t="shared" si="119"/>
        <v>3903.6530219178076</v>
      </c>
      <c r="J105" s="75">
        <f t="shared" si="119"/>
        <v>4255.0557971424651</v>
      </c>
      <c r="K105" s="75">
        <f t="shared" si="119"/>
        <v>4619.2486673132862</v>
      </c>
      <c r="L105" s="75">
        <f t="shared" si="119"/>
        <v>5425.3094620854581</v>
      </c>
      <c r="M105" s="75">
        <f t="shared" si="119"/>
        <v>5839.1567922977374</v>
      </c>
      <c r="N105" s="75">
        <f t="shared" ref="N105:R105" si="120">SUM(N98:N104)</f>
        <v>1573.32</v>
      </c>
      <c r="O105" s="75">
        <f t="shared" si="120"/>
        <v>1573.2811890628848</v>
      </c>
      <c r="P105" s="75">
        <f t="shared" si="120"/>
        <v>1573.2919106055945</v>
      </c>
      <c r="Q105" s="75">
        <f t="shared" si="120"/>
        <v>1573.32</v>
      </c>
      <c r="R105" s="75">
        <f t="shared" si="120"/>
        <v>1573.32</v>
      </c>
    </row>
    <row r="106" spans="1:26" s="27" customFormat="1" ht="14.4" customHeight="1">
      <c r="A106"/>
      <c r="B106" s="1"/>
      <c r="C106" s="1"/>
      <c r="D106" s="7"/>
      <c r="E106" s="7"/>
      <c r="F106" s="7"/>
      <c r="G106" s="10"/>
      <c r="H106" s="10"/>
      <c r="I106" s="10"/>
      <c r="J106" s="10"/>
      <c r="K106" s="10"/>
      <c r="L106" s="10"/>
      <c r="M106" s="10"/>
      <c r="N106" s="10"/>
      <c r="O106" s="10"/>
      <c r="P106" s="10"/>
      <c r="Q106" s="10"/>
      <c r="R106" s="10"/>
      <c r="S106"/>
      <c r="T106"/>
      <c r="U106"/>
      <c r="V106"/>
      <c r="W106"/>
      <c r="X106"/>
      <c r="Y106"/>
      <c r="Z106"/>
    </row>
    <row r="107" spans="1:26" s="27" customFormat="1" ht="14.4" customHeight="1">
      <c r="A107"/>
      <c r="B107" s="227" t="s">
        <v>221</v>
      </c>
      <c r="C107" s="227"/>
      <c r="D107" s="75">
        <f>D105+D95+D85</f>
        <v>6372.8331999999991</v>
      </c>
      <c r="E107" s="75">
        <f t="shared" ref="E107:M107" si="121">E105+E95+E85</f>
        <v>9147.7907999999989</v>
      </c>
      <c r="F107" s="75">
        <f t="shared" si="121"/>
        <v>9715.4755000000005</v>
      </c>
      <c r="G107" s="75">
        <f t="shared" si="121"/>
        <v>11963.262700000003</v>
      </c>
      <c r="H107" s="75">
        <f t="shared" si="121"/>
        <v>27759.590499999998</v>
      </c>
      <c r="I107" s="75">
        <f t="shared" si="121"/>
        <v>28005.257100047958</v>
      </c>
      <c r="J107" s="75">
        <f t="shared" si="121"/>
        <v>30898.264909340101</v>
      </c>
      <c r="K107" s="75">
        <f t="shared" si="121"/>
        <v>34312.04900354414</v>
      </c>
      <c r="L107" s="75">
        <f t="shared" si="121"/>
        <v>38514.936068402472</v>
      </c>
      <c r="M107" s="75">
        <f t="shared" si="121"/>
        <v>42883.062534713492</v>
      </c>
      <c r="N107" s="75">
        <f t="shared" ref="N107:R107" si="122">N105+N95+N85</f>
        <v>43152.600976264337</v>
      </c>
      <c r="O107" s="75">
        <f t="shared" si="122"/>
        <v>48339.243511979403</v>
      </c>
      <c r="P107" s="75">
        <f t="shared" si="122"/>
        <v>54201.913999389428</v>
      </c>
      <c r="Q107" s="75">
        <f t="shared" si="122"/>
        <v>60822.196395531399</v>
      </c>
      <c r="R107" s="75">
        <f t="shared" si="122"/>
        <v>68291.464606158319</v>
      </c>
      <c r="S107"/>
      <c r="T107"/>
      <c r="U107"/>
      <c r="V107"/>
      <c r="W107"/>
      <c r="X107"/>
      <c r="Y107"/>
      <c r="Z107"/>
    </row>
    <row r="108" spans="1:26" s="27" customFormat="1" ht="14.4" customHeight="1">
      <c r="A108"/>
      <c r="B108"/>
      <c r="C108"/>
      <c r="D108"/>
      <c r="E108"/>
      <c r="F108"/>
      <c r="G108"/>
      <c r="H108"/>
      <c r="I108" s="65"/>
      <c r="J108"/>
      <c r="K108"/>
      <c r="L108"/>
      <c r="M108"/>
      <c r="N108"/>
      <c r="O108"/>
      <c r="P108"/>
      <c r="Q108"/>
      <c r="R108"/>
      <c r="S108"/>
      <c r="T108"/>
      <c r="U108"/>
      <c r="V108"/>
      <c r="W108"/>
      <c r="X108"/>
      <c r="Y108"/>
      <c r="Z108"/>
    </row>
    <row r="109" spans="1:26" s="26" customFormat="1" ht="14.4" customHeight="1">
      <c r="A109" s="20"/>
      <c r="B109" s="20" t="s">
        <v>76</v>
      </c>
      <c r="C109" s="20"/>
      <c r="D109" s="280">
        <f>D107-D76</f>
        <v>0</v>
      </c>
      <c r="E109" s="280">
        <f>E107-E76</f>
        <v>0</v>
      </c>
      <c r="F109" s="280">
        <f t="shared" ref="F109:M109" si="123">F107-F76</f>
        <v>0</v>
      </c>
      <c r="G109" s="280">
        <f t="shared" si="123"/>
        <v>0</v>
      </c>
      <c r="H109" s="280">
        <f t="shared" si="123"/>
        <v>0</v>
      </c>
      <c r="I109" s="280">
        <f t="shared" si="123"/>
        <v>0</v>
      </c>
      <c r="J109" s="280">
        <f t="shared" si="123"/>
        <v>0</v>
      </c>
      <c r="K109" s="280">
        <f t="shared" si="123"/>
        <v>0</v>
      </c>
      <c r="L109" s="280">
        <f t="shared" si="123"/>
        <v>0</v>
      </c>
      <c r="M109" s="280">
        <f t="shared" si="123"/>
        <v>0</v>
      </c>
      <c r="N109" s="280">
        <f t="shared" ref="N109:R109" si="124">N107-N76</f>
        <v>0</v>
      </c>
      <c r="O109" s="280">
        <f t="shared" si="124"/>
        <v>0</v>
      </c>
      <c r="P109" s="280">
        <f t="shared" si="124"/>
        <v>0</v>
      </c>
      <c r="Q109" s="280">
        <f t="shared" si="124"/>
        <v>0</v>
      </c>
      <c r="R109" s="280">
        <f t="shared" si="124"/>
        <v>0</v>
      </c>
      <c r="S109" s="20"/>
      <c r="T109"/>
      <c r="U109"/>
      <c r="V109"/>
      <c r="W109"/>
      <c r="X109"/>
      <c r="Y109"/>
      <c r="Z109"/>
    </row>
    <row r="110" spans="1:26" s="27" customFormat="1" ht="14.4" customHeight="1">
      <c r="A110"/>
      <c r="B110"/>
      <c r="C110"/>
      <c r="D110"/>
      <c r="E110"/>
      <c r="F110"/>
      <c r="G110"/>
      <c r="H110"/>
      <c r="I110"/>
      <c r="J110"/>
      <c r="K110"/>
      <c r="L110"/>
      <c r="M110"/>
      <c r="N110"/>
      <c r="O110"/>
      <c r="P110"/>
      <c r="Q110"/>
      <c r="R110"/>
      <c r="S110"/>
      <c r="T110"/>
      <c r="U110" s="65"/>
      <c r="V110" s="98"/>
      <c r="W110" s="65"/>
      <c r="X110" s="272"/>
      <c r="Y110" s="213"/>
    </row>
    <row r="111" spans="1:26" s="27" customFormat="1" ht="14.4" customHeight="1">
      <c r="A111"/>
      <c r="B111" s="31" t="s">
        <v>77</v>
      </c>
      <c r="C111" s="31"/>
      <c r="D111" s="81">
        <f>D74-D105</f>
        <v>2552.7863000000002</v>
      </c>
      <c r="E111" s="81">
        <f t="shared" ref="E111:M111" si="125">E74-E105</f>
        <v>1783.3026</v>
      </c>
      <c r="F111" s="81">
        <f t="shared" si="125"/>
        <v>2465.1494000000002</v>
      </c>
      <c r="G111" s="81">
        <f t="shared" si="125"/>
        <v>4448.4893999999986</v>
      </c>
      <c r="H111" s="81">
        <f t="shared" si="125"/>
        <v>1324.6495000000004</v>
      </c>
      <c r="I111" s="81">
        <f t="shared" si="125"/>
        <v>3645.3057468801508</v>
      </c>
      <c r="J111" s="81">
        <f t="shared" si="125"/>
        <v>6176.4498462913862</v>
      </c>
      <c r="K111" s="81">
        <f t="shared" si="125"/>
        <v>9059.5316580777271</v>
      </c>
      <c r="L111" s="81">
        <f t="shared" si="125"/>
        <v>12317.497774320222</v>
      </c>
      <c r="M111" s="81">
        <f t="shared" si="125"/>
        <v>16185.13019823355</v>
      </c>
      <c r="N111" s="81">
        <f t="shared" ref="N111:R111" si="126">N74-N105</f>
        <v>20585.233278844717</v>
      </c>
      <c r="O111" s="81">
        <f t="shared" si="126"/>
        <v>25582.181978281238</v>
      </c>
      <c r="P111" s="81">
        <f t="shared" si="126"/>
        <v>31194.113343677269</v>
      </c>
      <c r="Q111" s="81">
        <f t="shared" si="126"/>
        <v>37495.324006307252</v>
      </c>
      <c r="R111" s="81">
        <f t="shared" si="126"/>
        <v>44569.035499932725</v>
      </c>
      <c r="S111"/>
      <c r="T111"/>
      <c r="U111"/>
      <c r="V111"/>
      <c r="W111"/>
    </row>
    <row r="112" spans="1:26" s="27" customFormat="1" ht="14.4" customHeight="1">
      <c r="A112"/>
      <c r="B112" s="31" t="s">
        <v>53</v>
      </c>
      <c r="C112" s="31"/>
      <c r="D112" s="308">
        <f>Schedules!E161</f>
        <v>0</v>
      </c>
      <c r="E112" s="308">
        <f>Schedules!F161</f>
        <v>16.857409035116898</v>
      </c>
      <c r="F112" s="308">
        <f>Schedules!G161</f>
        <v>20.119840965694571</v>
      </c>
      <c r="G112" s="308">
        <f>Schedules!H161</f>
        <v>25.158577188514592</v>
      </c>
      <c r="H112" s="308">
        <f>Schedules!I161</f>
        <v>35.6810329319243</v>
      </c>
      <c r="I112" s="308">
        <f>Schedules!J161</f>
        <v>23.823918570313154</v>
      </c>
      <c r="J112" s="308">
        <f>Schedules!K161</f>
        <v>23.823918570313154</v>
      </c>
      <c r="K112" s="308">
        <f>Schedules!L161</f>
        <v>25</v>
      </c>
      <c r="L112" s="308">
        <f>Schedules!M161</f>
        <v>25</v>
      </c>
      <c r="M112" s="308">
        <f>Schedules!N161</f>
        <v>25</v>
      </c>
      <c r="N112" s="308">
        <f>Schedules!O161</f>
        <v>25</v>
      </c>
      <c r="O112" s="308">
        <f>Schedules!P161</f>
        <v>25</v>
      </c>
      <c r="P112" s="308">
        <f>Schedules!Q161</f>
        <v>25</v>
      </c>
      <c r="Q112" s="308">
        <f>Schedules!R161</f>
        <v>25</v>
      </c>
      <c r="R112" s="308">
        <f>Schedules!S161</f>
        <v>25</v>
      </c>
      <c r="S112"/>
      <c r="T112"/>
      <c r="U112"/>
      <c r="V112"/>
      <c r="W112"/>
    </row>
    <row r="113" spans="1:23" s="27" customFormat="1" ht="14.4" customHeight="1">
      <c r="A113"/>
      <c r="B113" s="31" t="s">
        <v>54</v>
      </c>
      <c r="C113" s="31"/>
      <c r="D113" s="308">
        <f>Schedules!E166</f>
        <v>0</v>
      </c>
      <c r="E113" s="308">
        <f>Schedules!F166</f>
        <v>69.040066747069616</v>
      </c>
      <c r="F113" s="308">
        <f>Schedules!G166</f>
        <v>67.971498810265757</v>
      </c>
      <c r="G113" s="308">
        <f>Schedules!H166</f>
        <v>53.893317663647942</v>
      </c>
      <c r="H113" s="308">
        <f>Schedules!I166</f>
        <v>54.526807897108213</v>
      </c>
      <c r="I113" s="308">
        <f>Schedules!J166</f>
        <v>58.580766201835651</v>
      </c>
      <c r="J113" s="308">
        <f>Schedules!K166</f>
        <v>58.580766201835651</v>
      </c>
      <c r="K113" s="308">
        <f>Schedules!L166</f>
        <v>55</v>
      </c>
      <c r="L113" s="308">
        <f>Schedules!M166</f>
        <v>55</v>
      </c>
      <c r="M113" s="308">
        <f>Schedules!N166</f>
        <v>55</v>
      </c>
      <c r="N113" s="308">
        <f>Schedules!O166</f>
        <v>55</v>
      </c>
      <c r="O113" s="308">
        <f>Schedules!P166</f>
        <v>55</v>
      </c>
      <c r="P113" s="308">
        <f>Schedules!Q166</f>
        <v>55</v>
      </c>
      <c r="Q113" s="308">
        <f>Schedules!R166</f>
        <v>55</v>
      </c>
      <c r="R113" s="308">
        <f>Schedules!S166</f>
        <v>55</v>
      </c>
      <c r="S113"/>
      <c r="T113"/>
      <c r="U113"/>
      <c r="V113"/>
      <c r="W113"/>
    </row>
    <row r="114" spans="1:23" s="27" customFormat="1" ht="14.4" customHeight="1">
      <c r="A114"/>
      <c r="B114" s="31" t="s">
        <v>583</v>
      </c>
      <c r="C114" s="31"/>
      <c r="D114" s="308">
        <f>Schedules!E177</f>
        <v>0</v>
      </c>
      <c r="E114" s="308">
        <f>Schedules!F177</f>
        <v>131.39712518959598</v>
      </c>
      <c r="F114" s="308">
        <f>Schedules!G177</f>
        <v>130.54688367685532</v>
      </c>
      <c r="G114" s="308">
        <f>Schedules!H177</f>
        <v>120.01575702233973</v>
      </c>
      <c r="H114" s="308">
        <f>Schedules!I177</f>
        <v>105.87537930864534</v>
      </c>
      <c r="I114" s="308">
        <f>Schedules!J177</f>
        <v>120</v>
      </c>
      <c r="J114" s="308">
        <f>Schedules!K177</f>
        <v>120</v>
      </c>
      <c r="K114" s="308">
        <f>Schedules!L177</f>
        <v>120</v>
      </c>
      <c r="L114" s="308">
        <f>Schedules!M177</f>
        <v>120</v>
      </c>
      <c r="M114" s="308">
        <f>Schedules!N177</f>
        <v>120</v>
      </c>
      <c r="N114" s="308">
        <f>Schedules!O177</f>
        <v>120</v>
      </c>
      <c r="O114" s="308">
        <f>Schedules!P177</f>
        <v>120</v>
      </c>
      <c r="P114" s="308">
        <f>Schedules!Q177</f>
        <v>120</v>
      </c>
      <c r="Q114" s="308">
        <f>Schedules!R177</f>
        <v>120</v>
      </c>
      <c r="R114" s="308">
        <f>Schedules!S177</f>
        <v>120</v>
      </c>
      <c r="S114"/>
      <c r="T114"/>
      <c r="U114"/>
      <c r="V114"/>
      <c r="W114"/>
    </row>
    <row r="115" spans="1:23" s="27" customFormat="1" ht="14.4" customHeight="1">
      <c r="A115"/>
      <c r="B115" s="31" t="s">
        <v>55</v>
      </c>
      <c r="C115" s="31"/>
      <c r="D115" s="82">
        <f>D73/D13</f>
        <v>6.1949904643363231E-2</v>
      </c>
      <c r="E115" s="82">
        <f t="shared" ref="E115:M115" si="127">E73/E13</f>
        <v>0.12568321979754407</v>
      </c>
      <c r="F115" s="82">
        <f t="shared" si="127"/>
        <v>8.2784758738080499E-2</v>
      </c>
      <c r="G115" s="82">
        <f t="shared" si="127"/>
        <v>6.8738915699235473E-2</v>
      </c>
      <c r="H115" s="82">
        <f t="shared" si="127"/>
        <v>9.1003522569017781E-2</v>
      </c>
      <c r="I115" s="82">
        <f t="shared" si="127"/>
        <v>6.9000000000000006E-2</v>
      </c>
      <c r="J115" s="82">
        <f t="shared" si="127"/>
        <v>6.9000000000000006E-2</v>
      </c>
      <c r="K115" s="82">
        <f t="shared" si="127"/>
        <v>6.9000000000000006E-2</v>
      </c>
      <c r="L115" s="82">
        <f t="shared" si="127"/>
        <v>6.9000000000000006E-2</v>
      </c>
      <c r="M115" s="82">
        <f t="shared" si="127"/>
        <v>6.9000000000000006E-2</v>
      </c>
      <c r="N115" s="82">
        <f t="shared" ref="N115:R115" si="128">N73/N13</f>
        <v>6.9000000000000006E-2</v>
      </c>
      <c r="O115" s="82">
        <f t="shared" si="128"/>
        <v>6.9000000000000006E-2</v>
      </c>
      <c r="P115" s="82">
        <f t="shared" si="128"/>
        <v>6.9000000000000006E-2</v>
      </c>
      <c r="Q115" s="82">
        <f t="shared" si="128"/>
        <v>6.9000000000000006E-2</v>
      </c>
      <c r="R115" s="82">
        <f t="shared" si="128"/>
        <v>6.9000000000000006E-2</v>
      </c>
      <c r="S115"/>
      <c r="T115"/>
      <c r="U115"/>
      <c r="V115"/>
      <c r="W115"/>
    </row>
    <row r="116" spans="1:23" s="27" customFormat="1" ht="14.4" customHeight="1">
      <c r="A116"/>
      <c r="B116" s="31" t="s">
        <v>58</v>
      </c>
      <c r="C116" s="31"/>
      <c r="D116" s="82">
        <f>D104/D13</f>
        <v>1.5936475310601966E-2</v>
      </c>
      <c r="E116" s="82">
        <f t="shared" ref="E116:M116" si="129">E104/E13</f>
        <v>2.8926775831735738E-2</v>
      </c>
      <c r="F116" s="82">
        <f t="shared" si="129"/>
        <v>1.4004930376631261E-2</v>
      </c>
      <c r="G116" s="82">
        <f t="shared" si="129"/>
        <v>1.653767078771123E-2</v>
      </c>
      <c r="H116" s="82">
        <f t="shared" si="129"/>
        <v>1.6615056934545753E-2</v>
      </c>
      <c r="I116" s="82">
        <f t="shared" si="129"/>
        <v>1.4080556724191317E-2</v>
      </c>
      <c r="J116" s="82">
        <f t="shared" si="129"/>
        <v>1.2086314784713576E-2</v>
      </c>
      <c r="K116" s="82">
        <f t="shared" si="129"/>
        <v>1.0509838943229197E-2</v>
      </c>
      <c r="L116" s="82">
        <f t="shared" si="129"/>
        <v>9.2597699940345363E-3</v>
      </c>
      <c r="M116" s="82">
        <f t="shared" si="129"/>
        <v>8.2676517803879773E-3</v>
      </c>
      <c r="N116" s="82">
        <f t="shared" ref="N116:R116" si="130">N104/N13</f>
        <v>7.3818319467749798E-3</v>
      </c>
      <c r="O116" s="82">
        <f t="shared" si="130"/>
        <v>6.5909213810490886E-3</v>
      </c>
      <c r="P116" s="82">
        <f t="shared" si="130"/>
        <v>5.8847512330795432E-3</v>
      </c>
      <c r="Q116" s="82">
        <f t="shared" si="130"/>
        <v>5.2542421723924485E-3</v>
      </c>
      <c r="R116" s="82">
        <f t="shared" si="130"/>
        <v>4.6912876539218287E-3</v>
      </c>
      <c r="S116"/>
      <c r="T116"/>
      <c r="U116"/>
      <c r="V116"/>
      <c r="W116"/>
    </row>
    <row r="117" spans="1:23" s="27" customFormat="1" ht="14.4" customHeight="1">
      <c r="A117"/>
      <c r="B117"/>
      <c r="C117"/>
      <c r="D117"/>
      <c r="E117"/>
      <c r="F117"/>
      <c r="G117"/>
      <c r="H117"/>
      <c r="I117"/>
      <c r="J117"/>
      <c r="K117"/>
      <c r="L117"/>
      <c r="M117"/>
      <c r="N117"/>
      <c r="O117"/>
      <c r="P117"/>
      <c r="Q117"/>
      <c r="R117"/>
      <c r="S117"/>
      <c r="T117"/>
      <c r="U117"/>
      <c r="V117"/>
      <c r="W117"/>
    </row>
    <row r="118" spans="1:23" s="27" customFormat="1" ht="14.4" customHeight="1">
      <c r="A118" t="s">
        <v>23</v>
      </c>
      <c r="B118" s="491" t="s">
        <v>79</v>
      </c>
      <c r="C118" s="492"/>
      <c r="D118" s="492"/>
      <c r="E118" s="492"/>
      <c r="F118" s="492"/>
      <c r="G118" s="492"/>
      <c r="H118" s="492"/>
      <c r="I118" s="492"/>
      <c r="J118" s="492"/>
      <c r="K118" s="492"/>
      <c r="L118" s="492"/>
      <c r="M118" s="492"/>
      <c r="N118" s="492"/>
      <c r="O118" s="492"/>
      <c r="P118" s="492"/>
      <c r="Q118" s="492"/>
      <c r="R118" s="492"/>
      <c r="S118"/>
      <c r="T118"/>
      <c r="U118"/>
      <c r="V118"/>
      <c r="W118"/>
    </row>
    <row r="119" spans="1:23" s="27" customFormat="1" ht="14.4" customHeight="1">
      <c r="A119"/>
      <c r="B119"/>
      <c r="C119"/>
      <c r="D119"/>
      <c r="E119"/>
      <c r="F119"/>
      <c r="G119"/>
      <c r="H119"/>
      <c r="I119"/>
      <c r="J119"/>
      <c r="K119"/>
      <c r="L119"/>
      <c r="M119"/>
      <c r="N119"/>
      <c r="O119"/>
      <c r="P119"/>
      <c r="Q119"/>
      <c r="R119"/>
      <c r="S119"/>
      <c r="T119"/>
      <c r="U119"/>
      <c r="V119"/>
      <c r="W119"/>
    </row>
    <row r="120" spans="1:23" s="26" customFormat="1" ht="14.4" customHeight="1">
      <c r="A120" s="20"/>
      <c r="B120" s="20" t="s">
        <v>180</v>
      </c>
      <c r="C120" s="20"/>
      <c r="D120" s="66">
        <f>'Cash Flow'!E8</f>
        <v>1668.2800999999997</v>
      </c>
      <c r="E120" s="66">
        <f>'Cash Flow'!F8</f>
        <v>1945.7185000000004</v>
      </c>
      <c r="F120" s="66">
        <f>'Cash Flow'!G8</f>
        <v>1646.4122000000007</v>
      </c>
      <c r="G120" s="66">
        <f>'Cash Flow'!H8</f>
        <v>2368.9623999999999</v>
      </c>
      <c r="H120" s="66">
        <f>'Cash Flow'!I8</f>
        <v>2516</v>
      </c>
      <c r="I120" s="89">
        <f>I37</f>
        <v>2305.7661041735355</v>
      </c>
      <c r="J120" s="89">
        <f t="shared" ref="J120:M120" si="131">J37</f>
        <v>3001.9734120899784</v>
      </c>
      <c r="K120" s="89">
        <f t="shared" si="131"/>
        <v>3659.9466670442848</v>
      </c>
      <c r="L120" s="89">
        <f t="shared" si="131"/>
        <v>4358.5082081482215</v>
      </c>
      <c r="M120" s="89">
        <f t="shared" si="131"/>
        <v>5098.3668264589905</v>
      </c>
      <c r="N120" s="89">
        <f t="shared" ref="N120:R120" si="132">N37</f>
        <v>5869.6815163586516</v>
      </c>
      <c r="O120" s="89">
        <f t="shared" si="132"/>
        <v>6734.5399575213251</v>
      </c>
      <c r="P120" s="89">
        <f t="shared" si="132"/>
        <v>7632.2238130478809</v>
      </c>
      <c r="Q120" s="89">
        <f t="shared" si="132"/>
        <v>8638.6567500593665</v>
      </c>
      <c r="R120" s="89">
        <f t="shared" si="132"/>
        <v>9766.9083087197687</v>
      </c>
      <c r="S120" s="20"/>
      <c r="T120" s="20"/>
      <c r="U120" s="20"/>
      <c r="V120" s="20"/>
      <c r="W120" s="20"/>
    </row>
    <row r="121" spans="1:23" s="27" customFormat="1" ht="14.4" customHeight="1">
      <c r="A121"/>
      <c r="B121" s="83" t="s">
        <v>80</v>
      </c>
      <c r="C121"/>
      <c r="D121" s="65">
        <f t="shared" ref="D121:M121" si="133">D29</f>
        <v>118.97030000000001</v>
      </c>
      <c r="E121" s="65">
        <f t="shared" si="133"/>
        <v>166.61919999999998</v>
      </c>
      <c r="F121" s="65">
        <f t="shared" si="133"/>
        <v>325.91950000000003</v>
      </c>
      <c r="G121" s="65">
        <f t="shared" si="133"/>
        <v>398.25370000000004</v>
      </c>
      <c r="H121" s="65">
        <f t="shared" si="133"/>
        <v>621</v>
      </c>
      <c r="I121" s="89">
        <f t="shared" si="133"/>
        <v>661.80718875000002</v>
      </c>
      <c r="J121" s="89">
        <f t="shared" si="133"/>
        <v>706.62506364374997</v>
      </c>
      <c r="K121" s="89">
        <f t="shared" si="133"/>
        <v>764.83402870312489</v>
      </c>
      <c r="L121" s="89">
        <f t="shared" si="133"/>
        <v>825.08030753957803</v>
      </c>
      <c r="M121" s="89">
        <f t="shared" si="133"/>
        <v>885.8621088545774</v>
      </c>
      <c r="N121" s="89">
        <f t="shared" ref="N121:R121" si="134">N29</f>
        <v>953.93772632737682</v>
      </c>
      <c r="O121" s="89">
        <f t="shared" si="134"/>
        <v>1030.1824178969118</v>
      </c>
      <c r="P121" s="89">
        <f t="shared" si="134"/>
        <v>1115.5764724547914</v>
      </c>
      <c r="Q121" s="89">
        <f t="shared" si="134"/>
        <v>1211.2178135596164</v>
      </c>
      <c r="R121" s="89">
        <f t="shared" si="134"/>
        <v>1318.3361155970206</v>
      </c>
      <c r="S121"/>
      <c r="T121"/>
      <c r="U121"/>
      <c r="V121"/>
      <c r="W121"/>
    </row>
    <row r="122" spans="1:23" s="27" customFormat="1" ht="14.4" customHeight="1">
      <c r="A122"/>
      <c r="B122" s="83" t="s">
        <v>90</v>
      </c>
      <c r="C122"/>
      <c r="D122" s="66">
        <f>'Cash Flow'!E25</f>
        <v>3.7015000000000002</v>
      </c>
      <c r="E122" s="66">
        <f>'Cash Flow'!F25</f>
        <v>10.740900000000002</v>
      </c>
      <c r="F122" s="66">
        <f>'Cash Flow'!G25</f>
        <v>4.226</v>
      </c>
      <c r="G122" s="66">
        <f>'Cash Flow'!H25</f>
        <v>8.1553000000000004</v>
      </c>
      <c r="H122" s="66">
        <f>'Cash Flow'!I25</f>
        <v>25.4</v>
      </c>
      <c r="I122" s="282">
        <f>I34*-1</f>
        <v>561.47040707646352</v>
      </c>
      <c r="J122" s="282">
        <f t="shared" ref="J122:M122" si="135">J34*-1</f>
        <v>503.42321216626988</v>
      </c>
      <c r="K122" s="282">
        <f t="shared" si="135"/>
        <v>534.83288934759162</v>
      </c>
      <c r="L122" s="282">
        <f t="shared" si="135"/>
        <v>576.99301434637562</v>
      </c>
      <c r="M122" s="282">
        <f t="shared" si="135"/>
        <v>614.81290259022217</v>
      </c>
      <c r="N122" s="282">
        <f t="shared" ref="N122:R122" si="136">N34*-1</f>
        <v>567.30761576621592</v>
      </c>
      <c r="O122" s="282">
        <f t="shared" si="136"/>
        <v>513.11570604827898</v>
      </c>
      <c r="P122" s="282">
        <f t="shared" si="136"/>
        <v>523.37836573982372</v>
      </c>
      <c r="Q122" s="282">
        <f t="shared" si="136"/>
        <v>533.8455257726132</v>
      </c>
      <c r="R122" s="282">
        <f t="shared" si="136"/>
        <v>544.52207580180186</v>
      </c>
      <c r="S122"/>
      <c r="T122"/>
      <c r="U122"/>
      <c r="V122"/>
      <c r="W122"/>
    </row>
    <row r="123" spans="1:23" s="27" customFormat="1" ht="14.4" customHeight="1">
      <c r="A123"/>
      <c r="B123" s="83" t="s">
        <v>566</v>
      </c>
      <c r="C123"/>
      <c r="D123" s="66">
        <f>SUM('Cash Flow'!E10,'Cash Flow'!E12:E24)</f>
        <v>-106.10409999999999</v>
      </c>
      <c r="E123" s="66">
        <f>SUM('Cash Flow'!F10,'Cash Flow'!F12:F24)</f>
        <v>-118.14909999999999</v>
      </c>
      <c r="F123" s="66">
        <f>SUM('Cash Flow'!G10,'Cash Flow'!G12:G24)</f>
        <v>-7.7447000000000017</v>
      </c>
      <c r="G123" s="66">
        <f>SUM('Cash Flow'!H10,'Cash Flow'!H12:H24)</f>
        <v>-164.25060000000002</v>
      </c>
      <c r="H123" s="66">
        <f>SUM('Cash Flow'!I10,'Cash Flow'!I12:I24)</f>
        <v>-36.620000000000033</v>
      </c>
      <c r="I123" s="65">
        <v>0</v>
      </c>
      <c r="J123" s="65">
        <v>0</v>
      </c>
      <c r="K123" s="65">
        <v>0</v>
      </c>
      <c r="L123" s="65">
        <v>0</v>
      </c>
      <c r="M123" s="65">
        <v>0</v>
      </c>
      <c r="N123" s="65">
        <v>0</v>
      </c>
      <c r="O123" s="65">
        <v>0</v>
      </c>
      <c r="P123" s="65">
        <v>0</v>
      </c>
      <c r="Q123" s="65">
        <v>0</v>
      </c>
      <c r="R123" s="65">
        <v>0</v>
      </c>
      <c r="S123"/>
      <c r="T123"/>
      <c r="U123" s="109"/>
      <c r="V123"/>
      <c r="W123"/>
    </row>
    <row r="124" spans="1:23" s="27" customFormat="1" ht="14.4" customHeight="1">
      <c r="A124"/>
      <c r="B124" s="83" t="s">
        <v>81</v>
      </c>
      <c r="C124"/>
      <c r="D124" s="66">
        <f>SUM('Cash Flow'!E29:E36)</f>
        <v>-94.029199999999989</v>
      </c>
      <c r="E124" s="66">
        <f>SUM('Cash Flow'!F29:F36)</f>
        <v>-586.12070000000006</v>
      </c>
      <c r="F124" s="66">
        <f>SUM('Cash Flow'!G29:G36)</f>
        <v>167.16740000000001</v>
      </c>
      <c r="G124" s="66">
        <f>SUM('Cash Flow'!H29:H36)</f>
        <v>20.41589999999999</v>
      </c>
      <c r="H124" s="66">
        <f>SUM('Cash Flow'!I29:I36)</f>
        <v>-146.41999999999999</v>
      </c>
      <c r="I124" s="66">
        <f>Schedules!J229*-1</f>
        <v>973.69967869569268</v>
      </c>
      <c r="J124" s="66">
        <f>Schedules!K229*-1</f>
        <v>-468.00419390699176</v>
      </c>
      <c r="K124" s="66">
        <f>Schedules!L229*-1</f>
        <v>-376.49424595685241</v>
      </c>
      <c r="L124" s="66">
        <f>Schedules!M229*-1</f>
        <v>-513.04282707732091</v>
      </c>
      <c r="M124" s="66">
        <f>Schedules!N229*-1</f>
        <v>-527.58873582743354</v>
      </c>
      <c r="N124" s="66">
        <f>Schedules!O229*-1</f>
        <v>-3396.9556691928592</v>
      </c>
      <c r="O124" s="66">
        <f>Schedules!P229*-1</f>
        <v>-950.19195643055775</v>
      </c>
      <c r="P124" s="66">
        <f>Schedules!Q229*-1</f>
        <v>-1064.1480158248396</v>
      </c>
      <c r="Q124" s="66">
        <f>Schedules!R229*-1</f>
        <v>-1191.8214169217249</v>
      </c>
      <c r="R124" s="66">
        <f>Schedules!S229*-1</f>
        <v>-1334.8820258931469</v>
      </c>
      <c r="S124"/>
      <c r="T124"/>
      <c r="U124" s="109"/>
      <c r="V124"/>
      <c r="W124"/>
    </row>
    <row r="125" spans="1:23" s="27" customFormat="1" ht="14.4" customHeight="1">
      <c r="A125"/>
      <c r="B125" s="83" t="s">
        <v>569</v>
      </c>
      <c r="C125"/>
      <c r="D125" s="66">
        <f>'Cash Flow'!E38</f>
        <v>-454.07499999999999</v>
      </c>
      <c r="E125" s="66">
        <f>'Cash Flow'!F38</f>
        <v>-499.50830000000002</v>
      </c>
      <c r="F125" s="66">
        <f>'Cash Flow'!G38</f>
        <v>-323.0967</v>
      </c>
      <c r="G125" s="66">
        <f>'Cash Flow'!H38</f>
        <v>-479.53379999999999</v>
      </c>
      <c r="H125" s="66">
        <f>'Cash Flow'!I38</f>
        <v>-566.75</v>
      </c>
      <c r="I125" s="89">
        <f>I39</f>
        <v>-576.44152604338387</v>
      </c>
      <c r="J125" s="89">
        <f t="shared" ref="J125:M125" si="137">J39</f>
        <v>-750.4933530224946</v>
      </c>
      <c r="K125" s="89">
        <f t="shared" si="137"/>
        <v>-914.98666676107109</v>
      </c>
      <c r="L125" s="89">
        <f t="shared" si="137"/>
        <v>-1089.6270520370556</v>
      </c>
      <c r="M125" s="89">
        <f t="shared" si="137"/>
        <v>-1274.5917066147476</v>
      </c>
      <c r="N125" s="89">
        <f t="shared" ref="N125:R125" si="138">N39</f>
        <v>-1467.4203790896629</v>
      </c>
      <c r="O125" s="89">
        <f t="shared" si="138"/>
        <v>-1683.6349893803313</v>
      </c>
      <c r="P125" s="89">
        <f t="shared" si="138"/>
        <v>-1908.0559532619702</v>
      </c>
      <c r="Q125" s="89">
        <f t="shared" si="138"/>
        <v>-2159.6641875148416</v>
      </c>
      <c r="R125" s="89">
        <f t="shared" si="138"/>
        <v>-2441.7270771799422</v>
      </c>
      <c r="S125"/>
      <c r="T125"/>
      <c r="U125" s="109"/>
      <c r="V125"/>
      <c r="W125"/>
    </row>
    <row r="126" spans="1:23" s="27" customFormat="1" ht="14.4" customHeight="1">
      <c r="A126"/>
      <c r="B126" s="30" t="s">
        <v>573</v>
      </c>
      <c r="C126" s="19"/>
      <c r="D126" s="86">
        <f t="shared" ref="D126:H126" si="139">SUM(D120:D125)</f>
        <v>1136.7435999999996</v>
      </c>
      <c r="E126" s="86">
        <f t="shared" si="139"/>
        <v>919.30050000000028</v>
      </c>
      <c r="F126" s="86">
        <f t="shared" si="139"/>
        <v>1812.8837000000008</v>
      </c>
      <c r="G126" s="86">
        <f t="shared" si="139"/>
        <v>2152.0029</v>
      </c>
      <c r="H126" s="86">
        <f t="shared" si="139"/>
        <v>2412.61</v>
      </c>
      <c r="I126" s="86">
        <f>SUM(I120:I125)</f>
        <v>3926.3018526523078</v>
      </c>
      <c r="J126" s="86">
        <f t="shared" ref="J126:M126" si="140">SUM(J120:J125)</f>
        <v>2993.5241409705122</v>
      </c>
      <c r="K126" s="86">
        <f t="shared" si="140"/>
        <v>3668.1326723770781</v>
      </c>
      <c r="L126" s="86">
        <f t="shared" si="140"/>
        <v>4157.9116509197984</v>
      </c>
      <c r="M126" s="86">
        <f t="shared" si="140"/>
        <v>4796.8613954616076</v>
      </c>
      <c r="N126" s="86">
        <f t="shared" ref="N126:R126" si="141">SUM(N120:N125)</f>
        <v>2526.5508101697233</v>
      </c>
      <c r="O126" s="86">
        <f t="shared" si="141"/>
        <v>5644.0111356556263</v>
      </c>
      <c r="P126" s="86">
        <f t="shared" si="141"/>
        <v>6298.9746821556855</v>
      </c>
      <c r="Q126" s="86">
        <f t="shared" si="141"/>
        <v>7032.23448495503</v>
      </c>
      <c r="R126" s="86">
        <f t="shared" si="141"/>
        <v>7853.157397045502</v>
      </c>
      <c r="S126"/>
      <c r="T126"/>
      <c r="U126" s="109"/>
      <c r="V126"/>
      <c r="W126"/>
    </row>
    <row r="127" spans="1:23" s="27" customFormat="1" ht="14.4" customHeight="1">
      <c r="A127"/>
      <c r="B127"/>
      <c r="C127"/>
      <c r="D127" s="134"/>
      <c r="E127" s="134"/>
      <c r="F127" s="134"/>
      <c r="G127" s="134"/>
      <c r="H127" s="134"/>
      <c r="I127"/>
      <c r="J127"/>
      <c r="K127"/>
      <c r="L127"/>
      <c r="M127"/>
      <c r="N127"/>
      <c r="O127"/>
      <c r="P127"/>
      <c r="Q127"/>
      <c r="R127"/>
      <c r="S127"/>
      <c r="T127"/>
      <c r="U127" s="109"/>
      <c r="V127"/>
      <c r="W127"/>
    </row>
    <row r="128" spans="1:23" s="27" customFormat="1" ht="14.4" customHeight="1">
      <c r="A128"/>
      <c r="B128" s="83" t="s">
        <v>570</v>
      </c>
      <c r="C128"/>
      <c r="D128" s="66">
        <f>SUM('Cash Flow'!E42:E44,'Cash Flow'!E46)</f>
        <v>-307.6859</v>
      </c>
      <c r="E128" s="66">
        <f>SUM('Cash Flow'!F42:F44,'Cash Flow'!F46)</f>
        <v>-2325.3680000000004</v>
      </c>
      <c r="F128" s="66">
        <f>SUM('Cash Flow'!G42:G44,'Cash Flow'!G46)</f>
        <v>-826.02110000000005</v>
      </c>
      <c r="G128" s="66">
        <f>SUM('Cash Flow'!H42:H44,'Cash Flow'!H46)</f>
        <v>-381.7041999999999</v>
      </c>
      <c r="H128" s="66">
        <f>SUM('Cash Flow'!I42:I44,'Cash Flow'!I46)</f>
        <v>-519</v>
      </c>
      <c r="I128" s="66">
        <f>Schedules!J60*-1</f>
        <v>-652.91502000000003</v>
      </c>
      <c r="J128" s="66">
        <f>Schedules!K60*-1</f>
        <v>-717.08599830000003</v>
      </c>
      <c r="K128" s="66">
        <f>Schedules!L60*-1</f>
        <v>-931.34344094999938</v>
      </c>
      <c r="L128" s="66">
        <f>Schedules!M60*-1</f>
        <v>-963.94046138324961</v>
      </c>
      <c r="M128" s="66">
        <f>Schedules!N60*-1</f>
        <v>-972.50882103999027</v>
      </c>
      <c r="N128" s="66">
        <f>Schedules!O60*-1</f>
        <v>-1089.2098795647894</v>
      </c>
      <c r="O128" s="66">
        <f>Schedules!P60*-1</f>
        <v>-1219.9150651125644</v>
      </c>
      <c r="P128" s="66">
        <f>Schedules!Q60*-1</f>
        <v>-1366.3048729260713</v>
      </c>
      <c r="Q128" s="66">
        <f>Schedules!R60*-1</f>
        <v>-1530.2614576772014</v>
      </c>
      <c r="R128" s="66">
        <f>Schedules!S60*-1</f>
        <v>-1713.8928325984648</v>
      </c>
      <c r="S128"/>
      <c r="T128"/>
      <c r="U128" s="109"/>
      <c r="V128"/>
      <c r="W128"/>
    </row>
    <row r="129" spans="1:23" s="27" customFormat="1" ht="14.4" customHeight="1">
      <c r="A129"/>
      <c r="B129" s="83" t="s">
        <v>640</v>
      </c>
      <c r="C129"/>
      <c r="D129" s="66"/>
      <c r="E129" s="66"/>
      <c r="F129" s="66"/>
      <c r="G129" s="66"/>
      <c r="H129" s="66"/>
      <c r="I129" s="89">
        <f>H56-I56</f>
        <v>306.13</v>
      </c>
      <c r="J129" s="66">
        <f t="shared" ref="J129:M129" si="142">I56-J56</f>
        <v>0</v>
      </c>
      <c r="K129" s="66">
        <f t="shared" si="142"/>
        <v>0</v>
      </c>
      <c r="L129" s="66">
        <f t="shared" si="142"/>
        <v>0</v>
      </c>
      <c r="M129" s="66">
        <f t="shared" si="142"/>
        <v>0</v>
      </c>
      <c r="N129" s="66">
        <f t="shared" ref="N129" si="143">M56-N56</f>
        <v>0</v>
      </c>
      <c r="O129" s="66">
        <f t="shared" ref="O129" si="144">N56-O56</f>
        <v>0</v>
      </c>
      <c r="P129" s="66">
        <f t="shared" ref="P129" si="145">O56-P56</f>
        <v>0</v>
      </c>
      <c r="Q129" s="66">
        <f t="shared" ref="Q129" si="146">P56-Q56</f>
        <v>0</v>
      </c>
      <c r="R129" s="66">
        <f t="shared" ref="R129" si="147">Q56-R56</f>
        <v>0</v>
      </c>
      <c r="S129"/>
      <c r="T129"/>
      <c r="U129" s="109"/>
      <c r="V129"/>
      <c r="W129"/>
    </row>
    <row r="130" spans="1:23" s="27" customFormat="1" ht="14.4" customHeight="1">
      <c r="A130"/>
      <c r="B130" s="83" t="s">
        <v>571</v>
      </c>
      <c r="C130"/>
      <c r="D130" s="66">
        <f>SUM('Cash Flow'!E45,'Cash Flow'!E47:E50)</f>
        <v>-952.76440000000002</v>
      </c>
      <c r="E130" s="66">
        <f>SUM('Cash Flow'!F45,'Cash Flow'!F47:F50)</f>
        <v>943.04270000000008</v>
      </c>
      <c r="F130" s="66">
        <f>SUM('Cash Flow'!G45,'Cash Flow'!G47:G50)</f>
        <v>-240.46730000000005</v>
      </c>
      <c r="G130" s="66">
        <f>SUM('Cash Flow'!H45,'Cash Flow'!H47:H50)</f>
        <v>-1738.8101000000001</v>
      </c>
      <c r="H130" s="66">
        <f>SUM('Cash Flow'!I45,'Cash Flow'!I47:I50)</f>
        <v>-12234.92</v>
      </c>
      <c r="I130" s="65">
        <f>H72-I72</f>
        <v>-304.35119999999984</v>
      </c>
      <c r="J130" s="65">
        <f t="shared" ref="J130:M130" si="148">I72-J72</f>
        <v>-329.20654800000011</v>
      </c>
      <c r="K130" s="65">
        <f t="shared" si="148"/>
        <v>-348.65966219999973</v>
      </c>
      <c r="L130" s="65">
        <f t="shared" si="148"/>
        <v>-360.86275037699988</v>
      </c>
      <c r="M130" s="65">
        <f t="shared" si="148"/>
        <v>-364.07041926924012</v>
      </c>
      <c r="N130" s="65">
        <f t="shared" ref="N130" si="149">M72-N72</f>
        <v>-407.75886958154888</v>
      </c>
      <c r="O130" s="65">
        <f t="shared" ref="O130" si="150">N72-O72</f>
        <v>-456.68993393133451</v>
      </c>
      <c r="P130" s="65">
        <f t="shared" ref="P130" si="151">O72-P72</f>
        <v>-511.49272600309541</v>
      </c>
      <c r="Q130" s="65">
        <f t="shared" ref="Q130" si="152">P72-Q72</f>
        <v>-572.87185312346628</v>
      </c>
      <c r="R130" s="65">
        <f t="shared" ref="R130" si="153">Q72-R72</f>
        <v>-641.61647549828285</v>
      </c>
      <c r="S130"/>
      <c r="T130"/>
      <c r="U130" s="109"/>
      <c r="V130"/>
      <c r="W130"/>
    </row>
    <row r="131" spans="1:23" s="27" customFormat="1" ht="14.4" customHeight="1">
      <c r="A131"/>
      <c r="B131" s="83" t="s">
        <v>572</v>
      </c>
      <c r="C131"/>
      <c r="D131" s="66">
        <f>'Cash Flow'!E51</f>
        <v>38.302399999999999</v>
      </c>
      <c r="E131" s="66">
        <f>'Cash Flow'!F51</f>
        <v>12.923399999999999</v>
      </c>
      <c r="F131" s="66">
        <f>'Cash Flow'!G51</f>
        <v>12.764000000000001</v>
      </c>
      <c r="G131" s="66">
        <f>'Cash Flow'!H51</f>
        <v>40.051000000000002</v>
      </c>
      <c r="H131" s="66">
        <f>'Cash Flow'!I51</f>
        <v>67.91</v>
      </c>
      <c r="I131" s="65">
        <v>0</v>
      </c>
      <c r="J131" s="65">
        <v>0</v>
      </c>
      <c r="K131" s="65">
        <v>0</v>
      </c>
      <c r="L131" s="65">
        <v>0</v>
      </c>
      <c r="M131" s="65">
        <v>0</v>
      </c>
      <c r="N131" s="65">
        <v>0</v>
      </c>
      <c r="O131" s="65">
        <v>0</v>
      </c>
      <c r="P131" s="65">
        <v>0</v>
      </c>
      <c r="Q131" s="65">
        <v>0</v>
      </c>
      <c r="R131" s="65">
        <v>0</v>
      </c>
      <c r="S131"/>
      <c r="T131"/>
      <c r="U131" s="109"/>
      <c r="V131"/>
      <c r="W131"/>
    </row>
    <row r="132" spans="1:23" s="26" customFormat="1" ht="14.4" customHeight="1">
      <c r="A132" s="20"/>
      <c r="B132" s="30" t="s">
        <v>574</v>
      </c>
      <c r="C132" s="30"/>
      <c r="D132" s="86">
        <f>SUM(D128:D131)</f>
        <v>-1222.1478999999999</v>
      </c>
      <c r="E132" s="86">
        <f t="shared" ref="E132:M132" si="154">SUM(E128:E131)</f>
        <v>-1369.4019000000005</v>
      </c>
      <c r="F132" s="86">
        <f t="shared" si="154"/>
        <v>-1053.7244000000003</v>
      </c>
      <c r="G132" s="86">
        <f t="shared" si="154"/>
        <v>-2080.4632999999999</v>
      </c>
      <c r="H132" s="86">
        <f t="shared" si="154"/>
        <v>-12686.01</v>
      </c>
      <c r="I132" s="86">
        <f t="shared" si="154"/>
        <v>-651.13621999999987</v>
      </c>
      <c r="J132" s="86">
        <f t="shared" si="154"/>
        <v>-1046.2925463000001</v>
      </c>
      <c r="K132" s="86">
        <f t="shared" si="154"/>
        <v>-1280.0031031499991</v>
      </c>
      <c r="L132" s="86">
        <f t="shared" si="154"/>
        <v>-1324.8032117602495</v>
      </c>
      <c r="M132" s="86">
        <f t="shared" si="154"/>
        <v>-1336.5792403092305</v>
      </c>
      <c r="N132" s="86">
        <f t="shared" ref="N132:R132" si="155">SUM(N128:N131)</f>
        <v>-1496.9687491463383</v>
      </c>
      <c r="O132" s="86">
        <f t="shared" si="155"/>
        <v>-1676.6049990438989</v>
      </c>
      <c r="P132" s="86">
        <f t="shared" si="155"/>
        <v>-1877.7975989291667</v>
      </c>
      <c r="Q132" s="86">
        <f t="shared" si="155"/>
        <v>-2103.1333108006675</v>
      </c>
      <c r="R132" s="86">
        <f t="shared" si="155"/>
        <v>-2355.5093080967476</v>
      </c>
      <c r="S132" s="20"/>
      <c r="T132" s="20"/>
      <c r="U132" s="109"/>
      <c r="V132" s="20"/>
      <c r="W132" s="20"/>
    </row>
    <row r="133" spans="1:23" s="27" customFormat="1" ht="14.4" customHeight="1">
      <c r="A133"/>
      <c r="B133"/>
      <c r="C133"/>
      <c r="D133" s="134"/>
      <c r="E133" s="134"/>
      <c r="F133" s="134"/>
      <c r="G133" s="134"/>
      <c r="H133" s="134"/>
      <c r="I133"/>
      <c r="J133"/>
      <c r="K133"/>
      <c r="L133"/>
      <c r="M133"/>
      <c r="N133"/>
      <c r="O133"/>
      <c r="P133"/>
      <c r="Q133"/>
      <c r="R133"/>
      <c r="S133"/>
      <c r="T133"/>
      <c r="U133" s="109"/>
      <c r="V133"/>
      <c r="W133"/>
    </row>
    <row r="134" spans="1:23" s="27" customFormat="1" ht="14.4" customHeight="1">
      <c r="A134"/>
      <c r="B134" s="72" t="s">
        <v>577</v>
      </c>
      <c r="C134"/>
      <c r="D134" s="66">
        <f>'Cash Flow'!E56</f>
        <v>-16.773</v>
      </c>
      <c r="E134" s="66">
        <f>'Cash Flow'!F56</f>
        <v>-17.306899999999999</v>
      </c>
      <c r="F134" s="66">
        <f>'Cash Flow'!G56</f>
        <v>-41.481899999999996</v>
      </c>
      <c r="G134" s="66">
        <f>'Cash Flow'!H56</f>
        <v>-25.388500000000001</v>
      </c>
      <c r="H134" s="66">
        <f>'Cash Flow'!I56</f>
        <v>-97</v>
      </c>
      <c r="I134" s="65">
        <v>0</v>
      </c>
      <c r="J134" s="65">
        <v>0</v>
      </c>
      <c r="K134" s="65">
        <v>0</v>
      </c>
      <c r="L134" s="65">
        <v>0</v>
      </c>
      <c r="M134" s="65">
        <v>0</v>
      </c>
      <c r="N134" s="65">
        <v>0</v>
      </c>
      <c r="O134" s="65">
        <v>0</v>
      </c>
      <c r="P134" s="65">
        <v>0</v>
      </c>
      <c r="Q134" s="65">
        <v>0</v>
      </c>
      <c r="R134" s="65">
        <v>0</v>
      </c>
      <c r="S134"/>
      <c r="T134"/>
      <c r="U134" s="109"/>
      <c r="V134"/>
      <c r="W134"/>
    </row>
    <row r="135" spans="1:23" s="27" customFormat="1" ht="14.4" customHeight="1">
      <c r="A135"/>
      <c r="B135" s="72" t="s">
        <v>575</v>
      </c>
      <c r="C135"/>
      <c r="D135" s="66">
        <f>SUM('Cash Flow'!E58,'Cash Flow'!E60)</f>
        <v>1.393100000000004</v>
      </c>
      <c r="E135" s="66">
        <f>SUM('Cash Flow'!F58,'Cash Flow'!F60)</f>
        <v>-2.7310999999999996</v>
      </c>
      <c r="F135" s="66">
        <f>SUM('Cash Flow'!G58,'Cash Flow'!G60)</f>
        <v>-25.826000000000004</v>
      </c>
      <c r="G135" s="66">
        <f>SUM('Cash Flow'!H58,'Cash Flow'!H60)</f>
        <v>-0.8393999999999977</v>
      </c>
      <c r="H135" s="66">
        <f>SUM('Cash Flow'!I58,'Cash Flow'!I60)</f>
        <v>5295.9299999999994</v>
      </c>
      <c r="I135" s="65">
        <f>I90-H90</f>
        <v>276.3095000000003</v>
      </c>
      <c r="J135" s="65">
        <f>J90-I90</f>
        <v>290.12497500000063</v>
      </c>
      <c r="K135" s="65">
        <f t="shared" ref="K135:M135" si="156">K90-J90</f>
        <v>304.63122375000057</v>
      </c>
      <c r="L135" s="65">
        <f t="shared" si="156"/>
        <v>127.94511397499991</v>
      </c>
      <c r="M135" s="65">
        <f t="shared" si="156"/>
        <v>130.50401625450013</v>
      </c>
      <c r="N135" s="65">
        <f t="shared" ref="N135" si="157">N90-M90</f>
        <v>133.1140965795903</v>
      </c>
      <c r="O135" s="65">
        <f t="shared" ref="O135" si="158">O90-N90</f>
        <v>135.77637851118197</v>
      </c>
      <c r="P135" s="65">
        <f t="shared" ref="P135" si="159">P90-O90</f>
        <v>138.49190608140543</v>
      </c>
      <c r="Q135" s="65">
        <f t="shared" ref="Q135" si="160">Q90-P90</f>
        <v>141.26174420303414</v>
      </c>
      <c r="R135" s="65">
        <f t="shared" ref="R135" si="161">R90-Q90</f>
        <v>144.08697908709473</v>
      </c>
      <c r="S135"/>
      <c r="T135"/>
      <c r="U135"/>
      <c r="V135"/>
      <c r="W135"/>
    </row>
    <row r="136" spans="1:23" s="27" customFormat="1" ht="14.4" customHeight="1">
      <c r="A136"/>
      <c r="B136" s="72" t="s">
        <v>576</v>
      </c>
      <c r="C136"/>
      <c r="D136" s="66">
        <f>SUM('Cash Flow'!E57,'Cash Flow'!E59)</f>
        <v>109.0847</v>
      </c>
      <c r="E136" s="66">
        <f>SUM('Cash Flow'!F57,'Cash Flow'!F59)</f>
        <v>626.97649999999999</v>
      </c>
      <c r="F136" s="66">
        <f>SUM('Cash Flow'!G57,'Cash Flow'!G59)</f>
        <v>-669.41720000000009</v>
      </c>
      <c r="G136" s="66">
        <f>SUM('Cash Flow'!H57,'Cash Flow'!H59)</f>
        <v>34.803200000000004</v>
      </c>
      <c r="H136" s="66">
        <f>SUM('Cash Flow'!I57,'Cash Flow'!I59)</f>
        <v>2065.2799999999997</v>
      </c>
      <c r="I136" s="65">
        <f>I99-H99</f>
        <v>-2236.6270000000004</v>
      </c>
      <c r="J136" s="65">
        <f>J99-I99</f>
        <v>118.83514500000001</v>
      </c>
      <c r="K136" s="65">
        <f t="shared" ref="K136:M136" si="162">K99-J99</f>
        <v>125.85722174999989</v>
      </c>
      <c r="L136" s="65">
        <f t="shared" si="162"/>
        <v>568.32926101574992</v>
      </c>
      <c r="M136" s="65">
        <f t="shared" si="162"/>
        <v>183.98815533189008</v>
      </c>
      <c r="N136" s="65">
        <f t="shared" ref="N136" si="163">N99-M99</f>
        <v>-1717.2227830976399</v>
      </c>
      <c r="O136" s="65">
        <f t="shared" ref="O136" si="164">O99-N99</f>
        <v>1.0486301550627793E-2</v>
      </c>
      <c r="P136" s="65">
        <f t="shared" ref="P136" si="165">P99-O99</f>
        <v>-1.0409273706126383E-3</v>
      </c>
      <c r="Q136" s="65">
        <f t="shared" ref="Q136" si="166">Q99-P99</f>
        <v>-9.445374180015155E-3</v>
      </c>
      <c r="R136" s="65">
        <f t="shared" ref="R136" si="167">R99-Q99</f>
        <v>0</v>
      </c>
      <c r="S136"/>
      <c r="T136"/>
      <c r="U136"/>
      <c r="V136"/>
      <c r="W136"/>
    </row>
    <row r="137" spans="1:23" s="27" customFormat="1" ht="14.4" customHeight="1">
      <c r="A137"/>
      <c r="B137" s="72" t="s">
        <v>126</v>
      </c>
      <c r="C137"/>
      <c r="D137" s="66"/>
      <c r="E137" s="66"/>
      <c r="F137" s="66"/>
      <c r="G137" s="66"/>
      <c r="H137" s="66"/>
      <c r="I137" s="65">
        <f>I122*-1</f>
        <v>-561.47040707646352</v>
      </c>
      <c r="J137" s="65">
        <f t="shared" ref="J137:M137" si="168">J122*-1</f>
        <v>-503.42321216626988</v>
      </c>
      <c r="K137" s="65">
        <f t="shared" si="168"/>
        <v>-534.83288934759162</v>
      </c>
      <c r="L137" s="65">
        <f t="shared" si="168"/>
        <v>-576.99301434637562</v>
      </c>
      <c r="M137" s="65">
        <f t="shared" si="168"/>
        <v>-614.81290259022217</v>
      </c>
      <c r="N137" s="65">
        <f t="shared" ref="N137:R137" si="169">N122*-1</f>
        <v>-567.30761576621592</v>
      </c>
      <c r="O137" s="65">
        <f t="shared" si="169"/>
        <v>-513.11570604827898</v>
      </c>
      <c r="P137" s="65">
        <f t="shared" si="169"/>
        <v>-523.37836573982372</v>
      </c>
      <c r="Q137" s="65">
        <f t="shared" si="169"/>
        <v>-533.8455257726132</v>
      </c>
      <c r="R137" s="65">
        <f t="shared" si="169"/>
        <v>-544.52207580180186</v>
      </c>
      <c r="S137"/>
      <c r="T137"/>
      <c r="U137"/>
      <c r="V137"/>
      <c r="W137"/>
    </row>
    <row r="138" spans="1:23" s="27" customFormat="1" ht="14.4" customHeight="1">
      <c r="A138"/>
      <c r="B138" s="72" t="s">
        <v>402</v>
      </c>
      <c r="C138"/>
      <c r="D138" s="66">
        <f>SUM('Cash Flow'!E61:E62)-60</f>
        <v>-61.453200000000002</v>
      </c>
      <c r="E138" s="66">
        <f>SUM('Cash Flow'!F61:F62)-23</f>
        <v>-25.317900000000002</v>
      </c>
      <c r="F138" s="66">
        <f>SUM('Cash Flow'!G61:G62)-19</f>
        <v>-22.003</v>
      </c>
      <c r="G138" s="66">
        <f>SUM('Cash Flow'!H61:H62)-1</f>
        <v>-4.3096999999999994</v>
      </c>
      <c r="H138" s="66">
        <f>SUM('Cash Flow'!I61:I62,'Cash Flow'!I55)</f>
        <v>2975.32</v>
      </c>
      <c r="I138" s="65">
        <v>0</v>
      </c>
      <c r="J138" s="65">
        <v>0</v>
      </c>
      <c r="K138" s="65">
        <v>0</v>
      </c>
      <c r="L138" s="65">
        <v>0</v>
      </c>
      <c r="M138" s="65">
        <v>0</v>
      </c>
      <c r="N138" s="65">
        <v>0</v>
      </c>
      <c r="O138" s="65">
        <v>0</v>
      </c>
      <c r="P138" s="65">
        <v>0</v>
      </c>
      <c r="Q138" s="65">
        <v>0</v>
      </c>
      <c r="R138" s="65">
        <v>0</v>
      </c>
      <c r="S138"/>
      <c r="T138"/>
      <c r="U138"/>
      <c r="V138"/>
      <c r="W138"/>
    </row>
    <row r="139" spans="1:23" s="26" customFormat="1" ht="14.4" customHeight="1">
      <c r="A139" s="20"/>
      <c r="B139" s="30" t="s">
        <v>578</v>
      </c>
      <c r="C139" s="30"/>
      <c r="D139" s="86">
        <f>SUM(D134:D138)</f>
        <v>32.251600000000003</v>
      </c>
      <c r="E139" s="86">
        <f t="shared" ref="E139:M139" si="170">SUM(E134:E138)</f>
        <v>581.62059999999997</v>
      </c>
      <c r="F139" s="86">
        <f t="shared" si="170"/>
        <v>-758.72810000000015</v>
      </c>
      <c r="G139" s="86">
        <f t="shared" si="170"/>
        <v>4.2656000000000063</v>
      </c>
      <c r="H139" s="86">
        <f t="shared" si="170"/>
        <v>10239.529999999999</v>
      </c>
      <c r="I139" s="86">
        <f t="shared" si="170"/>
        <v>-2521.7879070764639</v>
      </c>
      <c r="J139" s="86">
        <f t="shared" si="170"/>
        <v>-94.463092166269234</v>
      </c>
      <c r="K139" s="86">
        <f t="shared" si="170"/>
        <v>-104.34444384759115</v>
      </c>
      <c r="L139" s="86">
        <f t="shared" si="170"/>
        <v>119.28136064437422</v>
      </c>
      <c r="M139" s="86">
        <f t="shared" si="170"/>
        <v>-300.32073100383195</v>
      </c>
      <c r="N139" s="86">
        <f t="shared" ref="N139:R139" si="171">SUM(N134:N138)</f>
        <v>-2151.4163022842654</v>
      </c>
      <c r="O139" s="86">
        <f t="shared" si="171"/>
        <v>-377.32884123554641</v>
      </c>
      <c r="P139" s="86">
        <f t="shared" si="171"/>
        <v>-384.88750058578887</v>
      </c>
      <c r="Q139" s="86">
        <f t="shared" si="171"/>
        <v>-392.59322694375908</v>
      </c>
      <c r="R139" s="86">
        <f t="shared" si="171"/>
        <v>-400.43509671470713</v>
      </c>
      <c r="S139" s="20"/>
      <c r="T139" s="20"/>
      <c r="U139" s="20"/>
      <c r="V139" s="20"/>
      <c r="W139" s="20"/>
    </row>
    <row r="140" spans="1:23" s="27" customFormat="1" ht="14.4" customHeight="1">
      <c r="A140"/>
      <c r="B140"/>
      <c r="C140"/>
      <c r="D140"/>
      <c r="E140"/>
      <c r="F140"/>
      <c r="G140"/>
      <c r="H140"/>
      <c r="I140"/>
      <c r="J140"/>
      <c r="K140"/>
      <c r="L140"/>
      <c r="M140"/>
      <c r="N140"/>
      <c r="O140"/>
      <c r="P140"/>
      <c r="Q140"/>
      <c r="R140"/>
      <c r="S140"/>
      <c r="T140"/>
      <c r="U140"/>
      <c r="V140"/>
      <c r="W140"/>
    </row>
    <row r="141" spans="1:23" s="27" customFormat="1" ht="14.4" customHeight="1">
      <c r="A141"/>
      <c r="B141" s="20" t="s">
        <v>581</v>
      </c>
      <c r="C141"/>
      <c r="D141" s="65">
        <f>'Cash Flow'!D71</f>
        <v>220.1266</v>
      </c>
      <c r="E141" s="65">
        <f>D145</f>
        <v>166.97389999999967</v>
      </c>
      <c r="F141" s="65">
        <f t="shared" ref="F141:H141" si="172">E145</f>
        <v>302.4930999999994</v>
      </c>
      <c r="G141" s="65">
        <f t="shared" si="172"/>
        <v>305.23429999999985</v>
      </c>
      <c r="H141" s="65">
        <f t="shared" si="172"/>
        <v>382.19950000000011</v>
      </c>
      <c r="I141" s="65">
        <f>H68</f>
        <v>407.36</v>
      </c>
      <c r="J141" s="65">
        <f t="shared" ref="J141:M141" si="173">I68</f>
        <v>1160.7377255758443</v>
      </c>
      <c r="K141" s="65">
        <f t="shared" si="173"/>
        <v>3013.5062280800871</v>
      </c>
      <c r="L141" s="65">
        <f t="shared" si="173"/>
        <v>5297.2913534595755</v>
      </c>
      <c r="M141" s="65">
        <f t="shared" si="173"/>
        <v>8249.6811532634983</v>
      </c>
      <c r="N141" s="65">
        <f t="shared" ref="N141" si="174">M68</f>
        <v>11409.642577412043</v>
      </c>
      <c r="O141" s="65">
        <f t="shared" ref="O141" si="175">N68</f>
        <v>10287.808336151164</v>
      </c>
      <c r="P141" s="65">
        <f t="shared" ref="P141" si="176">O68</f>
        <v>13877.885631527344</v>
      </c>
      <c r="Q141" s="65">
        <f t="shared" ref="Q141" si="177">P68</f>
        <v>17914.175214168074</v>
      </c>
      <c r="R141" s="65">
        <f t="shared" ref="R141" si="178">Q68</f>
        <v>22450.683161378678</v>
      </c>
      <c r="S141"/>
      <c r="T141"/>
      <c r="U141"/>
      <c r="V141"/>
      <c r="W141"/>
    </row>
    <row r="142" spans="1:23" s="27" customFormat="1" ht="14.4" customHeight="1">
      <c r="A142"/>
      <c r="B142" s="72" t="s">
        <v>82</v>
      </c>
      <c r="C142"/>
      <c r="D142" s="65">
        <f>D139+D132+D126</f>
        <v>-53.152700000000323</v>
      </c>
      <c r="E142" s="65">
        <f t="shared" ref="E142:M142" si="179">E139+E132+E126</f>
        <v>131.51919999999973</v>
      </c>
      <c r="F142" s="65">
        <f t="shared" si="179"/>
        <v>0.43120000000044456</v>
      </c>
      <c r="G142" s="65">
        <f t="shared" si="179"/>
        <v>75.805200000000241</v>
      </c>
      <c r="H142" s="65">
        <f t="shared" si="179"/>
        <v>-33.870000000001255</v>
      </c>
      <c r="I142" s="65">
        <f t="shared" si="179"/>
        <v>753.37772557584412</v>
      </c>
      <c r="J142" s="65">
        <f t="shared" si="179"/>
        <v>1852.7685025042429</v>
      </c>
      <c r="K142" s="65">
        <f t="shared" si="179"/>
        <v>2283.7851253794879</v>
      </c>
      <c r="L142" s="65">
        <f t="shared" si="179"/>
        <v>2952.3897998039229</v>
      </c>
      <c r="M142" s="65">
        <f t="shared" si="179"/>
        <v>3159.9614241485451</v>
      </c>
      <c r="N142" s="65">
        <f t="shared" ref="N142:R142" si="180">N139+N132+N126</f>
        <v>-1121.8342412608804</v>
      </c>
      <c r="O142" s="65">
        <f t="shared" si="180"/>
        <v>3590.0772953761807</v>
      </c>
      <c r="P142" s="65">
        <f t="shared" si="180"/>
        <v>4036.2895826407298</v>
      </c>
      <c r="Q142" s="65">
        <f t="shared" si="180"/>
        <v>4536.5079472106036</v>
      </c>
      <c r="R142" s="65">
        <f t="shared" si="180"/>
        <v>5097.2129922340473</v>
      </c>
      <c r="S142"/>
      <c r="T142"/>
      <c r="U142"/>
      <c r="V142"/>
      <c r="W142"/>
    </row>
    <row r="143" spans="1:23" s="27" customFormat="1" ht="14.4" customHeight="1">
      <c r="A143"/>
      <c r="B143" t="s">
        <v>580</v>
      </c>
      <c r="C143"/>
      <c r="D143" s="113">
        <v>0</v>
      </c>
      <c r="E143" s="113">
        <v>4</v>
      </c>
      <c r="F143" s="113">
        <v>2.31</v>
      </c>
      <c r="G143" s="113">
        <v>1.1599999999999999</v>
      </c>
      <c r="H143" s="113">
        <v>-8</v>
      </c>
      <c r="I143" s="65">
        <v>0</v>
      </c>
      <c r="J143" s="65">
        <v>0</v>
      </c>
      <c r="K143" s="65">
        <v>0</v>
      </c>
      <c r="L143" s="65">
        <v>0</v>
      </c>
      <c r="M143" s="65">
        <v>0</v>
      </c>
      <c r="N143" s="65">
        <v>0</v>
      </c>
      <c r="O143" s="65">
        <v>0</v>
      </c>
      <c r="P143" s="65">
        <v>0</v>
      </c>
      <c r="Q143" s="65">
        <v>0</v>
      </c>
      <c r="R143" s="65">
        <v>0</v>
      </c>
      <c r="S143"/>
      <c r="T143"/>
      <c r="U143"/>
      <c r="V143"/>
      <c r="W143"/>
    </row>
    <row r="144" spans="1:23" s="27" customFormat="1" ht="14.4" customHeight="1">
      <c r="A144"/>
      <c r="B144" t="s">
        <v>269</v>
      </c>
      <c r="C144"/>
      <c r="D144" s="113">
        <v>0</v>
      </c>
      <c r="E144" s="113">
        <v>0</v>
      </c>
      <c r="F144" s="113">
        <v>0</v>
      </c>
      <c r="G144" s="113">
        <v>0</v>
      </c>
      <c r="H144" s="113">
        <v>66.97</v>
      </c>
      <c r="I144" s="65">
        <v>0</v>
      </c>
      <c r="J144" s="65">
        <v>0</v>
      </c>
      <c r="K144" s="65">
        <v>0</v>
      </c>
      <c r="L144" s="65">
        <v>0</v>
      </c>
      <c r="M144" s="65">
        <v>0</v>
      </c>
      <c r="N144" s="65">
        <v>0</v>
      </c>
      <c r="O144" s="65">
        <v>0</v>
      </c>
      <c r="P144" s="65">
        <v>0</v>
      </c>
      <c r="Q144" s="65">
        <v>0</v>
      </c>
      <c r="R144" s="65">
        <v>0</v>
      </c>
      <c r="S144"/>
      <c r="T144"/>
      <c r="U144"/>
      <c r="V144"/>
      <c r="W144"/>
    </row>
    <row r="145" spans="1:23" s="27" customFormat="1" ht="14.4" customHeight="1">
      <c r="A145"/>
      <c r="B145" s="30" t="s">
        <v>83</v>
      </c>
      <c r="C145" s="19"/>
      <c r="D145" s="86">
        <f>SUM(D141:D144)</f>
        <v>166.97389999999967</v>
      </c>
      <c r="E145" s="86">
        <f>SUM(E141:E144)</f>
        <v>302.4930999999994</v>
      </c>
      <c r="F145" s="86">
        <f t="shared" ref="F145:M145" si="181">SUM(F141:F144)</f>
        <v>305.23429999999985</v>
      </c>
      <c r="G145" s="86">
        <f t="shared" si="181"/>
        <v>382.19950000000011</v>
      </c>
      <c r="H145" s="86">
        <f t="shared" si="181"/>
        <v>407.29949999999883</v>
      </c>
      <c r="I145" s="86">
        <f t="shared" si="181"/>
        <v>1160.7377255758443</v>
      </c>
      <c r="J145" s="86">
        <f t="shared" si="181"/>
        <v>3013.5062280800871</v>
      </c>
      <c r="K145" s="86">
        <f t="shared" si="181"/>
        <v>5297.2913534595755</v>
      </c>
      <c r="L145" s="86">
        <f t="shared" si="181"/>
        <v>8249.6811532634983</v>
      </c>
      <c r="M145" s="86">
        <f t="shared" si="181"/>
        <v>11409.642577412043</v>
      </c>
      <c r="N145" s="86">
        <f t="shared" ref="N145:R145" si="182">SUM(N141:N144)</f>
        <v>10287.808336151164</v>
      </c>
      <c r="O145" s="86">
        <f t="shared" si="182"/>
        <v>13877.885631527344</v>
      </c>
      <c r="P145" s="86">
        <f t="shared" si="182"/>
        <v>17914.175214168074</v>
      </c>
      <c r="Q145" s="86">
        <f t="shared" si="182"/>
        <v>22450.683161378678</v>
      </c>
      <c r="R145" s="86">
        <f t="shared" si="182"/>
        <v>27547.896153612724</v>
      </c>
      <c r="S145"/>
      <c r="T145"/>
      <c r="U145"/>
      <c r="V145"/>
      <c r="W145"/>
    </row>
    <row r="146" spans="1:23" s="27" customFormat="1" ht="14.4" customHeight="1">
      <c r="A146"/>
      <c r="B146"/>
      <c r="C146"/>
      <c r="D146"/>
      <c r="E146"/>
      <c r="F146"/>
      <c r="G146"/>
      <c r="H146"/>
      <c r="I146"/>
      <c r="J146"/>
      <c r="K146"/>
      <c r="L146"/>
      <c r="M146"/>
      <c r="N146"/>
      <c r="O146"/>
      <c r="P146"/>
      <c r="Q146"/>
      <c r="R146"/>
      <c r="S146"/>
      <c r="T146"/>
      <c r="U146"/>
      <c r="V146"/>
      <c r="W146"/>
    </row>
    <row r="148" spans="1:23" ht="14.4" customHeight="1">
      <c r="D148" s="235"/>
      <c r="E148" s="235"/>
      <c r="F148" s="235"/>
      <c r="G148" s="235"/>
      <c r="H148" s="235"/>
    </row>
    <row r="226" ht="14.4" customHeight="1" collapsed="1"/>
    <row r="236" ht="14.4" customHeight="1" collapsed="1"/>
    <row r="269" ht="14.4" customHeight="1" collapsed="1"/>
    <row r="282" ht="14.4" customHeight="1" collapsed="1"/>
  </sheetData>
  <sheetProtection sheet="1" objects="1" scenarios="1" selectLockedCells="1"/>
  <mergeCells count="4">
    <mergeCell ref="H4:I4"/>
    <mergeCell ref="D8:H8"/>
    <mergeCell ref="N8:R8"/>
    <mergeCell ref="T7:U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Drop Down 1">
              <controlPr defaultSize="0" autoLine="0" autoPict="0">
                <anchor moveWithCells="1">
                  <from>
                    <xdr:col>9</xdr:col>
                    <xdr:colOff>114300</xdr:colOff>
                    <xdr:row>3</xdr:row>
                    <xdr:rowOff>60960</xdr:rowOff>
                  </from>
                  <to>
                    <xdr:col>10</xdr:col>
                    <xdr:colOff>441960</xdr:colOff>
                    <xdr:row>4</xdr:row>
                    <xdr:rowOff>38100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U246"/>
  <sheetViews>
    <sheetView showGridLines="0" zoomScaleNormal="100" workbookViewId="0">
      <pane ySplit="9" topLeftCell="A44" activePane="bottomLeft" state="frozen"/>
      <selection pane="bottomLeft" activeCell="J5" sqref="J5"/>
    </sheetView>
  </sheetViews>
  <sheetFormatPr defaultRowHeight="14.4" customHeight="1"/>
  <cols>
    <col min="1" max="1" width="1.88671875" customWidth="1"/>
    <col min="2" max="2" width="32.21875" bestFit="1" customWidth="1"/>
    <col min="3" max="3" width="20.109375" bestFit="1" customWidth="1"/>
    <col min="4" max="13" width="11.88671875" customWidth="1"/>
    <col min="14" max="14" width="1.88671875" customWidth="1"/>
    <col min="15" max="16" width="11.88671875" customWidth="1"/>
    <col min="17" max="17" width="9.44140625" bestFit="1" customWidth="1"/>
  </cols>
  <sheetData>
    <row r="2" spans="1:16" ht="25.8">
      <c r="B2" s="522" t="str">
        <f>'Input Sheet'!C5</f>
        <v>Mankind Pharma Ltd</v>
      </c>
    </row>
    <row r="3" spans="1:16" ht="18">
      <c r="B3" s="14" t="s">
        <v>92</v>
      </c>
    </row>
    <row r="4" spans="1:16" ht="18">
      <c r="B4" s="14"/>
      <c r="H4" s="545" t="s">
        <v>27</v>
      </c>
      <c r="I4" s="545"/>
      <c r="J4" s="544">
        <v>1</v>
      </c>
      <c r="K4" s="544"/>
    </row>
    <row r="5" spans="1:16" ht="18">
      <c r="B5" s="14"/>
      <c r="H5" s="544"/>
      <c r="I5" s="544"/>
      <c r="J5" s="544"/>
      <c r="K5" s="544"/>
    </row>
    <row r="6" spans="1:16" ht="18">
      <c r="B6" s="14"/>
    </row>
    <row r="7" spans="1:16">
      <c r="O7" s="20"/>
    </row>
    <row r="8" spans="1:16">
      <c r="D8" s="537" t="s">
        <v>21</v>
      </c>
      <c r="E8" s="537"/>
      <c r="F8" s="537"/>
      <c r="G8" s="537"/>
      <c r="H8" s="537"/>
      <c r="I8" s="108" t="s">
        <v>61</v>
      </c>
      <c r="J8" s="108"/>
      <c r="K8" s="108"/>
      <c r="L8" s="108"/>
      <c r="M8" s="108"/>
      <c r="O8" s="184" t="s">
        <v>66</v>
      </c>
      <c r="P8" s="184" t="s">
        <v>67</v>
      </c>
    </row>
    <row r="9" spans="1:16">
      <c r="A9" t="s">
        <v>31</v>
      </c>
      <c r="B9" s="16" t="s">
        <v>20</v>
      </c>
      <c r="C9" s="15"/>
      <c r="D9" s="64">
        <f>'ControlSheet '!E9</f>
        <v>2021</v>
      </c>
      <c r="E9" s="64">
        <f>'ControlSheet '!F9</f>
        <v>2022</v>
      </c>
      <c r="F9" s="64">
        <f>'ControlSheet '!G9</f>
        <v>2023</v>
      </c>
      <c r="G9" s="64">
        <f>'ControlSheet '!H9</f>
        <v>2024</v>
      </c>
      <c r="H9" s="64">
        <f>'ControlSheet '!I9</f>
        <v>2025</v>
      </c>
      <c r="I9" s="64">
        <f>'ControlSheet '!J9</f>
        <v>2026</v>
      </c>
      <c r="J9" s="64">
        <f>'ControlSheet '!K9</f>
        <v>2027</v>
      </c>
      <c r="K9" s="64">
        <f>'ControlSheet '!L9</f>
        <v>2028</v>
      </c>
      <c r="L9" s="64">
        <f>'ControlSheet '!M9</f>
        <v>2029</v>
      </c>
      <c r="M9" s="64">
        <f>'ControlSheet '!N9</f>
        <v>2030</v>
      </c>
    </row>
    <row r="10" spans="1:16">
      <c r="B10" s="77"/>
      <c r="D10" s="78"/>
      <c r="E10" s="78"/>
      <c r="F10" s="78"/>
      <c r="G10" s="79"/>
      <c r="H10" s="79"/>
      <c r="I10" s="79"/>
      <c r="J10" s="79"/>
      <c r="K10" s="79"/>
      <c r="L10" s="79"/>
      <c r="M10" s="79"/>
    </row>
    <row r="11" spans="1:16" ht="15.6">
      <c r="A11" t="s">
        <v>23</v>
      </c>
      <c r="B11" s="491" t="s">
        <v>74</v>
      </c>
      <c r="C11" s="492"/>
      <c r="D11" s="492"/>
      <c r="E11" s="492"/>
      <c r="F11" s="492"/>
      <c r="G11" s="492"/>
      <c r="H11" s="492"/>
      <c r="I11" s="492"/>
      <c r="J11" s="492"/>
      <c r="K11" s="492"/>
      <c r="L11" s="492"/>
      <c r="M11" s="492"/>
    </row>
    <row r="13" spans="1:16" ht="14.4" customHeight="1">
      <c r="B13" s="2" t="s">
        <v>41</v>
      </c>
      <c r="D13" s="310">
        <f>'3StatementModel'!D13/'3StatementModel'!D$13</f>
        <v>1</v>
      </c>
      <c r="E13" s="310">
        <f>'3StatementModel'!E13/'3StatementModel'!E$13</f>
        <v>1</v>
      </c>
      <c r="F13" s="310">
        <f>'3StatementModel'!F13/'3StatementModel'!F$13</f>
        <v>1</v>
      </c>
      <c r="G13" s="310">
        <f>'3StatementModel'!G13/'3StatementModel'!G$13</f>
        <v>1</v>
      </c>
      <c r="H13" s="310">
        <f>'3StatementModel'!H13/'3StatementModel'!H$13</f>
        <v>1</v>
      </c>
      <c r="I13" s="310">
        <f>'3StatementModel'!I13/'3StatementModel'!I$13</f>
        <v>1</v>
      </c>
      <c r="J13" s="310">
        <f>'3StatementModel'!J13/'3StatementModel'!J$13</f>
        <v>1</v>
      </c>
      <c r="K13" s="310">
        <f>'3StatementModel'!K13/'3StatementModel'!K$13</f>
        <v>1</v>
      </c>
      <c r="L13" s="310">
        <f>'3StatementModel'!L13/'3StatementModel'!L$13</f>
        <v>1</v>
      </c>
      <c r="M13" s="310">
        <f>'3StatementModel'!M13/'3StatementModel'!M$13</f>
        <v>1</v>
      </c>
      <c r="O13" s="76">
        <f>_xlfn.RRI($M$9-$H$9,H13,M13)</f>
        <v>0</v>
      </c>
      <c r="P13" s="76">
        <f>_xlfn.RRI($M$9-$J$9,J13,M13)</f>
        <v>0</v>
      </c>
    </row>
    <row r="14" spans="1:16" ht="14.4" customHeight="1">
      <c r="B14" s="11" t="s">
        <v>1</v>
      </c>
      <c r="D14" s="310">
        <f>'3StatementModel'!D14/'3StatementModel'!D$13*-1</f>
        <v>0.28609227573805757</v>
      </c>
      <c r="E14" s="310">
        <f>'3StatementModel'!E14/'3StatementModel'!E$13*-1</f>
        <v>0.31121393717304652</v>
      </c>
      <c r="F14" s="310">
        <f>'3StatementModel'!F14/'3StatementModel'!F$13*-1</f>
        <v>0.33300923614135902</v>
      </c>
      <c r="G14" s="310">
        <f>'3StatementModel'!G14/'3StatementModel'!G$13*-1</f>
        <v>0.31057241441917854</v>
      </c>
      <c r="H14" s="310">
        <f>'3StatementModel'!H14/'3StatementModel'!H$13*-1</f>
        <v>0.31580568526255426</v>
      </c>
      <c r="I14" s="310">
        <f>'3StatementModel'!I14/'3StatementModel'!I$13*-1</f>
        <v>0.33999999999999997</v>
      </c>
      <c r="J14" s="310">
        <f>'3StatementModel'!J14/'3StatementModel'!J$13*-1</f>
        <v>0.33399999999999996</v>
      </c>
      <c r="K14" s="310">
        <f>'3StatementModel'!K14/'3StatementModel'!K$13*-1</f>
        <v>0.32799999999999996</v>
      </c>
      <c r="L14" s="310">
        <f>'3StatementModel'!L14/'3StatementModel'!L$13*-1</f>
        <v>0.32199999999999995</v>
      </c>
      <c r="M14" s="310">
        <f>'3StatementModel'!M14/'3StatementModel'!M$13*-1</f>
        <v>0.31599999999999995</v>
      </c>
      <c r="O14" s="76">
        <f>_xlfn.RRI($M$9-$H$9,H14,M14)</f>
        <v>1.2302940671404805E-4</v>
      </c>
      <c r="P14" s="76">
        <f t="shared" ref="P14:P15" si="0">_xlfn.RRI($M$9-$J$9,J14,M14)</f>
        <v>-1.8296803101442771E-2</v>
      </c>
    </row>
    <row r="15" spans="1:16" ht="14.4" customHeight="1">
      <c r="B15" s="68" t="s">
        <v>2</v>
      </c>
      <c r="C15" s="19"/>
      <c r="D15" s="309">
        <f>'3StatementModel'!D15/'3StatementModel'!D$13</f>
        <v>0.71390772426194249</v>
      </c>
      <c r="E15" s="309">
        <f>'3StatementModel'!E15/'3StatementModel'!E$13</f>
        <v>0.68878606282695343</v>
      </c>
      <c r="F15" s="309">
        <f>'3StatementModel'!F15/'3StatementModel'!F$13</f>
        <v>0.66699076385864098</v>
      </c>
      <c r="G15" s="309">
        <f>'3StatementModel'!G15/'3StatementModel'!G$13</f>
        <v>0.68942758558082151</v>
      </c>
      <c r="H15" s="309">
        <f>'3StatementModel'!H15/'3StatementModel'!H$13</f>
        <v>0.68419431473744563</v>
      </c>
      <c r="I15" s="309">
        <f>'3StatementModel'!I15/'3StatementModel'!I$13</f>
        <v>0.66</v>
      </c>
      <c r="J15" s="309">
        <f>'3StatementModel'!J15/'3StatementModel'!J$13</f>
        <v>0.66600000000000004</v>
      </c>
      <c r="K15" s="309">
        <f>'3StatementModel'!K15/'3StatementModel'!K$13</f>
        <v>0.67200000000000015</v>
      </c>
      <c r="L15" s="309">
        <f>'3StatementModel'!L15/'3StatementModel'!L$13</f>
        <v>0.67800000000000005</v>
      </c>
      <c r="M15" s="309">
        <f>'3StatementModel'!M15/'3StatementModel'!M$13</f>
        <v>0.68400000000000016</v>
      </c>
      <c r="O15" s="76">
        <f>_xlfn.RRI($M$9-$H$9,H15,M15)</f>
        <v>-5.6807492134769433E-5</v>
      </c>
      <c r="P15" s="76">
        <f t="shared" si="0"/>
        <v>8.929043886532817E-3</v>
      </c>
    </row>
    <row r="16" spans="1:16" ht="14.4" customHeight="1">
      <c r="B16" s="5"/>
      <c r="D16" s="71"/>
      <c r="E16" s="71"/>
      <c r="F16" s="71"/>
      <c r="G16" s="71"/>
      <c r="H16" s="71"/>
      <c r="I16" s="71"/>
      <c r="J16" s="71"/>
      <c r="K16" s="71"/>
      <c r="L16" s="71"/>
      <c r="M16" s="71"/>
      <c r="O16" s="76"/>
      <c r="P16" s="76"/>
    </row>
    <row r="17" spans="1:18" ht="14.4" customHeight="1">
      <c r="B17" s="174" t="s">
        <v>106</v>
      </c>
      <c r="C17" s="18"/>
      <c r="D17" s="175">
        <v>0.71390772426194249</v>
      </c>
      <c r="E17" s="175">
        <v>0.68878606282695343</v>
      </c>
      <c r="F17" s="175">
        <v>0.66699076385864098</v>
      </c>
      <c r="G17" s="175">
        <v>0.68942758558082151</v>
      </c>
      <c r="H17" s="175">
        <v>0.68419431473744563</v>
      </c>
      <c r="I17" s="175">
        <v>0.66</v>
      </c>
      <c r="J17" s="175">
        <v>0.66600000000000004</v>
      </c>
      <c r="K17" s="175">
        <v>0.67200000000000015</v>
      </c>
      <c r="L17" s="175">
        <v>0.67800000000000005</v>
      </c>
      <c r="M17" s="175">
        <v>0.68400000000000016</v>
      </c>
      <c r="O17" s="76"/>
      <c r="P17" s="76"/>
    </row>
    <row r="18" spans="1:18" ht="14.4" customHeight="1">
      <c r="B18" s="3"/>
      <c r="D18" s="65"/>
      <c r="E18" s="65"/>
      <c r="F18" s="65"/>
      <c r="G18" s="65"/>
      <c r="H18" s="65"/>
      <c r="I18" s="65"/>
      <c r="J18" s="65"/>
      <c r="K18" s="65"/>
      <c r="L18" s="65"/>
      <c r="M18" s="65"/>
    </row>
    <row r="19" spans="1:18" ht="14.4" customHeight="1">
      <c r="B19" s="9" t="s">
        <v>62</v>
      </c>
      <c r="D19" s="65"/>
      <c r="E19" s="65"/>
      <c r="F19" s="65"/>
      <c r="G19" s="65"/>
      <c r="H19" s="65"/>
      <c r="I19" s="65"/>
      <c r="J19" s="65"/>
      <c r="K19" s="65"/>
      <c r="L19" s="65"/>
      <c r="M19" s="65"/>
    </row>
    <row r="20" spans="1:18" ht="14.4" customHeight="1">
      <c r="B20" s="11" t="s">
        <v>417</v>
      </c>
      <c r="D20" s="310">
        <f>'3StatementModel'!D20/'3StatementModel'!D$13</f>
        <v>0.22747158685853827</v>
      </c>
      <c r="E20" s="310">
        <f>'3StatementModel'!E20/'3StatementModel'!E$13</f>
        <v>0.20825914347120669</v>
      </c>
      <c r="F20" s="310">
        <f>'3StatementModel'!F20/'3StatementModel'!F$13</f>
        <v>0.21926563698470516</v>
      </c>
      <c r="G20" s="310">
        <f>'3StatementModel'!G20/'3StatementModel'!G$13</f>
        <v>0.22010155886708935</v>
      </c>
      <c r="H20" s="310">
        <f>'3StatementModel'!H20/'3StatementModel'!H$13</f>
        <v>0.22052920455476366</v>
      </c>
      <c r="I20" s="310">
        <f>'3StatementModel'!I20/'3StatementModel'!I$13</f>
        <v>0.22</v>
      </c>
      <c r="J20" s="310">
        <f>'3StatementModel'!J20/'3StatementModel'!J$13</f>
        <v>0.22</v>
      </c>
      <c r="K20" s="310">
        <f>'3StatementModel'!K20/'3StatementModel'!K$13</f>
        <v>0.22000000000000003</v>
      </c>
      <c r="L20" s="310">
        <f>'3StatementModel'!L20/'3StatementModel'!L$13</f>
        <v>0.21999999999999997</v>
      </c>
      <c r="M20" s="310">
        <f>'3StatementModel'!M20/'3StatementModel'!M$13</f>
        <v>0.22000000000000003</v>
      </c>
      <c r="O20" s="76">
        <f t="shared" ref="O20:O25" si="1">_xlfn.RRI($M$9-$H$9,H20,M20)</f>
        <v>-4.804019149489136E-4</v>
      </c>
      <c r="P20" s="76">
        <f t="shared" ref="P20:P25" si="2">_xlfn.RRI($M$9-$J$9,J20,M20)</f>
        <v>0</v>
      </c>
    </row>
    <row r="21" spans="1:18" s="27" customFormat="1" ht="14.4" customHeight="1">
      <c r="A21"/>
      <c r="B21" s="11" t="s">
        <v>418</v>
      </c>
      <c r="C21"/>
      <c r="D21" s="310">
        <f>'3StatementModel'!D21/'3StatementModel'!D$13</f>
        <v>6.1977234781892807E-2</v>
      </c>
      <c r="E21" s="310">
        <f>'3StatementModel'!E21/'3StatementModel'!E$13</f>
        <v>5.8029531911943918E-2</v>
      </c>
      <c r="F21" s="310">
        <f>'3StatementModel'!F21/'3StatementModel'!F$13</f>
        <v>4.2707407440002107E-2</v>
      </c>
      <c r="G21" s="310">
        <f>'3StatementModel'!G21/'3StatementModel'!G$13</f>
        <v>5.8433030556854143E-2</v>
      </c>
      <c r="H21" s="310">
        <f>'3StatementModel'!H21/'3StatementModel'!H$13</f>
        <v>6.1849758335381338E-2</v>
      </c>
      <c r="I21" s="310">
        <f>'3StatementModel'!I21/'3StatementModel'!I$13</f>
        <v>5.8000000000000003E-2</v>
      </c>
      <c r="J21" s="310">
        <f>'3StatementModel'!J21/'3StatementModel'!J$13</f>
        <v>5.8000000000000003E-2</v>
      </c>
      <c r="K21" s="310">
        <f>'3StatementModel'!K21/'3StatementModel'!K$13</f>
        <v>5.800000000000001E-2</v>
      </c>
      <c r="L21" s="310">
        <f>'3StatementModel'!L21/'3StatementModel'!L$13</f>
        <v>5.8000000000000003E-2</v>
      </c>
      <c r="M21" s="310">
        <f>'3StatementModel'!M21/'3StatementModel'!M$13</f>
        <v>5.800000000000001E-2</v>
      </c>
      <c r="N21"/>
      <c r="O21" s="76">
        <f t="shared" si="1"/>
        <v>-1.2770788687039736E-2</v>
      </c>
      <c r="P21" s="76">
        <f t="shared" si="2"/>
        <v>0</v>
      </c>
      <c r="Q21"/>
      <c r="R21"/>
    </row>
    <row r="22" spans="1:18" s="27" customFormat="1" ht="14.4" customHeight="1">
      <c r="A22"/>
      <c r="B22" s="12" t="s">
        <v>419</v>
      </c>
      <c r="C22"/>
      <c r="D22" s="310">
        <f>'3StatementModel'!D22/'3StatementModel'!D$13</f>
        <v>4.3445440672535418E-2</v>
      </c>
      <c r="E22" s="310">
        <f>'3StatementModel'!E22/'3StatementModel'!E$13</f>
        <v>4.6020364232851094E-2</v>
      </c>
      <c r="F22" s="310">
        <f>'3StatementModel'!F22/'3StatementModel'!F$13</f>
        <v>5.6694748105391518E-2</v>
      </c>
      <c r="G22" s="310">
        <f>'3StatementModel'!G22/'3StatementModel'!G$13</f>
        <v>3.6614267330029628E-2</v>
      </c>
      <c r="H22" s="310">
        <f>'3StatementModel'!H22/'3StatementModel'!H$13</f>
        <v>3.7765216678954695E-2</v>
      </c>
      <c r="I22" s="310">
        <f>'3StatementModel'!I22/'3StatementModel'!I$13</f>
        <v>4.5999999999999999E-2</v>
      </c>
      <c r="J22" s="310">
        <f>'3StatementModel'!J22/'3StatementModel'!J$13</f>
        <v>4.5999999999999999E-2</v>
      </c>
      <c r="K22" s="310">
        <f>'3StatementModel'!K22/'3StatementModel'!K$13</f>
        <v>4.5999999999999999E-2</v>
      </c>
      <c r="L22" s="310">
        <f>'3StatementModel'!L22/'3StatementModel'!L$13</f>
        <v>4.5999999999999999E-2</v>
      </c>
      <c r="M22" s="310">
        <f>'3StatementModel'!M22/'3StatementModel'!M$13</f>
        <v>4.5999999999999999E-2</v>
      </c>
      <c r="N22"/>
      <c r="O22" s="76">
        <f t="shared" si="1"/>
        <v>4.0239091324849152E-2</v>
      </c>
      <c r="P22" s="76">
        <f t="shared" si="2"/>
        <v>0</v>
      </c>
      <c r="Q22"/>
      <c r="R22"/>
    </row>
    <row r="23" spans="1:18" s="27" customFormat="1" ht="14.4" customHeight="1">
      <c r="A23"/>
      <c r="B23" s="11" t="s">
        <v>420</v>
      </c>
      <c r="C23"/>
      <c r="D23" s="310">
        <f>'3StatementModel'!D23/'3StatementModel'!D$13</f>
        <v>5.9441846269272208E-2</v>
      </c>
      <c r="E23" s="310">
        <f>'3StatementModel'!E23/'3StatementModel'!E$13</f>
        <v>6.5664252637625098E-2</v>
      </c>
      <c r="F23" s="310">
        <f>'3StatementModel'!F23/'3StatementModel'!F$13</f>
        <v>7.0768528657799881E-2</v>
      </c>
      <c r="G23" s="310">
        <f>'3StatementModel'!G23/'3StatementModel'!G$13</f>
        <v>7.77868343640509E-2</v>
      </c>
      <c r="H23" s="310">
        <f>'3StatementModel'!H23/'3StatementModel'!H$13</f>
        <v>8.7900385024985664E-2</v>
      </c>
      <c r="I23" s="310">
        <f>'3StatementModel'!I23/'3StatementModel'!I$13</f>
        <v>6.6000000000000003E-2</v>
      </c>
      <c r="J23" s="310">
        <f>'3StatementModel'!J23/'3StatementModel'!J$13</f>
        <v>6.6000000000000003E-2</v>
      </c>
      <c r="K23" s="310">
        <f>'3StatementModel'!K23/'3StatementModel'!K$13</f>
        <v>6.6000000000000003E-2</v>
      </c>
      <c r="L23" s="310">
        <f>'3StatementModel'!L23/'3StatementModel'!L$13</f>
        <v>6.6000000000000003E-2</v>
      </c>
      <c r="M23" s="310">
        <f>'3StatementModel'!M23/'3StatementModel'!M$13</f>
        <v>6.6000000000000003E-2</v>
      </c>
      <c r="N23"/>
      <c r="O23" s="76">
        <f t="shared" si="1"/>
        <v>-5.5698604201006363E-2</v>
      </c>
      <c r="P23" s="76">
        <f t="shared" si="2"/>
        <v>0</v>
      </c>
      <c r="Q23"/>
      <c r="R23"/>
    </row>
    <row r="24" spans="1:18" s="27" customFormat="1" ht="14.4" customHeight="1">
      <c r="A24"/>
      <c r="B24" s="11" t="s">
        <v>421</v>
      </c>
      <c r="C24"/>
      <c r="D24" s="310">
        <f>'3StatementModel'!D24/'3StatementModel'!D$13</f>
        <v>5.5244508979918706E-2</v>
      </c>
      <c r="E24" s="310">
        <f>'3StatementModel'!E24/'3StatementModel'!E$13</f>
        <v>5.5161274897353091E-2</v>
      </c>
      <c r="F24" s="310">
        <f>'3StatementModel'!F24/'3StatementModel'!F$13</f>
        <v>6.0322297456303714E-2</v>
      </c>
      <c r="G24" s="310">
        <f>'3StatementModel'!G24/'3StatementModel'!G$13</f>
        <v>5.1193530626202507E-2</v>
      </c>
      <c r="H24" s="310">
        <f>'3StatementModel'!H24/'3StatementModel'!H$13</f>
        <v>5.8908822806586381E-2</v>
      </c>
      <c r="I24" s="310">
        <f>'3StatementModel'!I24/'3StatementModel'!I$13</f>
        <v>5.5E-2</v>
      </c>
      <c r="J24" s="310">
        <f>'3StatementModel'!J24/'3StatementModel'!J$13</f>
        <v>5.5E-2</v>
      </c>
      <c r="K24" s="310">
        <f>'3StatementModel'!K24/'3StatementModel'!K$13</f>
        <v>5.5000000000000007E-2</v>
      </c>
      <c r="L24" s="310">
        <f>'3StatementModel'!L24/'3StatementModel'!L$13</f>
        <v>5.4999999999999993E-2</v>
      </c>
      <c r="M24" s="310">
        <f>'3StatementModel'!M24/'3StatementModel'!M$13</f>
        <v>5.5000000000000007E-2</v>
      </c>
      <c r="N24"/>
      <c r="O24" s="76">
        <f t="shared" si="1"/>
        <v>-1.3637689925427021E-2</v>
      </c>
      <c r="P24" s="76">
        <f t="shared" si="2"/>
        <v>0</v>
      </c>
      <c r="Q24"/>
      <c r="R24"/>
    </row>
    <row r="25" spans="1:18" s="27" customFormat="1" ht="14.4" customHeight="1">
      <c r="A25"/>
      <c r="B25" s="67" t="s">
        <v>63</v>
      </c>
      <c r="C25" s="19"/>
      <c r="D25" s="309">
        <f>'3StatementModel'!D25/'3StatementModel'!D$13</f>
        <v>0.26632710669978504</v>
      </c>
      <c r="E25" s="309">
        <f>'3StatementModel'!E25/'3StatementModel'!E$13</f>
        <v>0.25565149567597362</v>
      </c>
      <c r="F25" s="309">
        <f>'3StatementModel'!F25/'3StatementModel'!F$13</f>
        <v>0.21723214521443851</v>
      </c>
      <c r="G25" s="309">
        <f>'3StatementModel'!G25/'3StatementModel'!G$13</f>
        <v>0.24529836383659495</v>
      </c>
      <c r="H25" s="309">
        <f>'3StatementModel'!H25/'3StatementModel'!H$13</f>
        <v>0.21724092733677389</v>
      </c>
      <c r="I25" s="309">
        <f>'3StatementModel'!I25/'3StatementModel'!I$13</f>
        <v>0.21499999999999997</v>
      </c>
      <c r="J25" s="309">
        <f>'3StatementModel'!J25/'3StatementModel'!J$13</f>
        <v>0.22099999999999992</v>
      </c>
      <c r="K25" s="309">
        <f>'3StatementModel'!K25/'3StatementModel'!K$13</f>
        <v>0.22700000000000012</v>
      </c>
      <c r="L25" s="309">
        <f>'3StatementModel'!L25/'3StatementModel'!L$13</f>
        <v>0.23300000000000007</v>
      </c>
      <c r="M25" s="309">
        <f>'3StatementModel'!M25/'3StatementModel'!M$13</f>
        <v>0.23900000000000007</v>
      </c>
      <c r="N25"/>
      <c r="O25" s="76">
        <f t="shared" si="1"/>
        <v>1.9274714353559208E-2</v>
      </c>
      <c r="P25" s="76">
        <f t="shared" si="2"/>
        <v>2.6443878667456344E-2</v>
      </c>
      <c r="Q25"/>
      <c r="R25"/>
    </row>
    <row r="26" spans="1:18" s="27" customFormat="1" ht="14.4" customHeight="1">
      <c r="A26"/>
      <c r="B26" s="70"/>
      <c r="C26"/>
      <c r="D26" s="176"/>
      <c r="E26" s="176"/>
      <c r="F26" s="176"/>
      <c r="G26" s="176"/>
      <c r="H26" s="176"/>
      <c r="I26" s="176"/>
      <c r="J26" s="176"/>
      <c r="K26" s="176"/>
      <c r="L26" s="176"/>
      <c r="M26" s="176"/>
      <c r="N26"/>
      <c r="O26" s="76"/>
      <c r="P26" s="76"/>
      <c r="Q26"/>
      <c r="R26"/>
    </row>
    <row r="27" spans="1:18" s="27" customFormat="1" ht="14.4" customHeight="1">
      <c r="A27"/>
      <c r="B27" s="174" t="s">
        <v>108</v>
      </c>
      <c r="C27" s="18"/>
      <c r="D27" s="175">
        <v>0.26632710669978504</v>
      </c>
      <c r="E27" s="175">
        <v>0.25565149567597362</v>
      </c>
      <c r="F27" s="175">
        <v>0.21723214521443851</v>
      </c>
      <c r="G27" s="175">
        <v>0.24529836383659495</v>
      </c>
      <c r="H27" s="175">
        <v>0.21724092733677389</v>
      </c>
      <c r="I27" s="175">
        <v>0.21499999999999997</v>
      </c>
      <c r="J27" s="175">
        <v>0.22099999999999992</v>
      </c>
      <c r="K27" s="175">
        <v>0.22700000000000012</v>
      </c>
      <c r="L27" s="175">
        <v>0.23300000000000007</v>
      </c>
      <c r="M27" s="175">
        <v>0.23900000000000007</v>
      </c>
      <c r="N27"/>
      <c r="O27" s="76"/>
      <c r="P27" s="76"/>
      <c r="Q27"/>
      <c r="R27"/>
    </row>
    <row r="28" spans="1:18" s="27" customFormat="1" ht="14.4" customHeight="1">
      <c r="A28"/>
      <c r="B28" s="70"/>
      <c r="C28"/>
      <c r="D28" s="71"/>
      <c r="E28" s="71"/>
      <c r="F28" s="71"/>
      <c r="G28" s="71"/>
      <c r="H28" s="71"/>
      <c r="I28" s="65"/>
      <c r="J28" s="65"/>
      <c r="K28" s="65"/>
      <c r="L28" s="65"/>
      <c r="M28" s="65"/>
      <c r="N28"/>
      <c r="O28"/>
      <c r="P28"/>
      <c r="Q28"/>
      <c r="R28"/>
    </row>
    <row r="29" spans="1:18" s="27" customFormat="1" ht="14.4" customHeight="1">
      <c r="A29"/>
      <c r="B29" s="70" t="s">
        <v>543</v>
      </c>
      <c r="C29"/>
      <c r="D29" s="310">
        <f>'3StatementModel'!D29/'3StatementModel'!D$13</f>
        <v>1.9115078071167683E-2</v>
      </c>
      <c r="E29" s="310">
        <f>'3StatementModel'!E29/'3StatementModel'!E$13</f>
        <v>2.1412069677435037E-2</v>
      </c>
      <c r="F29" s="310">
        <f>'3StatementModel'!F29/'3StatementModel'!F$13</f>
        <v>3.7250356680255739E-2</v>
      </c>
      <c r="G29" s="310">
        <f>'3StatementModel'!G29/'3StatementModel'!G$13</f>
        <v>3.8535305840148665E-2</v>
      </c>
      <c r="H29" s="310">
        <f>'3StatementModel'!H29/'3StatementModel'!H$13</f>
        <v>5.0872450233472595E-2</v>
      </c>
      <c r="I29" s="310">
        <f>'3StatementModel'!I29/'3StatementModel'!I$13</f>
        <v>4.5945240418459543E-2</v>
      </c>
      <c r="J29" s="310">
        <f>'3StatementModel'!J29/'3StatementModel'!J$13</f>
        <v>4.2108731653518527E-2</v>
      </c>
      <c r="K29" s="310">
        <f>'3StatementModel'!K29/'3StatementModel'!K$13</f>
        <v>3.9632592742190019E-2</v>
      </c>
      <c r="L29" s="310">
        <f>'3StatementModel'!L29/'3StatementModel'!L$13</f>
        <v>3.7669134574616764E-2</v>
      </c>
      <c r="M29" s="310">
        <f>'3StatementModel'!M29/'3StatementModel'!M$13</f>
        <v>3.6110834441622108E-2</v>
      </c>
      <c r="N29"/>
      <c r="O29" s="76">
        <f>_xlfn.RRI($M$9-$H$9,H29,M29)</f>
        <v>-6.6249228390273585E-2</v>
      </c>
      <c r="P29" s="76">
        <f t="shared" ref="P29:P30" si="3">_xlfn.RRI($M$9-$J$9,J29,M29)</f>
        <v>-4.9931057698884729E-2</v>
      </c>
      <c r="Q29"/>
      <c r="R29"/>
    </row>
    <row r="30" spans="1:18" s="73" customFormat="1" ht="14.4" customHeight="1">
      <c r="A30" s="72"/>
      <c r="B30" s="67" t="s">
        <v>64</v>
      </c>
      <c r="C30" s="74"/>
      <c r="D30" s="309">
        <f>'3StatementModel'!D30/'3StatementModel'!D$13</f>
        <v>0.24721202862861735</v>
      </c>
      <c r="E30" s="309">
        <f>'3StatementModel'!E30/'3StatementModel'!E$13</f>
        <v>0.23423942599853853</v>
      </c>
      <c r="F30" s="309">
        <f>'3StatementModel'!F30/'3StatementModel'!F$13</f>
        <v>0.17998178853418278</v>
      </c>
      <c r="G30" s="309">
        <f>'3StatementModel'!G30/'3StatementModel'!G$13</f>
        <v>0.20676305799644626</v>
      </c>
      <c r="H30" s="309">
        <f>'3StatementModel'!H30/'3StatementModel'!H$13</f>
        <v>0.16636847710330127</v>
      </c>
      <c r="I30" s="309">
        <f>'3StatementModel'!I30/'3StatementModel'!I$13</f>
        <v>0.16905475958154043</v>
      </c>
      <c r="J30" s="309">
        <f>'3StatementModel'!J30/'3StatementModel'!J$13</f>
        <v>0.17889126834648139</v>
      </c>
      <c r="K30" s="309">
        <f>'3StatementModel'!K30/'3StatementModel'!K$13</f>
        <v>0.18736740725781009</v>
      </c>
      <c r="L30" s="309">
        <f>'3StatementModel'!L30/'3StatementModel'!L$13</f>
        <v>0.1953308654253833</v>
      </c>
      <c r="M30" s="309">
        <f>'3StatementModel'!M30/'3StatementModel'!M$13</f>
        <v>0.20288916555837799</v>
      </c>
      <c r="N30" s="72"/>
      <c r="O30" s="76">
        <f>_xlfn.RRI($M$9-$H$9,H30,M30)</f>
        <v>4.0489167047603303E-2</v>
      </c>
      <c r="P30" s="76">
        <f t="shared" si="3"/>
        <v>4.2853342797403604E-2</v>
      </c>
      <c r="Q30" s="72"/>
      <c r="R30" s="72"/>
    </row>
    <row r="31" spans="1:18" s="73" customFormat="1" ht="14.4" customHeight="1">
      <c r="A31" s="72"/>
      <c r="B31" s="70"/>
      <c r="C31" s="72"/>
      <c r="D31" s="215"/>
      <c r="E31" s="215"/>
      <c r="F31" s="215"/>
      <c r="G31" s="215"/>
      <c r="H31" s="215"/>
      <c r="I31" s="215"/>
      <c r="J31" s="215"/>
      <c r="K31" s="215"/>
      <c r="L31" s="215"/>
      <c r="M31" s="215"/>
      <c r="N31" s="72"/>
      <c r="O31" s="76"/>
      <c r="P31" s="76"/>
      <c r="Q31" s="72"/>
      <c r="R31" s="72"/>
    </row>
    <row r="32" spans="1:18" s="73" customFormat="1" ht="14.4" customHeight="1">
      <c r="A32" s="72"/>
      <c r="B32" s="174" t="s">
        <v>107</v>
      </c>
      <c r="C32" s="18"/>
      <c r="D32" s="175">
        <v>0.24721202862861735</v>
      </c>
      <c r="E32" s="175">
        <v>0.23423942599853853</v>
      </c>
      <c r="F32" s="175">
        <v>0.17998178853418278</v>
      </c>
      <c r="G32" s="175">
        <v>0.20676305799644626</v>
      </c>
      <c r="H32" s="175">
        <v>0.16636847710330127</v>
      </c>
      <c r="I32" s="175">
        <v>0.16905475958154043</v>
      </c>
      <c r="J32" s="175">
        <v>0.17889126834648139</v>
      </c>
      <c r="K32" s="175">
        <v>0.18736740725781009</v>
      </c>
      <c r="L32" s="175">
        <v>0.1953308654253833</v>
      </c>
      <c r="M32" s="175">
        <v>0.20288916555837799</v>
      </c>
      <c r="N32" s="72"/>
      <c r="O32" s="76"/>
      <c r="P32" s="76"/>
      <c r="Q32" s="72"/>
      <c r="R32" s="72"/>
    </row>
    <row r="33" spans="1:18" s="27" customFormat="1" ht="14.4" customHeight="1">
      <c r="A33"/>
      <c r="B33" s="11"/>
      <c r="C33"/>
      <c r="D33" s="66"/>
      <c r="E33" s="66"/>
      <c r="F33" s="66"/>
      <c r="G33" s="66"/>
      <c r="H33" s="66"/>
      <c r="I33" s="65"/>
      <c r="J33" s="65"/>
      <c r="K33" s="65"/>
      <c r="L33" s="65"/>
      <c r="M33" s="65"/>
      <c r="N33"/>
      <c r="O33"/>
      <c r="P33"/>
      <c r="Q33"/>
      <c r="R33"/>
    </row>
    <row r="34" spans="1:18" s="27" customFormat="1" ht="14.4" customHeight="1">
      <c r="A34"/>
      <c r="B34" s="2" t="s">
        <v>553</v>
      </c>
      <c r="C34"/>
      <c r="D34" s="310">
        <f>'3StatementModel'!D34/'3StatementModel'!D$13</f>
        <v>-3.2371030747257406E-3</v>
      </c>
      <c r="E34" s="310">
        <f>'3StatementModel'!E34/'3StatementModel'!E$13</f>
        <v>-7.5319649153419216E-3</v>
      </c>
      <c r="F34" s="310">
        <f>'3StatementModel'!F34/'3StatementModel'!F$13</f>
        <v>-5.0825007746216231E-3</v>
      </c>
      <c r="G34" s="310">
        <f>'3StatementModel'!G34/'3StatementModel'!G$13</f>
        <v>-3.2445410081802851E-3</v>
      </c>
      <c r="H34" s="310">
        <f>'3StatementModel'!H34/'3StatementModel'!H$13</f>
        <v>-3.5176538051937413E-2</v>
      </c>
      <c r="I34" s="310">
        <f>'3StatementModel'!I34/'3StatementModel'!I$13</f>
        <v>-3.8979469065155974E-2</v>
      </c>
      <c r="J34" s="310">
        <f>'3StatementModel'!J34/'3StatementModel'!J$13</f>
        <v>-2.9999661829075965E-2</v>
      </c>
      <c r="K34" s="310">
        <f>'3StatementModel'!K34/'3StatementModel'!K$13</f>
        <v>-2.7714266485480282E-2</v>
      </c>
      <c r="L34" s="310">
        <f>'3StatementModel'!L34/'3StatementModel'!L$13</f>
        <v>-2.6342681200138583E-2</v>
      </c>
      <c r="M34" s="310">
        <f>'3StatementModel'!M34/'3StatementModel'!M$13</f>
        <v>-2.5061921845506117E-2</v>
      </c>
      <c r="N34"/>
      <c r="O34"/>
      <c r="P34"/>
      <c r="Q34"/>
      <c r="R34"/>
    </row>
    <row r="35" spans="1:18" s="27" customFormat="1" ht="14.4" customHeight="1">
      <c r="A35"/>
      <c r="B35" s="2" t="s">
        <v>177</v>
      </c>
      <c r="C35"/>
      <c r="D35" s="310">
        <f>'3StatementModel'!D35/'3StatementModel'!D$13</f>
        <v>2.5945491846251601E-2</v>
      </c>
      <c r="E35" s="310">
        <f>'3StatementModel'!E35/'3StatementModel'!E$13</f>
        <v>2.5191571283739927E-2</v>
      </c>
      <c r="F35" s="310">
        <f>'3StatementModel'!F35/'3StatementModel'!F$13</f>
        <v>1.4694300762117956E-2</v>
      </c>
      <c r="G35" s="310">
        <f>'3StatementModel'!G35/'3StatementModel'!G$13</f>
        <v>2.7176006334961582E-2</v>
      </c>
      <c r="H35" s="310">
        <f>'3StatementModel'!H35/'3StatementModel'!H$13</f>
        <v>4.3973949373310395E-2</v>
      </c>
      <c r="I35" s="310">
        <f>'3StatementModel'!I35/'3StatementModel'!I$13</f>
        <v>0.03</v>
      </c>
      <c r="J35" s="310">
        <f>'3StatementModel'!J35/'3StatementModel'!J$13</f>
        <v>0.03</v>
      </c>
      <c r="K35" s="310">
        <f>'3StatementModel'!K35/'3StatementModel'!K$13</f>
        <v>3.0000000000000002E-2</v>
      </c>
      <c r="L35" s="310">
        <f>'3StatementModel'!L35/'3StatementModel'!L$13</f>
        <v>0.03</v>
      </c>
      <c r="M35" s="310">
        <f>'3StatementModel'!M35/'3StatementModel'!M$13</f>
        <v>0.03</v>
      </c>
      <c r="N35"/>
      <c r="O35"/>
      <c r="P35"/>
      <c r="Q35"/>
      <c r="R35"/>
    </row>
    <row r="36" spans="1:18" s="27" customFormat="1" ht="14.4" customHeight="1">
      <c r="A36"/>
      <c r="B36" t="s">
        <v>555</v>
      </c>
      <c r="C36"/>
      <c r="D36" s="310">
        <f>'3StatementModel'!D36/'3StatementModel'!D$13</f>
        <v>-1.8761714322384003E-3</v>
      </c>
      <c r="E36" s="310">
        <f>'3StatementModel'!E36/'3StatementModel'!E$13</f>
        <v>-1.8566597311635046E-3</v>
      </c>
      <c r="F36" s="310">
        <f>'3StatementModel'!F36/'3StatementModel'!F$13</f>
        <v>-1.4200005874666392E-3</v>
      </c>
      <c r="G36" s="310">
        <f>'3StatementModel'!G36/'3StatementModel'!G$13</f>
        <v>-1.4720688731808434E-3</v>
      </c>
      <c r="H36" s="310">
        <f>'3StatementModel'!H36/'3StatementModel'!H$13</f>
        <v>-1.0027033669206193E-3</v>
      </c>
      <c r="I36" s="310">
        <f>'3StatementModel'!I36/'3StatementModel'!I$13</f>
        <v>0</v>
      </c>
      <c r="J36" s="310">
        <f>'3StatementModel'!J36/'3StatementModel'!J$13</f>
        <v>0</v>
      </c>
      <c r="K36" s="310">
        <f>'3StatementModel'!K36/'3StatementModel'!K$13</f>
        <v>0</v>
      </c>
      <c r="L36" s="310">
        <f>'3StatementModel'!L36/'3StatementModel'!L$13</f>
        <v>0</v>
      </c>
      <c r="M36" s="310">
        <f>'3StatementModel'!M36/'3StatementModel'!M$13</f>
        <v>0</v>
      </c>
      <c r="N36"/>
      <c r="O36"/>
      <c r="P36"/>
      <c r="Q36"/>
      <c r="R36"/>
    </row>
    <row r="37" spans="1:18" s="27" customFormat="1" ht="14.4" customHeight="1">
      <c r="A37"/>
      <c r="B37" s="67" t="s">
        <v>65</v>
      </c>
      <c r="C37" s="74"/>
      <c r="D37" s="309">
        <f>'3StatementModel'!D37/'3StatementModel'!D$13</f>
        <v>0.26804424596790477</v>
      </c>
      <c r="E37" s="309">
        <f>'3StatementModel'!E37/'3StatementModel'!E$13</f>
        <v>0.25004237263577306</v>
      </c>
      <c r="F37" s="309">
        <f>'3StatementModel'!F37/'3StatementModel'!F$13</f>
        <v>0.18817358793421249</v>
      </c>
      <c r="G37" s="309">
        <f>'3StatementModel'!G37/'3StatementModel'!G$13</f>
        <v>0.22922245445004674</v>
      </c>
      <c r="H37" s="309">
        <f>'3StatementModel'!H37/'3StatementModel'!H$13</f>
        <v>0.17416318505775366</v>
      </c>
      <c r="I37" s="309">
        <f>'3StatementModel'!I37/'3StatementModel'!I$13</f>
        <v>0.16007529051638444</v>
      </c>
      <c r="J37" s="309">
        <f>'3StatementModel'!J37/'3StatementModel'!J$13</f>
        <v>0.17889160651740543</v>
      </c>
      <c r="K37" s="309">
        <f>'3StatementModel'!K37/'3StatementModel'!K$13</f>
        <v>0.18965314077232981</v>
      </c>
      <c r="L37" s="309">
        <f>'3StatementModel'!L37/'3StatementModel'!L$13</f>
        <v>0.1989881842252447</v>
      </c>
      <c r="M37" s="309">
        <f>'3StatementModel'!M37/'3StatementModel'!M$13</f>
        <v>0.2078272437128719</v>
      </c>
      <c r="N37"/>
      <c r="O37"/>
      <c r="P37"/>
      <c r="Q37"/>
      <c r="R37"/>
    </row>
    <row r="38" spans="1:18" s="27" customFormat="1" ht="14.4" customHeight="1">
      <c r="A38"/>
      <c r="B38"/>
      <c r="C38"/>
      <c r="D38" s="66"/>
      <c r="E38" s="66"/>
      <c r="F38" s="66"/>
      <c r="G38" s="66"/>
      <c r="H38" s="66"/>
      <c r="I38" s="65"/>
      <c r="J38" s="65"/>
      <c r="K38" s="65"/>
      <c r="L38" s="65"/>
      <c r="M38" s="65"/>
      <c r="N38"/>
      <c r="O38"/>
      <c r="P38"/>
      <c r="Q38"/>
      <c r="R38"/>
    </row>
    <row r="39" spans="1:18" s="27" customFormat="1" ht="14.4" customHeight="1">
      <c r="A39"/>
      <c r="B39" s="223" t="s">
        <v>5</v>
      </c>
      <c r="C39"/>
      <c r="D39" s="310">
        <f>'3StatementModel'!D39/'3StatementModel'!D$13</f>
        <v>-6.4040877146737396E-2</v>
      </c>
      <c r="E39" s="310">
        <f>'3StatementModel'!E39/'3StatementModel'!E$13</f>
        <v>-6.7035893635193813E-2</v>
      </c>
      <c r="F39" s="310">
        <f>'3StatementModel'!F39/'3StatementModel'!F$13</f>
        <v>-4.1324197808017958E-2</v>
      </c>
      <c r="G39" s="310">
        <f>'3StatementModel'!G39/'3StatementModel'!G$13</f>
        <v>-4.4276388959658596E-2</v>
      </c>
      <c r="H39" s="310">
        <f>'3StatementModel'!H39/'3StatementModel'!H$13</f>
        <v>-4.1758007700499714E-2</v>
      </c>
      <c r="I39" s="310">
        <f>'3StatementModel'!I39/'3StatementModel'!I$13</f>
        <v>-4.0018822629096111E-2</v>
      </c>
      <c r="J39" s="310">
        <f>'3StatementModel'!J39/'3StatementModel'!J$13</f>
        <v>-4.4722901629351358E-2</v>
      </c>
      <c r="K39" s="310">
        <f>'3StatementModel'!K39/'3StatementModel'!K$13</f>
        <v>-4.7413285193082445E-2</v>
      </c>
      <c r="L39" s="310">
        <f>'3StatementModel'!L39/'3StatementModel'!L$13</f>
        <v>-4.9747046056311188E-2</v>
      </c>
      <c r="M39" s="310">
        <f>'3StatementModel'!M39/'3StatementModel'!M$13</f>
        <v>-5.1956810928217974E-2</v>
      </c>
      <c r="N39"/>
      <c r="O39" s="76">
        <f>_xlfn.RRI($M$9-$H$9,H39,M39)</f>
        <v>4.4673416062486204E-2</v>
      </c>
      <c r="P39" s="76">
        <f t="shared" ref="P39:P40" si="4">_xlfn.RRI($M$9-$J$9,J39,M39)</f>
        <v>5.1245551949595347E-2</v>
      </c>
      <c r="Q39"/>
      <c r="R39"/>
    </row>
    <row r="40" spans="1:18" s="27" customFormat="1" ht="14.4" customHeight="1" thickBot="1">
      <c r="A40"/>
      <c r="B40" s="13" t="s">
        <v>6</v>
      </c>
      <c r="C40" s="69"/>
      <c r="D40" s="311">
        <f>'3StatementModel'!D40/'3StatementModel'!D$13</f>
        <v>0.2040033688211674</v>
      </c>
      <c r="E40" s="311">
        <f>'3StatementModel'!E40/'3StatementModel'!E$13</f>
        <v>0.18300647900057923</v>
      </c>
      <c r="F40" s="311">
        <f>'3StatementModel'!F40/'3StatementModel'!F$13</f>
        <v>0.14684939012619452</v>
      </c>
      <c r="G40" s="311">
        <f>'3StatementModel'!G40/'3StatementModel'!G$13</f>
        <v>0.18494606549038817</v>
      </c>
      <c r="H40" s="311">
        <f>'3StatementModel'!H40/'3StatementModel'!H$13</f>
        <v>0.13240517735725393</v>
      </c>
      <c r="I40" s="311">
        <f>'3StatementModel'!I40/'3StatementModel'!I$13</f>
        <v>0.12005646788728833</v>
      </c>
      <c r="J40" s="311">
        <f>'3StatementModel'!J40/'3StatementModel'!J$13</f>
        <v>0.13416870488805407</v>
      </c>
      <c r="K40" s="311">
        <f>'3StatementModel'!K40/'3StatementModel'!K$13</f>
        <v>0.14223985557924737</v>
      </c>
      <c r="L40" s="311">
        <f>'3StatementModel'!L40/'3StatementModel'!L$13</f>
        <v>0.14924113816893353</v>
      </c>
      <c r="M40" s="311">
        <f>'3StatementModel'!M40/'3StatementModel'!M$13</f>
        <v>0.15587043278465393</v>
      </c>
      <c r="N40"/>
      <c r="O40" s="76">
        <f>_xlfn.RRI($M$9-$H$9,H40,M40)</f>
        <v>3.3169922999836565E-2</v>
      </c>
      <c r="P40" s="76">
        <f t="shared" si="4"/>
        <v>5.1245551949595347E-2</v>
      </c>
      <c r="Q40"/>
      <c r="R40"/>
    </row>
    <row r="41" spans="1:18" s="27" customFormat="1" ht="14.4" customHeight="1">
      <c r="A41"/>
      <c r="B41"/>
      <c r="C41"/>
      <c r="D41"/>
      <c r="E41"/>
      <c r="F41"/>
      <c r="G41"/>
      <c r="H41"/>
      <c r="I41"/>
      <c r="J41"/>
      <c r="K41"/>
      <c r="L41"/>
      <c r="M41"/>
      <c r="N41"/>
      <c r="O41"/>
      <c r="P41"/>
      <c r="Q41"/>
      <c r="R41"/>
    </row>
    <row r="42" spans="1:18" s="27" customFormat="1" ht="14.4" customHeight="1">
      <c r="A42"/>
      <c r="B42" s="31" t="s">
        <v>68</v>
      </c>
      <c r="C42" s="31"/>
      <c r="D42" s="57">
        <v>0</v>
      </c>
      <c r="E42" s="57">
        <v>0.25027030487098911</v>
      </c>
      <c r="F42" s="57">
        <v>0.12438103792389787</v>
      </c>
      <c r="G42" s="57">
        <v>0.18119363849063097</v>
      </c>
      <c r="H42" s="57">
        <v>0.18115783579837341</v>
      </c>
      <c r="I42" s="57">
        <v>0.17999999999999994</v>
      </c>
      <c r="J42" s="57">
        <v>0.16500000000000004</v>
      </c>
      <c r="K42" s="57">
        <v>0.14999999999999991</v>
      </c>
      <c r="L42" s="57">
        <v>0.13500000000000001</v>
      </c>
      <c r="M42" s="57">
        <v>0.12000000000000011</v>
      </c>
      <c r="N42"/>
      <c r="O42"/>
      <c r="P42"/>
      <c r="Q42"/>
      <c r="R42"/>
    </row>
    <row r="43" spans="1:18" s="27" customFormat="1" ht="14.4" customHeight="1">
      <c r="A43"/>
      <c r="B43" s="31" t="s">
        <v>69</v>
      </c>
      <c r="C43" s="31"/>
      <c r="D43" s="57">
        <v>0.71390772426194249</v>
      </c>
      <c r="E43" s="57">
        <v>0.68878606282695343</v>
      </c>
      <c r="F43" s="57">
        <v>0.66699076385864098</v>
      </c>
      <c r="G43" s="57">
        <v>0.68942758558082151</v>
      </c>
      <c r="H43" s="57">
        <v>0.68419431473744563</v>
      </c>
      <c r="I43" s="57">
        <v>0.66</v>
      </c>
      <c r="J43" s="57">
        <v>0.66600000000000004</v>
      </c>
      <c r="K43" s="57">
        <v>0.67200000000000015</v>
      </c>
      <c r="L43" s="57">
        <v>0.67800000000000005</v>
      </c>
      <c r="M43" s="57">
        <v>0.68400000000000016</v>
      </c>
      <c r="N43"/>
      <c r="O43"/>
      <c r="P43"/>
      <c r="Q43"/>
      <c r="R43"/>
    </row>
    <row r="44" spans="1:18" s="27" customFormat="1" ht="14.4" customHeight="1">
      <c r="A44"/>
      <c r="B44" s="31" t="s">
        <v>70</v>
      </c>
      <c r="C44" s="31"/>
      <c r="D44" s="57">
        <v>0.26632710669978504</v>
      </c>
      <c r="E44" s="57">
        <v>0.25565149567597362</v>
      </c>
      <c r="F44" s="57">
        <v>0.21723214521443851</v>
      </c>
      <c r="G44" s="57">
        <v>0.24529836383659495</v>
      </c>
      <c r="H44" s="57">
        <v>0.21724092733677389</v>
      </c>
      <c r="I44" s="57">
        <v>0.21499999999999997</v>
      </c>
      <c r="J44" s="57">
        <v>0.22099999999999992</v>
      </c>
      <c r="K44" s="57">
        <v>0.22700000000000012</v>
      </c>
      <c r="L44" s="57">
        <v>0.23300000000000007</v>
      </c>
      <c r="M44" s="57">
        <v>0.23900000000000007</v>
      </c>
      <c r="N44"/>
      <c r="O44"/>
      <c r="P44"/>
      <c r="Q44"/>
      <c r="R44"/>
    </row>
    <row r="45" spans="1:18" s="27" customFormat="1" ht="14.4" customHeight="1">
      <c r="A45"/>
      <c r="B45" s="31" t="s">
        <v>71</v>
      </c>
      <c r="C45" s="31"/>
      <c r="D45" s="57">
        <v>0.24721202862861735</v>
      </c>
      <c r="E45" s="57">
        <v>0.23423942599853853</v>
      </c>
      <c r="F45" s="57">
        <v>0.17998178853418278</v>
      </c>
      <c r="G45" s="57">
        <v>0.20676305799644626</v>
      </c>
      <c r="H45" s="57">
        <v>0.16636847710330127</v>
      </c>
      <c r="I45" s="57">
        <v>0.16905475958154043</v>
      </c>
      <c r="J45" s="57">
        <v>0.17889126834648139</v>
      </c>
      <c r="K45" s="57">
        <v>0.18736740725781009</v>
      </c>
      <c r="L45" s="57">
        <v>0.1953308654253833</v>
      </c>
      <c r="M45" s="57">
        <v>0.20288916555837799</v>
      </c>
      <c r="N45"/>
      <c r="O45"/>
      <c r="P45"/>
      <c r="Q45"/>
      <c r="R45"/>
    </row>
    <row r="46" spans="1:18" s="27" customFormat="1" ht="14.4" customHeight="1">
      <c r="A46"/>
      <c r="B46" s="31" t="s">
        <v>72</v>
      </c>
      <c r="C46" s="31"/>
      <c r="D46" s="57">
        <v>-0.23891905202249913</v>
      </c>
      <c r="E46" s="57">
        <v>-0.26809813444236663</v>
      </c>
      <c r="F46" s="57">
        <v>-0.21960679105754918</v>
      </c>
      <c r="G46" s="57">
        <v>-0.19315903874202478</v>
      </c>
      <c r="H46" s="57">
        <v>-0.2397636887879174</v>
      </c>
      <c r="I46" s="57">
        <v>-0.25</v>
      </c>
      <c r="J46" s="57">
        <v>-0.25</v>
      </c>
      <c r="K46" s="57">
        <v>-0.24999999999999997</v>
      </c>
      <c r="L46" s="57">
        <v>-0.25000000000000006</v>
      </c>
      <c r="M46" s="57">
        <v>-0.25</v>
      </c>
      <c r="N46"/>
      <c r="O46"/>
      <c r="P46"/>
      <c r="Q46"/>
      <c r="R46"/>
    </row>
    <row r="47" spans="1:18" s="27" customFormat="1" ht="14.4" customHeight="1">
      <c r="A47"/>
      <c r="B47" s="31" t="s">
        <v>73</v>
      </c>
      <c r="C47" s="31"/>
      <c r="D47" s="57">
        <v>0.2040033688211674</v>
      </c>
      <c r="E47" s="57">
        <v>0.18300647900057923</v>
      </c>
      <c r="F47" s="57">
        <v>0.14684939012619452</v>
      </c>
      <c r="G47" s="57">
        <v>0.18494606549038817</v>
      </c>
      <c r="H47" s="57">
        <v>0.13240517735725393</v>
      </c>
      <c r="I47" s="57">
        <v>0.12005646788728833</v>
      </c>
      <c r="J47" s="57">
        <v>0.13416870488805407</v>
      </c>
      <c r="K47" s="57">
        <v>0.14223985557924737</v>
      </c>
      <c r="L47" s="57">
        <v>0.14924113816893353</v>
      </c>
      <c r="M47" s="57">
        <v>0.15587043278465393</v>
      </c>
      <c r="N47"/>
      <c r="O47"/>
      <c r="P47"/>
      <c r="Q47"/>
      <c r="R47"/>
    </row>
    <row r="48" spans="1:18" s="27" customFormat="1" ht="14.4" customHeight="1">
      <c r="A48"/>
      <c r="B48"/>
      <c r="C48"/>
      <c r="D48"/>
      <c r="E48"/>
      <c r="F48"/>
      <c r="G48"/>
      <c r="H48"/>
      <c r="I48"/>
      <c r="J48"/>
      <c r="K48"/>
      <c r="L48"/>
      <c r="M48"/>
      <c r="N48"/>
      <c r="O48"/>
      <c r="P48"/>
      <c r="Q48"/>
      <c r="R48"/>
    </row>
    <row r="49" spans="1:21" s="27" customFormat="1" ht="14.4" customHeight="1">
      <c r="A49" t="s">
        <v>23</v>
      </c>
      <c r="B49" s="491" t="s">
        <v>75</v>
      </c>
      <c r="C49" s="492"/>
      <c r="D49" s="492"/>
      <c r="E49" s="492"/>
      <c r="F49" s="492"/>
      <c r="G49" s="492"/>
      <c r="H49" s="492"/>
      <c r="I49" s="492"/>
      <c r="J49" s="492"/>
      <c r="K49" s="492"/>
      <c r="L49" s="492"/>
      <c r="M49" s="492"/>
      <c r="N49"/>
      <c r="O49"/>
      <c r="P49"/>
      <c r="Q49"/>
      <c r="R49"/>
    </row>
    <row r="50" spans="1:21" s="27" customFormat="1" ht="14.4" customHeight="1">
      <c r="A50"/>
      <c r="B50"/>
      <c r="C50"/>
      <c r="D50"/>
      <c r="E50"/>
      <c r="F50"/>
      <c r="G50"/>
      <c r="H50"/>
      <c r="I50"/>
      <c r="J50"/>
      <c r="K50"/>
      <c r="L50"/>
      <c r="M50"/>
      <c r="N50"/>
      <c r="O50"/>
      <c r="P50"/>
      <c r="Q50"/>
      <c r="R50"/>
      <c r="S50"/>
      <c r="T50"/>
      <c r="U50"/>
    </row>
    <row r="51" spans="1:21" s="27" customFormat="1" ht="14.4" customHeight="1">
      <c r="A51"/>
      <c r="B51" s="233" t="s">
        <v>7</v>
      </c>
      <c r="C51" s="1"/>
      <c r="D51" s="80"/>
      <c r="E51" s="80"/>
      <c r="F51" s="80"/>
      <c r="G51" s="80"/>
      <c r="H51" s="80"/>
      <c r="I51" s="1"/>
      <c r="J51" s="1"/>
      <c r="K51" s="1"/>
      <c r="L51" s="1"/>
      <c r="M51" s="1"/>
      <c r="N51"/>
      <c r="O51"/>
      <c r="P51"/>
      <c r="Q51"/>
      <c r="R51"/>
      <c r="S51"/>
      <c r="T51"/>
      <c r="U51"/>
    </row>
    <row r="52" spans="1:21" s="27" customFormat="1" ht="14.4" customHeight="1">
      <c r="A52"/>
      <c r="B52" s="233"/>
      <c r="C52" s="1"/>
      <c r="D52" s="80"/>
      <c r="E52" s="80"/>
      <c r="F52" s="80"/>
      <c r="G52" s="80"/>
      <c r="H52" s="80"/>
      <c r="I52" s="1"/>
      <c r="J52" s="1"/>
      <c r="K52" s="1"/>
      <c r="L52" s="1"/>
      <c r="M52" s="1"/>
      <c r="N52"/>
      <c r="O52"/>
      <c r="P52"/>
      <c r="Q52"/>
      <c r="R52"/>
      <c r="S52"/>
      <c r="T52"/>
      <c r="U52"/>
    </row>
    <row r="53" spans="1:21" ht="14.4" customHeight="1">
      <c r="B53" s="232" t="s">
        <v>183</v>
      </c>
    </row>
    <row r="54" spans="1:21" ht="14.4" customHeight="1">
      <c r="B54" t="s">
        <v>500</v>
      </c>
      <c r="D54" s="310">
        <f>'3StatementModel'!D54/'3StatementModel'!D$76</f>
        <v>0.25424779672563846</v>
      </c>
      <c r="E54" s="310">
        <f>'3StatementModel'!E54/'3StatementModel'!E$76</f>
        <v>0.18063427948089941</v>
      </c>
      <c r="F54" s="310">
        <f>'3StatementModel'!F54/'3StatementModel'!F$76</f>
        <v>0.24800234430111018</v>
      </c>
      <c r="G54" s="310">
        <f>'3StatementModel'!G54/'3StatementModel'!G$76</f>
        <v>0.2350980389321386</v>
      </c>
      <c r="H54" s="310">
        <f>'3StatementModel'!H54/'3StatementModel'!H$76</f>
        <v>9.8727338935349199E-2</v>
      </c>
      <c r="I54" s="310">
        <f>'3StatementModel'!I54/'3StatementModel'!I$76</f>
        <v>0.11486130105077653</v>
      </c>
      <c r="J54" s="310">
        <f>'3StatementModel'!J54/'3StatementModel'!J$76</f>
        <v>0.12014147551146563</v>
      </c>
      <c r="K54" s="310">
        <f>'3StatementModel'!K54/'3StatementModel'!K$76</f>
        <v>0.12717557276370797</v>
      </c>
      <c r="L54" s="310">
        <f>'3StatementModel'!L54/'3StatementModel'!L$76</f>
        <v>0.12949512794805193</v>
      </c>
      <c r="M54" s="310">
        <f>'3StatementModel'!M54/'3StatementModel'!M$76</f>
        <v>0.12963451985961055</v>
      </c>
      <c r="N54" s="65"/>
    </row>
    <row r="55" spans="1:21" ht="14.4" customHeight="1">
      <c r="B55" t="s">
        <v>505</v>
      </c>
      <c r="D55" s="310">
        <f>'3StatementModel'!D55/'3StatementModel'!D$76</f>
        <v>0</v>
      </c>
      <c r="E55" s="310">
        <f>'3StatementModel'!E55/'3StatementModel'!E$76</f>
        <v>7.3632094866008533E-3</v>
      </c>
      <c r="F55" s="310">
        <f>'3StatementModel'!F55/'3StatementModel'!F$76</f>
        <v>1.1771395028478019E-2</v>
      </c>
      <c r="G55" s="310">
        <f>'3StatementModel'!G55/'3StatementModel'!G$76</f>
        <v>9.9522432120461579E-3</v>
      </c>
      <c r="H55" s="310">
        <f>'3StatementModel'!H55/'3StatementModel'!H$76</f>
        <v>6.0249447843980257E-3</v>
      </c>
      <c r="I55" s="310">
        <f>'3StatementModel'!I55/'3StatementModel'!I$76</f>
        <v>5.6756967800268886E-3</v>
      </c>
      <c r="J55" s="310">
        <f>'3StatementModel'!J55/'3StatementModel'!J$76</f>
        <v>4.8756360764968323E-3</v>
      </c>
      <c r="K55" s="310">
        <f>'3StatementModel'!K55/'3StatementModel'!K$76</f>
        <v>4.1486313634315096E-3</v>
      </c>
      <c r="L55" s="310">
        <f>'3StatementModel'!L55/'3StatementModel'!L$76</f>
        <v>3.4804001737975495E-3</v>
      </c>
      <c r="M55" s="310">
        <f>'3StatementModel'!M55/'3StatementModel'!M$76</f>
        <v>2.9323171037760162E-3</v>
      </c>
    </row>
    <row r="56" spans="1:21" ht="14.4" customHeight="1">
      <c r="B56" t="s">
        <v>503</v>
      </c>
      <c r="D56" s="310">
        <f>'3StatementModel'!D56/'3StatementModel'!D$76</f>
        <v>5.8312557121375792E-2</v>
      </c>
      <c r="E56" s="310">
        <f>'3StatementModel'!E56/'3StatementModel'!E$76</f>
        <v>7.3227887983621148E-2</v>
      </c>
      <c r="F56" s="310">
        <f>'3StatementModel'!F56/'3StatementModel'!F$76</f>
        <v>5.0763547291123312E-2</v>
      </c>
      <c r="G56" s="310">
        <f>'3StatementModel'!G56/'3StatementModel'!G$76</f>
        <v>1.7310821068904556E-2</v>
      </c>
      <c r="H56" s="310">
        <f>'3StatementModel'!H56/'3StatementModel'!H$76</f>
        <v>1.1027900429583066E-2</v>
      </c>
      <c r="I56" s="310">
        <f>'3StatementModel'!I56/'3StatementModel'!I$76</f>
        <v>0</v>
      </c>
      <c r="J56" s="310">
        <f>'3StatementModel'!J56/'3StatementModel'!J$76</f>
        <v>0</v>
      </c>
      <c r="K56" s="310">
        <f>'3StatementModel'!K56/'3StatementModel'!K$76</f>
        <v>0</v>
      </c>
      <c r="L56" s="310">
        <f>'3StatementModel'!L56/'3StatementModel'!L$76</f>
        <v>0</v>
      </c>
      <c r="M56" s="310">
        <f>'3StatementModel'!M56/'3StatementModel'!M$76</f>
        <v>0</v>
      </c>
    </row>
    <row r="57" spans="1:21" ht="14.4" customHeight="1">
      <c r="B57" t="s">
        <v>13</v>
      </c>
      <c r="D57" s="310">
        <f>'3StatementModel'!D57/'3StatementModel'!D$76</f>
        <v>3.2077098769821878E-3</v>
      </c>
      <c r="E57" s="310">
        <f>'3StatementModel'!E57/'3StatementModel'!E$76</f>
        <v>2.2346597606932596E-3</v>
      </c>
      <c r="F57" s="310">
        <f>'3StatementModel'!F57/'3StatementModel'!F$76</f>
        <v>2.0608872926497525E-3</v>
      </c>
      <c r="G57" s="310">
        <f>'3StatementModel'!G57/'3StatementModel'!G$76</f>
        <v>1.6736654959520368E-3</v>
      </c>
      <c r="H57" s="310">
        <f>'3StatementModel'!H57/'3StatementModel'!H$76</f>
        <v>0.23386512131726148</v>
      </c>
      <c r="I57" s="310">
        <f>'3StatementModel'!I57/'3StatementModel'!I$76</f>
        <v>0.23181361902186867</v>
      </c>
      <c r="J57" s="310">
        <f>'3StatementModel'!J57/'3StatementModel'!J$76</f>
        <v>0.21010888537102165</v>
      </c>
      <c r="K57" s="310">
        <f>'3StatementModel'!K57/'3StatementModel'!K$76</f>
        <v>0.18920467265972463</v>
      </c>
      <c r="L57" s="310">
        <f>'3StatementModel'!L57/'3StatementModel'!L$76</f>
        <v>0.1685579845821428</v>
      </c>
      <c r="M57" s="310">
        <f>'3StatementModel'!M57/'3StatementModel'!M$76</f>
        <v>0.15138844140958399</v>
      </c>
    </row>
    <row r="58" spans="1:21" ht="14.4" customHeight="1">
      <c r="B58" t="s">
        <v>506</v>
      </c>
      <c r="D58" s="310">
        <f>'3StatementModel'!D58/'3StatementModel'!D$76</f>
        <v>2.8917436596332074E-3</v>
      </c>
      <c r="E58" s="310">
        <f>'3StatementModel'!E58/'3StatementModel'!E$76</f>
        <v>0.20142734352866926</v>
      </c>
      <c r="F58" s="310">
        <f>'3StatementModel'!F58/'3StatementModel'!F$76</f>
        <v>0.17512918436158886</v>
      </c>
      <c r="G58" s="310">
        <f>'3StatementModel'!G58/'3StatementModel'!G$76</f>
        <v>0.132768103470636</v>
      </c>
      <c r="H58" s="310">
        <f>'3StatementModel'!H58/'3StatementModel'!H$76</f>
        <v>0.34599429699800505</v>
      </c>
      <c r="I58" s="310">
        <f>'3StatementModel'!I58/'3StatementModel'!I$76</f>
        <v>0.32593804385801534</v>
      </c>
      <c r="J58" s="310">
        <f>'3StatementModel'!J58/'3StatementModel'!J$76</f>
        <v>0.27999298534221873</v>
      </c>
      <c r="K58" s="310">
        <f>'3StatementModel'!K58/'3StatementModel'!K$76</f>
        <v>0.2382433106791994</v>
      </c>
      <c r="L58" s="310">
        <f>'3StatementModel'!L58/'3StatementModel'!L$76</f>
        <v>0.19986882112565851</v>
      </c>
      <c r="M58" s="310">
        <f>'3StatementModel'!M58/'3StatementModel'!M$76</f>
        <v>0.16839407350644764</v>
      </c>
    </row>
    <row r="59" spans="1:21" ht="14.4" customHeight="1">
      <c r="B59" t="s">
        <v>516</v>
      </c>
      <c r="D59" s="310">
        <f>'3StatementModel'!D59/'3StatementModel'!D$76</f>
        <v>1.06732748002882E-2</v>
      </c>
      <c r="E59" s="310">
        <f>'3StatementModel'!E59/'3StatementModel'!E$76</f>
        <v>1.0455486148633834E-2</v>
      </c>
      <c r="F59" s="310">
        <f>'3StatementModel'!F59/'3StatementModel'!F$76</f>
        <v>2.1109445440935959E-2</v>
      </c>
      <c r="G59" s="310">
        <f>'3StatementModel'!G59/'3StatementModel'!G$76</f>
        <v>1.2984367550501086E-2</v>
      </c>
      <c r="H59" s="310">
        <f>'3StatementModel'!H59/'3StatementModel'!H$76</f>
        <v>1.2989024459852894E-2</v>
      </c>
      <c r="I59" s="310">
        <f>'3StatementModel'!I59/'3StatementModel'!I$76</f>
        <v>1.2875082657226616E-2</v>
      </c>
      <c r="J59" s="310">
        <f>'3StatementModel'!J59/'3StatementModel'!J$76</f>
        <v>1.1669587307182577E-2</v>
      </c>
      <c r="K59" s="310">
        <f>'3StatementModel'!K59/'3StatementModel'!K$76</f>
        <v>1.0508553422815299E-2</v>
      </c>
      <c r="L59" s="310">
        <f>'3StatementModel'!L59/'3StatementModel'!L$76</f>
        <v>9.3618226279703082E-3</v>
      </c>
      <c r="M59" s="310">
        <f>'3StatementModel'!M59/'3StatementModel'!M$76</f>
        <v>8.4082147749620622E-3</v>
      </c>
    </row>
    <row r="60" spans="1:21" ht="14.4" customHeight="1">
      <c r="B60" t="s">
        <v>562</v>
      </c>
      <c r="D60" s="310">
        <f>'3StatementModel'!D60/'3StatementModel'!D$76</f>
        <v>1.5170113035439246E-2</v>
      </c>
      <c r="E60" s="310">
        <f>'3StatementModel'!E60/'3StatementModel'!E$76</f>
        <v>8.1095317571101451E-3</v>
      </c>
      <c r="F60" s="310">
        <f>'3StatementModel'!F60/'3StatementModel'!F$76</f>
        <v>7.5503252517079584E-3</v>
      </c>
      <c r="G60" s="310">
        <f>'3StatementModel'!G60/'3StatementModel'!G$76</f>
        <v>5.5403865702957434E-3</v>
      </c>
      <c r="H60" s="310">
        <f>'3StatementModel'!H60/'3StatementModel'!H$76</f>
        <v>3.3235360586461099E-3</v>
      </c>
      <c r="I60" s="310">
        <f>'3StatementModel'!I60/'3StatementModel'!I$76</f>
        <v>3.2943814681080721E-3</v>
      </c>
      <c r="J60" s="310">
        <f>'3StatementModel'!J60/'3StatementModel'!J$76</f>
        <v>2.9859281830453572E-3</v>
      </c>
      <c r="K60" s="310">
        <f>'3StatementModel'!K60/'3StatementModel'!K$76</f>
        <v>2.6888513708543125E-3</v>
      </c>
      <c r="L60" s="310">
        <f>'3StatementModel'!L60/'3StatementModel'!L$76</f>
        <v>2.3954343280265709E-3</v>
      </c>
      <c r="M60" s="310">
        <f>'3StatementModel'!M60/'3StatementModel'!M$76</f>
        <v>2.1514321633469224E-3</v>
      </c>
    </row>
    <row r="61" spans="1:21" ht="14.4" customHeight="1">
      <c r="B61" t="s">
        <v>517</v>
      </c>
      <c r="D61" s="310">
        <f>'3StatementModel'!D61/'3StatementModel'!D$76</f>
        <v>7.690613964288287E-3</v>
      </c>
      <c r="E61" s="310">
        <f>'3StatementModel'!E61/'3StatementModel'!E$76</f>
        <v>4.2946106725571384E-3</v>
      </c>
      <c r="F61" s="310">
        <f>'3StatementModel'!F61/'3StatementModel'!F$76</f>
        <v>3.0648937357723766E-3</v>
      </c>
      <c r="G61" s="310">
        <f>'3StatementModel'!G61/'3StatementModel'!G$76</f>
        <v>6.7203656741567667E-3</v>
      </c>
      <c r="H61" s="310">
        <f>'3StatementModel'!H61/'3StatementModel'!H$76</f>
        <v>3.8865847102463559E-3</v>
      </c>
      <c r="I61" s="310">
        <f>'3StatementModel'!I61/'3StatementModel'!I$76</f>
        <v>3.8524909667697798E-3</v>
      </c>
      <c r="J61" s="310">
        <f>'3StatementModel'!J61/'3StatementModel'!J$76</f>
        <v>3.4917818303572897E-3</v>
      </c>
      <c r="K61" s="310">
        <f>'3StatementModel'!K61/'3StatementModel'!K$76</f>
        <v>3.1443764838659412E-3</v>
      </c>
      <c r="L61" s="310">
        <f>'3StatementModel'!L61/'3StatementModel'!L$76</f>
        <v>2.8012509175242436E-3</v>
      </c>
      <c r="M61" s="310">
        <f>'3StatementModel'!M61/'3StatementModel'!M$76</f>
        <v>2.5159117288478154E-3</v>
      </c>
    </row>
    <row r="62" spans="1:21" ht="14.4" customHeight="1">
      <c r="B62" t="s">
        <v>518</v>
      </c>
      <c r="D62" s="310">
        <f>'3StatementModel'!D62/'3StatementModel'!D$76</f>
        <v>8.7254127410709582E-3</v>
      </c>
      <c r="E62" s="310">
        <f>'3StatementModel'!E62/'3StatementModel'!E$76</f>
        <v>8.726063127722599E-3</v>
      </c>
      <c r="F62" s="310">
        <f>'3StatementModel'!F62/'3StatementModel'!F$76</f>
        <v>1.0551753231223732E-2</v>
      </c>
      <c r="G62" s="310">
        <f>'3StatementModel'!G62/'3StatementModel'!G$76</f>
        <v>6.8529716395845756E-3</v>
      </c>
      <c r="H62" s="310">
        <f>'3StatementModel'!H62/'3StatementModel'!H$76</f>
        <v>6.8261093404818054E-3</v>
      </c>
      <c r="I62" s="310">
        <f>'3StatementModel'!I62/'3StatementModel'!I$76</f>
        <v>6.7662296162128615E-3</v>
      </c>
      <c r="J62" s="310">
        <f>'3StatementModel'!J62/'3StatementModel'!J$76</f>
        <v>6.1327068220817767E-3</v>
      </c>
      <c r="K62" s="310">
        <f>'3StatementModel'!K62/'3StatementModel'!K$76</f>
        <v>5.5225498185907619E-3</v>
      </c>
      <c r="L62" s="310">
        <f>'3StatementModel'!L62/'3StatementModel'!L$76</f>
        <v>4.919909503769292E-3</v>
      </c>
      <c r="M62" s="310">
        <f>'3StatementModel'!M62/'3StatementModel'!M$76</f>
        <v>4.4187608999849155E-3</v>
      </c>
    </row>
    <row r="63" spans="1:21" ht="14.4" customHeight="1">
      <c r="B63" t="s">
        <v>522</v>
      </c>
      <c r="D63" s="310">
        <f>'3StatementModel'!D63/'3StatementModel'!D$76</f>
        <v>5.2347204066160094E-5</v>
      </c>
      <c r="E63" s="310">
        <f>'3StatementModel'!E63/'3StatementModel'!E$76</f>
        <v>3.4541563849492495E-3</v>
      </c>
      <c r="F63" s="310">
        <f>'3StatementModel'!F63/'3StatementModel'!F$76</f>
        <v>5.8621526038535113E-3</v>
      </c>
      <c r="G63" s="310">
        <f>'3StatementModel'!G63/'3StatementModel'!G$76</f>
        <v>6.2440491254948374E-3</v>
      </c>
      <c r="H63" s="310">
        <f>'3StatementModel'!H63/'3StatementModel'!H$76</f>
        <v>1.871569395088879E-2</v>
      </c>
      <c r="I63" s="310">
        <f>'3StatementModel'!I63/'3StatementModel'!I$76</f>
        <v>1.8551516886417381E-2</v>
      </c>
      <c r="J63" s="310">
        <f>'3StatementModel'!J63/'3StatementModel'!J$76</f>
        <v>1.6814536399516418E-2</v>
      </c>
      <c r="K63" s="310">
        <f>'3StatementModel'!K63/'3StatementModel'!K$76</f>
        <v>1.5141619783369274E-2</v>
      </c>
      <c r="L63" s="310">
        <f>'3StatementModel'!L63/'3StatementModel'!L$76</f>
        <v>1.3489312278158729E-2</v>
      </c>
      <c r="M63" s="310">
        <f>'3StatementModel'!M63/'3StatementModel'!M$76</f>
        <v>1.2115272774173638E-2</v>
      </c>
    </row>
    <row r="64" spans="1:21" ht="14.4" customHeight="1">
      <c r="B64" t="s">
        <v>523</v>
      </c>
      <c r="D64" s="310">
        <f>'3StatementModel'!D64/'3StatementModel'!D$76</f>
        <v>2.6014614661497813E-2</v>
      </c>
      <c r="E64" s="310">
        <f>'3StatementModel'!E64/'3StatementModel'!E$76</f>
        <v>1.833697377513268E-2</v>
      </c>
      <c r="F64" s="310">
        <f>'3StatementModel'!F64/'3StatementModel'!F$76</f>
        <v>1.8672395396396192E-2</v>
      </c>
      <c r="G64" s="310">
        <f>'3StatementModel'!G64/'3StatementModel'!G$76</f>
        <v>1.5821887786514961E-2</v>
      </c>
      <c r="H64" s="310">
        <f>'3StatementModel'!H64/'3StatementModel'!H$76</f>
        <v>6.8769025969601383E-3</v>
      </c>
      <c r="I64" s="310">
        <f>'3StatementModel'!I64/'3StatementModel'!I$76</f>
        <v>6.8165773061113263E-3</v>
      </c>
      <c r="J64" s="310">
        <f>'3StatementModel'!J64/'3StatementModel'!J$76</f>
        <v>6.1783404524534862E-3</v>
      </c>
      <c r="K64" s="310">
        <f>'3StatementModel'!K64/'3StatementModel'!K$76</f>
        <v>5.5636432548893154E-3</v>
      </c>
      <c r="L64" s="310">
        <f>'3StatementModel'!L64/'3StatementModel'!L$76</f>
        <v>4.9565186778698497E-3</v>
      </c>
      <c r="M64" s="310">
        <f>'3StatementModel'!M64/'3StatementModel'!M$76</f>
        <v>4.4516410143391229E-3</v>
      </c>
    </row>
    <row r="65" spans="1:21" s="20" customFormat="1" ht="14.4" customHeight="1" thickBot="1">
      <c r="B65" s="105" t="s">
        <v>519</v>
      </c>
      <c r="C65" s="105"/>
      <c r="D65" s="312">
        <f>'3StatementModel'!D65/'3StatementModel'!D$76</f>
        <v>0.38698618379028021</v>
      </c>
      <c r="E65" s="312">
        <f>'3StatementModel'!E65/'3StatementModel'!E$76</f>
        <v>0.51826420210658941</v>
      </c>
      <c r="F65" s="312">
        <f>'3StatementModel'!F65/'3StatementModel'!F$76</f>
        <v>0.55453832393483982</v>
      </c>
      <c r="G65" s="312">
        <f>'3StatementModel'!G65/'3StatementModel'!G$76</f>
        <v>0.45096690052622529</v>
      </c>
      <c r="H65" s="312">
        <f>'3StatementModel'!H65/'3StatementModel'!H$76</f>
        <v>0.74825745358167295</v>
      </c>
      <c r="I65" s="312">
        <f>'3StatementModel'!I65/'3StatementModel'!I$76</f>
        <v>0.73044493961153345</v>
      </c>
      <c r="J65" s="312">
        <f>'3StatementModel'!J65/'3StatementModel'!J$76</f>
        <v>0.66239186329583977</v>
      </c>
      <c r="K65" s="312">
        <f>'3StatementModel'!K65/'3StatementModel'!K$76</f>
        <v>0.60134178160044849</v>
      </c>
      <c r="L65" s="312">
        <f>'3StatementModel'!L65/'3StatementModel'!L$76</f>
        <v>0.5393265821629698</v>
      </c>
      <c r="M65" s="312">
        <f>'3StatementModel'!M65/'3StatementModel'!M$76</f>
        <v>0.48641058523507269</v>
      </c>
      <c r="O65"/>
      <c r="P65"/>
      <c r="Q65"/>
      <c r="R65"/>
      <c r="S65"/>
      <c r="T65"/>
      <c r="U65"/>
    </row>
    <row r="66" spans="1:21" ht="14.4" customHeight="1">
      <c r="D66" s="65"/>
      <c r="E66" s="65"/>
      <c r="F66" s="65"/>
      <c r="G66" s="65"/>
      <c r="H66" s="65"/>
    </row>
    <row r="67" spans="1:21" ht="14.4" customHeight="1">
      <c r="B67" s="232" t="s">
        <v>94</v>
      </c>
      <c r="D67" s="113"/>
      <c r="E67" s="76"/>
      <c r="F67" s="76"/>
      <c r="G67" s="76"/>
      <c r="H67" s="76"/>
      <c r="I67" s="76"/>
      <c r="J67" s="76"/>
      <c r="K67" s="76"/>
      <c r="L67" s="76"/>
      <c r="M67" s="76"/>
    </row>
    <row r="68" spans="1:21" s="27" customFormat="1" ht="14.4" customHeight="1">
      <c r="A68"/>
      <c r="B68" s="2" t="s">
        <v>8</v>
      </c>
      <c r="C68" s="1"/>
      <c r="D68" s="310">
        <f>'3StatementModel'!D68/'3StatementModel'!D$76</f>
        <v>2.6233543975386023E-2</v>
      </c>
      <c r="E68" s="310">
        <f>'3StatementModel'!E68/'3StatementModel'!E$76</f>
        <v>3.3071886602391479E-2</v>
      </c>
      <c r="F68" s="310">
        <f>'3StatementModel'!F68/'3StatementModel'!F$76</f>
        <v>3.1374758754731044E-2</v>
      </c>
      <c r="G68" s="310">
        <f>'3StatementModel'!G68/'3StatementModel'!G$76</f>
        <v>3.1931715417400308E-2</v>
      </c>
      <c r="H68" s="310">
        <f>'3StatementModel'!H68/'3StatementModel'!H$76</f>
        <v>1.4674568056038145E-2</v>
      </c>
      <c r="I68" s="310">
        <f>'3StatementModel'!I68/'3StatementModel'!I$76</f>
        <v>4.1447136922512187E-2</v>
      </c>
      <c r="J68" s="310">
        <f>'3StatementModel'!J68/'3StatementModel'!J$76</f>
        <v>9.7529949883015846E-2</v>
      </c>
      <c r="K68" s="310">
        <f>'3StatementModel'!K68/'3StatementModel'!K$76</f>
        <v>0.15438574807678815</v>
      </c>
      <c r="L68" s="310">
        <f>'3StatementModel'!L68/'3StatementModel'!L$76</f>
        <v>0.21419433589639292</v>
      </c>
      <c r="M68" s="310">
        <f>'3StatementModel'!M68/'3StatementModel'!M$76</f>
        <v>0.2660640799191063</v>
      </c>
      <c r="N68"/>
      <c r="O68"/>
      <c r="P68"/>
      <c r="Q68"/>
      <c r="R68"/>
      <c r="S68"/>
      <c r="T68"/>
      <c r="U68"/>
    </row>
    <row r="69" spans="1:21" s="27" customFormat="1" ht="14.4" customHeight="1">
      <c r="A69"/>
      <c r="B69" s="72" t="s">
        <v>556</v>
      </c>
      <c r="C69" s="1"/>
      <c r="D69" s="310">
        <f>'3StatementModel'!D69/'3StatementModel'!D$76</f>
        <v>8.3724111906773285E-2</v>
      </c>
      <c r="E69" s="310">
        <f>'3StatementModel'!E69/'3StatementModel'!E$76</f>
        <v>1.1304018889456896E-2</v>
      </c>
      <c r="F69" s="310">
        <f>'3StatementModel'!F69/'3StatementModel'!F$76</f>
        <v>1.5272325065304319E-2</v>
      </c>
      <c r="G69" s="310">
        <f>'3StatementModel'!G69/'3StatementModel'!G$76</f>
        <v>6.8205783026063616E-2</v>
      </c>
      <c r="H69" s="310">
        <f>'3StatementModel'!H69/'3StatementModel'!H$76</f>
        <v>5.3005104668240686E-3</v>
      </c>
      <c r="I69" s="310">
        <f>'3StatementModel'!I69/'3StatementModel'!I$76</f>
        <v>5.254013540184497E-3</v>
      </c>
      <c r="J69" s="310">
        <f>'3StatementModel'!J69/'3StatementModel'!J$76</f>
        <v>4.7620796970875108E-3</v>
      </c>
      <c r="K69" s="310">
        <f>'3StatementModel'!K69/'3StatementModel'!K$76</f>
        <v>4.2882895155810048E-3</v>
      </c>
      <c r="L69" s="310">
        <f>'3StatementModel'!L69/'3StatementModel'!L$76</f>
        <v>3.8203360830894166E-3</v>
      </c>
      <c r="M69" s="310">
        <f>'3StatementModel'!M69/'3StatementModel'!M$76</f>
        <v>3.4311915078567754E-3</v>
      </c>
      <c r="N69"/>
      <c r="O69"/>
      <c r="P69"/>
      <c r="Q69"/>
      <c r="R69"/>
      <c r="S69"/>
      <c r="T69"/>
      <c r="U69"/>
    </row>
    <row r="70" spans="1:21" s="27" customFormat="1" ht="14.4" customHeight="1">
      <c r="A70"/>
      <c r="B70" s="2" t="s">
        <v>9</v>
      </c>
      <c r="C70" s="1"/>
      <c r="D70" s="310">
        <f>'3StatementModel'!D70/'3StatementModel'!D$76</f>
        <v>0.18571609562917796</v>
      </c>
      <c r="E70" s="310">
        <f>'3StatementModel'!E70/'3StatementModel'!E$76</f>
        <v>0.1924222075563862</v>
      </c>
      <c r="F70" s="310">
        <f>'3StatementModel'!F70/'3StatementModel'!F$76</f>
        <v>0.15423415971765869</v>
      </c>
      <c r="G70" s="310">
        <f>'3StatementModel'!G70/'3StatementModel'!G$76</f>
        <v>0.12985263627120719</v>
      </c>
      <c r="H70" s="310">
        <f>'3StatementModel'!H70/'3StatementModel'!H$76</f>
        <v>7.5422942568263027E-2</v>
      </c>
      <c r="I70" s="310">
        <f>'3StatementModel'!I70/'3StatementModel'!I$76</f>
        <v>8.2549333491399951E-2</v>
      </c>
      <c r="J70" s="310">
        <f>'3StatementModel'!J70/'3StatementModel'!J$76</f>
        <v>8.7165568732233953E-2</v>
      </c>
      <c r="K70" s="310">
        <f>'3StatementModel'!K70/'3StatementModel'!K$76</f>
        <v>8.4749645283088065E-2</v>
      </c>
      <c r="L70" s="310">
        <f>'3StatementModel'!L70/'3StatementModel'!L$76</f>
        <v>8.5694159369569228E-2</v>
      </c>
      <c r="M70" s="310">
        <f>'3StatementModel'!M70/'3StatementModel'!M$76</f>
        <v>8.6201065395192927E-2</v>
      </c>
      <c r="N70"/>
      <c r="O70"/>
      <c r="P70"/>
      <c r="Q70"/>
      <c r="R70"/>
      <c r="S70"/>
      <c r="T70"/>
      <c r="U70"/>
    </row>
    <row r="71" spans="1:21" s="27" customFormat="1" ht="14.4" customHeight="1">
      <c r="A71"/>
      <c r="B71" s="2" t="s">
        <v>451</v>
      </c>
      <c r="C71" s="1"/>
      <c r="D71" s="310">
        <f>'3StatementModel'!D71/'3StatementModel'!D$76</f>
        <v>5.1878228979851539E-2</v>
      </c>
      <c r="E71" s="310">
        <f>'3StatementModel'!E71/'3StatementModel'!E$76</f>
        <v>4.243275873777088E-2</v>
      </c>
      <c r="F71" s="310">
        <f>'3StatementModel'!F71/'3StatementModel'!F$76</f>
        <v>5.9330230414352848E-2</v>
      </c>
      <c r="G71" s="310">
        <f>'3StatementModel'!G71/'3StatementModel'!G$76</f>
        <v>7.0907178189775932E-2</v>
      </c>
      <c r="H71" s="310">
        <f>'3StatementModel'!H71/'3StatementModel'!H$76</f>
        <v>5.5416523525446092E-2</v>
      </c>
      <c r="I71" s="310">
        <f>'3StatementModel'!I71/'3StatementModel'!I$76</f>
        <v>3.3571575222433862E-2</v>
      </c>
      <c r="J71" s="310">
        <f>'3StatementModel'!J71/'3StatementModel'!J$76</f>
        <v>3.544892882515259E-2</v>
      </c>
      <c r="K71" s="310">
        <f>'3StatementModel'!K71/'3StatementModel'!K$76</f>
        <v>3.8522566037767304E-2</v>
      </c>
      <c r="L71" s="310">
        <f>'3StatementModel'!L71/'3StatementModel'!L$76</f>
        <v>3.8951890622531467E-2</v>
      </c>
      <c r="M71" s="310">
        <f>'3StatementModel'!M71/'3StatementModel'!M$76</f>
        <v>3.9182302452360422E-2</v>
      </c>
      <c r="N71"/>
      <c r="O71"/>
      <c r="P71"/>
      <c r="Q71"/>
      <c r="R71"/>
      <c r="S71"/>
      <c r="T71"/>
      <c r="U71"/>
    </row>
    <row r="72" spans="1:21" s="27" customFormat="1" ht="14.4" customHeight="1">
      <c r="A72"/>
      <c r="B72" s="2" t="s">
        <v>191</v>
      </c>
      <c r="C72" s="1"/>
      <c r="D72" s="310">
        <f>'3StatementModel'!D72/'3StatementModel'!D$76</f>
        <v>0.20495971870093824</v>
      </c>
      <c r="E72" s="310">
        <f>'3StatementModel'!E72/'3StatementModel'!E$76</f>
        <v>9.5592675774789262E-2</v>
      </c>
      <c r="F72" s="310">
        <f>'3StatementModel'!F72/'3StatementModel'!F$76</f>
        <v>0.11069701117562389</v>
      </c>
      <c r="G72" s="310">
        <f>'3StatementModel'!G72/'3StatementModel'!G$76</f>
        <v>0.18875389236416251</v>
      </c>
      <c r="H72" s="310">
        <f>'3StatementModel'!H72/'3StatementModel'!H$76</f>
        <v>6.0910120414060138E-2</v>
      </c>
      <c r="I72" s="310">
        <f>'3StatementModel'!I72/'3StatementModel'!I$76</f>
        <v>7.1243452358685289E-2</v>
      </c>
      <c r="J72" s="310">
        <f>'3StatementModel'!J72/'3StatementModel'!J$76</f>
        <v>7.5227452247565135E-2</v>
      </c>
      <c r="K72" s="310">
        <f>'3StatementModel'!K72/'3StatementModel'!K$76</f>
        <v>7.7904336459880194E-2</v>
      </c>
      <c r="L72" s="310">
        <f>'3StatementModel'!L72/'3StatementModel'!L$76</f>
        <v>7.8772561252309012E-2</v>
      </c>
      <c r="M72" s="310">
        <f>'3StatementModel'!M72/'3StatementModel'!M$76</f>
        <v>7.9238523999903082E-2</v>
      </c>
      <c r="N72"/>
      <c r="O72"/>
      <c r="P72"/>
      <c r="Q72"/>
      <c r="R72"/>
      <c r="S72"/>
      <c r="T72"/>
      <c r="U72"/>
    </row>
    <row r="73" spans="1:21" s="27" customFormat="1" ht="14.4" customHeight="1">
      <c r="A73"/>
      <c r="B73" s="223" t="s">
        <v>11</v>
      </c>
      <c r="C73" s="4"/>
      <c r="D73" s="310">
        <f>'3StatementModel'!D73/'3StatementModel'!D$76</f>
        <v>6.0502117017592755E-2</v>
      </c>
      <c r="E73" s="310">
        <f>'3StatementModel'!E73/'3StatementModel'!E$76</f>
        <v>0.10691225033261584</v>
      </c>
      <c r="F73" s="310">
        <f>'3StatementModel'!F73/'3StatementModel'!F$76</f>
        <v>7.4553190937489355E-2</v>
      </c>
      <c r="G73" s="310">
        <f>'3StatementModel'!G73/'3StatementModel'!G$76</f>
        <v>5.9381894205165278E-2</v>
      </c>
      <c r="H73" s="310">
        <f>'3StatementModel'!H73/'3StatementModel'!H$76</f>
        <v>4.0017881387695541E-2</v>
      </c>
      <c r="I73" s="310">
        <f>'3StatementModel'!I73/'3StatementModel'!I$76</f>
        <v>3.5489548853250764E-2</v>
      </c>
      <c r="J73" s="310">
        <f>'3StatementModel'!J73/'3StatementModel'!J$76</f>
        <v>3.7474157319105243E-2</v>
      </c>
      <c r="K73" s="310">
        <f>'3StatementModel'!K73/'3StatementModel'!K$76</f>
        <v>3.8807633026446783E-2</v>
      </c>
      <c r="L73" s="310">
        <f>'3StatementModel'!L73/'3StatementModel'!L$76</f>
        <v>3.9240134613138203E-2</v>
      </c>
      <c r="M73" s="310">
        <f>'3StatementModel'!M73/'3StatementModel'!M$76</f>
        <v>3.9472251490507891E-2</v>
      </c>
      <c r="N73"/>
      <c r="O73"/>
      <c r="P73"/>
      <c r="Q73"/>
      <c r="R73"/>
      <c r="S73"/>
      <c r="T73"/>
      <c r="U73"/>
    </row>
    <row r="74" spans="1:21" s="27" customFormat="1" ht="14.4" customHeight="1">
      <c r="A74"/>
      <c r="B74" s="5" t="s">
        <v>12</v>
      </c>
      <c r="C74" s="6"/>
      <c r="D74" s="313">
        <f>'3StatementModel'!D74/'3StatementModel'!D$76</f>
        <v>0.61301381620971984</v>
      </c>
      <c r="E74" s="313">
        <f>'3StatementModel'!E74/'3StatementModel'!E$76</f>
        <v>0.48173579789341053</v>
      </c>
      <c r="F74" s="313">
        <f>'3StatementModel'!F74/'3StatementModel'!F$76</f>
        <v>0.44546167606516018</v>
      </c>
      <c r="G74" s="313">
        <f>'3StatementModel'!G74/'3StatementModel'!G$76</f>
        <v>0.54903309947377477</v>
      </c>
      <c r="H74" s="313">
        <f>'3StatementModel'!H74/'3StatementModel'!H$76</f>
        <v>0.25174254641832705</v>
      </c>
      <c r="I74" s="313">
        <f>'3StatementModel'!I74/'3StatementModel'!I$76</f>
        <v>0.26955506038846655</v>
      </c>
      <c r="J74" s="313">
        <f>'3StatementModel'!J74/'3StatementModel'!J$76</f>
        <v>0.33760813670416029</v>
      </c>
      <c r="K74" s="313">
        <f>'3StatementModel'!K74/'3StatementModel'!K$76</f>
        <v>0.39865821839955151</v>
      </c>
      <c r="L74" s="313">
        <f>'3StatementModel'!L74/'3StatementModel'!L$76</f>
        <v>0.46067341783703025</v>
      </c>
      <c r="M74" s="313">
        <f>'3StatementModel'!M74/'3StatementModel'!M$76</f>
        <v>0.51358941476492737</v>
      </c>
      <c r="N74"/>
      <c r="O74"/>
      <c r="P74"/>
      <c r="Q74"/>
      <c r="R74"/>
      <c r="S74"/>
      <c r="T74"/>
      <c r="U74"/>
    </row>
    <row r="75" spans="1:21" s="27" customFormat="1" ht="14.4" customHeight="1">
      <c r="A75"/>
      <c r="B75" s="3"/>
      <c r="C75" s="1"/>
      <c r="D75" s="7"/>
      <c r="E75" s="7"/>
      <c r="F75" s="7"/>
      <c r="G75" s="8"/>
      <c r="H75" s="8"/>
      <c r="I75" s="8"/>
      <c r="J75" s="8"/>
      <c r="K75" s="8"/>
      <c r="L75" s="8"/>
      <c r="M75" s="8"/>
      <c r="N75"/>
      <c r="O75"/>
      <c r="P75"/>
      <c r="Q75"/>
      <c r="R75"/>
      <c r="S75"/>
      <c r="T75"/>
      <c r="U75"/>
    </row>
    <row r="76" spans="1:21" ht="14.4" customHeight="1" thickBot="1">
      <c r="B76" s="234" t="s">
        <v>14</v>
      </c>
      <c r="C76" s="234"/>
      <c r="D76" s="312">
        <f>'3StatementModel'!D76/'3StatementModel'!D$76</f>
        <v>1</v>
      </c>
      <c r="E76" s="312">
        <f>'3StatementModel'!E76/'3StatementModel'!E$76</f>
        <v>1</v>
      </c>
      <c r="F76" s="312">
        <f>'3StatementModel'!F76/'3StatementModel'!F$76</f>
        <v>1</v>
      </c>
      <c r="G76" s="312">
        <f>'3StatementModel'!G76/'3StatementModel'!G$76</f>
        <v>1</v>
      </c>
      <c r="H76" s="312">
        <f>'3StatementModel'!H76/'3StatementModel'!H$76</f>
        <v>1</v>
      </c>
      <c r="I76" s="312">
        <f>'3StatementModel'!I76/'3StatementModel'!I$76</f>
        <v>1</v>
      </c>
      <c r="J76" s="312">
        <f>'3StatementModel'!J76/'3StatementModel'!J$76</f>
        <v>1</v>
      </c>
      <c r="K76" s="312">
        <f>'3StatementModel'!K76/'3StatementModel'!K$76</f>
        <v>1</v>
      </c>
      <c r="L76" s="312">
        <f>'3StatementModel'!L76/'3StatementModel'!L$76</f>
        <v>1</v>
      </c>
      <c r="M76" s="312">
        <f>'3StatementModel'!M76/'3StatementModel'!M$76</f>
        <v>1</v>
      </c>
    </row>
    <row r="77" spans="1:21" s="27" customFormat="1" ht="14.4" customHeight="1">
      <c r="A77"/>
      <c r="B77" s="1"/>
      <c r="C77" s="1"/>
      <c r="D77" s="7"/>
      <c r="E77" s="7"/>
      <c r="F77" s="7"/>
      <c r="G77" s="10"/>
      <c r="H77" s="10"/>
      <c r="I77" s="10"/>
      <c r="J77" s="10"/>
      <c r="K77" s="10"/>
      <c r="L77" s="10"/>
      <c r="M77" s="10"/>
      <c r="N77"/>
      <c r="O77"/>
      <c r="P77"/>
      <c r="Q77"/>
      <c r="R77"/>
      <c r="S77"/>
      <c r="T77"/>
      <c r="U77"/>
    </row>
    <row r="78" spans="1:21" s="27" customFormat="1" ht="14.4" customHeight="1">
      <c r="A78"/>
      <c r="B78" s="6" t="s">
        <v>557</v>
      </c>
      <c r="C78" s="1"/>
      <c r="D78" s="7"/>
      <c r="E78" s="7"/>
      <c r="F78" s="7"/>
      <c r="G78" s="10"/>
      <c r="H78" s="10"/>
      <c r="I78" s="10"/>
      <c r="J78" s="10"/>
      <c r="K78" s="10"/>
      <c r="L78" s="10"/>
      <c r="M78" s="10"/>
      <c r="N78"/>
      <c r="O78"/>
      <c r="P78"/>
      <c r="Q78"/>
      <c r="R78"/>
      <c r="S78"/>
      <c r="T78"/>
      <c r="U78"/>
    </row>
    <row r="79" spans="1:21" s="27" customFormat="1" ht="6.6" customHeight="1">
      <c r="A79"/>
      <c r="B79" s="6"/>
      <c r="C79" s="1"/>
      <c r="D79" s="7"/>
      <c r="E79" s="7"/>
      <c r="F79" s="7"/>
      <c r="G79" s="10"/>
      <c r="H79" s="10"/>
      <c r="I79" s="10"/>
      <c r="J79" s="10"/>
      <c r="K79" s="10"/>
      <c r="L79" s="10"/>
      <c r="M79" s="10"/>
      <c r="N79"/>
      <c r="O79"/>
      <c r="P79"/>
      <c r="Q79"/>
      <c r="R79"/>
      <c r="S79"/>
      <c r="T79"/>
      <c r="U79"/>
    </row>
    <row r="80" spans="1:21" s="27" customFormat="1" ht="14.4" customHeight="1">
      <c r="A80"/>
      <c r="B80" s="232" t="s">
        <v>558</v>
      </c>
      <c r="C80" s="1"/>
      <c r="D80" s="7"/>
      <c r="E80" s="7"/>
      <c r="F80" s="7"/>
      <c r="G80" s="10"/>
      <c r="H80" s="10"/>
      <c r="I80" s="10"/>
      <c r="J80" s="10"/>
      <c r="K80" s="10"/>
      <c r="L80" s="10"/>
      <c r="M80" s="10"/>
      <c r="N80"/>
      <c r="O80"/>
      <c r="P80"/>
      <c r="Q80"/>
      <c r="R80"/>
      <c r="S80"/>
      <c r="T80"/>
      <c r="U80"/>
    </row>
    <row r="81" spans="1:21" s="39" customFormat="1" ht="14.4" customHeight="1">
      <c r="A81"/>
      <c r="B81" t="s">
        <v>206</v>
      </c>
      <c r="C81" s="1"/>
      <c r="D81" s="310">
        <f>'3StatementModel'!D81/'3StatementModel'!D$107</f>
        <v>6.285869838865389E-3</v>
      </c>
      <c r="E81" s="310">
        <f>'3StatementModel'!E81/'3StatementModel'!E$107</f>
        <v>4.3790682226795136E-3</v>
      </c>
      <c r="F81" s="310">
        <f>'3StatementModel'!F81/'3StatementModel'!F$107</f>
        <v>4.1231949995653838E-3</v>
      </c>
      <c r="G81" s="310">
        <f>'3StatementModel'!G81/'3StatementModel'!G$107</f>
        <v>3.348484523373376E-3</v>
      </c>
      <c r="H81" s="310">
        <f>'3StatementModel'!H81/'3StatementModel'!H$107</f>
        <v>1.4863331647489541E-3</v>
      </c>
      <c r="I81" s="310">
        <f>'3StatementModel'!I81/'3StatementModel'!I$107</f>
        <v>1.4732948122061461E-3</v>
      </c>
      <c r="J81" s="310">
        <f>'3StatementModel'!J81/'3StatementModel'!J$107</f>
        <v>1.3353500632175528E-3</v>
      </c>
      <c r="K81" s="310">
        <f>'3StatementModel'!K81/'3StatementModel'!K$107</f>
        <v>1.2024930366512998E-3</v>
      </c>
      <c r="L81" s="310">
        <f>'3StatementModel'!L81/'3StatementModel'!L$107</f>
        <v>1.0712727116234152E-3</v>
      </c>
      <c r="M81" s="310">
        <f>'3StatementModel'!M81/'3StatementModel'!M$107</f>
        <v>9.6215143138623463E-4</v>
      </c>
      <c r="N81"/>
      <c r="O81"/>
      <c r="P81"/>
      <c r="Q81"/>
      <c r="R81"/>
      <c r="S81"/>
      <c r="T81"/>
      <c r="U81"/>
    </row>
    <row r="82" spans="1:21" s="27" customFormat="1" ht="14.4" customHeight="1">
      <c r="A82"/>
      <c r="B82" t="s">
        <v>207</v>
      </c>
      <c r="C82" s="1"/>
      <c r="D82" s="314">
        <f>'3StatementModel'!D82/'3StatementModel'!D$107</f>
        <v>0.734672453062164</v>
      </c>
      <c r="E82" s="314">
        <f>'3StatementModel'!E82/'3StatementModel'!E$107</f>
        <v>0.66848635191788608</v>
      </c>
      <c r="F82" s="314">
        <f>'3StatementModel'!F82/'3StatementModel'!F$107</f>
        <v>0.76121482679875008</v>
      </c>
      <c r="G82" s="314">
        <f>'3StatementModel'!G82/'3StatementModel'!G$107</f>
        <v>0.77930490484004822</v>
      </c>
      <c r="H82" s="314">
        <f>'3StatementModel'!H82/'3StatementModel'!H$107</f>
        <v>0.51481775280510711</v>
      </c>
      <c r="I82" s="314">
        <f>'3StatementModel'!I82/'3StatementModel'!I$107</f>
        <v>0.57205168732775946</v>
      </c>
      <c r="J82" s="314">
        <f>'3StatementModel'!J82/'3StatementModel'!J$107</f>
        <v>0.59135795135455294</v>
      </c>
      <c r="K82" s="314">
        <f>'3StatementModel'!K82/'3StatementModel'!K$107</f>
        <v>0.61252228438208356</v>
      </c>
      <c r="L82" s="314">
        <f>'3StatementModel'!L82/'3StatementModel'!L$107</f>
        <v>0.63055474765583186</v>
      </c>
      <c r="M82" s="314">
        <f>'3StatementModel'!M82/'3StatementModel'!M$107</f>
        <v>0.65549308402779782</v>
      </c>
      <c r="N82"/>
      <c r="O82"/>
      <c r="P82"/>
      <c r="Q82"/>
      <c r="R82"/>
      <c r="S82"/>
      <c r="T82"/>
      <c r="U82"/>
    </row>
    <row r="83" spans="1:21" s="27" customFormat="1" ht="14.4" customHeight="1">
      <c r="A83"/>
      <c r="B83" s="226" t="s">
        <v>559</v>
      </c>
      <c r="C83" s="75"/>
      <c r="D83" s="313">
        <f>'3StatementModel'!D83/'3StatementModel'!D$107</f>
        <v>0.74095832290102936</v>
      </c>
      <c r="E83" s="313">
        <f>'3StatementModel'!E83/'3StatementModel'!E$107</f>
        <v>0.6728654201405655</v>
      </c>
      <c r="F83" s="313">
        <f>'3StatementModel'!F83/'3StatementModel'!F$107</f>
        <v>0.76533802179831545</v>
      </c>
      <c r="G83" s="313">
        <f>'3StatementModel'!G83/'3StatementModel'!G$107</f>
        <v>0.78265338936342166</v>
      </c>
      <c r="H83" s="313">
        <f>'3StatementModel'!H83/'3StatementModel'!H$107</f>
        <v>0.51630408596985611</v>
      </c>
      <c r="I83" s="313">
        <f>'3StatementModel'!I83/'3StatementModel'!I$107</f>
        <v>0.57352498213996561</v>
      </c>
      <c r="J83" s="313">
        <f>'3StatementModel'!J83/'3StatementModel'!J$107</f>
        <v>0.59269330141777044</v>
      </c>
      <c r="K83" s="313">
        <f>'3StatementModel'!K83/'3StatementModel'!K$107</f>
        <v>0.61372477741873488</v>
      </c>
      <c r="L83" s="313">
        <f>'3StatementModel'!L83/'3StatementModel'!L$107</f>
        <v>0.63162602036745519</v>
      </c>
      <c r="M83" s="313">
        <f>'3StatementModel'!M83/'3StatementModel'!M$107</f>
        <v>0.65645523545918394</v>
      </c>
      <c r="N83"/>
      <c r="O83"/>
      <c r="P83"/>
      <c r="Q83"/>
      <c r="R83"/>
      <c r="S83"/>
      <c r="T83"/>
      <c r="U83"/>
    </row>
    <row r="84" spans="1:21" s="27" customFormat="1" ht="14.4" customHeight="1">
      <c r="A84"/>
      <c r="B84" s="1" t="s">
        <v>560</v>
      </c>
      <c r="C84" s="1"/>
      <c r="D84" s="310">
        <f>'3StatementModel'!D84/'3StatementModel'!D$107</f>
        <v>2.2107498435703605E-2</v>
      </c>
      <c r="E84" s="310">
        <f>'3StatementModel'!E84/'3StatementModel'!E$107</f>
        <v>1.7608612125235748E-2</v>
      </c>
      <c r="F84" s="310">
        <f>'3StatementModel'!F84/'3StatementModel'!F$107</f>
        <v>1.9357786451110911E-2</v>
      </c>
      <c r="G84" s="310">
        <f>'3StatementModel'!G84/'3StatementModel'!G$107</f>
        <v>1.7779430689923739E-2</v>
      </c>
      <c r="H84" s="310">
        <f>'3StatementModel'!H84/'3StatementModel'!H$107</f>
        <v>8.494001379451185E-3</v>
      </c>
      <c r="I84" s="310">
        <f>'3StatementModel'!I84/'3StatementModel'!I$107</f>
        <v>8.4194906391199028E-3</v>
      </c>
      <c r="J84" s="310">
        <f>'3StatementModel'!J84/'3StatementModel'!J$107</f>
        <v>7.6311728406705474E-3</v>
      </c>
      <c r="K84" s="310">
        <f>'3StatementModel'!K84/'3StatementModel'!K$107</f>
        <v>6.8719300317985942E-3</v>
      </c>
      <c r="L84" s="310">
        <f>'3StatementModel'!L84/'3StatementModel'!L$107</f>
        <v>6.1220405398372535E-3</v>
      </c>
      <c r="M84" s="310">
        <f>'3StatementModel'!M84/'3StatementModel'!M$107</f>
        <v>5.4984412507649121E-3</v>
      </c>
      <c r="N84"/>
      <c r="O84"/>
      <c r="P84"/>
      <c r="Q84"/>
      <c r="R84"/>
      <c r="S84"/>
      <c r="T84"/>
      <c r="U84"/>
    </row>
    <row r="85" spans="1:21" s="26" customFormat="1" ht="14.4" customHeight="1">
      <c r="A85" s="20"/>
      <c r="B85" s="227" t="s">
        <v>102</v>
      </c>
      <c r="C85" s="227"/>
      <c r="D85" s="315">
        <f>'3StatementModel'!D85/'3StatementModel'!D$107</f>
        <v>0.76306582133673295</v>
      </c>
      <c r="E85" s="315">
        <f>'3StatementModel'!E85/'3StatementModel'!E$107</f>
        <v>0.69047403226580129</v>
      </c>
      <c r="F85" s="315">
        <f>'3StatementModel'!F85/'3StatementModel'!F$107</f>
        <v>0.78469580824942631</v>
      </c>
      <c r="G85" s="315">
        <f>'3StatementModel'!G85/'3StatementModel'!G$107</f>
        <v>0.80043282005334537</v>
      </c>
      <c r="H85" s="315">
        <f>'3StatementModel'!H85/'3StatementModel'!H$107</f>
        <v>0.52479808734930733</v>
      </c>
      <c r="I85" s="315">
        <f>'3StatementModel'!I85/'3StatementModel'!I$107</f>
        <v>0.58194447277908556</v>
      </c>
      <c r="J85" s="315">
        <f>'3StatementModel'!J85/'3StatementModel'!J$107</f>
        <v>0.60032447425844104</v>
      </c>
      <c r="K85" s="315">
        <f>'3StatementModel'!K85/'3StatementModel'!K$107</f>
        <v>0.62059670745053341</v>
      </c>
      <c r="L85" s="315">
        <f>'3StatementModel'!L85/'3StatementModel'!L$107</f>
        <v>0.63774806090729252</v>
      </c>
      <c r="M85" s="315">
        <f>'3StatementModel'!M85/'3StatementModel'!M$107</f>
        <v>0.66195367670994887</v>
      </c>
      <c r="N85" s="20"/>
      <c r="O85"/>
      <c r="P85"/>
      <c r="Q85"/>
      <c r="R85"/>
      <c r="S85"/>
      <c r="T85"/>
      <c r="U85"/>
    </row>
    <row r="86" spans="1:21" s="27" customFormat="1" ht="14.4" customHeight="1">
      <c r="A86"/>
      <c r="B86" s="1"/>
      <c r="C86" s="1"/>
      <c r="D86" s="7"/>
      <c r="E86" s="7"/>
      <c r="F86" s="7"/>
      <c r="G86" s="10"/>
      <c r="H86" s="10"/>
      <c r="I86" s="10"/>
      <c r="J86" s="10"/>
      <c r="K86" s="10"/>
      <c r="L86" s="10"/>
      <c r="M86" s="10"/>
      <c r="N86"/>
      <c r="O86"/>
      <c r="P86"/>
      <c r="Q86"/>
      <c r="R86"/>
      <c r="S86"/>
      <c r="T86"/>
      <c r="U86"/>
    </row>
    <row r="87" spans="1:21" s="27" customFormat="1" ht="14.4" customHeight="1">
      <c r="A87"/>
      <c r="B87" s="232" t="s">
        <v>561</v>
      </c>
      <c r="C87" s="1"/>
      <c r="D87" s="7"/>
      <c r="E87" s="7"/>
      <c r="F87" s="7"/>
      <c r="G87" s="10"/>
      <c r="H87" s="10"/>
      <c r="I87" s="10"/>
      <c r="J87" s="10"/>
      <c r="K87" s="10"/>
      <c r="L87" s="10"/>
      <c r="M87" s="10"/>
      <c r="N87"/>
      <c r="O87"/>
      <c r="P87"/>
      <c r="Q87"/>
      <c r="R87"/>
      <c r="S87"/>
      <c r="T87"/>
      <c r="U87"/>
    </row>
    <row r="88" spans="1:21" s="27" customFormat="1" ht="14.4" customHeight="1">
      <c r="A88"/>
      <c r="B88" s="20"/>
      <c r="C88" s="1"/>
      <c r="D88" s="7"/>
      <c r="E88" s="7"/>
      <c r="F88" s="7"/>
      <c r="G88" s="10"/>
      <c r="H88" s="10"/>
      <c r="I88" s="10"/>
      <c r="J88" s="10"/>
      <c r="K88" s="10"/>
      <c r="L88" s="10"/>
      <c r="M88" s="10"/>
      <c r="N88"/>
      <c r="O88"/>
      <c r="P88"/>
      <c r="Q88"/>
      <c r="R88"/>
      <c r="S88"/>
      <c r="T88"/>
      <c r="U88"/>
    </row>
    <row r="89" spans="1:21" s="27" customFormat="1" ht="14.4" customHeight="1">
      <c r="A89"/>
      <c r="B89" s="231" t="s">
        <v>563</v>
      </c>
      <c r="C89" s="1"/>
      <c r="D89" s="7"/>
      <c r="E89" s="7"/>
      <c r="F89" s="7"/>
      <c r="G89" s="10"/>
      <c r="H89" s="10"/>
      <c r="I89" s="10"/>
      <c r="J89" s="10"/>
      <c r="K89" s="10"/>
      <c r="L89" s="10"/>
      <c r="M89" s="10"/>
      <c r="N89"/>
      <c r="O89"/>
      <c r="P89"/>
      <c r="Q89"/>
      <c r="R89"/>
      <c r="S89"/>
      <c r="T89"/>
      <c r="U89"/>
    </row>
    <row r="90" spans="1:21" s="27" customFormat="1" ht="14.4" customHeight="1">
      <c r="A90"/>
      <c r="B90" s="122" t="s">
        <v>607</v>
      </c>
      <c r="C90" s="1"/>
      <c r="D90" s="310">
        <f>'3StatementModel'!D90/'3StatementModel'!D$107</f>
        <v>9.0101055838084712E-3</v>
      </c>
      <c r="E90" s="310">
        <f>'3StatementModel'!E90/'3StatementModel'!E$107</f>
        <v>5.3776918466478269E-3</v>
      </c>
      <c r="F90" s="310">
        <f>'3StatementModel'!F90/'3StatementModel'!F$107</f>
        <v>2.3865532881020592E-3</v>
      </c>
      <c r="G90" s="310">
        <f>'3StatementModel'!G90/'3StatementModel'!G$107</f>
        <v>2.078672066609387E-3</v>
      </c>
      <c r="H90" s="310">
        <f>'3StatementModel'!H90/'3StatementModel'!H$107</f>
        <v>0.19907318157304948</v>
      </c>
      <c r="I90" s="310">
        <f>'3StatementModel'!I90/'3StatementModel'!I$107</f>
        <v>0.20719322373191365</v>
      </c>
      <c r="J90" s="310">
        <f>'3StatementModel'!J90/'3StatementModel'!J$107</f>
        <v>0.19718338530906593</v>
      </c>
      <c r="K90" s="310">
        <f>'3StatementModel'!K90/'3StatementModel'!K$107</f>
        <v>0.18644341811499568</v>
      </c>
      <c r="L90" s="310">
        <f>'3StatementModel'!L90/'3StatementModel'!L$107</f>
        <v>0.16942000893202194</v>
      </c>
      <c r="M90" s="310">
        <f>'3StatementModel'!M90/'3StatementModel'!M$107</f>
        <v>0.15520591197496125</v>
      </c>
      <c r="N90"/>
      <c r="O90"/>
      <c r="P90"/>
      <c r="Q90"/>
      <c r="R90"/>
      <c r="S90"/>
      <c r="T90"/>
      <c r="U90"/>
    </row>
    <row r="91" spans="1:21" s="27" customFormat="1" ht="14.4" customHeight="1">
      <c r="A91"/>
      <c r="B91" s="122" t="s">
        <v>211</v>
      </c>
      <c r="C91" s="1"/>
      <c r="D91" s="310">
        <f>'3StatementModel'!D91/'3StatementModel'!D$107</f>
        <v>8.6468605517558506E-4</v>
      </c>
      <c r="E91" s="310">
        <f>'3StatementModel'!E91/'3StatementModel'!E$107</f>
        <v>3.268548729820101E-4</v>
      </c>
      <c r="F91" s="310">
        <f>'3StatementModel'!F91/'3StatementModel'!F$107</f>
        <v>5.3296413541467939E-4</v>
      </c>
      <c r="G91" s="310">
        <f>'3StatementModel'!G91/'3StatementModel'!G$107</f>
        <v>6.4479065564613895E-4</v>
      </c>
      <c r="H91" s="310">
        <f>'3StatementModel'!H91/'3StatementModel'!H$107</f>
        <v>5.0541091375249216E-4</v>
      </c>
      <c r="I91" s="310">
        <f>'3StatementModel'!I91/'3StatementModel'!I$107</f>
        <v>5.009773682804709E-4</v>
      </c>
      <c r="J91" s="310">
        <f>'3StatementModel'!J91/'3StatementModel'!J$107</f>
        <v>4.5407080433694296E-4</v>
      </c>
      <c r="K91" s="310">
        <f>'3StatementModel'!K91/'3StatementModel'!K$107</f>
        <v>4.088942633111424E-4</v>
      </c>
      <c r="L91" s="310">
        <f>'3StatementModel'!L91/'3StatementModel'!L$107</f>
        <v>3.6427426427718167E-4</v>
      </c>
      <c r="M91" s="310">
        <f>'3StatementModel'!M91/'3StatementModel'!M$107</f>
        <v>3.2716879743938132E-4</v>
      </c>
      <c r="N91"/>
      <c r="O91"/>
      <c r="P91"/>
      <c r="Q91"/>
      <c r="R91"/>
      <c r="S91"/>
      <c r="T91"/>
      <c r="U91"/>
    </row>
    <row r="92" spans="1:21" s="27" customFormat="1" ht="14.4" customHeight="1">
      <c r="A92"/>
      <c r="B92" s="122" t="s">
        <v>212</v>
      </c>
      <c r="C92" s="1"/>
      <c r="D92" s="310">
        <f>'3StatementModel'!D92/'3StatementModel'!D$107</f>
        <v>1.1336292310302429E-2</v>
      </c>
      <c r="E92" s="310">
        <f>'3StatementModel'!E92/'3StatementModel'!E$107</f>
        <v>8.7457509413092407E-3</v>
      </c>
      <c r="F92" s="310">
        <f>'3StatementModel'!F92/'3StatementModel'!F$107</f>
        <v>1.0075554202159224E-2</v>
      </c>
      <c r="G92" s="310">
        <f>'3StatementModel'!G92/'3StatementModel'!G$107</f>
        <v>1.0291891358366639E-2</v>
      </c>
      <c r="H92" s="310">
        <f>'3StatementModel'!H92/'3StatementModel'!H$107</f>
        <v>5.5858172691704514E-3</v>
      </c>
      <c r="I92" s="310">
        <f>'3StatementModel'!I92/'3StatementModel'!I$107</f>
        <v>5.5368175855716201E-3</v>
      </c>
      <c r="J92" s="310">
        <f>'3StatementModel'!J92/'3StatementModel'!J$107</f>
        <v>5.0184047698137117E-3</v>
      </c>
      <c r="K92" s="310">
        <f>'3StatementModel'!K92/'3StatementModel'!K$107</f>
        <v>4.5191122215984137E-3</v>
      </c>
      <c r="L92" s="310">
        <f>'3StatementModel'!L92/'3StatementModel'!L$107</f>
        <v>4.0259705929308479E-3</v>
      </c>
      <c r="M92" s="310">
        <f>'3StatementModel'!M92/'3StatementModel'!M$107</f>
        <v>3.6158798097612591E-3</v>
      </c>
      <c r="N92"/>
      <c r="O92"/>
      <c r="P92"/>
      <c r="Q92"/>
      <c r="R92"/>
      <c r="S92"/>
      <c r="T92"/>
      <c r="U92"/>
    </row>
    <row r="93" spans="1:21" s="27" customFormat="1" ht="14.4" customHeight="1">
      <c r="A93"/>
      <c r="B93" s="122" t="s">
        <v>213</v>
      </c>
      <c r="C93" s="1"/>
      <c r="D93" s="310">
        <f>'3StatementModel'!D93/'3StatementModel'!D$107</f>
        <v>2.0449146542859463E-3</v>
      </c>
      <c r="E93" s="310">
        <f>'3StatementModel'!E93/'3StatementModel'!E$107</f>
        <v>6.0802221231381912E-3</v>
      </c>
      <c r="F93" s="310">
        <f>'3StatementModel'!F93/'3StatementModel'!F$107</f>
        <v>7.9576238960203226E-3</v>
      </c>
      <c r="G93" s="310">
        <f>'3StatementModel'!G93/'3StatementModel'!G$107</f>
        <v>7.4452264598352394E-3</v>
      </c>
      <c r="H93" s="310">
        <f>'3StatementModel'!H93/'3StatementModel'!H$107</f>
        <v>6.5293110141520283E-2</v>
      </c>
      <c r="I93" s="310">
        <f>'3StatementModel'!I93/'3StatementModel'!I$107</f>
        <v>6.4720348523309795E-2</v>
      </c>
      <c r="J93" s="310">
        <f>'3StatementModel'!J93/'3StatementModel'!J$107</f>
        <v>5.8660575450374376E-2</v>
      </c>
      <c r="K93" s="310">
        <f>'3StatementModel'!K93/'3StatementModel'!K$107</f>
        <v>5.2824300869143179E-2</v>
      </c>
      <c r="L93" s="310">
        <f>'3StatementModel'!L93/'3StatementModel'!L$107</f>
        <v>4.7059924928370252E-2</v>
      </c>
      <c r="M93" s="310">
        <f>'3StatementModel'!M93/'3StatementModel'!M$107</f>
        <v>4.2266337636981684E-2</v>
      </c>
      <c r="N93"/>
      <c r="O93"/>
      <c r="P93"/>
      <c r="Q93"/>
      <c r="R93"/>
      <c r="S93"/>
      <c r="T93"/>
      <c r="U93"/>
    </row>
    <row r="94" spans="1:21" s="27" customFormat="1" ht="14.4" customHeight="1">
      <c r="A94"/>
      <c r="B94" s="122" t="s">
        <v>214</v>
      </c>
      <c r="C94" s="1"/>
      <c r="D94" s="310">
        <f>'3StatementModel'!D94/'3StatementModel'!D$107</f>
        <v>1.2375814261073085E-3</v>
      </c>
      <c r="E94" s="310">
        <f>'3StatementModel'!E94/'3StatementModel'!E$107</f>
        <v>2.2031767495163971E-3</v>
      </c>
      <c r="F94" s="310">
        <f>'3StatementModel'!F94/'3StatementModel'!F$107</f>
        <v>2.6241227204988576E-3</v>
      </c>
      <c r="G94" s="310">
        <f>'3StatementModel'!G94/'3StatementModel'!G$107</f>
        <v>1.9193342632190125E-3</v>
      </c>
      <c r="H94" s="310">
        <f>'3StatementModel'!H94/'3StatementModel'!H$107</f>
        <v>7.2047172309692401E-4</v>
      </c>
      <c r="I94" s="310">
        <f>'3StatementModel'!I94/'3StatementModel'!I$107</f>
        <v>7.1415162976546113E-4</v>
      </c>
      <c r="J94" s="310">
        <f>'3StatementModel'!J94/'3StatementModel'!J$107</f>
        <v>6.4728553718737417E-4</v>
      </c>
      <c r="K94" s="310">
        <f>'3StatementModel'!K94/'3StatementModel'!K$107</f>
        <v>5.8288562125608325E-4</v>
      </c>
      <c r="L94" s="310">
        <f>'3StatementModel'!L94/'3StatementModel'!L$107</f>
        <v>5.1927906525613924E-4</v>
      </c>
      <c r="M94" s="310">
        <f>'3StatementModel'!M94/'3StatementModel'!M$107</f>
        <v>4.6638460076889711E-4</v>
      </c>
      <c r="N94"/>
      <c r="O94"/>
      <c r="P94"/>
      <c r="Q94"/>
      <c r="R94"/>
      <c r="S94"/>
      <c r="T94"/>
      <c r="U94"/>
    </row>
    <row r="95" spans="1:21" ht="14.4" customHeight="1">
      <c r="B95" s="227" t="s">
        <v>215</v>
      </c>
      <c r="C95" s="227"/>
      <c r="D95" s="315">
        <f>'3StatementModel'!D95/'3StatementModel'!D$107</f>
        <v>2.4493580029679739E-2</v>
      </c>
      <c r="E95" s="315">
        <f>'3StatementModel'!E95/'3StatementModel'!E$107</f>
        <v>2.2733696533593667E-2</v>
      </c>
      <c r="F95" s="315">
        <f>'3StatementModel'!F95/'3StatementModel'!F$107</f>
        <v>2.3576818242195145E-2</v>
      </c>
      <c r="G95" s="315">
        <f>'3StatementModel'!G95/'3StatementModel'!G$107</f>
        <v>2.2379914803676421E-2</v>
      </c>
      <c r="H95" s="315">
        <f>'3StatementModel'!H95/'3StatementModel'!H$107</f>
        <v>0.27117799162058964</v>
      </c>
      <c r="I95" s="315">
        <f>'3StatementModel'!I95/'3StatementModel'!I$107</f>
        <v>0.278665518838841</v>
      </c>
      <c r="J95" s="315">
        <f>'3StatementModel'!J95/'3StatementModel'!J$107</f>
        <v>0.26196372187077838</v>
      </c>
      <c r="K95" s="315">
        <f>'3StatementModel'!K95/'3StatementModel'!K$107</f>
        <v>0.24477861109030452</v>
      </c>
      <c r="L95" s="315">
        <f>'3StatementModel'!L95/'3StatementModel'!L$107</f>
        <v>0.22138945778285637</v>
      </c>
      <c r="M95" s="315">
        <f>'3StatementModel'!M95/'3StatementModel'!M$107</f>
        <v>0.20188168281991245</v>
      </c>
    </row>
    <row r="96" spans="1:21" s="27" customFormat="1" ht="14.4" customHeight="1">
      <c r="A96"/>
      <c r="B96" s="1"/>
      <c r="C96" s="1"/>
      <c r="D96" s="7"/>
      <c r="E96" s="7"/>
      <c r="F96" s="7"/>
      <c r="G96" s="10"/>
      <c r="H96" s="10"/>
      <c r="I96" s="10"/>
      <c r="J96" s="10"/>
      <c r="K96" s="10"/>
      <c r="L96" s="10"/>
      <c r="M96" s="10"/>
      <c r="N96"/>
      <c r="O96"/>
      <c r="P96"/>
      <c r="Q96"/>
      <c r="R96"/>
      <c r="S96"/>
      <c r="T96"/>
      <c r="U96"/>
    </row>
    <row r="97" spans="1:21" s="27" customFormat="1" ht="14.4" customHeight="1">
      <c r="A97"/>
      <c r="B97" s="231" t="s">
        <v>95</v>
      </c>
      <c r="C97" s="1"/>
      <c r="D97" s="7"/>
      <c r="E97" s="7"/>
      <c r="F97" s="7"/>
      <c r="G97" s="10"/>
      <c r="H97" s="10"/>
      <c r="I97" s="10"/>
      <c r="J97" s="10"/>
      <c r="K97" s="10"/>
      <c r="L97" s="10"/>
      <c r="M97" s="10"/>
      <c r="N97"/>
      <c r="O97"/>
      <c r="P97"/>
      <c r="Q97"/>
      <c r="R97"/>
      <c r="S97"/>
      <c r="T97"/>
      <c r="U97"/>
    </row>
    <row r="98" spans="1:21" s="27" customFormat="1" ht="14.4" customHeight="1">
      <c r="A98"/>
      <c r="B98" s="122" t="s">
        <v>216</v>
      </c>
      <c r="C98" s="1"/>
      <c r="D98" s="310">
        <f>'3StatementModel'!D98/'3StatementModel'!D$107</f>
        <v>0.1046893083597418</v>
      </c>
      <c r="E98" s="310">
        <f>'3StatementModel'!E98/'3StatementModel'!E$107</f>
        <v>0.11767199573475164</v>
      </c>
      <c r="F98" s="310">
        <f>'3StatementModel'!F98/'3StatementModel'!F$107</f>
        <v>0.10372763535866052</v>
      </c>
      <c r="G98" s="310">
        <f>'3StatementModel'!G98/'3StatementModel'!G$107</f>
        <v>9.2198828000324681E-2</v>
      </c>
      <c r="H98" s="310">
        <f>'3StatementModel'!H98/'3StatementModel'!H$107</f>
        <v>4.0831311974865052E-2</v>
      </c>
      <c r="I98" s="310">
        <f>'3StatementModel'!I98/'3StatementModel'!I$107</f>
        <v>5.7493491888530132E-2</v>
      </c>
      <c r="J98" s="310">
        <f>'3StatementModel'!J98/'3StatementModel'!J$107</f>
        <v>5.9637253339278849E-2</v>
      </c>
      <c r="K98" s="310">
        <f>'3StatementModel'!K98/'3StatementModel'!K$107</f>
        <v>6.0649927969860816E-2</v>
      </c>
      <c r="L98" s="310">
        <f>'3StatementModel'!L98/'3StatementModel'!L$107</f>
        <v>6.0204042146184633E-2</v>
      </c>
      <c r="M98" s="310">
        <f>'3StatementModel'!M98/'3StatementModel'!M$107</f>
        <v>5.9431716359740282E-2</v>
      </c>
      <c r="N98"/>
      <c r="O98"/>
      <c r="P98"/>
      <c r="Q98"/>
      <c r="R98"/>
      <c r="S98"/>
      <c r="T98"/>
      <c r="U98"/>
    </row>
    <row r="99" spans="1:21" s="27" customFormat="1" ht="14.4" customHeight="1">
      <c r="A99"/>
      <c r="B99" s="122" t="s">
        <v>612</v>
      </c>
      <c r="C99" s="1"/>
      <c r="D99" s="310">
        <f>'3StatementModel'!D99/'3StatementModel'!D$107</f>
        <v>2.4887502155242349E-2</v>
      </c>
      <c r="E99" s="310">
        <f>'3StatementModel'!E99/'3StatementModel'!E$107</f>
        <v>8.9511579123562834E-2</v>
      </c>
      <c r="F99" s="310">
        <f>'3StatementModel'!F99/'3StatementModel'!F$107</f>
        <v>1.4357495935222109E-2</v>
      </c>
      <c r="G99" s="310">
        <f>'3StatementModel'!G99/'3StatementModel'!G$107</f>
        <v>1.4307810861664015E-2</v>
      </c>
      <c r="H99" s="310">
        <f>'3StatementModel'!H99/'3StatementModel'!H$107</f>
        <v>0.10651598048609544</v>
      </c>
      <c r="I99" s="310">
        <f>'3StatementModel'!I99/'3StatementModel'!I$107</f>
        <v>2.57170643864136E-2</v>
      </c>
      <c r="J99" s="310">
        <f>'3StatementModel'!J99/'3StatementModel'!J$107</f>
        <v>2.7155186463119738E-2</v>
      </c>
      <c r="K99" s="310">
        <f>'3StatementModel'!K99/'3StatementModel'!K$107</f>
        <v>2.8121473207570129E-2</v>
      </c>
      <c r="L99" s="310">
        <f>'3StatementModel'!L99/'3StatementModel'!L$107</f>
        <v>3.9808832216227164E-2</v>
      </c>
      <c r="M99" s="310">
        <f>'3StatementModel'!M99/'3StatementModel'!M$107</f>
        <v>4.004431310631236E-2</v>
      </c>
      <c r="N99"/>
      <c r="O99"/>
      <c r="P99"/>
      <c r="Q99"/>
      <c r="R99"/>
      <c r="S99"/>
      <c r="T99"/>
      <c r="U99"/>
    </row>
    <row r="100" spans="1:21" s="27" customFormat="1" ht="14.4" customHeight="1">
      <c r="A100"/>
      <c r="B100" s="122" t="s">
        <v>211</v>
      </c>
      <c r="C100" s="1"/>
      <c r="D100" s="310">
        <f>'3StatementModel'!D100/'3StatementModel'!D$107</f>
        <v>0</v>
      </c>
      <c r="E100" s="310">
        <f>'3StatementModel'!E100/'3StatementModel'!E$107</f>
        <v>2.2488489789250539E-4</v>
      </c>
      <c r="F100" s="310">
        <f>'3StatementModel'!F100/'3StatementModel'!F$107</f>
        <v>2.6313688918262415E-4</v>
      </c>
      <c r="G100" s="310">
        <f>'3StatementModel'!G100/'3StatementModel'!G$107</f>
        <v>2.8610924008213901E-4</v>
      </c>
      <c r="H100" s="310">
        <f>'3StatementModel'!H100/'3StatementModel'!H$107</f>
        <v>5.1837940476823685E-4</v>
      </c>
      <c r="I100" s="310">
        <f>'3StatementModel'!I100/'3StatementModel'!I$107</f>
        <v>5.1383209761624927E-4</v>
      </c>
      <c r="J100" s="310">
        <f>'3StatementModel'!J100/'3StatementModel'!J$107</f>
        <v>4.6572194400631571E-4</v>
      </c>
      <c r="K100" s="310">
        <f>'3StatementModel'!K100/'3StatementModel'!K$107</f>
        <v>4.1938620449375195E-4</v>
      </c>
      <c r="L100" s="310">
        <f>'3StatementModel'!L100/'3StatementModel'!L$107</f>
        <v>3.7362128745179222E-4</v>
      </c>
      <c r="M100" s="310">
        <f>'3StatementModel'!M100/'3StatementModel'!M$107</f>
        <v>3.3556372025322147E-4</v>
      </c>
      <c r="N100"/>
      <c r="O100"/>
      <c r="P100"/>
      <c r="Q100"/>
      <c r="R100"/>
      <c r="S100"/>
      <c r="T100"/>
      <c r="U100"/>
    </row>
    <row r="101" spans="1:21" s="27" customFormat="1" ht="14.4" customHeight="1">
      <c r="A101"/>
      <c r="B101" s="122" t="s">
        <v>217</v>
      </c>
      <c r="C101" s="1"/>
      <c r="D101" s="310">
        <f>'3StatementModel'!D101/'3StatementModel'!D$107</f>
        <v>2.8807736565268964E-2</v>
      </c>
      <c r="E101" s="310">
        <f>'3StatementModel'!E101/'3StatementModel'!E$107</f>
        <v>2.4212293967194792E-2</v>
      </c>
      <c r="F101" s="310">
        <f>'3StatementModel'!F101/'3StatementModel'!F$107</f>
        <v>2.4341762788656098E-2</v>
      </c>
      <c r="G101" s="310">
        <f>'3StatementModel'!G101/'3StatementModel'!G$107</f>
        <v>1.9689369522914509E-2</v>
      </c>
      <c r="H101" s="310">
        <f>'3StatementModel'!H101/'3StatementModel'!H$107</f>
        <v>2.4285660842151113E-2</v>
      </c>
      <c r="I101" s="310">
        <f>'3StatementModel'!I101/'3StatementModel'!I$107</f>
        <v>2.4072623136134161E-2</v>
      </c>
      <c r="J101" s="310">
        <f>'3StatementModel'!J101/'3StatementModel'!J$107</f>
        <v>2.1818700887512008E-2</v>
      </c>
      <c r="K101" s="310">
        <f>'3StatementModel'!K101/'3StatementModel'!K$107</f>
        <v>1.9647908521300054E-2</v>
      </c>
      <c r="L101" s="310">
        <f>'3StatementModel'!L101/'3StatementModel'!L$107</f>
        <v>1.7503858731653943E-2</v>
      </c>
      <c r="M101" s="310">
        <f>'3StatementModel'!M101/'3StatementModel'!M$107</f>
        <v>1.5720892122717982E-2</v>
      </c>
      <c r="N101"/>
      <c r="O101"/>
      <c r="P101"/>
      <c r="Q101"/>
      <c r="R101"/>
      <c r="S101"/>
      <c r="T101"/>
      <c r="U101"/>
    </row>
    <row r="102" spans="1:21" s="27" customFormat="1" ht="14.4" customHeight="1">
      <c r="A102"/>
      <c r="B102" s="122" t="s">
        <v>212</v>
      </c>
      <c r="C102" s="1"/>
      <c r="D102" s="310">
        <f>'3StatementModel'!D102/'3StatementModel'!D$107</f>
        <v>3.6752648727727572E-2</v>
      </c>
      <c r="E102" s="310">
        <f>'3StatementModel'!E102/'3StatementModel'!E$107</f>
        <v>2.8915462299378344E-2</v>
      </c>
      <c r="F102" s="310">
        <f>'3StatementModel'!F102/'3StatementModel'!F$107</f>
        <v>3.1663957157835453E-2</v>
      </c>
      <c r="G102" s="310">
        <f>'3StatementModel'!G102/'3StatementModel'!G$107</f>
        <v>3.2541891770043629E-2</v>
      </c>
      <c r="H102" s="310">
        <f>'3StatementModel'!H102/'3StatementModel'!H$107</f>
        <v>2.3914978140617747E-2</v>
      </c>
      <c r="I102" s="310">
        <f>'3StatementModel'!I102/'3StatementModel'!I$107</f>
        <v>2.3705192122619834E-2</v>
      </c>
      <c r="J102" s="310">
        <f>'3StatementModel'!J102/'3StatementModel'!J$107</f>
        <v>2.1485672478629102E-2</v>
      </c>
      <c r="K102" s="310">
        <f>'3StatementModel'!K102/'3StatementModel'!K$107</f>
        <v>1.9348013869163801E-2</v>
      </c>
      <c r="L102" s="310">
        <f>'3StatementModel'!L102/'3StatementModel'!L$107</f>
        <v>1.723668965257966E-2</v>
      </c>
      <c r="M102" s="310">
        <f>'3StatementModel'!M102/'3StatementModel'!M$107</f>
        <v>1.5480937245622385E-2</v>
      </c>
      <c r="N102"/>
      <c r="O102"/>
      <c r="P102"/>
      <c r="Q102"/>
      <c r="R102"/>
      <c r="S102"/>
      <c r="T102"/>
      <c r="U102"/>
    </row>
    <row r="103" spans="1:21" s="27" customFormat="1" ht="14.4" customHeight="1">
      <c r="A103"/>
      <c r="B103" s="122" t="s">
        <v>218</v>
      </c>
      <c r="C103" s="1"/>
      <c r="D103" s="310">
        <f>'3StatementModel'!D103/'3StatementModel'!D$107</f>
        <v>1.7393676646048105E-3</v>
      </c>
      <c r="E103" s="310">
        <f>'3StatementModel'!E103/'3StatementModel'!E$107</f>
        <v>1.6495348800499464E-3</v>
      </c>
      <c r="F103" s="310">
        <f>'3StatementModel'!F103/'3StatementModel'!F$107</f>
        <v>4.7610124692301472E-3</v>
      </c>
      <c r="G103" s="310">
        <f>'3StatementModel'!G103/'3StatementModel'!G$107</f>
        <v>3.876760141696127E-3</v>
      </c>
      <c r="H103" s="310">
        <f>'3StatementModel'!H103/'3StatementModel'!H$107</f>
        <v>6.5130643767961915E-4</v>
      </c>
      <c r="I103" s="310">
        <f>'3StatementModel'!I103/'3StatementModel'!I$107</f>
        <v>6.4559307330797674E-4</v>
      </c>
      <c r="J103" s="310">
        <f>'3StatementModel'!J103/'3StatementModel'!J$107</f>
        <v>5.8514612561738621E-4</v>
      </c>
      <c r="K103" s="310">
        <f>'3StatementModel'!K103/'3StatementModel'!K$107</f>
        <v>5.2692860161549925E-4</v>
      </c>
      <c r="L103" s="310">
        <f>'3StatementModel'!L103/'3StatementModel'!L$107</f>
        <v>4.6942827499154985E-4</v>
      </c>
      <c r="M103" s="310">
        <f>'3StatementModel'!M103/'3StatementModel'!M$107</f>
        <v>4.2161167909508291E-4</v>
      </c>
      <c r="N103"/>
      <c r="O103"/>
      <c r="P103"/>
      <c r="Q103"/>
      <c r="R103"/>
      <c r="S103"/>
      <c r="T103"/>
      <c r="U103"/>
    </row>
    <row r="104" spans="1:21" s="27" customFormat="1" ht="14.4" customHeight="1">
      <c r="A104"/>
      <c r="B104" s="122" t="s">
        <v>219</v>
      </c>
      <c r="C104" s="1"/>
      <c r="D104" s="310">
        <f>'3StatementModel'!D104/'3StatementModel'!D$107</f>
        <v>1.5564035161001865E-2</v>
      </c>
      <c r="E104" s="310">
        <f>'3StatementModel'!E104/'3StatementModel'!E$107</f>
        <v>2.4606520297775065E-2</v>
      </c>
      <c r="F104" s="310">
        <f>'3StatementModel'!F104/'3StatementModel'!F$107</f>
        <v>1.2612372909591506E-2</v>
      </c>
      <c r="G104" s="310">
        <f>'3StatementModel'!G104/'3StatementModel'!G$107</f>
        <v>1.4286495606252964E-2</v>
      </c>
      <c r="H104" s="310">
        <f>'3StatementModel'!H104/'3StatementModel'!H$107</f>
        <v>7.3063037439259054E-3</v>
      </c>
      <c r="I104" s="310">
        <f>'3StatementModel'!I104/'3StatementModel'!I$107</f>
        <v>7.2422116774515403E-3</v>
      </c>
      <c r="J104" s="310">
        <f>'3StatementModel'!J104/'3StatementModel'!J$107</f>
        <v>6.5641226326171613E-3</v>
      </c>
      <c r="K104" s="310">
        <f>'3StatementModel'!K104/'3StatementModel'!K$107</f>
        <v>5.911043085157941E-3</v>
      </c>
      <c r="L104" s="310">
        <f>'3StatementModel'!L104/'3StatementModel'!L$107</f>
        <v>5.2660090007625084E-3</v>
      </c>
      <c r="M104" s="310">
        <f>'3StatementModel'!M104/'3StatementModel'!M$107</f>
        <v>4.7296062363973851E-3</v>
      </c>
      <c r="N104"/>
      <c r="O104"/>
      <c r="P104"/>
      <c r="Q104"/>
      <c r="R104"/>
      <c r="S104"/>
      <c r="T104"/>
      <c r="U104"/>
    </row>
    <row r="105" spans="1:21" ht="14.4" customHeight="1">
      <c r="B105" s="227" t="s">
        <v>564</v>
      </c>
      <c r="C105" s="227"/>
      <c r="D105" s="315">
        <f>'3StatementModel'!D105/'3StatementModel'!D$107</f>
        <v>0.21244059863358739</v>
      </c>
      <c r="E105" s="315">
        <f>'3StatementModel'!E105/'3StatementModel'!E$107</f>
        <v>0.28679227120060508</v>
      </c>
      <c r="F105" s="315">
        <f>'3StatementModel'!F105/'3StatementModel'!F$107</f>
        <v>0.19172737350837843</v>
      </c>
      <c r="G105" s="315">
        <f>'3StatementModel'!G105/'3StatementModel'!G$107</f>
        <v>0.17718726514297808</v>
      </c>
      <c r="H105" s="315">
        <f>'3StatementModel'!H105/'3StatementModel'!H$107</f>
        <v>0.20402392103010311</v>
      </c>
      <c r="I105" s="315">
        <f>'3StatementModel'!I105/'3StatementModel'!I$107</f>
        <v>0.13939000838207347</v>
      </c>
      <c r="J105" s="315">
        <f>'3StatementModel'!J105/'3StatementModel'!J$107</f>
        <v>0.13771180387078055</v>
      </c>
      <c r="K105" s="315">
        <f>'3StatementModel'!K105/'3StatementModel'!K$107</f>
        <v>0.13462468145916198</v>
      </c>
      <c r="L105" s="315">
        <f>'3StatementModel'!L105/'3StatementModel'!L$107</f>
        <v>0.14086248130985124</v>
      </c>
      <c r="M105" s="315">
        <f>'3StatementModel'!M105/'3StatementModel'!M$107</f>
        <v>0.13616464047013871</v>
      </c>
    </row>
    <row r="106" spans="1:21" s="27" customFormat="1" ht="14.4" customHeight="1">
      <c r="A106"/>
      <c r="B106" s="1"/>
      <c r="C106" s="1"/>
      <c r="D106" s="7"/>
      <c r="E106" s="7"/>
      <c r="F106" s="7"/>
      <c r="G106" s="10"/>
      <c r="H106" s="10"/>
      <c r="I106" s="10"/>
      <c r="J106" s="10"/>
      <c r="K106" s="10"/>
      <c r="L106" s="10"/>
      <c r="M106" s="10"/>
      <c r="N106"/>
      <c r="O106"/>
      <c r="P106"/>
      <c r="Q106"/>
      <c r="R106"/>
      <c r="S106"/>
      <c r="T106"/>
      <c r="U106"/>
    </row>
    <row r="107" spans="1:21" s="27" customFormat="1" ht="14.4" customHeight="1">
      <c r="A107"/>
      <c r="B107" s="227" t="s">
        <v>221</v>
      </c>
      <c r="C107" s="227"/>
      <c r="D107" s="315">
        <f>'3StatementModel'!D107/'3StatementModel'!D$107</f>
        <v>1</v>
      </c>
      <c r="E107" s="315">
        <f>'3StatementModel'!E107/'3StatementModel'!E$107</f>
        <v>1</v>
      </c>
      <c r="F107" s="315">
        <f>'3StatementModel'!F107/'3StatementModel'!F$107</f>
        <v>1</v>
      </c>
      <c r="G107" s="315">
        <f>'3StatementModel'!G107/'3StatementModel'!G$107</f>
        <v>1</v>
      </c>
      <c r="H107" s="315">
        <f>'3StatementModel'!H107/'3StatementModel'!H$107</f>
        <v>1</v>
      </c>
      <c r="I107" s="315">
        <f>'3StatementModel'!I107/'3StatementModel'!I$107</f>
        <v>1</v>
      </c>
      <c r="J107" s="315">
        <f>'3StatementModel'!J107/'3StatementModel'!J$107</f>
        <v>1</v>
      </c>
      <c r="K107" s="315">
        <f>'3StatementModel'!K107/'3StatementModel'!K$107</f>
        <v>1</v>
      </c>
      <c r="L107" s="315">
        <f>'3StatementModel'!L107/'3StatementModel'!L$107</f>
        <v>1</v>
      </c>
      <c r="M107" s="315">
        <f>'3StatementModel'!M107/'3StatementModel'!M$107</f>
        <v>1</v>
      </c>
      <c r="N107"/>
      <c r="O107"/>
      <c r="P107"/>
      <c r="Q107"/>
      <c r="R107"/>
      <c r="S107"/>
      <c r="T107"/>
      <c r="U107"/>
    </row>
    <row r="108" spans="1:21" s="27" customFormat="1" ht="14.4" customHeight="1">
      <c r="A108"/>
      <c r="B108"/>
      <c r="C108"/>
      <c r="D108"/>
      <c r="E108"/>
      <c r="F108"/>
      <c r="G108"/>
      <c r="H108"/>
      <c r="I108" s="65"/>
      <c r="J108"/>
      <c r="K108"/>
      <c r="L108"/>
      <c r="M108"/>
      <c r="N108"/>
      <c r="O108"/>
      <c r="P108"/>
      <c r="Q108"/>
      <c r="R108"/>
      <c r="S108"/>
      <c r="T108"/>
      <c r="U108"/>
    </row>
    <row r="109" spans="1:21" s="26" customFormat="1" ht="14.4" customHeight="1">
      <c r="A109" s="20"/>
      <c r="B109" s="20" t="s">
        <v>76</v>
      </c>
      <c r="C109" s="20"/>
      <c r="D109" s="280">
        <v>0</v>
      </c>
      <c r="E109" s="280">
        <v>0</v>
      </c>
      <c r="F109" s="280">
        <v>0</v>
      </c>
      <c r="G109" s="280">
        <v>0</v>
      </c>
      <c r="H109" s="280">
        <v>0</v>
      </c>
      <c r="I109" s="280">
        <v>0</v>
      </c>
      <c r="J109" s="280">
        <v>0</v>
      </c>
      <c r="K109" s="280">
        <v>0</v>
      </c>
      <c r="L109" s="280">
        <v>0</v>
      </c>
      <c r="M109" s="280">
        <v>0</v>
      </c>
      <c r="N109" s="20"/>
      <c r="O109"/>
      <c r="P109"/>
      <c r="Q109"/>
      <c r="R109"/>
      <c r="S109"/>
      <c r="T109"/>
      <c r="U109"/>
    </row>
    <row r="110" spans="1:21" s="27" customFormat="1" ht="14.4" customHeight="1">
      <c r="A110"/>
      <c r="B110"/>
      <c r="C110"/>
      <c r="D110"/>
      <c r="E110"/>
      <c r="F110"/>
      <c r="G110"/>
      <c r="H110"/>
      <c r="I110"/>
      <c r="J110"/>
      <c r="K110"/>
      <c r="L110"/>
      <c r="M110"/>
      <c r="N110"/>
      <c r="O110"/>
      <c r="P110" s="65"/>
      <c r="Q110" s="98"/>
      <c r="R110" s="65"/>
      <c r="S110" s="272"/>
      <c r="T110" s="213"/>
    </row>
    <row r="111" spans="1:21" s="27" customFormat="1" ht="14.4" customHeight="1">
      <c r="A111"/>
      <c r="B111" s="31" t="s">
        <v>77</v>
      </c>
      <c r="C111" s="31"/>
      <c r="D111" s="81">
        <v>2552.7863000000002</v>
      </c>
      <c r="E111" s="81">
        <v>1783.3026</v>
      </c>
      <c r="F111" s="81">
        <v>2465.1494000000002</v>
      </c>
      <c r="G111" s="81">
        <v>4448.4893999999986</v>
      </c>
      <c r="H111" s="81">
        <v>1324.6495000000004</v>
      </c>
      <c r="I111" s="81">
        <v>3645.3057468801508</v>
      </c>
      <c r="J111" s="81">
        <v>6176.4498462913862</v>
      </c>
      <c r="K111" s="81">
        <v>9059.5316580777253</v>
      </c>
      <c r="L111" s="81">
        <v>12317.497774320218</v>
      </c>
      <c r="M111" s="81">
        <v>16185.130198233546</v>
      </c>
      <c r="N111"/>
      <c r="O111"/>
      <c r="P111"/>
      <c r="Q111"/>
      <c r="R111"/>
    </row>
    <row r="112" spans="1:21" s="27" customFormat="1" ht="14.4" customHeight="1">
      <c r="A112"/>
      <c r="B112" s="31" t="s">
        <v>53</v>
      </c>
      <c r="C112" s="31"/>
      <c r="D112" s="308">
        <v>0</v>
      </c>
      <c r="E112" s="308">
        <v>16.857409035116898</v>
      </c>
      <c r="F112" s="308">
        <v>20.119840965694571</v>
      </c>
      <c r="G112" s="308">
        <v>25.158577188514592</v>
      </c>
      <c r="H112" s="308">
        <v>35.6810329319243</v>
      </c>
      <c r="I112" s="308">
        <v>23.823918570313154</v>
      </c>
      <c r="J112" s="308">
        <v>23.823918570313154</v>
      </c>
      <c r="K112" s="308">
        <v>23.823918570313154</v>
      </c>
      <c r="L112" s="308">
        <v>23.823918570313154</v>
      </c>
      <c r="M112" s="308">
        <v>23.823918570313154</v>
      </c>
      <c r="N112"/>
      <c r="O112"/>
      <c r="P112"/>
      <c r="Q112"/>
      <c r="R112"/>
    </row>
    <row r="113" spans="1:18" s="27" customFormat="1" ht="14.4" customHeight="1">
      <c r="A113"/>
      <c r="B113" s="31" t="s">
        <v>54</v>
      </c>
      <c r="C113" s="31"/>
      <c r="D113" s="308">
        <v>0</v>
      </c>
      <c r="E113" s="308">
        <v>69.040066747069616</v>
      </c>
      <c r="F113" s="308">
        <v>67.971498810265757</v>
      </c>
      <c r="G113" s="308">
        <v>53.893317663647942</v>
      </c>
      <c r="H113" s="308">
        <v>54.526807897108213</v>
      </c>
      <c r="I113" s="308">
        <v>58.580766201835651</v>
      </c>
      <c r="J113" s="308">
        <v>58.580766201835651</v>
      </c>
      <c r="K113" s="308">
        <v>55</v>
      </c>
      <c r="L113" s="308">
        <v>55</v>
      </c>
      <c r="M113" s="308">
        <v>55</v>
      </c>
      <c r="N113"/>
      <c r="O113"/>
      <c r="P113"/>
      <c r="Q113"/>
      <c r="R113"/>
    </row>
    <row r="114" spans="1:18" s="27" customFormat="1" ht="14.4" customHeight="1">
      <c r="A114"/>
      <c r="B114" s="31" t="s">
        <v>583</v>
      </c>
      <c r="C114" s="31"/>
      <c r="D114" s="308">
        <v>0</v>
      </c>
      <c r="E114" s="308">
        <v>131.39712518959598</v>
      </c>
      <c r="F114" s="308">
        <v>130.54688367685532</v>
      </c>
      <c r="G114" s="308">
        <v>120.01575702233973</v>
      </c>
      <c r="H114" s="308">
        <v>105.87537930864534</v>
      </c>
      <c r="I114" s="308">
        <v>120</v>
      </c>
      <c r="J114" s="308">
        <v>120</v>
      </c>
      <c r="K114" s="308">
        <v>120</v>
      </c>
      <c r="L114" s="308">
        <v>120</v>
      </c>
      <c r="M114" s="308">
        <v>120</v>
      </c>
      <c r="N114"/>
      <c r="O114"/>
      <c r="P114"/>
      <c r="Q114"/>
      <c r="R114"/>
    </row>
    <row r="115" spans="1:18" s="27" customFormat="1" ht="14.4" customHeight="1">
      <c r="A115"/>
      <c r="B115" s="31" t="s">
        <v>55</v>
      </c>
      <c r="C115" s="31"/>
      <c r="D115" s="82">
        <v>6.1949904643363231E-2</v>
      </c>
      <c r="E115" s="82">
        <v>0.12568321979754407</v>
      </c>
      <c r="F115" s="82">
        <v>8.2784758738080499E-2</v>
      </c>
      <c r="G115" s="82">
        <v>6.8738915699235473E-2</v>
      </c>
      <c r="H115" s="82">
        <v>9.1003522569017781E-2</v>
      </c>
      <c r="I115" s="82">
        <v>6.9000000000000006E-2</v>
      </c>
      <c r="J115" s="82">
        <v>6.9000000000000006E-2</v>
      </c>
      <c r="K115" s="82">
        <v>6.9000000000000006E-2</v>
      </c>
      <c r="L115" s="82">
        <v>6.9000000000000006E-2</v>
      </c>
      <c r="M115" s="82">
        <v>6.9000000000000006E-2</v>
      </c>
      <c r="N115"/>
      <c r="O115"/>
      <c r="P115"/>
      <c r="Q115"/>
      <c r="R115"/>
    </row>
    <row r="116" spans="1:18" s="27" customFormat="1" ht="14.4" customHeight="1">
      <c r="A116"/>
      <c r="B116" s="31" t="s">
        <v>58</v>
      </c>
      <c r="C116" s="31"/>
      <c r="D116" s="82">
        <v>1.5936475310601966E-2</v>
      </c>
      <c r="E116" s="82">
        <v>2.8926775831735738E-2</v>
      </c>
      <c r="F116" s="82">
        <v>1.4004930376631261E-2</v>
      </c>
      <c r="G116" s="82">
        <v>1.653767078771123E-2</v>
      </c>
      <c r="H116" s="82">
        <v>1.6615056934545753E-2</v>
      </c>
      <c r="I116" s="82">
        <v>1.4080556724191317E-2</v>
      </c>
      <c r="J116" s="82">
        <v>1.2086314784713576E-2</v>
      </c>
      <c r="K116" s="82">
        <v>1.0509838943229197E-2</v>
      </c>
      <c r="L116" s="82">
        <v>9.2597699940345363E-3</v>
      </c>
      <c r="M116" s="82">
        <v>8.2676517803879773E-3</v>
      </c>
      <c r="N116"/>
      <c r="O116"/>
      <c r="P116"/>
      <c r="Q116"/>
      <c r="R116"/>
    </row>
    <row r="117" spans="1:18" s="27" customFormat="1" ht="14.4" customHeight="1">
      <c r="A117"/>
      <c r="B117"/>
      <c r="C117"/>
      <c r="D117"/>
      <c r="E117"/>
      <c r="F117"/>
      <c r="G117"/>
      <c r="H117"/>
      <c r="I117"/>
      <c r="J117"/>
      <c r="K117"/>
      <c r="L117"/>
      <c r="M117"/>
      <c r="N117"/>
      <c r="O117"/>
      <c r="P117"/>
      <c r="Q117"/>
      <c r="R117"/>
    </row>
    <row r="190" ht="14.4" customHeight="1" collapsed="1"/>
    <row r="200" ht="14.4" customHeight="1" collapsed="1"/>
    <row r="233" ht="14.4" customHeight="1" collapsed="1"/>
    <row r="246" ht="14.4" customHeight="1" collapsed="1"/>
  </sheetData>
  <sheetProtection sheet="1" objects="1" scenarios="1" selectLockedCells="1"/>
  <mergeCells count="2">
    <mergeCell ref="H4:I4"/>
    <mergeCell ref="D8:H8"/>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6865" r:id="rId4" name="Drop Down 1">
              <controlPr defaultSize="0" autoLine="0" autoPict="0">
                <anchor moveWithCells="1">
                  <from>
                    <xdr:col>9</xdr:col>
                    <xdr:colOff>114300</xdr:colOff>
                    <xdr:row>3</xdr:row>
                    <xdr:rowOff>60960</xdr:rowOff>
                  </from>
                  <to>
                    <xdr:col>10</xdr:col>
                    <xdr:colOff>441960</xdr:colOff>
                    <xdr:row>4</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M217"/>
  <sheetViews>
    <sheetView showGridLines="0" zoomScale="70" zoomScaleNormal="70" workbookViewId="0">
      <selection activeCell="I5" sqref="I5"/>
    </sheetView>
  </sheetViews>
  <sheetFormatPr defaultRowHeight="14.4" customHeight="1"/>
  <cols>
    <col min="1" max="1" width="1.88671875" customWidth="1"/>
    <col min="2" max="2" width="32.21875" bestFit="1" customWidth="1"/>
    <col min="3" max="3" width="20.109375" bestFit="1" customWidth="1"/>
    <col min="4" max="6" width="11.88671875" customWidth="1"/>
    <col min="7" max="11" width="9.77734375" customWidth="1"/>
    <col min="12" max="13" width="9.6640625" bestFit="1" customWidth="1"/>
  </cols>
  <sheetData>
    <row r="2" spans="1:13" ht="25.8">
      <c r="B2" s="522" t="str">
        <f>'Input Sheet'!C5</f>
        <v>Mankind Pharma Ltd</v>
      </c>
    </row>
    <row r="3" spans="1:13" ht="18">
      <c r="B3" s="14" t="s">
        <v>92</v>
      </c>
    </row>
    <row r="4" spans="1:13" ht="18">
      <c r="B4" s="14"/>
      <c r="F4" s="534" t="s">
        <v>27</v>
      </c>
      <c r="G4" s="534"/>
      <c r="H4" s="544">
        <v>1</v>
      </c>
      <c r="I4" s="544"/>
    </row>
    <row r="5" spans="1:13" ht="18">
      <c r="B5" s="14"/>
      <c r="H5" s="544"/>
      <c r="I5" s="544"/>
    </row>
    <row r="6" spans="1:13" ht="18">
      <c r="B6" s="14"/>
    </row>
    <row r="8" spans="1:13">
      <c r="D8" s="537" t="s">
        <v>21</v>
      </c>
      <c r="E8" s="537"/>
      <c r="F8" s="537"/>
      <c r="G8" s="537"/>
      <c r="H8" s="537"/>
      <c r="I8" s="536" t="s">
        <v>1255</v>
      </c>
      <c r="J8" s="536"/>
      <c r="K8" s="536"/>
      <c r="L8" s="536"/>
      <c r="M8" s="536"/>
    </row>
    <row r="9" spans="1:13">
      <c r="A9" t="s">
        <v>31</v>
      </c>
      <c r="B9" s="16" t="s">
        <v>20</v>
      </c>
      <c r="C9" s="15"/>
      <c r="D9" s="64">
        <v>2021</v>
      </c>
      <c r="E9" s="17">
        <f>D9+1</f>
        <v>2022</v>
      </c>
      <c r="F9" s="17">
        <f t="shared" ref="F9:K9" si="0">E9+1</f>
        <v>2023</v>
      </c>
      <c r="G9" s="17">
        <f t="shared" si="0"/>
        <v>2024</v>
      </c>
      <c r="H9" s="17">
        <f t="shared" si="0"/>
        <v>2025</v>
      </c>
      <c r="I9" s="17">
        <f t="shared" si="0"/>
        <v>2026</v>
      </c>
      <c r="J9" s="17">
        <f t="shared" si="0"/>
        <v>2027</v>
      </c>
      <c r="K9" s="17">
        <f t="shared" si="0"/>
        <v>2028</v>
      </c>
      <c r="L9" s="17">
        <f t="shared" ref="L9" si="1">K9+1</f>
        <v>2029</v>
      </c>
      <c r="M9" s="17">
        <f t="shared" ref="M9" si="2">L9+1</f>
        <v>2030</v>
      </c>
    </row>
    <row r="10" spans="1:13">
      <c r="B10" s="77"/>
      <c r="D10" s="78"/>
      <c r="E10" s="79"/>
      <c r="F10" s="79"/>
      <c r="G10" s="79"/>
      <c r="H10" s="79"/>
      <c r="I10" s="79"/>
      <c r="J10" s="79"/>
      <c r="K10" s="79"/>
    </row>
    <row r="11" spans="1:13" ht="15.6">
      <c r="A11" t="s">
        <v>23</v>
      </c>
      <c r="B11" s="491" t="s">
        <v>93</v>
      </c>
      <c r="C11" s="492"/>
      <c r="D11" s="492"/>
      <c r="E11" s="492"/>
      <c r="F11" s="492"/>
      <c r="G11" s="492"/>
      <c r="H11" s="492"/>
      <c r="I11" s="492"/>
      <c r="J11" s="492"/>
      <c r="K11" s="492"/>
      <c r="L11" s="492"/>
      <c r="M11" s="492"/>
    </row>
    <row r="13" spans="1:13" ht="14.4" customHeight="1">
      <c r="B13" t="s">
        <v>94</v>
      </c>
      <c r="D13" s="66">
        <f>'3StatementModel'!D74</f>
        <v>3906.6348000000003</v>
      </c>
      <c r="E13" s="66">
        <f>'3StatementModel'!E74</f>
        <v>4406.8182999999999</v>
      </c>
      <c r="F13" s="66">
        <f>'3StatementModel'!F74</f>
        <v>4327.8720000000003</v>
      </c>
      <c r="G13" s="66">
        <f>'3StatementModel'!G74</f>
        <v>6568.2271999999994</v>
      </c>
      <c r="H13" s="66">
        <f>'3StatementModel'!H74</f>
        <v>6988.27</v>
      </c>
      <c r="I13" s="66">
        <f>'3StatementModel'!I74</f>
        <v>7548.9587687979583</v>
      </c>
      <c r="J13" s="66">
        <f>'3StatementModel'!J74</f>
        <v>10431.505643433851</v>
      </c>
      <c r="K13" s="66">
        <f>'3StatementModel'!K74</f>
        <v>13678.780325391013</v>
      </c>
      <c r="L13" s="66">
        <f>'3StatementModel'!L74</f>
        <v>17742.807236405679</v>
      </c>
      <c r="M13" s="66">
        <f>'3StatementModel'!M74</f>
        <v>22024.286990531287</v>
      </c>
    </row>
    <row r="14" spans="1:13" ht="14.4" customHeight="1">
      <c r="B14" t="s">
        <v>95</v>
      </c>
      <c r="D14" s="66">
        <f>'3StatementModel'!D83</f>
        <v>4722.0037999999995</v>
      </c>
      <c r="E14" s="66">
        <f>'3StatementModel'!E83</f>
        <v>6155.2320999999993</v>
      </c>
      <c r="F14" s="66">
        <f>'3StatementModel'!F83</f>
        <v>7435.6228000000001</v>
      </c>
      <c r="G14" s="66">
        <f>'3StatementModel'!G83</f>
        <v>9363.0881000000008</v>
      </c>
      <c r="H14" s="66">
        <f>'3StatementModel'!H83</f>
        <v>14332.39</v>
      </c>
      <c r="I14" s="66">
        <f>'3StatementModel'!I83</f>
        <v>16061.714578130151</v>
      </c>
      <c r="J14" s="66">
        <f>'3StatementModel'!J83</f>
        <v>18313.194637197634</v>
      </c>
      <c r="K14" s="66">
        <f>'3StatementModel'!K83</f>
        <v>21058.154637480849</v>
      </c>
      <c r="L14" s="66">
        <f>'3StatementModel'!L83</f>
        <v>24327.035793592015</v>
      </c>
      <c r="M14" s="66">
        <f>'3StatementModel'!M83</f>
        <v>28150.810913436257</v>
      </c>
    </row>
    <row r="15" spans="1:13" ht="14.4" customHeight="1">
      <c r="B15" s="30" t="s">
        <v>96</v>
      </c>
      <c r="C15" s="19"/>
      <c r="D15" s="90">
        <f>D13/D14</f>
        <v>0.82732563662909397</v>
      </c>
      <c r="E15" s="90">
        <f t="shared" ref="E15:M15" si="3">E13/E14</f>
        <v>0.71594673091206429</v>
      </c>
      <c r="F15" s="90">
        <f t="shared" si="3"/>
        <v>0.58204566267132329</v>
      </c>
      <c r="G15" s="90">
        <f t="shared" si="3"/>
        <v>0.70150223193990868</v>
      </c>
      <c r="H15" s="90">
        <f t="shared" si="3"/>
        <v>0.48758581088011144</v>
      </c>
      <c r="I15" s="90">
        <f t="shared" si="3"/>
        <v>0.46999706862408841</v>
      </c>
      <c r="J15" s="90">
        <f t="shared" si="3"/>
        <v>0.56961692648891793</v>
      </c>
      <c r="K15" s="90">
        <f t="shared" si="3"/>
        <v>0.64957165339856116</v>
      </c>
      <c r="L15" s="90">
        <f t="shared" si="3"/>
        <v>0.72934521850291811</v>
      </c>
      <c r="M15" s="90">
        <f t="shared" si="3"/>
        <v>0.78236776404970965</v>
      </c>
    </row>
    <row r="17" spans="1:13" ht="14.4" customHeight="1">
      <c r="B17" t="s">
        <v>94</v>
      </c>
      <c r="D17" s="89">
        <f>D13</f>
        <v>3906.6348000000003</v>
      </c>
      <c r="E17" s="89">
        <f t="shared" ref="E17:M17" si="4">E13</f>
        <v>4406.8182999999999</v>
      </c>
      <c r="F17" s="89">
        <f t="shared" si="4"/>
        <v>4327.8720000000003</v>
      </c>
      <c r="G17" s="89">
        <f t="shared" si="4"/>
        <v>6568.2271999999994</v>
      </c>
      <c r="H17" s="89">
        <f t="shared" si="4"/>
        <v>6988.27</v>
      </c>
      <c r="I17" s="89">
        <f t="shared" si="4"/>
        <v>7548.9587687979583</v>
      </c>
      <c r="J17" s="89">
        <f t="shared" si="4"/>
        <v>10431.505643433851</v>
      </c>
      <c r="K17" s="89">
        <f t="shared" si="4"/>
        <v>13678.780325391013</v>
      </c>
      <c r="L17" s="89">
        <f t="shared" si="4"/>
        <v>17742.807236405679</v>
      </c>
      <c r="M17" s="89">
        <f t="shared" si="4"/>
        <v>22024.286990531287</v>
      </c>
    </row>
    <row r="18" spans="1:13" ht="14.4" customHeight="1">
      <c r="B18" t="s">
        <v>9</v>
      </c>
      <c r="D18" s="66">
        <f>'3StatementModel'!D70</f>
        <v>1183.5377000000001</v>
      </c>
      <c r="E18" s="66">
        <f>'3StatementModel'!E70</f>
        <v>1760.2381</v>
      </c>
      <c r="F18" s="66">
        <f>'3StatementModel'!F70</f>
        <v>1498.4582</v>
      </c>
      <c r="G18" s="66">
        <f>'3StatementModel'!G70</f>
        <v>1553.4612</v>
      </c>
      <c r="H18" s="66">
        <f>'3StatementModel'!H70</f>
        <v>2093.71</v>
      </c>
      <c r="I18" s="66">
        <f>'3StatementModel'!I70</f>
        <v>2311.8153078642554</v>
      </c>
      <c r="J18" s="66">
        <f>'3StatementModel'!J70</f>
        <v>2693.2648336618572</v>
      </c>
      <c r="K18" s="66">
        <f>'3StatementModel'!K70</f>
        <v>2907.9339819863012</v>
      </c>
      <c r="L18" s="66">
        <f>'3StatementModel'!L70</f>
        <v>3300.5050695544514</v>
      </c>
      <c r="M18" s="66">
        <f>'3StatementModel'!M70</f>
        <v>3696.5656779009855</v>
      </c>
    </row>
    <row r="19" spans="1:13" ht="14.4" customHeight="1">
      <c r="B19" t="s">
        <v>11</v>
      </c>
      <c r="D19" s="66">
        <f>'3StatementModel'!D73</f>
        <v>385.56990000000002</v>
      </c>
      <c r="E19" s="66">
        <f>'3StatementModel'!E73</f>
        <v>978.01089999999999</v>
      </c>
      <c r="F19" s="66">
        <f>'3StatementModel'!F73</f>
        <v>724.3196999999999</v>
      </c>
      <c r="G19" s="66">
        <f>'3StatementModel'!G73</f>
        <v>710.4011999999999</v>
      </c>
      <c r="H19" s="66">
        <f>'3StatementModel'!H73</f>
        <v>1110.8800000000001</v>
      </c>
      <c r="I19" s="66">
        <f>'3StatementModel'!I73</f>
        <v>993.89393999999993</v>
      </c>
      <c r="J19" s="66">
        <f>'3StatementModel'!J73</f>
        <v>1157.8864401000001</v>
      </c>
      <c r="K19" s="66">
        <f>'3StatementModel'!K73</f>
        <v>1331.569406115</v>
      </c>
      <c r="L19" s="66">
        <f>'3StatementModel'!L73</f>
        <v>1511.3312759405248</v>
      </c>
      <c r="M19" s="66">
        <f>'3StatementModel'!M73</f>
        <v>1692.6910290533879</v>
      </c>
    </row>
    <row r="20" spans="1:13" ht="14.4" customHeight="1">
      <c r="B20" t="s">
        <v>95</v>
      </c>
      <c r="D20" s="89">
        <f>D14</f>
        <v>4722.0037999999995</v>
      </c>
      <c r="E20" s="89">
        <f t="shared" ref="E20:M20" si="5">E14</f>
        <v>6155.2320999999993</v>
      </c>
      <c r="F20" s="89">
        <f t="shared" si="5"/>
        <v>7435.6228000000001</v>
      </c>
      <c r="G20" s="89">
        <f t="shared" si="5"/>
        <v>9363.0881000000008</v>
      </c>
      <c r="H20" s="89">
        <f t="shared" si="5"/>
        <v>14332.39</v>
      </c>
      <c r="I20" s="89">
        <f t="shared" si="5"/>
        <v>16061.714578130151</v>
      </c>
      <c r="J20" s="89">
        <f t="shared" si="5"/>
        <v>18313.194637197634</v>
      </c>
      <c r="K20" s="89">
        <f t="shared" si="5"/>
        <v>21058.154637480849</v>
      </c>
      <c r="L20" s="89">
        <f t="shared" si="5"/>
        <v>24327.035793592015</v>
      </c>
      <c r="M20" s="89">
        <f t="shared" si="5"/>
        <v>28150.810913436257</v>
      </c>
    </row>
    <row r="21" spans="1:13" ht="14.4" customHeight="1">
      <c r="B21" s="30" t="s">
        <v>97</v>
      </c>
      <c r="C21" s="19"/>
      <c r="D21" s="90">
        <f>(D17-D18-D19)/D20</f>
        <v>0.49502865711374483</v>
      </c>
      <c r="E21" s="90">
        <f t="shared" ref="E21:M21" si="6">(E17-E18-E19)/E20</f>
        <v>0.27108145930029187</v>
      </c>
      <c r="F21" s="90">
        <f t="shared" si="6"/>
        <v>0.28310931802511557</v>
      </c>
      <c r="G21" s="90">
        <f t="shared" si="6"/>
        <v>0.45971636216901546</v>
      </c>
      <c r="H21" s="90">
        <f t="shared" si="6"/>
        <v>0.26399504897647919</v>
      </c>
      <c r="I21" s="90">
        <f t="shared" si="6"/>
        <v>0.26418409443730057</v>
      </c>
      <c r="J21" s="90">
        <f t="shared" si="6"/>
        <v>0.35932312739722783</v>
      </c>
      <c r="K21" s="90">
        <f t="shared" si="6"/>
        <v>0.44824805875862422</v>
      </c>
      <c r="L21" s="90">
        <f t="shared" si="6"/>
        <v>0.53154732868510224</v>
      </c>
      <c r="M21" s="90">
        <f t="shared" si="6"/>
        <v>0.59092543851506207</v>
      </c>
    </row>
    <row r="23" spans="1:13" ht="14.4" customHeight="1">
      <c r="B23" t="s">
        <v>54</v>
      </c>
      <c r="D23" s="91">
        <f>'3StatementModel'!D113</f>
        <v>0</v>
      </c>
      <c r="E23" s="91">
        <f>'3StatementModel'!E113</f>
        <v>69.040066747069616</v>
      </c>
      <c r="F23" s="91">
        <f>'3StatementModel'!F113</f>
        <v>67.971498810265757</v>
      </c>
      <c r="G23" s="91">
        <f>'3StatementModel'!G113</f>
        <v>53.893317663647942</v>
      </c>
      <c r="H23" s="91">
        <f>'3StatementModel'!H113</f>
        <v>54.526807897108213</v>
      </c>
      <c r="I23" s="91">
        <f>'3StatementModel'!I113</f>
        <v>58.580766201835651</v>
      </c>
      <c r="J23" s="91">
        <f>'3StatementModel'!J113</f>
        <v>58.580766201835651</v>
      </c>
      <c r="K23" s="91">
        <f>'3StatementModel'!K113</f>
        <v>55</v>
      </c>
      <c r="L23" s="91">
        <f>'3StatementModel'!L113</f>
        <v>55</v>
      </c>
      <c r="M23" s="91">
        <f>'3StatementModel'!M113</f>
        <v>55</v>
      </c>
    </row>
    <row r="24" spans="1:13" ht="14.4" customHeight="1">
      <c r="B24" t="s">
        <v>53</v>
      </c>
      <c r="D24" s="91">
        <f>'3StatementModel'!D112</f>
        <v>0</v>
      </c>
      <c r="E24" s="91">
        <f>'3StatementModel'!E112</f>
        <v>16.857409035116898</v>
      </c>
      <c r="F24" s="91">
        <f>'3StatementModel'!F112</f>
        <v>20.119840965694571</v>
      </c>
      <c r="G24" s="91">
        <f>'3StatementModel'!G112</f>
        <v>25.158577188514592</v>
      </c>
      <c r="H24" s="91">
        <f>'3StatementModel'!H112</f>
        <v>35.6810329319243</v>
      </c>
      <c r="I24" s="91">
        <f>'3StatementModel'!I112</f>
        <v>23.823918570313154</v>
      </c>
      <c r="J24" s="91">
        <f>'3StatementModel'!J112</f>
        <v>23.823918570313154</v>
      </c>
      <c r="K24" s="91">
        <f>'3StatementModel'!K112</f>
        <v>25</v>
      </c>
      <c r="L24" s="91">
        <f>'3StatementModel'!L112</f>
        <v>25</v>
      </c>
      <c r="M24" s="91">
        <f>'3StatementModel'!M112</f>
        <v>25</v>
      </c>
    </row>
    <row r="25" spans="1:13" ht="14.4" customHeight="1">
      <c r="B25" t="s">
        <v>78</v>
      </c>
      <c r="D25" s="91">
        <f>'3StatementModel'!D114</f>
        <v>0</v>
      </c>
      <c r="E25" s="91">
        <f>'3StatementModel'!E114</f>
        <v>131.39712518959598</v>
      </c>
      <c r="F25" s="91">
        <f>'3StatementModel'!F114</f>
        <v>130.54688367685532</v>
      </c>
      <c r="G25" s="91">
        <f>'3StatementModel'!G114</f>
        <v>120.01575702233973</v>
      </c>
      <c r="H25" s="91">
        <f>'3StatementModel'!H114</f>
        <v>105.87537930864534</v>
      </c>
      <c r="I25" s="91">
        <f>'3StatementModel'!I114</f>
        <v>120</v>
      </c>
      <c r="J25" s="91">
        <f>'3StatementModel'!J114</f>
        <v>120</v>
      </c>
      <c r="K25" s="91">
        <f>'3StatementModel'!K114</f>
        <v>120</v>
      </c>
      <c r="L25" s="91">
        <f>'3StatementModel'!L114</f>
        <v>120</v>
      </c>
      <c r="M25" s="91">
        <f>'3StatementModel'!M114</f>
        <v>120</v>
      </c>
    </row>
    <row r="26" spans="1:13" ht="14.4" customHeight="1">
      <c r="B26" s="30" t="s">
        <v>98</v>
      </c>
      <c r="C26" s="19"/>
      <c r="D26" s="92">
        <f>D23+D24-D25</f>
        <v>0</v>
      </c>
      <c r="E26" s="92">
        <f t="shared" ref="E26:M26" si="7">E23+E24-E25</f>
        <v>-45.499649407409464</v>
      </c>
      <c r="F26" s="92">
        <f t="shared" si="7"/>
        <v>-42.45554390089498</v>
      </c>
      <c r="G26" s="92">
        <f t="shared" si="7"/>
        <v>-40.963862170177194</v>
      </c>
      <c r="H26" s="92">
        <f t="shared" si="7"/>
        <v>-15.66753847961283</v>
      </c>
      <c r="I26" s="92">
        <f t="shared" si="7"/>
        <v>-37.595315227851188</v>
      </c>
      <c r="J26" s="92">
        <f t="shared" si="7"/>
        <v>-37.595315227851188</v>
      </c>
      <c r="K26" s="92">
        <f t="shared" si="7"/>
        <v>-40</v>
      </c>
      <c r="L26" s="92">
        <f t="shared" si="7"/>
        <v>-40</v>
      </c>
      <c r="M26" s="92">
        <f t="shared" si="7"/>
        <v>-40</v>
      </c>
    </row>
    <row r="28" spans="1:13" ht="14.4" customHeight="1">
      <c r="A28" t="s">
        <v>23</v>
      </c>
      <c r="B28" s="491" t="s">
        <v>99</v>
      </c>
      <c r="C28" s="492"/>
      <c r="D28" s="492"/>
      <c r="E28" s="492"/>
      <c r="F28" s="492"/>
      <c r="G28" s="492"/>
      <c r="H28" s="492"/>
      <c r="I28" s="492"/>
      <c r="J28" s="492"/>
      <c r="K28" s="492"/>
      <c r="L28" s="492"/>
      <c r="M28" s="492"/>
    </row>
    <row r="30" spans="1:13" ht="14.4" customHeight="1">
      <c r="B30" t="s">
        <v>101</v>
      </c>
      <c r="D30" s="66">
        <f>SUM('3StatementModel'!D99,'3StatementModel'!D90)</f>
        <v>216.02379999999999</v>
      </c>
      <c r="E30" s="66">
        <f>SUM('3StatementModel'!E99,'3StatementModel'!E90)</f>
        <v>868.02719999999999</v>
      </c>
      <c r="F30" s="66">
        <f>SUM('3StatementModel'!F99,'3StatementModel'!F90)</f>
        <v>162.6764</v>
      </c>
      <c r="G30" s="66">
        <f>SUM('3StatementModel'!G99,'3StatementModel'!G90)</f>
        <v>196.03579999999999</v>
      </c>
      <c r="H30" s="66">
        <f>SUM('3StatementModel'!H99,'3StatementModel'!H90)</f>
        <v>8483.0299999999988</v>
      </c>
      <c r="I30" s="66">
        <f>SUM('3StatementModel'!I99,'3StatementModel'!I90)</f>
        <v>6522.7124999999996</v>
      </c>
      <c r="J30" s="66">
        <f>SUM('3StatementModel'!J99,'3StatementModel'!J90)</f>
        <v>6931.6726200000003</v>
      </c>
      <c r="K30" s="66">
        <f>SUM('3StatementModel'!K99,'3StatementModel'!K90)</f>
        <v>7362.1610655000013</v>
      </c>
      <c r="L30" s="66">
        <f>SUM('3StatementModel'!L99,'3StatementModel'!L90)</f>
        <v>8058.4354404907508</v>
      </c>
      <c r="M30" s="66">
        <f>SUM('3StatementModel'!M99,'3StatementModel'!M90)</f>
        <v>8372.927612077141</v>
      </c>
    </row>
    <row r="31" spans="1:13" ht="14.4" customHeight="1">
      <c r="B31" t="s">
        <v>102</v>
      </c>
      <c r="D31" s="66">
        <f>'3StatementModel'!D85</f>
        <v>4862.8911999999991</v>
      </c>
      <c r="E31" s="66">
        <f>'3StatementModel'!E85</f>
        <v>6316.311999999999</v>
      </c>
      <c r="F31" s="66">
        <f>'3StatementModel'!F85</f>
        <v>7623.6929</v>
      </c>
      <c r="G31" s="66">
        <f>'3StatementModel'!G85</f>
        <v>9575.7881000000016</v>
      </c>
      <c r="H31" s="66">
        <f>'3StatementModel'!H85</f>
        <v>14568.18</v>
      </c>
      <c r="I31" s="66">
        <f>'3StatementModel'!I85</f>
        <v>16297.504578130152</v>
      </c>
      <c r="J31" s="66">
        <f>'3StatementModel'!J85</f>
        <v>18548.984637197635</v>
      </c>
      <c r="K31" s="66">
        <f>'3StatementModel'!K85</f>
        <v>21293.94463748085</v>
      </c>
      <c r="L31" s="66">
        <f>'3StatementModel'!L85</f>
        <v>24562.825793592016</v>
      </c>
      <c r="M31" s="66">
        <f>'3StatementModel'!M85</f>
        <v>28386.600913436258</v>
      </c>
    </row>
    <row r="32" spans="1:13" ht="14.4" customHeight="1">
      <c r="B32" s="30" t="s">
        <v>100</v>
      </c>
      <c r="C32" s="19"/>
      <c r="D32" s="519">
        <f>D30/D31</f>
        <v>4.4422914499917261E-2</v>
      </c>
      <c r="E32" s="519">
        <f t="shared" ref="E32:M32" si="8">E30/E31</f>
        <v>0.13742627026657331</v>
      </c>
      <c r="F32" s="519">
        <f t="shared" si="8"/>
        <v>2.1338267704880926E-2</v>
      </c>
      <c r="G32" s="519">
        <f t="shared" si="8"/>
        <v>2.0472027780146885E-2</v>
      </c>
      <c r="H32" s="519">
        <f t="shared" si="8"/>
        <v>0.5822985438126107</v>
      </c>
      <c r="I32" s="519">
        <f t="shared" si="8"/>
        <v>0.4002276832462387</v>
      </c>
      <c r="J32" s="519">
        <f t="shared" si="8"/>
        <v>0.37369552865440464</v>
      </c>
      <c r="K32" s="519">
        <f t="shared" si="8"/>
        <v>0.34573965466883883</v>
      </c>
      <c r="L32" s="519">
        <f t="shared" si="8"/>
        <v>0.32807444502550054</v>
      </c>
      <c r="M32" s="519">
        <f t="shared" si="8"/>
        <v>0.29496055683489653</v>
      </c>
    </row>
    <row r="34" spans="1:13" ht="14.4" customHeight="1">
      <c r="B34" t="s">
        <v>101</v>
      </c>
      <c r="D34" s="89">
        <f>D30</f>
        <v>216.02379999999999</v>
      </c>
      <c r="E34" s="89">
        <f t="shared" ref="E34:M34" si="9">E30</f>
        <v>868.02719999999999</v>
      </c>
      <c r="F34" s="89">
        <f t="shared" si="9"/>
        <v>162.6764</v>
      </c>
      <c r="G34" s="89">
        <f t="shared" si="9"/>
        <v>196.03579999999999</v>
      </c>
      <c r="H34" s="89">
        <f t="shared" si="9"/>
        <v>8483.0299999999988</v>
      </c>
      <c r="I34" s="89">
        <f t="shared" si="9"/>
        <v>6522.7124999999996</v>
      </c>
      <c r="J34" s="89">
        <f t="shared" si="9"/>
        <v>6931.6726200000003</v>
      </c>
      <c r="K34" s="89">
        <f t="shared" si="9"/>
        <v>7362.1610655000013</v>
      </c>
      <c r="L34" s="89">
        <f t="shared" si="9"/>
        <v>8058.4354404907508</v>
      </c>
      <c r="M34" s="89">
        <f t="shared" si="9"/>
        <v>8372.927612077141</v>
      </c>
    </row>
    <row r="35" spans="1:13" ht="14.4" customHeight="1">
      <c r="B35" t="s">
        <v>14</v>
      </c>
      <c r="D35" s="66">
        <f>'3StatementModel'!D76</f>
        <v>6372.8331999999991</v>
      </c>
      <c r="E35" s="66">
        <f>'3StatementModel'!E76</f>
        <v>9147.7907999999989</v>
      </c>
      <c r="F35" s="66">
        <f>'3StatementModel'!F76</f>
        <v>9715.4755000000005</v>
      </c>
      <c r="G35" s="66">
        <f>'3StatementModel'!G76</f>
        <v>11963.262699999999</v>
      </c>
      <c r="H35" s="66">
        <f>'3StatementModel'!H76</f>
        <v>27759.590500000002</v>
      </c>
      <c r="I35" s="66">
        <f>'3StatementModel'!I76</f>
        <v>28005.257100047958</v>
      </c>
      <c r="J35" s="66">
        <f>'3StatementModel'!J76</f>
        <v>30898.264909340101</v>
      </c>
      <c r="K35" s="66">
        <f>'3StatementModel'!K76</f>
        <v>34312.04900354414</v>
      </c>
      <c r="L35" s="66">
        <f>'3StatementModel'!L76</f>
        <v>38514.936068402472</v>
      </c>
      <c r="M35" s="66">
        <f>'3StatementModel'!M76</f>
        <v>42883.062534713492</v>
      </c>
    </row>
    <row r="36" spans="1:13" ht="14.4" customHeight="1">
      <c r="B36" s="30" t="s">
        <v>103</v>
      </c>
      <c r="C36" s="19"/>
      <c r="D36" s="90">
        <f>D34/D35</f>
        <v>3.3897607739050824E-2</v>
      </c>
      <c r="E36" s="90">
        <f t="shared" ref="E36:M36" si="10">E34/E35</f>
        <v>9.488927097021066E-2</v>
      </c>
      <c r="F36" s="90">
        <f t="shared" si="10"/>
        <v>1.6744049223324169E-2</v>
      </c>
      <c r="G36" s="90">
        <f t="shared" si="10"/>
        <v>1.6386482928273407E-2</v>
      </c>
      <c r="H36" s="90">
        <f t="shared" si="10"/>
        <v>0.30558916205914488</v>
      </c>
      <c r="I36" s="90">
        <f t="shared" si="10"/>
        <v>0.23291028811832723</v>
      </c>
      <c r="J36" s="90">
        <f t="shared" si="10"/>
        <v>0.22433857177218566</v>
      </c>
      <c r="K36" s="90">
        <f t="shared" si="10"/>
        <v>0.21456489132256581</v>
      </c>
      <c r="L36" s="90">
        <f t="shared" si="10"/>
        <v>0.20922884114824911</v>
      </c>
      <c r="M36" s="90">
        <f t="shared" si="10"/>
        <v>0.19525022508127363</v>
      </c>
    </row>
    <row r="38" spans="1:13" ht="14.4" customHeight="1">
      <c r="B38" t="s">
        <v>102</v>
      </c>
      <c r="D38" s="89">
        <f>D31</f>
        <v>4862.8911999999991</v>
      </c>
      <c r="E38" s="89">
        <f t="shared" ref="E38:M38" si="11">E31</f>
        <v>6316.311999999999</v>
      </c>
      <c r="F38" s="89">
        <f t="shared" si="11"/>
        <v>7623.6929</v>
      </c>
      <c r="G38" s="89">
        <f t="shared" si="11"/>
        <v>9575.7881000000016</v>
      </c>
      <c r="H38" s="89">
        <f t="shared" si="11"/>
        <v>14568.18</v>
      </c>
      <c r="I38" s="89">
        <f t="shared" si="11"/>
        <v>16297.504578130152</v>
      </c>
      <c r="J38" s="89">
        <f t="shared" si="11"/>
        <v>18548.984637197635</v>
      </c>
      <c r="K38" s="89">
        <f t="shared" si="11"/>
        <v>21293.94463748085</v>
      </c>
      <c r="L38" s="89">
        <f t="shared" si="11"/>
        <v>24562.825793592016</v>
      </c>
      <c r="M38" s="89">
        <f t="shared" si="11"/>
        <v>28386.600913436258</v>
      </c>
    </row>
    <row r="39" spans="1:13" ht="14.4" customHeight="1">
      <c r="B39" t="s">
        <v>14</v>
      </c>
      <c r="D39" s="89">
        <f>D35</f>
        <v>6372.8331999999991</v>
      </c>
      <c r="E39" s="89">
        <f t="shared" ref="E39:M39" si="12">E35</f>
        <v>9147.7907999999989</v>
      </c>
      <c r="F39" s="89">
        <f t="shared" si="12"/>
        <v>9715.4755000000005</v>
      </c>
      <c r="G39" s="89">
        <f t="shared" si="12"/>
        <v>11963.262699999999</v>
      </c>
      <c r="H39" s="89">
        <f t="shared" si="12"/>
        <v>27759.590500000002</v>
      </c>
      <c r="I39" s="89">
        <f t="shared" si="12"/>
        <v>28005.257100047958</v>
      </c>
      <c r="J39" s="89">
        <f t="shared" si="12"/>
        <v>30898.264909340101</v>
      </c>
      <c r="K39" s="89">
        <f t="shared" si="12"/>
        <v>34312.04900354414</v>
      </c>
      <c r="L39" s="89">
        <f t="shared" si="12"/>
        <v>38514.936068402472</v>
      </c>
      <c r="M39" s="89">
        <f t="shared" si="12"/>
        <v>42883.062534713492</v>
      </c>
    </row>
    <row r="40" spans="1:13" ht="14.4" customHeight="1">
      <c r="B40" s="30" t="s">
        <v>104</v>
      </c>
      <c r="C40" s="19"/>
      <c r="D40" s="90">
        <f>D38/D39</f>
        <v>0.76306582133673295</v>
      </c>
      <c r="E40" s="90">
        <f t="shared" ref="E40" si="13">E38/E39</f>
        <v>0.69047403226580129</v>
      </c>
      <c r="F40" s="90">
        <f t="shared" ref="F40" si="14">F38/F39</f>
        <v>0.78469580824942631</v>
      </c>
      <c r="G40" s="90">
        <f t="shared" ref="G40" si="15">G38/G39</f>
        <v>0.80043282005334571</v>
      </c>
      <c r="H40" s="90">
        <f t="shared" ref="H40" si="16">H38/H39</f>
        <v>0.52479808734930722</v>
      </c>
      <c r="I40" s="90">
        <f t="shared" ref="I40" si="17">I38/I39</f>
        <v>0.58194447277908556</v>
      </c>
      <c r="J40" s="90">
        <f t="shared" ref="J40:M40" si="18">J38/J39</f>
        <v>0.60032447425844104</v>
      </c>
      <c r="K40" s="90">
        <f t="shared" si="18"/>
        <v>0.62059670745053341</v>
      </c>
      <c r="L40" s="90">
        <f t="shared" si="18"/>
        <v>0.63774806090729252</v>
      </c>
      <c r="M40" s="90">
        <f t="shared" si="18"/>
        <v>0.66195367670994887</v>
      </c>
    </row>
    <row r="42" spans="1:13" ht="14.4" customHeight="1">
      <c r="A42" t="s">
        <v>23</v>
      </c>
      <c r="B42" s="491" t="s">
        <v>105</v>
      </c>
      <c r="C42" s="492"/>
      <c r="D42" s="492"/>
      <c r="E42" s="492"/>
      <c r="F42" s="492"/>
      <c r="G42" s="492"/>
      <c r="H42" s="492"/>
      <c r="I42" s="492"/>
      <c r="J42" s="492"/>
      <c r="K42" s="492"/>
      <c r="L42" s="492"/>
      <c r="M42" s="492"/>
    </row>
    <row r="44" spans="1:13" ht="14.4" customHeight="1">
      <c r="B44" t="s">
        <v>2</v>
      </c>
      <c r="D44" s="66">
        <f>'3StatementModel'!D15</f>
        <v>4443.2889999999998</v>
      </c>
      <c r="E44" s="66">
        <f>'3StatementModel'!E15</f>
        <v>5359.8267000000005</v>
      </c>
      <c r="F44" s="66">
        <f>'3StatementModel'!F15</f>
        <v>5835.7910000000011</v>
      </c>
      <c r="G44" s="66">
        <f>'3StatementModel'!G15</f>
        <v>7125.0786999999991</v>
      </c>
      <c r="H44" s="66">
        <f>'3StatementModel'!H15</f>
        <v>8351.9599999999991</v>
      </c>
      <c r="I44" s="66">
        <f>'3StatementModel'!I15</f>
        <v>9506.8115999999991</v>
      </c>
      <c r="J44" s="66">
        <f>'3StatementModel'!J15</f>
        <v>11176.121291399999</v>
      </c>
      <c r="K44" s="66">
        <f>'3StatementModel'!K15</f>
        <v>12968.32812912</v>
      </c>
      <c r="L44" s="66">
        <f>'3StatementModel'!L15</f>
        <v>14850.472537502548</v>
      </c>
      <c r="M44" s="66">
        <f>'3StatementModel'!M15</f>
        <v>16779.719766268368</v>
      </c>
    </row>
    <row r="45" spans="1:13" ht="14.4" customHeight="1">
      <c r="B45" t="s">
        <v>28</v>
      </c>
      <c r="D45" s="66">
        <f>'3StatementModel'!D13</f>
        <v>6223.8981999999996</v>
      </c>
      <c r="E45" s="66">
        <f>'3StatementModel'!E13</f>
        <v>7781.5551000000005</v>
      </c>
      <c r="F45" s="66">
        <f>'3StatementModel'!F13</f>
        <v>8749.4330000000009</v>
      </c>
      <c r="G45" s="66">
        <f>'3StatementModel'!G13</f>
        <v>10334.774599999999</v>
      </c>
      <c r="H45" s="66">
        <f>'3StatementModel'!H13</f>
        <v>12207</v>
      </c>
      <c r="I45" s="66">
        <f>'3StatementModel'!I13</f>
        <v>14404.259999999998</v>
      </c>
      <c r="J45" s="66">
        <f>'3StatementModel'!J13</f>
        <v>16780.962899999999</v>
      </c>
      <c r="K45" s="66">
        <f>'3StatementModel'!K13</f>
        <v>19298.107334999997</v>
      </c>
      <c r="L45" s="66">
        <f>'3StatementModel'!L13</f>
        <v>21903.351825224996</v>
      </c>
      <c r="M45" s="66">
        <f>'3StatementModel'!M13</f>
        <v>24531.754044251997</v>
      </c>
    </row>
    <row r="46" spans="1:13" ht="14.4" customHeight="1">
      <c r="B46" s="30" t="s">
        <v>106</v>
      </c>
      <c r="C46" s="19"/>
      <c r="D46" s="93">
        <f>D44/D45</f>
        <v>0.71390772426194249</v>
      </c>
      <c r="E46" s="93">
        <f t="shared" ref="E46:M46" si="19">E44/E45</f>
        <v>0.68878606282695343</v>
      </c>
      <c r="F46" s="93">
        <f t="shared" si="19"/>
        <v>0.66699076385864098</v>
      </c>
      <c r="G46" s="93">
        <f t="shared" si="19"/>
        <v>0.68942758558082151</v>
      </c>
      <c r="H46" s="93">
        <f t="shared" si="19"/>
        <v>0.68419431473744563</v>
      </c>
      <c r="I46" s="93">
        <f t="shared" si="19"/>
        <v>0.66</v>
      </c>
      <c r="J46" s="93">
        <f t="shared" si="19"/>
        <v>0.66600000000000004</v>
      </c>
      <c r="K46" s="93">
        <f t="shared" si="19"/>
        <v>0.67200000000000015</v>
      </c>
      <c r="L46" s="93">
        <f t="shared" si="19"/>
        <v>0.67800000000000005</v>
      </c>
      <c r="M46" s="93">
        <f t="shared" si="19"/>
        <v>0.68400000000000016</v>
      </c>
    </row>
    <row r="48" spans="1:13" ht="14.4" customHeight="1">
      <c r="B48" t="s">
        <v>111</v>
      </c>
      <c r="D48" s="66">
        <f>'3StatementModel'!D25</f>
        <v>1657.5927999999999</v>
      </c>
      <c r="E48" s="66">
        <f>'3StatementModel'!E25</f>
        <v>1989.3662000000004</v>
      </c>
      <c r="F48" s="66">
        <f>'3StatementModel'!F25</f>
        <v>1900.6581000000006</v>
      </c>
      <c r="G48" s="66">
        <f>'3StatementModel'!G25</f>
        <v>2535.1032999999998</v>
      </c>
      <c r="H48" s="66">
        <f>'3StatementModel'!H25</f>
        <v>2651.8599999999988</v>
      </c>
      <c r="I48" s="66">
        <f>'3StatementModel'!I25</f>
        <v>3096.9158999999991</v>
      </c>
      <c r="J48" s="66">
        <f>'3StatementModel'!J25</f>
        <v>3708.5928008999981</v>
      </c>
      <c r="K48" s="66">
        <f>'3StatementModel'!K25</f>
        <v>4380.6703650450017</v>
      </c>
      <c r="L48" s="66">
        <f>'3StatementModel'!L25</f>
        <v>5103.4809752774254</v>
      </c>
      <c r="M48" s="66">
        <f>'3StatementModel'!M25</f>
        <v>5863.0892165762289</v>
      </c>
    </row>
    <row r="49" spans="2:13" ht="14.4" customHeight="1">
      <c r="B49" t="s">
        <v>28</v>
      </c>
      <c r="D49" s="89">
        <f>D45</f>
        <v>6223.8981999999996</v>
      </c>
      <c r="E49" s="89">
        <f t="shared" ref="E49:M49" si="20">E45</f>
        <v>7781.5551000000005</v>
      </c>
      <c r="F49" s="89">
        <f t="shared" si="20"/>
        <v>8749.4330000000009</v>
      </c>
      <c r="G49" s="89">
        <f t="shared" si="20"/>
        <v>10334.774599999999</v>
      </c>
      <c r="H49" s="89">
        <f t="shared" si="20"/>
        <v>12207</v>
      </c>
      <c r="I49" s="89">
        <f t="shared" si="20"/>
        <v>14404.259999999998</v>
      </c>
      <c r="J49" s="89">
        <f t="shared" si="20"/>
        <v>16780.962899999999</v>
      </c>
      <c r="K49" s="89">
        <f t="shared" si="20"/>
        <v>19298.107334999997</v>
      </c>
      <c r="L49" s="89">
        <f t="shared" si="20"/>
        <v>21903.351825224996</v>
      </c>
      <c r="M49" s="89">
        <f t="shared" si="20"/>
        <v>24531.754044251997</v>
      </c>
    </row>
    <row r="50" spans="2:13" ht="14.4" customHeight="1">
      <c r="B50" s="30" t="s">
        <v>108</v>
      </c>
      <c r="C50" s="19"/>
      <c r="D50" s="93">
        <f>D48/D49</f>
        <v>0.26632710669978504</v>
      </c>
      <c r="E50" s="93">
        <f t="shared" ref="E50:M50" si="21">E48/E49</f>
        <v>0.25565149567597362</v>
      </c>
      <c r="F50" s="93">
        <f t="shared" si="21"/>
        <v>0.21723214521443851</v>
      </c>
      <c r="G50" s="93">
        <f t="shared" si="21"/>
        <v>0.24529836383659495</v>
      </c>
      <c r="H50" s="93">
        <f t="shared" si="21"/>
        <v>0.21724092733677389</v>
      </c>
      <c r="I50" s="93">
        <f t="shared" si="21"/>
        <v>0.21499999999999997</v>
      </c>
      <c r="J50" s="93">
        <f t="shared" si="21"/>
        <v>0.22099999999999992</v>
      </c>
      <c r="K50" s="93">
        <f t="shared" si="21"/>
        <v>0.22700000000000012</v>
      </c>
      <c r="L50" s="93">
        <f t="shared" si="21"/>
        <v>0.23300000000000007</v>
      </c>
      <c r="M50" s="93">
        <f t="shared" si="21"/>
        <v>0.23900000000000007</v>
      </c>
    </row>
    <row r="52" spans="2:13" ht="14.4" customHeight="1">
      <c r="B52" t="s">
        <v>112</v>
      </c>
      <c r="D52" s="66">
        <f>'3StatementModel'!D30</f>
        <v>1538.6224999999999</v>
      </c>
      <c r="E52" s="66">
        <f>'3StatementModel'!E30</f>
        <v>1822.7470000000003</v>
      </c>
      <c r="F52" s="66">
        <f>'3StatementModel'!F30</f>
        <v>1574.7386000000006</v>
      </c>
      <c r="G52" s="66">
        <f>'3StatementModel'!G30</f>
        <v>2136.8495999999996</v>
      </c>
      <c r="H52" s="66">
        <f>'3StatementModel'!H30</f>
        <v>2030.8599999999988</v>
      </c>
      <c r="I52" s="66">
        <f>'3StatementModel'!I30</f>
        <v>2435.108711249999</v>
      </c>
      <c r="J52" s="66">
        <f>'3StatementModel'!J30</f>
        <v>3001.9677372562483</v>
      </c>
      <c r="K52" s="66">
        <f>'3StatementModel'!K30</f>
        <v>3615.8363363418766</v>
      </c>
      <c r="L52" s="66">
        <f>'3StatementModel'!L30</f>
        <v>4278.4006677378475</v>
      </c>
      <c r="M52" s="66">
        <f>'3StatementModel'!M30</f>
        <v>4977.2271077216519</v>
      </c>
    </row>
    <row r="53" spans="2:13" ht="14.4" customHeight="1">
      <c r="B53" t="s">
        <v>28</v>
      </c>
      <c r="D53" s="89">
        <f>D45</f>
        <v>6223.8981999999996</v>
      </c>
      <c r="E53" s="89">
        <f t="shared" ref="E53:M53" si="22">E45</f>
        <v>7781.5551000000005</v>
      </c>
      <c r="F53" s="89">
        <f t="shared" si="22"/>
        <v>8749.4330000000009</v>
      </c>
      <c r="G53" s="89">
        <f t="shared" si="22"/>
        <v>10334.774599999999</v>
      </c>
      <c r="H53" s="89">
        <f t="shared" si="22"/>
        <v>12207</v>
      </c>
      <c r="I53" s="89">
        <f t="shared" si="22"/>
        <v>14404.259999999998</v>
      </c>
      <c r="J53" s="89">
        <f t="shared" si="22"/>
        <v>16780.962899999999</v>
      </c>
      <c r="K53" s="89">
        <f t="shared" si="22"/>
        <v>19298.107334999997</v>
      </c>
      <c r="L53" s="89">
        <f t="shared" si="22"/>
        <v>21903.351825224996</v>
      </c>
      <c r="M53" s="89">
        <f t="shared" si="22"/>
        <v>24531.754044251997</v>
      </c>
    </row>
    <row r="54" spans="2:13" ht="14.4" customHeight="1">
      <c r="B54" s="30" t="s">
        <v>107</v>
      </c>
      <c r="C54" s="19"/>
      <c r="D54" s="93">
        <f>D52/D53</f>
        <v>0.24721202862861735</v>
      </c>
      <c r="E54" s="93">
        <f t="shared" ref="E54:M54" si="23">E52/E53</f>
        <v>0.23423942599853853</v>
      </c>
      <c r="F54" s="93">
        <f t="shared" si="23"/>
        <v>0.17998178853418278</v>
      </c>
      <c r="G54" s="93">
        <f t="shared" si="23"/>
        <v>0.20676305799644626</v>
      </c>
      <c r="H54" s="93">
        <f t="shared" si="23"/>
        <v>0.16636847710330127</v>
      </c>
      <c r="I54" s="93">
        <f t="shared" si="23"/>
        <v>0.16905475958154043</v>
      </c>
      <c r="J54" s="93">
        <f t="shared" si="23"/>
        <v>0.17889126834648139</v>
      </c>
      <c r="K54" s="93">
        <f t="shared" si="23"/>
        <v>0.18736740725781009</v>
      </c>
      <c r="L54" s="93">
        <f t="shared" si="23"/>
        <v>0.1953308654253833</v>
      </c>
      <c r="M54" s="93">
        <f t="shared" si="23"/>
        <v>0.20288916555837799</v>
      </c>
    </row>
    <row r="56" spans="2:13" ht="14.4" customHeight="1">
      <c r="B56" t="s">
        <v>109</v>
      </c>
      <c r="D56" s="66">
        <f>'3StatementModel'!D40</f>
        <v>1269.6961999999999</v>
      </c>
      <c r="E56" s="66">
        <f>'3StatementModel'!E40</f>
        <v>1424.0750000000003</v>
      </c>
      <c r="F56" s="66">
        <f>'3StatementModel'!F40</f>
        <v>1284.8489000000006</v>
      </c>
      <c r="G56" s="66">
        <f>'3StatementModel'!G40</f>
        <v>1911.3759</v>
      </c>
      <c r="H56" s="66">
        <f>'3StatementModel'!H40</f>
        <v>1616.2699999999988</v>
      </c>
      <c r="I56" s="66">
        <f>'3StatementModel'!I40</f>
        <v>1729.3245781301516</v>
      </c>
      <c r="J56" s="66">
        <f>'3StatementModel'!J40</f>
        <v>2251.480059067484</v>
      </c>
      <c r="K56" s="66">
        <f>'3StatementModel'!K40</f>
        <v>2744.960000283214</v>
      </c>
      <c r="L56" s="66">
        <f>'3StatementModel'!L40</f>
        <v>3268.8811561111661</v>
      </c>
      <c r="M56" s="66">
        <f>'3StatementModel'!M40</f>
        <v>3823.7751198442429</v>
      </c>
    </row>
    <row r="57" spans="2:13" ht="14.4" customHeight="1">
      <c r="B57" t="s">
        <v>28</v>
      </c>
      <c r="D57" s="89">
        <f>D45</f>
        <v>6223.8981999999996</v>
      </c>
      <c r="E57" s="89">
        <f t="shared" ref="E57:M57" si="24">E45</f>
        <v>7781.5551000000005</v>
      </c>
      <c r="F57" s="89">
        <f t="shared" si="24"/>
        <v>8749.4330000000009</v>
      </c>
      <c r="G57" s="89">
        <f t="shared" si="24"/>
        <v>10334.774599999999</v>
      </c>
      <c r="H57" s="89">
        <f t="shared" si="24"/>
        <v>12207</v>
      </c>
      <c r="I57" s="89">
        <f t="shared" si="24"/>
        <v>14404.259999999998</v>
      </c>
      <c r="J57" s="89">
        <f t="shared" si="24"/>
        <v>16780.962899999999</v>
      </c>
      <c r="K57" s="89">
        <f t="shared" si="24"/>
        <v>19298.107334999997</v>
      </c>
      <c r="L57" s="89">
        <f t="shared" si="24"/>
        <v>21903.351825224996</v>
      </c>
      <c r="M57" s="89">
        <f t="shared" si="24"/>
        <v>24531.754044251997</v>
      </c>
    </row>
    <row r="58" spans="2:13" ht="14.4" customHeight="1">
      <c r="B58" s="30" t="s">
        <v>110</v>
      </c>
      <c r="C58" s="19"/>
      <c r="D58" s="93">
        <f>D56/D57</f>
        <v>0.2040033688211674</v>
      </c>
      <c r="E58" s="93">
        <f t="shared" ref="E58:M58" si="25">E56/E57</f>
        <v>0.18300647900057923</v>
      </c>
      <c r="F58" s="93">
        <f t="shared" si="25"/>
        <v>0.14684939012619452</v>
      </c>
      <c r="G58" s="93">
        <f t="shared" si="25"/>
        <v>0.18494606549038817</v>
      </c>
      <c r="H58" s="93">
        <f t="shared" si="25"/>
        <v>0.13240517735725393</v>
      </c>
      <c r="I58" s="93">
        <f t="shared" si="25"/>
        <v>0.12005646788728833</v>
      </c>
      <c r="J58" s="93">
        <f t="shared" si="25"/>
        <v>0.13416870488805407</v>
      </c>
      <c r="K58" s="93">
        <f t="shared" si="25"/>
        <v>0.14223985557924737</v>
      </c>
      <c r="L58" s="93">
        <f t="shared" si="25"/>
        <v>0.14924113816893353</v>
      </c>
      <c r="M58" s="93">
        <f t="shared" si="25"/>
        <v>0.15587043278465393</v>
      </c>
    </row>
    <row r="60" spans="2:13" ht="14.4" customHeight="1">
      <c r="B60" t="s">
        <v>6</v>
      </c>
      <c r="D60" s="65">
        <f>D56</f>
        <v>1269.6961999999999</v>
      </c>
      <c r="E60" s="65">
        <f t="shared" ref="E60:M60" si="26">E56</f>
        <v>1424.0750000000003</v>
      </c>
      <c r="F60" s="65">
        <f t="shared" si="26"/>
        <v>1284.8489000000006</v>
      </c>
      <c r="G60" s="65">
        <f t="shared" si="26"/>
        <v>1911.3759</v>
      </c>
      <c r="H60" s="65">
        <f t="shared" si="26"/>
        <v>1616.2699999999988</v>
      </c>
      <c r="I60" s="65">
        <f t="shared" si="26"/>
        <v>1729.3245781301516</v>
      </c>
      <c r="J60" s="65">
        <f t="shared" si="26"/>
        <v>2251.480059067484</v>
      </c>
      <c r="K60" s="65">
        <f t="shared" si="26"/>
        <v>2744.960000283214</v>
      </c>
      <c r="L60" s="65">
        <f t="shared" si="26"/>
        <v>3268.8811561111661</v>
      </c>
      <c r="M60" s="65">
        <f t="shared" si="26"/>
        <v>3823.7751198442429</v>
      </c>
    </row>
    <row r="61" spans="2:13" ht="14.4" customHeight="1">
      <c r="B61" t="s">
        <v>14</v>
      </c>
      <c r="D61" s="65">
        <f>D35</f>
        <v>6372.8331999999991</v>
      </c>
      <c r="E61" s="65">
        <f t="shared" ref="E61:M61" si="27">E35</f>
        <v>9147.7907999999989</v>
      </c>
      <c r="F61" s="65">
        <f t="shared" si="27"/>
        <v>9715.4755000000005</v>
      </c>
      <c r="G61" s="65">
        <f t="shared" si="27"/>
        <v>11963.262699999999</v>
      </c>
      <c r="H61" s="65">
        <f t="shared" si="27"/>
        <v>27759.590500000002</v>
      </c>
      <c r="I61" s="65">
        <f t="shared" si="27"/>
        <v>28005.257100047958</v>
      </c>
      <c r="J61" s="65">
        <f t="shared" si="27"/>
        <v>30898.264909340101</v>
      </c>
      <c r="K61" s="65">
        <f t="shared" si="27"/>
        <v>34312.04900354414</v>
      </c>
      <c r="L61" s="65">
        <f t="shared" si="27"/>
        <v>38514.936068402472</v>
      </c>
      <c r="M61" s="65">
        <f t="shared" si="27"/>
        <v>42883.062534713492</v>
      </c>
    </row>
    <row r="62" spans="2:13" ht="14.4" customHeight="1">
      <c r="B62" s="30" t="s">
        <v>113</v>
      </c>
      <c r="C62" s="19"/>
      <c r="D62" s="93">
        <f t="shared" ref="D62" si="28">D60/D61</f>
        <v>0.19923574965056359</v>
      </c>
      <c r="E62" s="93">
        <f t="shared" ref="E62:M62" si="29">E60/E61</f>
        <v>0.15567419840864752</v>
      </c>
      <c r="F62" s="93">
        <f t="shared" si="29"/>
        <v>0.13224765993182738</v>
      </c>
      <c r="G62" s="93">
        <f t="shared" si="29"/>
        <v>0.15977045292167663</v>
      </c>
      <c r="H62" s="93">
        <f t="shared" si="29"/>
        <v>5.8223841594493217E-2</v>
      </c>
      <c r="I62" s="93">
        <f t="shared" si="29"/>
        <v>6.1749998293255809E-2</v>
      </c>
      <c r="J62" s="93">
        <f t="shared" si="29"/>
        <v>7.286752397500787E-2</v>
      </c>
      <c r="K62" s="93">
        <f t="shared" si="29"/>
        <v>7.9999885754408986E-2</v>
      </c>
      <c r="L62" s="93">
        <f t="shared" si="29"/>
        <v>8.4873077558940718E-2</v>
      </c>
      <c r="M62" s="93">
        <f t="shared" si="29"/>
        <v>8.9167491634929943E-2</v>
      </c>
    </row>
    <row r="64" spans="2:13" ht="14.4" customHeight="1">
      <c r="B64" t="s">
        <v>6</v>
      </c>
      <c r="D64" s="65">
        <f>D56</f>
        <v>1269.6961999999999</v>
      </c>
      <c r="E64" s="65">
        <f t="shared" ref="E64:M64" si="30">E56</f>
        <v>1424.0750000000003</v>
      </c>
      <c r="F64" s="65">
        <f t="shared" si="30"/>
        <v>1284.8489000000006</v>
      </c>
      <c r="G64" s="65">
        <f t="shared" si="30"/>
        <v>1911.3759</v>
      </c>
      <c r="H64" s="65">
        <f t="shared" si="30"/>
        <v>1616.2699999999988</v>
      </c>
      <c r="I64" s="65">
        <f t="shared" si="30"/>
        <v>1729.3245781301516</v>
      </c>
      <c r="J64" s="65">
        <f t="shared" si="30"/>
        <v>2251.480059067484</v>
      </c>
      <c r="K64" s="65">
        <f t="shared" si="30"/>
        <v>2744.960000283214</v>
      </c>
      <c r="L64" s="65">
        <f t="shared" si="30"/>
        <v>3268.8811561111661</v>
      </c>
      <c r="M64" s="65">
        <f t="shared" si="30"/>
        <v>3823.7751198442429</v>
      </c>
    </row>
    <row r="65" spans="1:13" ht="14.4" customHeight="1">
      <c r="B65" t="s">
        <v>102</v>
      </c>
      <c r="D65" s="65">
        <f>D31</f>
        <v>4862.8911999999991</v>
      </c>
      <c r="E65" s="65">
        <f t="shared" ref="E65:M65" si="31">E31</f>
        <v>6316.311999999999</v>
      </c>
      <c r="F65" s="65">
        <f t="shared" si="31"/>
        <v>7623.6929</v>
      </c>
      <c r="G65" s="65">
        <f t="shared" si="31"/>
        <v>9575.7881000000016</v>
      </c>
      <c r="H65" s="65">
        <f t="shared" si="31"/>
        <v>14568.18</v>
      </c>
      <c r="I65" s="65">
        <f t="shared" si="31"/>
        <v>16297.504578130152</v>
      </c>
      <c r="J65" s="65">
        <f t="shared" si="31"/>
        <v>18548.984637197635</v>
      </c>
      <c r="K65" s="65">
        <f t="shared" si="31"/>
        <v>21293.94463748085</v>
      </c>
      <c r="L65" s="65">
        <f t="shared" si="31"/>
        <v>24562.825793592016</v>
      </c>
      <c r="M65" s="65">
        <f t="shared" si="31"/>
        <v>28386.600913436258</v>
      </c>
    </row>
    <row r="66" spans="1:13" ht="14.4" customHeight="1">
      <c r="B66" s="30" t="s">
        <v>114</v>
      </c>
      <c r="C66" s="30"/>
      <c r="D66" s="93">
        <f t="shared" ref="D66:M66" si="32">D64/D65</f>
        <v>0.26109903507608812</v>
      </c>
      <c r="E66" s="93">
        <f t="shared" si="32"/>
        <v>0.22545988861854838</v>
      </c>
      <c r="F66" s="93">
        <f t="shared" si="32"/>
        <v>0.16853366430854011</v>
      </c>
      <c r="G66" s="93">
        <f t="shared" si="32"/>
        <v>0.19960507480319031</v>
      </c>
      <c r="H66" s="93">
        <f t="shared" si="32"/>
        <v>0.11094522445494213</v>
      </c>
      <c r="I66" s="93">
        <f t="shared" si="32"/>
        <v>0.10610977710359144</v>
      </c>
      <c r="J66" s="93">
        <f t="shared" si="32"/>
        <v>0.12138023202372093</v>
      </c>
      <c r="K66" s="93">
        <f t="shared" si="32"/>
        <v>0.12890800868579474</v>
      </c>
      <c r="L66" s="93">
        <f t="shared" si="32"/>
        <v>0.13308245490891185</v>
      </c>
      <c r="M66" s="93">
        <f t="shared" si="32"/>
        <v>0.13470352197167543</v>
      </c>
    </row>
    <row r="68" spans="1:13" ht="14.4" customHeight="1">
      <c r="A68" t="s">
        <v>23</v>
      </c>
      <c r="B68" s="491" t="s">
        <v>115</v>
      </c>
      <c r="C68" s="492"/>
      <c r="D68" s="492"/>
      <c r="E68" s="492"/>
      <c r="F68" s="492"/>
      <c r="G68" s="492"/>
      <c r="H68" s="492"/>
      <c r="I68" s="492"/>
      <c r="J68" s="492"/>
      <c r="K68" s="492"/>
      <c r="L68" s="492"/>
      <c r="M68" s="492"/>
    </row>
    <row r="70" spans="1:13" ht="14.4" customHeight="1">
      <c r="B70" t="s">
        <v>41</v>
      </c>
      <c r="D70" s="65">
        <f>D45</f>
        <v>6223.8981999999996</v>
      </c>
      <c r="E70" s="65">
        <f t="shared" ref="E70:M70" si="33">E45</f>
        <v>7781.5551000000005</v>
      </c>
      <c r="F70" s="65">
        <f t="shared" si="33"/>
        <v>8749.4330000000009</v>
      </c>
      <c r="G70" s="65">
        <f t="shared" si="33"/>
        <v>10334.774599999999</v>
      </c>
      <c r="H70" s="65">
        <f t="shared" si="33"/>
        <v>12207</v>
      </c>
      <c r="I70" s="65">
        <f t="shared" si="33"/>
        <v>14404.259999999998</v>
      </c>
      <c r="J70" s="65">
        <f t="shared" si="33"/>
        <v>16780.962899999999</v>
      </c>
      <c r="K70" s="65">
        <f t="shared" si="33"/>
        <v>19298.107334999997</v>
      </c>
      <c r="L70" s="65">
        <f t="shared" si="33"/>
        <v>21903.351825224996</v>
      </c>
      <c r="M70" s="65">
        <f t="shared" si="33"/>
        <v>24531.754044251997</v>
      </c>
    </row>
    <row r="71" spans="1:13" ht="14.4" customHeight="1">
      <c r="B71" t="s">
        <v>14</v>
      </c>
      <c r="D71" s="65">
        <f>D35</f>
        <v>6372.8331999999991</v>
      </c>
      <c r="E71" s="65">
        <f t="shared" ref="E71:M71" si="34">E35</f>
        <v>9147.7907999999989</v>
      </c>
      <c r="F71" s="65">
        <f t="shared" si="34"/>
        <v>9715.4755000000005</v>
      </c>
      <c r="G71" s="65">
        <f t="shared" si="34"/>
        <v>11963.262699999999</v>
      </c>
      <c r="H71" s="65">
        <f t="shared" si="34"/>
        <v>27759.590500000002</v>
      </c>
      <c r="I71" s="65">
        <f t="shared" si="34"/>
        <v>28005.257100047958</v>
      </c>
      <c r="J71" s="65">
        <f t="shared" si="34"/>
        <v>30898.264909340101</v>
      </c>
      <c r="K71" s="65">
        <f t="shared" si="34"/>
        <v>34312.04900354414</v>
      </c>
      <c r="L71" s="65">
        <f t="shared" si="34"/>
        <v>38514.936068402472</v>
      </c>
      <c r="M71" s="65">
        <f t="shared" si="34"/>
        <v>42883.062534713492</v>
      </c>
    </row>
    <row r="72" spans="1:13" ht="14.4" customHeight="1">
      <c r="B72" s="30" t="s">
        <v>116</v>
      </c>
      <c r="C72" s="30"/>
      <c r="D72" s="93">
        <f>D70/D71</f>
        <v>0.97662970372424007</v>
      </c>
      <c r="E72" s="93">
        <f t="shared" ref="E72:M72" si="35">E70/E71</f>
        <v>0.85064856314816484</v>
      </c>
      <c r="F72" s="93">
        <f t="shared" si="35"/>
        <v>0.9005666269242304</v>
      </c>
      <c r="G72" s="93">
        <f t="shared" si="35"/>
        <v>0.86387592241036382</v>
      </c>
      <c r="H72" s="93">
        <f t="shared" si="35"/>
        <v>0.43973991619220748</v>
      </c>
      <c r="I72" s="93">
        <f t="shared" si="35"/>
        <v>0.51434128772827192</v>
      </c>
      <c r="J72" s="93">
        <f t="shared" si="35"/>
        <v>0.54310372926239481</v>
      </c>
      <c r="K72" s="93">
        <f t="shared" si="35"/>
        <v>0.5624294641514026</v>
      </c>
      <c r="L72" s="93">
        <f t="shared" si="35"/>
        <v>0.56869760308895945</v>
      </c>
      <c r="M72" s="93">
        <f t="shared" si="35"/>
        <v>0.57206161580446224</v>
      </c>
    </row>
    <row r="73" spans="1:13" ht="14.4" customHeight="1">
      <c r="B73" s="20"/>
      <c r="C73" s="20"/>
      <c r="D73" s="94"/>
      <c r="E73" s="94"/>
      <c r="F73" s="94"/>
      <c r="G73" s="94"/>
      <c r="H73" s="94"/>
      <c r="I73" s="94"/>
      <c r="J73" s="94"/>
      <c r="K73" s="94"/>
    </row>
    <row r="74" spans="1:13" ht="14.4" customHeight="1">
      <c r="B74" t="s">
        <v>118</v>
      </c>
      <c r="C74" s="20"/>
      <c r="D74" s="65">
        <v>0</v>
      </c>
      <c r="E74" s="65">
        <f>E70-D70</f>
        <v>1557.6569000000009</v>
      </c>
      <c r="F74" s="65">
        <f t="shared" ref="F74:M75" si="36">F70-E70</f>
        <v>967.87790000000041</v>
      </c>
      <c r="G74" s="65">
        <f t="shared" si="36"/>
        <v>1585.3415999999979</v>
      </c>
      <c r="H74" s="65">
        <f t="shared" si="36"/>
        <v>1872.2254000000012</v>
      </c>
      <c r="I74" s="65">
        <f t="shared" si="36"/>
        <v>2197.2599999999984</v>
      </c>
      <c r="J74" s="65">
        <f t="shared" si="36"/>
        <v>2376.7029000000002</v>
      </c>
      <c r="K74" s="65">
        <f t="shared" si="36"/>
        <v>2517.1444349999983</v>
      </c>
      <c r="L74" s="65">
        <f t="shared" si="36"/>
        <v>2605.244490224999</v>
      </c>
      <c r="M74" s="65">
        <f t="shared" si="36"/>
        <v>2628.4022190270007</v>
      </c>
    </row>
    <row r="75" spans="1:13" ht="14.4" customHeight="1">
      <c r="B75" t="s">
        <v>119</v>
      </c>
      <c r="C75" s="20"/>
      <c r="D75" s="65">
        <v>0</v>
      </c>
      <c r="E75" s="65">
        <f t="shared" ref="E75" si="37">E71-D71</f>
        <v>2774.9575999999997</v>
      </c>
      <c r="F75" s="65">
        <f t="shared" si="36"/>
        <v>567.68470000000161</v>
      </c>
      <c r="G75" s="65">
        <f t="shared" si="36"/>
        <v>2247.7871999999988</v>
      </c>
      <c r="H75" s="65">
        <f t="shared" si="36"/>
        <v>15796.327800000003</v>
      </c>
      <c r="I75" s="65">
        <f t="shared" si="36"/>
        <v>245.66660004795631</v>
      </c>
      <c r="J75" s="65">
        <f t="shared" si="36"/>
        <v>2893.0078092921431</v>
      </c>
      <c r="K75" s="65">
        <f t="shared" si="36"/>
        <v>3413.7840942040384</v>
      </c>
      <c r="L75" s="65">
        <f t="shared" si="36"/>
        <v>4202.8870648583325</v>
      </c>
      <c r="M75" s="65">
        <f t="shared" si="36"/>
        <v>4368.1264663110196</v>
      </c>
    </row>
    <row r="76" spans="1:13" ht="14.4" customHeight="1">
      <c r="B76" s="30" t="s">
        <v>120</v>
      </c>
      <c r="C76" s="30"/>
      <c r="D76" s="96">
        <v>0</v>
      </c>
      <c r="E76" s="95">
        <f>E74/E75</f>
        <v>0.56132637846430555</v>
      </c>
      <c r="F76" s="95">
        <f t="shared" ref="F76:M76" si="38">F74/F75</f>
        <v>1.7049568184592567</v>
      </c>
      <c r="G76" s="95">
        <f t="shared" si="38"/>
        <v>0.70528989576949219</v>
      </c>
      <c r="H76" s="95">
        <f t="shared" si="38"/>
        <v>0.11852282528601368</v>
      </c>
      <c r="I76" s="95">
        <f t="shared" si="38"/>
        <v>8.9440729817202413</v>
      </c>
      <c r="J76" s="95">
        <f t="shared" si="38"/>
        <v>0.82153352381773503</v>
      </c>
      <c r="K76" s="95">
        <f t="shared" si="38"/>
        <v>0.73734728545769335</v>
      </c>
      <c r="L76" s="95">
        <f t="shared" si="38"/>
        <v>0.61987021064835934</v>
      </c>
      <c r="M76" s="95">
        <f t="shared" si="38"/>
        <v>0.60172301312666554</v>
      </c>
    </row>
    <row r="78" spans="1:13" ht="14.4" customHeight="1">
      <c r="B78" t="s">
        <v>52</v>
      </c>
      <c r="D78" s="66">
        <f>'3StatementModel'!D14*-1</f>
        <v>1780.6092000000001</v>
      </c>
      <c r="E78" s="66">
        <f>'3StatementModel'!E14*-1</f>
        <v>2421.7284</v>
      </c>
      <c r="F78" s="66">
        <f>'3StatementModel'!F14*-1</f>
        <v>2913.6419999999998</v>
      </c>
      <c r="G78" s="66">
        <f>'3StatementModel'!G14*-1</f>
        <v>3209.6958999999997</v>
      </c>
      <c r="H78" s="66">
        <f>'3StatementModel'!H14*-1</f>
        <v>3855.04</v>
      </c>
      <c r="I78" s="66">
        <f>'3StatementModel'!I14*-1</f>
        <v>4897.4483999999993</v>
      </c>
      <c r="J78" s="66">
        <f>'3StatementModel'!J14*-1</f>
        <v>5604.8416085999988</v>
      </c>
      <c r="K78" s="66">
        <f>'3StatementModel'!K14*-1</f>
        <v>6329.7792058799978</v>
      </c>
      <c r="L78" s="66">
        <f>'3StatementModel'!L14*-1</f>
        <v>7052.8792877224478</v>
      </c>
      <c r="M78" s="66">
        <f>'3StatementModel'!M14*-1</f>
        <v>7752.0342779836301</v>
      </c>
    </row>
    <row r="79" spans="1:13" ht="14.4" customHeight="1">
      <c r="B79" t="s">
        <v>9</v>
      </c>
      <c r="D79" s="65">
        <f>D18</f>
        <v>1183.5377000000001</v>
      </c>
      <c r="E79" s="65">
        <f t="shared" ref="E79:M79" si="39">E18</f>
        <v>1760.2381</v>
      </c>
      <c r="F79" s="65">
        <f t="shared" si="39"/>
        <v>1498.4582</v>
      </c>
      <c r="G79" s="65">
        <f t="shared" si="39"/>
        <v>1553.4612</v>
      </c>
      <c r="H79" s="65">
        <f t="shared" si="39"/>
        <v>2093.71</v>
      </c>
      <c r="I79" s="65">
        <f t="shared" si="39"/>
        <v>2311.8153078642554</v>
      </c>
      <c r="J79" s="65">
        <f t="shared" si="39"/>
        <v>2693.2648336618572</v>
      </c>
      <c r="K79" s="65">
        <f t="shared" si="39"/>
        <v>2907.9339819863012</v>
      </c>
      <c r="L79" s="65">
        <f t="shared" si="39"/>
        <v>3300.5050695544514</v>
      </c>
      <c r="M79" s="65">
        <f t="shared" si="39"/>
        <v>3696.5656779009855</v>
      </c>
    </row>
    <row r="80" spans="1:13" ht="14.4" customHeight="1">
      <c r="B80" s="30" t="s">
        <v>117</v>
      </c>
      <c r="C80" s="30"/>
      <c r="D80" s="95">
        <f>D78/D79</f>
        <v>1.5044803389025969</v>
      </c>
      <c r="E80" s="95">
        <f t="shared" ref="E80:M80" si="40">E78/E79</f>
        <v>1.3757959221539404</v>
      </c>
      <c r="F80" s="95">
        <f t="shared" si="40"/>
        <v>1.9444266112995343</v>
      </c>
      <c r="G80" s="95">
        <f t="shared" si="40"/>
        <v>2.0661577514777965</v>
      </c>
      <c r="H80" s="95">
        <f t="shared" si="40"/>
        <v>1.8412483104154824</v>
      </c>
      <c r="I80" s="95">
        <f t="shared" si="40"/>
        <v>2.1184427593934623</v>
      </c>
      <c r="J80" s="95">
        <f t="shared" si="40"/>
        <v>2.0810584754041659</v>
      </c>
      <c r="K80" s="95">
        <f t="shared" si="40"/>
        <v>2.176727272727272</v>
      </c>
      <c r="L80" s="95">
        <f t="shared" si="40"/>
        <v>2.1369090909090906</v>
      </c>
      <c r="M80" s="95">
        <f t="shared" si="40"/>
        <v>2.0970909090909089</v>
      </c>
    </row>
    <row r="82" spans="1:13" ht="14.4" customHeight="1">
      <c r="A82" t="s">
        <v>23</v>
      </c>
      <c r="B82" s="491" t="s">
        <v>121</v>
      </c>
      <c r="C82" s="492"/>
      <c r="D82" s="492"/>
      <c r="E82" s="492"/>
      <c r="F82" s="492"/>
      <c r="G82" s="492"/>
      <c r="H82" s="492"/>
      <c r="I82" s="492"/>
      <c r="J82" s="492"/>
      <c r="K82" s="492"/>
      <c r="L82" s="492"/>
      <c r="M82" s="492"/>
    </row>
    <row r="84" spans="1:13" ht="14.4" customHeight="1">
      <c r="B84" t="s">
        <v>122</v>
      </c>
      <c r="D84" s="65">
        <f>D30</f>
        <v>216.02379999999999</v>
      </c>
      <c r="E84" s="65">
        <f t="shared" ref="E84:M84" si="41">E30</f>
        <v>868.02719999999999</v>
      </c>
      <c r="F84" s="65">
        <f t="shared" si="41"/>
        <v>162.6764</v>
      </c>
      <c r="G84" s="65">
        <f t="shared" si="41"/>
        <v>196.03579999999999</v>
      </c>
      <c r="H84" s="65">
        <f t="shared" si="41"/>
        <v>8483.0299999999988</v>
      </c>
      <c r="I84" s="65">
        <f t="shared" si="41"/>
        <v>6522.7124999999996</v>
      </c>
      <c r="J84" s="65">
        <f t="shared" si="41"/>
        <v>6931.6726200000003</v>
      </c>
      <c r="K84" s="65">
        <f t="shared" si="41"/>
        <v>7362.1610655000013</v>
      </c>
      <c r="L84" s="65">
        <f t="shared" si="41"/>
        <v>8058.4354404907508</v>
      </c>
      <c r="M84" s="65">
        <f t="shared" si="41"/>
        <v>8372.927612077141</v>
      </c>
    </row>
    <row r="85" spans="1:13" ht="14.4" customHeight="1">
      <c r="B85" t="s">
        <v>63</v>
      </c>
      <c r="D85" s="65">
        <f>D48</f>
        <v>1657.5927999999999</v>
      </c>
      <c r="E85" s="65">
        <f t="shared" ref="E85:M85" si="42">E48</f>
        <v>1989.3662000000004</v>
      </c>
      <c r="F85" s="65">
        <f t="shared" si="42"/>
        <v>1900.6581000000006</v>
      </c>
      <c r="G85" s="65">
        <f t="shared" si="42"/>
        <v>2535.1032999999998</v>
      </c>
      <c r="H85" s="65">
        <f t="shared" si="42"/>
        <v>2651.8599999999988</v>
      </c>
      <c r="I85" s="65">
        <f t="shared" si="42"/>
        <v>3096.9158999999991</v>
      </c>
      <c r="J85" s="65">
        <f t="shared" si="42"/>
        <v>3708.5928008999981</v>
      </c>
      <c r="K85" s="65">
        <f t="shared" si="42"/>
        <v>4380.6703650450017</v>
      </c>
      <c r="L85" s="65">
        <f t="shared" si="42"/>
        <v>5103.4809752774254</v>
      </c>
      <c r="M85" s="65">
        <f t="shared" si="42"/>
        <v>5863.0892165762289</v>
      </c>
    </row>
    <row r="86" spans="1:13" ht="14.4" customHeight="1">
      <c r="B86" s="30" t="s">
        <v>123</v>
      </c>
      <c r="C86" s="30"/>
      <c r="D86" s="95">
        <f>D84/D85</f>
        <v>0.1303238044952898</v>
      </c>
      <c r="E86" s="95">
        <f t="shared" ref="E86:M86" si="43">E84/E85</f>
        <v>0.43633354180844119</v>
      </c>
      <c r="F86" s="95">
        <f t="shared" si="43"/>
        <v>8.5589512390471467E-2</v>
      </c>
      <c r="G86" s="95">
        <f t="shared" si="43"/>
        <v>7.7328525429318798E-2</v>
      </c>
      <c r="H86" s="95">
        <f t="shared" si="43"/>
        <v>3.1988981318772494</v>
      </c>
      <c r="I86" s="95">
        <f t="shared" si="43"/>
        <v>2.1061961999032657</v>
      </c>
      <c r="J86" s="95">
        <f t="shared" si="43"/>
        <v>1.8690843109865898</v>
      </c>
      <c r="K86" s="95">
        <f t="shared" si="43"/>
        <v>1.6806014723786165</v>
      </c>
      <c r="L86" s="95">
        <f t="shared" si="43"/>
        <v>1.5790076380274336</v>
      </c>
      <c r="M86" s="95">
        <f t="shared" si="43"/>
        <v>1.4280743994829641</v>
      </c>
    </row>
    <row r="88" spans="1:13" ht="14.4" customHeight="1">
      <c r="B88" t="s">
        <v>64</v>
      </c>
      <c r="D88" s="65"/>
      <c r="E88" s="65">
        <f t="shared" ref="E88:M88" si="44">E52</f>
        <v>1822.7470000000003</v>
      </c>
      <c r="F88" s="65">
        <f t="shared" si="44"/>
        <v>1574.7386000000006</v>
      </c>
      <c r="G88" s="65">
        <f t="shared" si="44"/>
        <v>2136.8495999999996</v>
      </c>
      <c r="H88" s="65">
        <f t="shared" si="44"/>
        <v>2030.8599999999988</v>
      </c>
      <c r="I88" s="65">
        <f t="shared" si="44"/>
        <v>2435.108711249999</v>
      </c>
      <c r="J88" s="65">
        <f t="shared" si="44"/>
        <v>3001.9677372562483</v>
      </c>
      <c r="K88" s="65">
        <f t="shared" si="44"/>
        <v>3615.8363363418766</v>
      </c>
      <c r="L88" s="65">
        <f t="shared" si="44"/>
        <v>4278.4006677378475</v>
      </c>
      <c r="M88" s="65">
        <f t="shared" si="44"/>
        <v>4977.2271077216519</v>
      </c>
    </row>
    <row r="89" spans="1:13" ht="14.4" customHeight="1">
      <c r="B89" t="s">
        <v>128</v>
      </c>
      <c r="D89" s="65"/>
      <c r="E89" s="65">
        <f>'3StatementModel'!E34*-1</f>
        <v>58.610399999999998</v>
      </c>
      <c r="F89" s="65">
        <f>'3StatementModel'!F34*-1</f>
        <v>44.468999999999994</v>
      </c>
      <c r="G89" s="65">
        <f>'3StatementModel'!G34*-1</f>
        <v>33.531599999999997</v>
      </c>
      <c r="H89" s="65">
        <f>'3StatementModel'!H34*-1</f>
        <v>429.4</v>
      </c>
      <c r="I89" s="65">
        <f>'3StatementModel'!I34*-1</f>
        <v>561.47040707646352</v>
      </c>
      <c r="J89" s="65">
        <f>'3StatementModel'!J34*-1</f>
        <v>503.42321216626988</v>
      </c>
      <c r="K89" s="65">
        <f>'3StatementModel'!K34*-1</f>
        <v>534.83288934759162</v>
      </c>
      <c r="L89" s="65">
        <f>'3StatementModel'!L34*-1</f>
        <v>576.99301434637562</v>
      </c>
      <c r="M89" s="65">
        <f>'3StatementModel'!M34*-1</f>
        <v>614.81290259022217</v>
      </c>
    </row>
    <row r="90" spans="1:13" ht="14.4" customHeight="1">
      <c r="B90" t="s">
        <v>124</v>
      </c>
      <c r="D90" s="65"/>
      <c r="E90" s="66">
        <f>D34-E34</f>
        <v>-652.00340000000006</v>
      </c>
      <c r="F90" s="66">
        <f t="shared" ref="F90:M90" si="45">E34-F34</f>
        <v>705.35079999999994</v>
      </c>
      <c r="G90" s="66">
        <f t="shared" si="45"/>
        <v>-33.359399999999994</v>
      </c>
      <c r="H90" s="66">
        <f t="shared" si="45"/>
        <v>-8286.9941999999992</v>
      </c>
      <c r="I90" s="66">
        <f t="shared" si="45"/>
        <v>1960.3174999999992</v>
      </c>
      <c r="J90" s="66">
        <f t="shared" si="45"/>
        <v>-408.96012000000064</v>
      </c>
      <c r="K90" s="66">
        <f t="shared" si="45"/>
        <v>-430.48844550000103</v>
      </c>
      <c r="L90" s="66">
        <f t="shared" si="45"/>
        <v>-696.27437499074949</v>
      </c>
      <c r="M90" s="66">
        <f t="shared" si="45"/>
        <v>-314.49217158639021</v>
      </c>
    </row>
    <row r="91" spans="1:13" ht="14.4" customHeight="1">
      <c r="B91" s="30" t="s">
        <v>125</v>
      </c>
      <c r="C91" s="30"/>
      <c r="D91" s="93"/>
      <c r="E91" s="95">
        <f>E88/SUM(E89:E90)</f>
        <v>-3.071736606262629</v>
      </c>
      <c r="F91" s="95">
        <f t="shared" ref="F91:M91" si="46">F88/SUM(F89:F90)</f>
        <v>2.1001560641636838</v>
      </c>
      <c r="G91" s="95">
        <f t="shared" si="46"/>
        <v>12409.114982578129</v>
      </c>
      <c r="H91" s="95">
        <f t="shared" si="46"/>
        <v>-0.25845824412769991</v>
      </c>
      <c r="I91" s="95">
        <f t="shared" si="46"/>
        <v>0.96562788028952362</v>
      </c>
      <c r="J91" s="95">
        <f t="shared" si="46"/>
        <v>31.779266043634628</v>
      </c>
      <c r="K91" s="95">
        <f t="shared" si="46"/>
        <v>34.652888098414735</v>
      </c>
      <c r="L91" s="95">
        <f t="shared" si="46"/>
        <v>-35.868141045888095</v>
      </c>
      <c r="M91" s="95">
        <f t="shared" si="46"/>
        <v>16.573038734572556</v>
      </c>
    </row>
    <row r="93" spans="1:13" ht="14.4" customHeight="1">
      <c r="B93" t="s">
        <v>64</v>
      </c>
      <c r="D93" s="65">
        <f>D52</f>
        <v>1538.6224999999999</v>
      </c>
      <c r="E93" s="65">
        <f t="shared" ref="E93:M93" si="47">E52</f>
        <v>1822.7470000000003</v>
      </c>
      <c r="F93" s="65">
        <f t="shared" si="47"/>
        <v>1574.7386000000006</v>
      </c>
      <c r="G93" s="65">
        <f t="shared" si="47"/>
        <v>2136.8495999999996</v>
      </c>
      <c r="H93" s="65">
        <f t="shared" si="47"/>
        <v>2030.8599999999988</v>
      </c>
      <c r="I93" s="65">
        <f t="shared" si="47"/>
        <v>2435.108711249999</v>
      </c>
      <c r="J93" s="65">
        <f t="shared" si="47"/>
        <v>3001.9677372562483</v>
      </c>
      <c r="K93" s="65">
        <f t="shared" si="47"/>
        <v>3615.8363363418766</v>
      </c>
      <c r="L93" s="65">
        <f t="shared" si="47"/>
        <v>4278.4006677378475</v>
      </c>
      <c r="M93" s="65">
        <f t="shared" si="47"/>
        <v>4977.2271077216519</v>
      </c>
    </row>
    <row r="94" spans="1:13" ht="14.4" customHeight="1">
      <c r="B94" t="s">
        <v>126</v>
      </c>
      <c r="D94" s="66">
        <f>'3StatementModel'!D122</f>
        <v>3.7015000000000002</v>
      </c>
      <c r="E94" s="66">
        <f>'3StatementModel'!E122</f>
        <v>10.740900000000002</v>
      </c>
      <c r="F94" s="66">
        <f>'3StatementModel'!F122</f>
        <v>4.226</v>
      </c>
      <c r="G94" s="66">
        <f>'3StatementModel'!G122</f>
        <v>8.1553000000000004</v>
      </c>
      <c r="H94" s="66">
        <f>'3StatementModel'!H122</f>
        <v>25.4</v>
      </c>
      <c r="I94" s="66">
        <f>'3StatementModel'!I122</f>
        <v>561.47040707646352</v>
      </c>
      <c r="J94" s="66">
        <f>'3StatementModel'!J122</f>
        <v>503.42321216626988</v>
      </c>
      <c r="K94" s="66">
        <f>'3StatementModel'!K122</f>
        <v>534.83288934759162</v>
      </c>
      <c r="L94" s="66">
        <f>'3StatementModel'!L122</f>
        <v>576.99301434637562</v>
      </c>
      <c r="M94" s="66">
        <f>'3StatementModel'!M122</f>
        <v>614.81290259022217</v>
      </c>
    </row>
    <row r="95" spans="1:13" ht="14.4" customHeight="1">
      <c r="B95" s="30" t="s">
        <v>127</v>
      </c>
      <c r="C95" s="30"/>
      <c r="D95" s="95">
        <f t="shared" ref="D95:M95" si="48">D93/D94</f>
        <v>415.67540186410912</v>
      </c>
      <c r="E95" s="95">
        <f t="shared" si="48"/>
        <v>169.70151477064306</v>
      </c>
      <c r="F95" s="95">
        <f t="shared" si="48"/>
        <v>372.63099858021786</v>
      </c>
      <c r="G95" s="95">
        <f t="shared" si="48"/>
        <v>262.01974176302519</v>
      </c>
      <c r="H95" s="95">
        <f t="shared" si="48"/>
        <v>79.955118110236171</v>
      </c>
      <c r="I95" s="95">
        <f t="shared" si="48"/>
        <v>4.3370205812438751</v>
      </c>
      <c r="J95" s="95">
        <f t="shared" si="48"/>
        <v>5.9631094965576654</v>
      </c>
      <c r="K95" s="95">
        <f t="shared" si="48"/>
        <v>6.7606843340404961</v>
      </c>
      <c r="L95" s="95">
        <f t="shared" si="48"/>
        <v>7.4149956088887308</v>
      </c>
      <c r="M95" s="95">
        <f t="shared" si="48"/>
        <v>8.0955150530388504</v>
      </c>
    </row>
    <row r="161" ht="14.4" customHeight="1" collapsed="1"/>
    <row r="171" ht="14.4" customHeight="1" collapsed="1"/>
    <row r="204" ht="14.4" customHeight="1" collapsed="1"/>
    <row r="217" ht="14.4" customHeight="1" collapsed="1"/>
  </sheetData>
  <sheetProtection sheet="1" objects="1" scenarios="1" selectLockedCells="1"/>
  <mergeCells count="3">
    <mergeCell ref="F4:G4"/>
    <mergeCell ref="D8:H8"/>
    <mergeCell ref="I8:M8"/>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457" r:id="rId4" name="Drop Down 1">
              <controlPr defaultSize="0" autoLine="0" autoPict="0">
                <anchor moveWithCells="1">
                  <from>
                    <xdr:col>7</xdr:col>
                    <xdr:colOff>114300</xdr:colOff>
                    <xdr:row>3</xdr:row>
                    <xdr:rowOff>60960</xdr:rowOff>
                  </from>
                  <to>
                    <xdr:col>8</xdr:col>
                    <xdr:colOff>586740</xdr:colOff>
                    <xdr:row>4</xdr:row>
                    <xdr:rowOff>38100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37"/>
  <sheetViews>
    <sheetView showGridLines="0" zoomScale="115" zoomScaleNormal="115" workbookViewId="0">
      <selection activeCell="G2" sqref="G2"/>
    </sheetView>
  </sheetViews>
  <sheetFormatPr defaultColWidth="11.44140625" defaultRowHeight="11.4"/>
  <cols>
    <col min="1" max="2" width="11.44140625" style="372"/>
    <col min="3" max="3" width="11.5546875" style="372" bestFit="1" customWidth="1"/>
    <col min="4" max="4" width="35.44140625" style="372" customWidth="1"/>
    <col min="5" max="5" width="16.33203125" style="372" customWidth="1"/>
    <col min="6" max="6" width="11.44140625" style="372"/>
    <col min="7" max="7" width="13.109375" style="372" bestFit="1" customWidth="1"/>
    <col min="8" max="12" width="11.44140625" style="372"/>
    <col min="13" max="13" width="19.21875" style="372" bestFit="1" customWidth="1"/>
    <col min="14" max="14" width="10.21875" style="372" bestFit="1" customWidth="1"/>
    <col min="15" max="15" width="7.21875" style="372" bestFit="1" customWidth="1"/>
    <col min="16" max="16" width="13.88671875" style="372" bestFit="1" customWidth="1"/>
    <col min="17" max="16384" width="11.44140625" style="372"/>
  </cols>
  <sheetData>
    <row r="2" spans="2:17" s="393" customFormat="1" ht="17.399999999999999">
      <c r="B2" s="381" t="s">
        <v>985</v>
      </c>
      <c r="C2" s="381"/>
      <c r="D2" s="381"/>
      <c r="E2" s="394"/>
      <c r="F2" s="381"/>
      <c r="G2" s="549"/>
      <c r="H2" s="381"/>
    </row>
    <row r="3" spans="2:17" ht="14.4">
      <c r="B3" s="373" t="s">
        <v>984</v>
      </c>
      <c r="C3" s="373"/>
      <c r="D3" s="373"/>
      <c r="E3" s="389">
        <v>2467</v>
      </c>
      <c r="F3" s="373"/>
      <c r="G3" s="373"/>
      <c r="H3" s="373"/>
    </row>
    <row r="4" spans="2:17" ht="14.4">
      <c r="B4" s="373" t="s">
        <v>983</v>
      </c>
      <c r="C4" s="373"/>
      <c r="D4" s="373"/>
      <c r="E4" s="392">
        <v>860</v>
      </c>
      <c r="F4" s="373"/>
      <c r="G4" s="373"/>
      <c r="H4" s="373"/>
    </row>
    <row r="5" spans="2:17" ht="14.4">
      <c r="B5" s="373" t="s">
        <v>982</v>
      </c>
      <c r="C5" s="373"/>
      <c r="D5" s="373"/>
      <c r="E5" s="389">
        <v>4</v>
      </c>
      <c r="F5" s="373"/>
      <c r="G5" s="373"/>
      <c r="H5" s="373"/>
    </row>
    <row r="6" spans="2:17" ht="14.4">
      <c r="B6" s="373" t="s">
        <v>981</v>
      </c>
      <c r="C6" s="373"/>
      <c r="D6" s="373"/>
      <c r="E6" s="391">
        <v>3.0000000000000001E-3</v>
      </c>
      <c r="F6" s="373" t="s">
        <v>980</v>
      </c>
      <c r="G6" s="373"/>
      <c r="H6" s="373"/>
      <c r="K6" s="395"/>
      <c r="L6" s="396" t="s">
        <v>990</v>
      </c>
      <c r="M6" s="396" t="s">
        <v>989</v>
      </c>
      <c r="N6" s="396" t="s">
        <v>988</v>
      </c>
      <c r="O6" s="396" t="s">
        <v>986</v>
      </c>
      <c r="P6" s="396" t="s">
        <v>987</v>
      </c>
      <c r="Q6" s="396" t="s">
        <v>992</v>
      </c>
    </row>
    <row r="7" spans="2:17" ht="14.4">
      <c r="B7" s="373" t="s">
        <v>979</v>
      </c>
      <c r="C7" s="373"/>
      <c r="D7" s="373"/>
      <c r="E7" s="390">
        <v>0</v>
      </c>
      <c r="F7" s="373"/>
      <c r="G7" s="373"/>
      <c r="H7" s="373"/>
      <c r="K7" s="397">
        <v>1</v>
      </c>
      <c r="L7" s="398">
        <v>45016</v>
      </c>
      <c r="M7" s="395">
        <v>26325</v>
      </c>
      <c r="N7" s="395">
        <v>860</v>
      </c>
      <c r="O7" s="395">
        <v>4</v>
      </c>
      <c r="P7" s="399">
        <v>0.27850000000000003</v>
      </c>
      <c r="Q7" s="372">
        <v>0</v>
      </c>
    </row>
    <row r="8" spans="2:17" ht="14.4">
      <c r="B8" s="373" t="s">
        <v>978</v>
      </c>
      <c r="C8" s="373"/>
      <c r="D8" s="373"/>
      <c r="E8" s="390">
        <f>WACC!E7</f>
        <v>4.2100000000000005E-2</v>
      </c>
      <c r="F8" s="373"/>
      <c r="G8" s="373"/>
      <c r="H8" s="373"/>
      <c r="K8" s="397">
        <f>K7+1</f>
        <v>2</v>
      </c>
      <c r="L8" s="398">
        <v>45016</v>
      </c>
      <c r="M8" s="395">
        <v>209302</v>
      </c>
      <c r="N8" s="395">
        <v>860</v>
      </c>
      <c r="O8" s="395">
        <v>4</v>
      </c>
      <c r="P8" s="399">
        <v>0.27850000000000003</v>
      </c>
      <c r="Q8" s="372">
        <v>0</v>
      </c>
    </row>
    <row r="9" spans="2:17" ht="14.4">
      <c r="B9" s="373" t="s">
        <v>977</v>
      </c>
      <c r="C9" s="373"/>
      <c r="D9" s="373"/>
      <c r="E9" s="389">
        <v>0.11</v>
      </c>
      <c r="F9" s="373"/>
      <c r="G9" s="373"/>
      <c r="H9" s="373"/>
      <c r="K9" s="397">
        <f t="shared" ref="K9:K22" si="0">K8+1</f>
        <v>3</v>
      </c>
      <c r="L9" s="398">
        <v>45016</v>
      </c>
      <c r="M9" s="395">
        <v>313954</v>
      </c>
      <c r="N9" s="395">
        <v>860</v>
      </c>
      <c r="O9" s="395">
        <v>4</v>
      </c>
      <c r="P9" s="399">
        <v>0.27850000000000003</v>
      </c>
      <c r="Q9" s="372">
        <v>0</v>
      </c>
    </row>
    <row r="10" spans="2:17" ht="14.4">
      <c r="B10" s="373" t="s">
        <v>976</v>
      </c>
      <c r="C10" s="373"/>
      <c r="D10" s="373"/>
      <c r="E10" s="389">
        <v>41.3</v>
      </c>
      <c r="F10" s="373"/>
      <c r="G10" s="373"/>
      <c r="H10" s="373"/>
      <c r="K10" s="397">
        <f t="shared" si="0"/>
        <v>4</v>
      </c>
      <c r="L10" s="398">
        <v>45016</v>
      </c>
      <c r="M10" s="395">
        <v>418605</v>
      </c>
      <c r="N10" s="395">
        <v>860</v>
      </c>
      <c r="O10" s="395">
        <v>4</v>
      </c>
      <c r="P10" s="399">
        <v>0.27850000000000003</v>
      </c>
      <c r="Q10" s="372">
        <v>0</v>
      </c>
    </row>
    <row r="11" spans="2:17" ht="14.4">
      <c r="B11" s="373"/>
      <c r="C11" s="373"/>
      <c r="D11" s="373"/>
      <c r="E11" s="373"/>
      <c r="F11" s="373"/>
      <c r="G11" s="373"/>
      <c r="H11" s="373"/>
      <c r="K11" s="397">
        <f t="shared" si="0"/>
        <v>5</v>
      </c>
      <c r="L11" s="398">
        <v>45212</v>
      </c>
      <c r="M11" s="395">
        <v>0</v>
      </c>
      <c r="N11" s="395">
        <v>860</v>
      </c>
      <c r="O11" s="395">
        <v>4</v>
      </c>
      <c r="P11" s="400">
        <v>0.2712</v>
      </c>
      <c r="Q11" s="372">
        <v>0</v>
      </c>
    </row>
    <row r="12" spans="2:17" s="386" customFormat="1" ht="14.4">
      <c r="B12" s="388" t="s">
        <v>975</v>
      </c>
      <c r="C12" s="387"/>
      <c r="D12" s="387"/>
      <c r="E12" s="387"/>
      <c r="F12" s="387"/>
      <c r="G12" s="387"/>
      <c r="H12" s="387"/>
      <c r="K12" s="397">
        <f t="shared" si="0"/>
        <v>6</v>
      </c>
      <c r="L12" s="398">
        <v>45212</v>
      </c>
      <c r="M12" s="401">
        <v>14000</v>
      </c>
      <c r="N12" s="395">
        <v>860</v>
      </c>
      <c r="O12" s="395">
        <v>4</v>
      </c>
      <c r="P12" s="400">
        <v>0.2712</v>
      </c>
      <c r="Q12" s="372">
        <v>0</v>
      </c>
    </row>
    <row r="13" spans="2:17" s="374" customFormat="1" ht="14.4">
      <c r="B13" s="381" t="s">
        <v>974</v>
      </c>
      <c r="C13" s="373"/>
      <c r="D13" s="373"/>
      <c r="E13" s="373"/>
      <c r="F13" s="373"/>
      <c r="G13" s="373"/>
      <c r="H13" s="373"/>
      <c r="K13" s="397">
        <f t="shared" si="0"/>
        <v>7</v>
      </c>
      <c r="L13" s="398">
        <v>45212</v>
      </c>
      <c r="M13" s="402">
        <v>21000</v>
      </c>
      <c r="N13" s="395">
        <v>860</v>
      </c>
      <c r="O13" s="395">
        <v>4</v>
      </c>
      <c r="P13" s="400">
        <v>0.2712</v>
      </c>
      <c r="Q13" s="372">
        <v>0</v>
      </c>
    </row>
    <row r="14" spans="2:17" s="374" customFormat="1" ht="14.4">
      <c r="B14" s="373" t="s">
        <v>973</v>
      </c>
      <c r="C14" s="373"/>
      <c r="D14" s="383">
        <f>E3</f>
        <v>2467</v>
      </c>
      <c r="E14" s="373" t="s">
        <v>972</v>
      </c>
      <c r="F14" s="373"/>
      <c r="G14" s="385">
        <f>E9</f>
        <v>0.11</v>
      </c>
      <c r="H14" s="384"/>
      <c r="K14" s="397">
        <f t="shared" si="0"/>
        <v>8</v>
      </c>
      <c r="L14" s="398">
        <v>45212</v>
      </c>
      <c r="M14" s="402">
        <v>28000</v>
      </c>
      <c r="N14" s="395">
        <v>860</v>
      </c>
      <c r="O14" s="395">
        <v>4</v>
      </c>
      <c r="P14" s="400">
        <v>0.2712</v>
      </c>
      <c r="Q14" s="372">
        <v>0</v>
      </c>
    </row>
    <row r="15" spans="2:17" s="374" customFormat="1" ht="14.4">
      <c r="B15" s="373" t="s">
        <v>971</v>
      </c>
      <c r="C15" s="373"/>
      <c r="D15" s="383">
        <f>E4</f>
        <v>860</v>
      </c>
      <c r="E15" s="373" t="s">
        <v>970</v>
      </c>
      <c r="F15" s="373"/>
      <c r="G15" s="385">
        <f>E10</f>
        <v>41.3</v>
      </c>
      <c r="H15" s="384"/>
      <c r="K15" s="397">
        <f t="shared" si="0"/>
        <v>9</v>
      </c>
      <c r="L15" s="403">
        <v>45427</v>
      </c>
      <c r="M15" s="402">
        <v>5813</v>
      </c>
      <c r="N15" s="395">
        <v>860</v>
      </c>
      <c r="O15" s="395">
        <v>4</v>
      </c>
      <c r="P15" s="400">
        <v>0.26490000000000002</v>
      </c>
      <c r="Q15" s="372">
        <v>0</v>
      </c>
    </row>
    <row r="16" spans="2:17" s="374" customFormat="1" ht="14.4">
      <c r="B16" s="373" t="s">
        <v>969</v>
      </c>
      <c r="C16" s="373"/>
      <c r="D16" s="383">
        <f ca="1">(D14*G15+D27*G14)/(G15+G14)</f>
        <v>2465.0644433179455</v>
      </c>
      <c r="E16" s="373" t="s">
        <v>968</v>
      </c>
      <c r="F16" s="373"/>
      <c r="G16" s="382">
        <f>E8</f>
        <v>4.2100000000000005E-2</v>
      </c>
      <c r="H16" s="373"/>
      <c r="K16" s="397">
        <f t="shared" si="0"/>
        <v>10</v>
      </c>
      <c r="L16" s="403">
        <v>45427</v>
      </c>
      <c r="M16" s="402">
        <v>11627</v>
      </c>
      <c r="N16" s="395">
        <v>860</v>
      </c>
      <c r="O16" s="395">
        <v>4</v>
      </c>
      <c r="P16" s="400">
        <v>0.26490000000000002</v>
      </c>
      <c r="Q16" s="372">
        <v>0</v>
      </c>
    </row>
    <row r="17" spans="2:17" s="374" customFormat="1" ht="14.4">
      <c r="B17" s="373" t="s">
        <v>967</v>
      </c>
      <c r="C17" s="373"/>
      <c r="D17" s="383">
        <f>D15</f>
        <v>860</v>
      </c>
      <c r="E17" s="373" t="s">
        <v>966</v>
      </c>
      <c r="F17" s="373"/>
      <c r="G17" s="407">
        <f>E6^2</f>
        <v>9.0000000000000002E-6</v>
      </c>
      <c r="H17" s="373"/>
      <c r="K17" s="397">
        <f t="shared" si="0"/>
        <v>11</v>
      </c>
      <c r="L17" s="403">
        <v>45427</v>
      </c>
      <c r="M17" s="402">
        <v>17441</v>
      </c>
      <c r="N17" s="395">
        <v>860</v>
      </c>
      <c r="O17" s="395">
        <v>4</v>
      </c>
      <c r="P17" s="400">
        <v>0.26490000000000002</v>
      </c>
      <c r="Q17" s="372">
        <v>0</v>
      </c>
    </row>
    <row r="18" spans="2:17" s="374" customFormat="1" ht="14.4">
      <c r="B18" s="373" t="s">
        <v>965</v>
      </c>
      <c r="C18" s="373"/>
      <c r="D18" s="383">
        <f>E5</f>
        <v>4</v>
      </c>
      <c r="E18" s="373" t="s">
        <v>964</v>
      </c>
      <c r="F18" s="373"/>
      <c r="G18" s="382">
        <f>E7</f>
        <v>0</v>
      </c>
      <c r="H18" s="373"/>
      <c r="K18" s="397">
        <f t="shared" si="0"/>
        <v>12</v>
      </c>
      <c r="L18" s="403">
        <v>45427</v>
      </c>
      <c r="M18" s="402">
        <v>23258</v>
      </c>
      <c r="N18" s="395">
        <v>860</v>
      </c>
      <c r="O18" s="395">
        <v>4</v>
      </c>
      <c r="P18" s="400">
        <v>0.26490000000000002</v>
      </c>
      <c r="Q18" s="372">
        <v>0</v>
      </c>
    </row>
    <row r="19" spans="2:17" s="374" customFormat="1" ht="14.4">
      <c r="B19" s="373"/>
      <c r="C19" s="373"/>
      <c r="D19" s="381"/>
      <c r="E19" s="373" t="s">
        <v>963</v>
      </c>
      <c r="F19" s="373"/>
      <c r="G19" s="380">
        <f>G16-G18</f>
        <v>4.2100000000000005E-2</v>
      </c>
      <c r="H19" s="373"/>
      <c r="K19" s="397">
        <f t="shared" si="0"/>
        <v>13</v>
      </c>
      <c r="L19" s="403">
        <v>45504</v>
      </c>
      <c r="M19" s="402">
        <v>3800</v>
      </c>
      <c r="N19" s="395">
        <v>860</v>
      </c>
      <c r="O19" s="395">
        <v>4</v>
      </c>
      <c r="P19" s="400">
        <v>0.26529999999999998</v>
      </c>
      <c r="Q19" s="372">
        <v>0</v>
      </c>
    </row>
    <row r="20" spans="2:17" s="374" customFormat="1" ht="14.4">
      <c r="B20" s="373"/>
      <c r="C20" s="373"/>
      <c r="D20" s="373"/>
      <c r="E20" s="373"/>
      <c r="F20" s="373"/>
      <c r="G20" s="373"/>
      <c r="H20" s="373"/>
      <c r="K20" s="397">
        <f t="shared" si="0"/>
        <v>14</v>
      </c>
      <c r="L20" s="403">
        <v>45504</v>
      </c>
      <c r="M20" s="402">
        <v>7600</v>
      </c>
      <c r="N20" s="395">
        <v>860</v>
      </c>
      <c r="O20" s="395">
        <v>4</v>
      </c>
      <c r="P20" s="400">
        <v>0.26529999999999998</v>
      </c>
      <c r="Q20" s="372">
        <v>0</v>
      </c>
    </row>
    <row r="21" spans="2:17" s="374" customFormat="1" ht="14.4">
      <c r="B21" s="373" t="s">
        <v>962</v>
      </c>
      <c r="C21" s="378">
        <f ca="1">(LN(D16/D17)+(G19+(G17/2))*D18)/(((G17)^(0.5))*(D18^0.5))</f>
        <v>203.57647337022632</v>
      </c>
      <c r="D21" s="373"/>
      <c r="E21" s="373"/>
      <c r="F21" s="373"/>
      <c r="G21" s="373"/>
      <c r="H21" s="373"/>
      <c r="K21" s="397">
        <f t="shared" si="0"/>
        <v>15</v>
      </c>
      <c r="L21" s="403">
        <v>45504</v>
      </c>
      <c r="M21" s="402">
        <v>11400</v>
      </c>
      <c r="N21" s="395">
        <v>860</v>
      </c>
      <c r="O21" s="395">
        <v>4</v>
      </c>
      <c r="P21" s="400">
        <v>0.26529999999999998</v>
      </c>
      <c r="Q21" s="372">
        <v>0</v>
      </c>
    </row>
    <row r="22" spans="2:17" s="374" customFormat="1" ht="14.4">
      <c r="B22" s="373" t="s">
        <v>961</v>
      </c>
      <c r="C22" s="378">
        <f ca="1">NORMSDIST(C21)</f>
        <v>1</v>
      </c>
      <c r="D22" s="373"/>
      <c r="E22" s="373"/>
      <c r="F22" s="373"/>
      <c r="G22" s="373"/>
      <c r="H22" s="373"/>
      <c r="K22" s="397">
        <f t="shared" si="0"/>
        <v>16</v>
      </c>
      <c r="L22" s="403">
        <v>45504</v>
      </c>
      <c r="M22" s="402">
        <v>15200</v>
      </c>
      <c r="N22" s="395">
        <v>860</v>
      </c>
      <c r="O22" s="395">
        <v>4</v>
      </c>
      <c r="P22" s="400">
        <v>0.26529999999999998</v>
      </c>
      <c r="Q22" s="372">
        <v>0</v>
      </c>
    </row>
    <row r="23" spans="2:17" s="374" customFormat="1" ht="14.4">
      <c r="B23" s="373"/>
      <c r="C23" s="379"/>
      <c r="D23" s="373"/>
      <c r="E23" s="373"/>
      <c r="F23" s="373"/>
      <c r="G23" s="373"/>
      <c r="H23" s="373"/>
      <c r="K23" s="402"/>
      <c r="L23" s="402"/>
      <c r="M23" s="404" t="s">
        <v>991</v>
      </c>
      <c r="N23" s="405">
        <f>SUMPRODUCT(N7:N22,$M$7:$M$22)/SUM($M$7:$M$22)</f>
        <v>860</v>
      </c>
      <c r="O23" s="405">
        <f t="shared" ref="O23:P23" si="1">SUMPRODUCT(O7:O22,$M$7:$M$22)/SUM($M$7:$M$22)</f>
        <v>4</v>
      </c>
      <c r="P23" s="405">
        <f t="shared" si="1"/>
        <v>0.27694570962233606</v>
      </c>
      <c r="Q23" s="405">
        <f t="shared" ref="Q23" si="2">SUMPRODUCT(Q7:Q22,$M$7:$M$22)/SUM($M$7:$M$22)</f>
        <v>0</v>
      </c>
    </row>
    <row r="24" spans="2:17" s="374" customFormat="1" ht="15.75" customHeight="1">
      <c r="B24" s="373" t="s">
        <v>960</v>
      </c>
      <c r="C24" s="378">
        <f ca="1">C21-((G17^0.5)*(D18^(0.5)))</f>
        <v>203.57047337022632</v>
      </c>
      <c r="D24" s="373"/>
      <c r="E24" s="373"/>
      <c r="F24" s="373"/>
      <c r="G24" s="373"/>
      <c r="H24" s="373"/>
    </row>
    <row r="25" spans="2:17" s="374" customFormat="1" ht="14.4">
      <c r="B25" s="373" t="s">
        <v>959</v>
      </c>
      <c r="C25" s="378">
        <f ca="1">NORMSDIST(C24)</f>
        <v>1</v>
      </c>
      <c r="D25" s="373"/>
      <c r="E25" s="373"/>
      <c r="F25" s="373"/>
      <c r="G25" s="373"/>
      <c r="H25" s="373"/>
    </row>
    <row r="26" spans="2:17" ht="15" thickBot="1">
      <c r="B26" s="373"/>
      <c r="C26" s="373"/>
      <c r="D26" s="373"/>
      <c r="E26" s="373"/>
      <c r="F26" s="373"/>
      <c r="G26" s="373"/>
      <c r="H26" s="373"/>
    </row>
    <row r="27" spans="2:17" s="374" customFormat="1" ht="15" thickBot="1">
      <c r="B27" s="373" t="s">
        <v>958</v>
      </c>
      <c r="C27" s="373"/>
      <c r="D27" s="377">
        <f ca="1">((EXP((0-G18)*D18))*D16*C22-D17*(EXP((0-G16)*D18))*C25)</f>
        <v>1738.3508890556805</v>
      </c>
      <c r="E27" s="376"/>
      <c r="F27" s="373"/>
      <c r="G27" s="373"/>
      <c r="H27" s="375"/>
    </row>
    <row r="28" spans="2:17" s="374" customFormat="1" ht="15" thickBot="1">
      <c r="B28" s="373" t="s">
        <v>957</v>
      </c>
      <c r="C28" s="373"/>
      <c r="D28" s="373"/>
      <c r="E28" s="408">
        <f ca="1">D27*E9</f>
        <v>191.21859779612484</v>
      </c>
      <c r="F28" s="373"/>
      <c r="G28" s="373"/>
      <c r="H28" s="373"/>
    </row>
    <row r="29" spans="2:17" ht="14.4">
      <c r="B29" s="373"/>
      <c r="C29" s="373"/>
      <c r="D29" s="373"/>
      <c r="E29" s="373"/>
      <c r="F29" s="373"/>
      <c r="G29" s="373"/>
      <c r="H29" s="373"/>
    </row>
    <row r="30" spans="2:17" ht="14.4">
      <c r="B30" s="373"/>
      <c r="C30" s="373"/>
      <c r="D30" s="373"/>
      <c r="E30" s="373"/>
      <c r="F30" s="373"/>
      <c r="G30" s="373"/>
      <c r="H30" s="373"/>
    </row>
    <row r="31" spans="2:17" ht="14.4">
      <c r="B31" s="373"/>
      <c r="C31" s="373"/>
      <c r="D31" s="373"/>
      <c r="E31" s="373"/>
      <c r="F31" s="373"/>
      <c r="G31" s="373"/>
      <c r="H31" s="373"/>
    </row>
    <row r="32" spans="2:17" ht="14.4">
      <c r="B32" s="373"/>
      <c r="C32" s="373"/>
      <c r="D32" s="373"/>
      <c r="E32" s="373"/>
      <c r="F32" s="373"/>
      <c r="G32" s="373"/>
      <c r="H32" s="373"/>
    </row>
    <row r="33" spans="2:8" ht="14.4">
      <c r="B33" s="373"/>
      <c r="C33" s="373"/>
      <c r="D33" s="373"/>
      <c r="E33" s="373"/>
      <c r="F33" s="373"/>
      <c r="G33" s="373"/>
      <c r="H33" s="373"/>
    </row>
    <row r="34" spans="2:8" ht="14.4">
      <c r="B34" s="373"/>
      <c r="C34" s="373"/>
      <c r="D34" s="373"/>
      <c r="E34" s="373"/>
      <c r="F34" s="373"/>
      <c r="G34" s="373"/>
      <c r="H34" s="373"/>
    </row>
    <row r="35" spans="2:8" ht="14.4">
      <c r="B35" s="373"/>
      <c r="C35" s="373"/>
      <c r="D35" s="373"/>
      <c r="E35" s="373"/>
      <c r="F35" s="373"/>
      <c r="G35" s="373"/>
      <c r="H35" s="373"/>
    </row>
    <row r="36" spans="2:8" ht="14.4">
      <c r="B36" s="373"/>
      <c r="C36" s="373"/>
      <c r="D36" s="373"/>
      <c r="E36" s="373"/>
      <c r="F36" s="373"/>
      <c r="G36" s="373"/>
      <c r="H36" s="373"/>
    </row>
    <row r="37" spans="2:8" ht="14.4">
      <c r="B37" s="373"/>
      <c r="C37" s="373"/>
      <c r="D37" s="373"/>
      <c r="E37" s="373"/>
      <c r="F37" s="373"/>
      <c r="G37" s="373"/>
      <c r="H37" s="373"/>
    </row>
  </sheetData>
  <sheetProtection sheet="1" objects="1" scenarios="1" selectLockedCells="1"/>
  <pageMargins left="0.75" right="0.75" top="1" bottom="1" header="0.5" footer="0.5"/>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249977111117893"/>
  </sheetPr>
  <dimension ref="A1"/>
  <sheetViews>
    <sheetView workbookViewId="0">
      <selection activeCell="K12" sqref="K12:R22"/>
    </sheetView>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102"/>
  <sheetViews>
    <sheetView showGridLines="0" zoomScaleNormal="100" workbookViewId="0">
      <selection activeCell="E1" sqref="E1"/>
    </sheetView>
  </sheetViews>
  <sheetFormatPr defaultRowHeight="14.4"/>
  <cols>
    <col min="1" max="1" width="1.88671875" customWidth="1"/>
    <col min="2" max="2" width="33.33203125" customWidth="1"/>
    <col min="3" max="3" width="2.88671875" customWidth="1"/>
    <col min="4" max="4" width="17.33203125" bestFit="1" customWidth="1"/>
    <col min="5" max="5" width="24.88671875" bestFit="1" customWidth="1"/>
    <col min="6" max="6" width="10.77734375" bestFit="1" customWidth="1"/>
    <col min="7" max="7" width="11.21875" customWidth="1"/>
    <col min="8" max="8" width="55.109375" customWidth="1"/>
    <col min="9" max="9" width="9.44140625" customWidth="1"/>
    <col min="10" max="10" width="17.6640625" customWidth="1"/>
    <col min="11" max="11" width="9.77734375" customWidth="1"/>
    <col min="12" max="12" width="16.109375" customWidth="1"/>
  </cols>
  <sheetData>
    <row r="1" spans="2:10">
      <c r="E1" s="544"/>
    </row>
    <row r="2" spans="2:10" ht="25.8">
      <c r="B2" s="522" t="str">
        <f>'Input Sheet'!C5</f>
        <v>Mankind Pharma Ltd</v>
      </c>
    </row>
    <row r="3" spans="2:10" ht="18">
      <c r="B3" s="14" t="s">
        <v>142</v>
      </c>
    </row>
    <row r="5" spans="2:10">
      <c r="B5" s="511" t="s">
        <v>161</v>
      </c>
      <c r="C5" s="511"/>
      <c r="D5" s="512" t="s">
        <v>896</v>
      </c>
      <c r="E5" s="512" t="s">
        <v>897</v>
      </c>
      <c r="F5" s="512" t="s">
        <v>898</v>
      </c>
      <c r="H5" s="364" t="s">
        <v>143</v>
      </c>
      <c r="J5" s="364"/>
    </row>
    <row r="6" spans="2:10" ht="3.6" customHeight="1"/>
    <row r="7" spans="2:10" ht="14.4" customHeight="1">
      <c r="B7" s="331" t="s">
        <v>143</v>
      </c>
      <c r="C7" s="331"/>
      <c r="D7" s="332">
        <f>'Input Sheet'!C9-'Input Sheet'!C11</f>
        <v>4.2100000000000005E-2</v>
      </c>
      <c r="E7" s="332">
        <f>D7</f>
        <v>4.2100000000000005E-2</v>
      </c>
      <c r="F7" s="332">
        <f t="shared" ref="F7:F8" si="0">E7</f>
        <v>4.2100000000000005E-2</v>
      </c>
      <c r="H7" s="541" t="str">
        <f>"We have considered "&amp;TEXT(E7,"0.00%")&amp;" as the risk free rate in the estimation of cost of equity of "&amp;TEXT(E12,"0.00%")&amp;". The risk free rate of India is calculated by considering local currency 10 Year Government Bond Yield adjusted for default spread of India."</f>
        <v>We have considered 4.21% as the risk free rate in the estimation of cost of equity of 8.88%. The risk free rate of India is calculated by considering local currency 10 Year Government Bond Yield adjusted for default spread of India.</v>
      </c>
      <c r="J7" s="541"/>
    </row>
    <row r="8" spans="2:10" ht="14.4" customHeight="1">
      <c r="B8" s="330" t="s">
        <v>899</v>
      </c>
      <c r="C8" s="330"/>
      <c r="D8" s="333">
        <f>'Input Sheet'!C12+'Input Sheet'!C11</f>
        <v>0.06</v>
      </c>
      <c r="E8" s="333">
        <f>D8</f>
        <v>0.06</v>
      </c>
      <c r="F8" s="333">
        <f t="shared" si="0"/>
        <v>0.06</v>
      </c>
      <c r="H8" s="541"/>
      <c r="J8" s="541"/>
    </row>
    <row r="9" spans="2:10">
      <c r="B9" s="330" t="s">
        <v>670</v>
      </c>
      <c r="C9" s="330"/>
      <c r="D9" s="347">
        <f>E9-'Input Sheet'!C14</f>
        <v>0.48918512463983038</v>
      </c>
      <c r="E9" s="347">
        <f>'Input Sheet'!C13</f>
        <v>0.53918512463983037</v>
      </c>
      <c r="F9" s="347">
        <f>E9+'Input Sheet'!C14</f>
        <v>0.58918512463983042</v>
      </c>
      <c r="H9" s="541"/>
      <c r="J9" s="541"/>
    </row>
    <row r="10" spans="2:10">
      <c r="B10" s="330" t="s">
        <v>902</v>
      </c>
      <c r="C10" s="330"/>
      <c r="D10" s="362">
        <f>'Input Sheet'!C15</f>
        <v>0.5918782561736039</v>
      </c>
      <c r="E10" s="362">
        <f>D10</f>
        <v>0.5918782561736039</v>
      </c>
      <c r="F10" s="362">
        <f t="shared" ref="F10" si="1">E10</f>
        <v>0.5918782561736039</v>
      </c>
      <c r="H10" s="541"/>
      <c r="J10" s="541"/>
    </row>
    <row r="11" spans="2:10">
      <c r="B11" t="s">
        <v>900</v>
      </c>
      <c r="D11" s="347">
        <f>D9*(1+(D10*(1-'Input Sheet'!$C$17)))</f>
        <v>0.70633865352824776</v>
      </c>
      <c r="E11" s="347">
        <f>E9*(1+(E10*(1-'Input Sheet'!$C$17)))</f>
        <v>0.77853408813475788</v>
      </c>
      <c r="F11" s="347">
        <f>F9*(1+(F10*(1-'Input Sheet'!$C$17)))</f>
        <v>0.85072952274126812</v>
      </c>
      <c r="J11" s="541"/>
    </row>
    <row r="12" spans="2:10" ht="15" thickBot="1">
      <c r="B12" s="329" t="s">
        <v>901</v>
      </c>
      <c r="C12" s="329"/>
      <c r="D12" s="335">
        <f>D7+D8*D11</f>
        <v>8.4480319211694868E-2</v>
      </c>
      <c r="E12" s="335">
        <f t="shared" ref="E12:F12" si="2">E7+E8*E11</f>
        <v>8.8812045288085478E-2</v>
      </c>
      <c r="F12" s="335">
        <f t="shared" si="2"/>
        <v>9.3143771364476088E-2</v>
      </c>
      <c r="H12" s="364" t="s">
        <v>670</v>
      </c>
      <c r="J12" s="541"/>
    </row>
    <row r="14" spans="2:10" ht="14.4" customHeight="1">
      <c r="B14" t="s">
        <v>675</v>
      </c>
      <c r="D14" s="336">
        <v>2.9000000000000001E-2</v>
      </c>
      <c r="E14" s="336">
        <f>D14</f>
        <v>2.9000000000000001E-2</v>
      </c>
      <c r="F14" s="336">
        <f t="shared" ref="F14:F15" si="3">E14</f>
        <v>2.9000000000000001E-2</v>
      </c>
      <c r="H14" s="541" t="str">
        <f>"We have estimated an Asset Beta Range of "&amp;TEXT(D9,"0.00")&amp;" to "&amp;TEXT(F9,"0.00")&amp;", with a mid point of "&amp;TEXT(E9,"0.00")&amp;" based on observed median 2 Year weekly asset beta of benchmarked listed companies adjusted for blume effect."</f>
        <v>We have estimated an Asset Beta Range of 0.49 to 0.59, with a mid point of 0.54 based on observed median 2 Year weekly asset beta of benchmarked listed companies adjusted for blume effect.</v>
      </c>
    </row>
    <row r="15" spans="2:10">
      <c r="B15" s="330" t="s">
        <v>903</v>
      </c>
      <c r="C15" s="330"/>
      <c r="D15" s="337">
        <f>'Input Sheet'!C24</f>
        <v>0</v>
      </c>
      <c r="E15" s="337">
        <f>D15</f>
        <v>0</v>
      </c>
      <c r="F15" s="337">
        <f t="shared" si="3"/>
        <v>0</v>
      </c>
      <c r="H15" s="541"/>
    </row>
    <row r="16" spans="2:10" ht="15" customHeight="1" thickBot="1">
      <c r="B16" s="329" t="s">
        <v>904</v>
      </c>
      <c r="C16" s="329"/>
      <c r="D16" s="335">
        <f>D12+D14+D15</f>
        <v>0.11348031921169487</v>
      </c>
      <c r="E16" s="335">
        <f t="shared" ref="E16:F16" si="4">E12+E14+E15</f>
        <v>0.11781204528808548</v>
      </c>
      <c r="F16" s="335">
        <f t="shared" si="4"/>
        <v>0.12214377136447609</v>
      </c>
      <c r="H16" s="541"/>
    </row>
    <row r="17" spans="2:8">
      <c r="H17" s="541"/>
    </row>
    <row r="18" spans="2:8">
      <c r="B18" t="s">
        <v>905</v>
      </c>
      <c r="D18" s="340">
        <f>'Input Sheet'!C9+(IF('Input Sheet'!C18="No",'Input Sheet'!C22,VLOOKUP('Input Sheet'!C20,'Damodaran Data'!J7:K21,2,FALSE)))</f>
        <v>7.2200000000000014E-2</v>
      </c>
      <c r="E18" s="341">
        <f>D18</f>
        <v>7.2200000000000014E-2</v>
      </c>
      <c r="F18" s="341">
        <f t="shared" ref="F18:F19" si="5">E18</f>
        <v>7.2200000000000014E-2</v>
      </c>
    </row>
    <row r="19" spans="2:8">
      <c r="B19" s="330" t="s">
        <v>35</v>
      </c>
      <c r="C19" s="330"/>
      <c r="D19" s="342">
        <f>'Input Sheet'!C17</f>
        <v>0.25</v>
      </c>
      <c r="E19" s="342">
        <f>D19</f>
        <v>0.25</v>
      </c>
      <c r="F19" s="342">
        <f t="shared" si="5"/>
        <v>0.25</v>
      </c>
      <c r="H19" s="364" t="s">
        <v>948</v>
      </c>
    </row>
    <row r="20" spans="2:8" ht="15" thickBot="1">
      <c r="B20" s="329" t="s">
        <v>906</v>
      </c>
      <c r="C20" s="329"/>
      <c r="D20" s="343">
        <f>D18*(1-D19)</f>
        <v>5.4150000000000011E-2</v>
      </c>
      <c r="E20" s="343">
        <f t="shared" ref="E20:F20" si="6">E18*(1-E19)</f>
        <v>5.4150000000000011E-2</v>
      </c>
      <c r="F20" s="343">
        <f t="shared" si="6"/>
        <v>5.4150000000000011E-2</v>
      </c>
    </row>
    <row r="21" spans="2:8">
      <c r="H21" s="541" t="str">
        <f>"An ERP of "&amp;TEXT(E8,"0.00%")&amp;" has been adopted based on US Implied ERP, relative equity volatility of ICE BoFA Public Sector Issues Emerging Markets Index, S&amp;P Emerging BMI Index and country risk premium of India."</f>
        <v>An ERP of 6.00% has been adopted based on US Implied ERP, relative equity volatility of ICE BoFA Public Sector Issues Emerging Markets Index, S&amp;P Emerging BMI Index and country risk premium of India.</v>
      </c>
    </row>
    <row r="22" spans="2:8">
      <c r="B22" t="s">
        <v>907</v>
      </c>
      <c r="D22" s="339">
        <f>'Input Sheet'!C16</f>
        <v>0.36800801346220002</v>
      </c>
      <c r="E22" s="339">
        <f>D22</f>
        <v>0.36800801346220002</v>
      </c>
      <c r="F22" s="339">
        <f t="shared" ref="F22" si="7">E22</f>
        <v>0.36800801346220002</v>
      </c>
      <c r="H22" s="541"/>
    </row>
    <row r="23" spans="2:8">
      <c r="B23" s="330" t="s">
        <v>142</v>
      </c>
      <c r="C23" s="330"/>
      <c r="D23" s="337">
        <f>(D20*D22)+(D16*(1-D22))</f>
        <v>9.1646286300520838E-2</v>
      </c>
      <c r="E23" s="337">
        <f t="shared" ref="E23:F23" si="8">(E20*E22)+(E16*(1-E22))</f>
        <v>9.4383902468676534E-2</v>
      </c>
      <c r="F23" s="337">
        <f t="shared" si="8"/>
        <v>9.7121518636832216E-2</v>
      </c>
      <c r="H23" s="541"/>
    </row>
    <row r="24" spans="2:8" ht="15" thickBot="1">
      <c r="B24" s="329" t="s">
        <v>908</v>
      </c>
      <c r="C24" s="329"/>
      <c r="D24" s="338">
        <f>ROUNDUP(D23,2)</f>
        <v>9.9999999999999992E-2</v>
      </c>
      <c r="E24" s="338">
        <f t="shared" ref="E24:F24" si="9">ROUNDUP(E23,2)</f>
        <v>9.9999999999999992E-2</v>
      </c>
      <c r="F24" s="338">
        <f t="shared" si="9"/>
        <v>9.9999999999999992E-2</v>
      </c>
      <c r="H24" s="541"/>
    </row>
    <row r="26" spans="2:8" ht="28.8">
      <c r="B26" s="513" t="s">
        <v>945</v>
      </c>
      <c r="H26" s="364" t="s">
        <v>144</v>
      </c>
    </row>
    <row r="27" spans="2:8">
      <c r="B27" s="167" t="s">
        <v>946</v>
      </c>
    </row>
    <row r="28" spans="2:8" ht="14.4" customHeight="1">
      <c r="B28" s="167" t="s">
        <v>947</v>
      </c>
      <c r="H28" s="541" t="s">
        <v>949</v>
      </c>
    </row>
    <row r="29" spans="2:8">
      <c r="B29" s="363"/>
      <c r="H29" s="541"/>
    </row>
    <row r="30" spans="2:8">
      <c r="H30" s="541"/>
    </row>
    <row r="31" spans="2:8">
      <c r="H31" s="541"/>
    </row>
    <row r="33" spans="2:15" ht="25.8">
      <c r="B33" s="522" t="str">
        <f>B2</f>
        <v>Mankind Pharma Ltd</v>
      </c>
    </row>
    <row r="34" spans="2:15" ht="18">
      <c r="B34" s="14" t="s">
        <v>910</v>
      </c>
    </row>
    <row r="35" spans="2:15" ht="7.2" customHeight="1"/>
    <row r="36" spans="2:15" ht="39.6" customHeight="1">
      <c r="B36" s="514" t="s">
        <v>911</v>
      </c>
      <c r="C36" s="511"/>
      <c r="D36" s="515" t="s">
        <v>912</v>
      </c>
      <c r="E36" s="515" t="s">
        <v>913</v>
      </c>
      <c r="F36" s="515" t="s">
        <v>914</v>
      </c>
      <c r="G36" s="515" t="s">
        <v>670</v>
      </c>
      <c r="H36" s="515" t="s">
        <v>915</v>
      </c>
      <c r="I36" s="515" t="s">
        <v>900</v>
      </c>
      <c r="J36" s="515" t="s">
        <v>916</v>
      </c>
      <c r="L36" s="515" t="s">
        <v>993</v>
      </c>
      <c r="M36" s="515" t="s">
        <v>994</v>
      </c>
    </row>
    <row r="37" spans="2:15" ht="4.2" customHeight="1"/>
    <row r="38" spans="2:15">
      <c r="B38" s="344" t="s">
        <v>917</v>
      </c>
      <c r="C38" s="330"/>
      <c r="D38" s="345" t="s">
        <v>918</v>
      </c>
      <c r="E38" s="334">
        <v>104</v>
      </c>
      <c r="F38" s="346">
        <v>380750</v>
      </c>
      <c r="G38" s="347">
        <f>I38/(1+(H38*(1-$D$19)))</f>
        <v>0.44870766176815696</v>
      </c>
      <c r="H38" s="358">
        <f>AVERAGE('Assumptions Working'!Q806:R806)</f>
        <v>3.355514571884069E-2</v>
      </c>
      <c r="I38" s="406">
        <v>0.46</v>
      </c>
      <c r="J38" s="358">
        <f>'Assumptions Working'!AC817</f>
        <v>3.2436297393749224E-2</v>
      </c>
      <c r="L38" s="139" t="s">
        <v>136</v>
      </c>
      <c r="M38" s="139" t="str">
        <f>IF(L38="Yes","TRUE","FALSE")</f>
        <v>TRUE</v>
      </c>
      <c r="O38" t="s">
        <v>136</v>
      </c>
    </row>
    <row r="39" spans="2:15">
      <c r="B39" s="344" t="s">
        <v>919</v>
      </c>
      <c r="C39" s="330"/>
      <c r="D39" s="345" t="s">
        <v>920</v>
      </c>
      <c r="E39" s="334">
        <v>104</v>
      </c>
      <c r="F39" s="346">
        <v>120928</v>
      </c>
      <c r="G39" s="347">
        <f t="shared" ref="G39:G42" si="10">I39/(1+(H39*(1-$D$19)))</f>
        <v>0.4249886270437051</v>
      </c>
      <c r="H39" s="358">
        <f>AVERAGE('Assumptions Working'!Q812:R812)</f>
        <v>0.48632320362572506</v>
      </c>
      <c r="I39" s="406">
        <v>0.57999999999999996</v>
      </c>
      <c r="J39" s="358">
        <f>'Assumptions Working'!AC818</f>
        <v>0.32484434833709097</v>
      </c>
      <c r="L39" s="139" t="s">
        <v>137</v>
      </c>
      <c r="M39" s="139" t="str">
        <f t="shared" ref="M39:M42" si="11">IF(L39="Yes","TRUE","FALSE")</f>
        <v>FALSE</v>
      </c>
      <c r="O39" t="s">
        <v>137</v>
      </c>
    </row>
    <row r="40" spans="2:15">
      <c r="B40" s="344" t="s">
        <v>921</v>
      </c>
      <c r="C40" s="330"/>
      <c r="D40" s="345" t="s">
        <v>922</v>
      </c>
      <c r="E40" s="334">
        <v>104</v>
      </c>
      <c r="F40" s="346">
        <v>120016</v>
      </c>
      <c r="G40" s="347">
        <f t="shared" si="10"/>
        <v>1.2244330688957967</v>
      </c>
      <c r="H40" s="358">
        <f>AVERAGE('Assumptions Working'!Q818:R818)</f>
        <v>6.0620502615944018E-3</v>
      </c>
      <c r="I40" s="406">
        <v>1.23</v>
      </c>
      <c r="J40" s="358">
        <f>'Assumptions Working'!AC819</f>
        <v>6.0157561469128523E-3</v>
      </c>
      <c r="L40" s="139" t="s">
        <v>136</v>
      </c>
      <c r="M40" s="139" t="str">
        <f t="shared" si="11"/>
        <v>TRUE</v>
      </c>
    </row>
    <row r="41" spans="2:15">
      <c r="B41" s="344" t="s">
        <v>923</v>
      </c>
      <c r="C41" s="330"/>
      <c r="D41" s="345" t="s">
        <v>924</v>
      </c>
      <c r="E41" s="334">
        <v>104</v>
      </c>
      <c r="F41" s="346">
        <v>10101</v>
      </c>
      <c r="G41" s="347">
        <f t="shared" si="10"/>
        <v>0.33297269272870283</v>
      </c>
      <c r="H41" s="358">
        <f>AVERAGE('Assumptions Working'!U806:V806)</f>
        <v>0.90909279641247898</v>
      </c>
      <c r="I41" s="406">
        <v>0.56000000000000005</v>
      </c>
      <c r="J41" s="358">
        <f>'Assumptions Working'!AC820</f>
        <v>0.46062763067961304</v>
      </c>
      <c r="L41" s="139" t="s">
        <v>137</v>
      </c>
      <c r="M41" s="139" t="str">
        <f t="shared" si="11"/>
        <v>FALSE</v>
      </c>
    </row>
    <row r="42" spans="2:15">
      <c r="B42" s="344" t="s">
        <v>925</v>
      </c>
      <c r="C42" s="330"/>
      <c r="D42" s="345" t="s">
        <v>926</v>
      </c>
      <c r="E42" s="334">
        <v>104</v>
      </c>
      <c r="F42" s="346">
        <v>94199</v>
      </c>
      <c r="G42" s="347">
        <f t="shared" si="10"/>
        <v>0.67624894812357794</v>
      </c>
      <c r="H42" s="358">
        <f>AVERAGE('Assumptions Working'!U812:V812)</f>
        <v>8.6262220439815379E-2</v>
      </c>
      <c r="I42" s="406">
        <v>0.72</v>
      </c>
      <c r="J42" s="358">
        <f>'Assumptions Working'!AC821</f>
        <v>7.6858969797279839E-2</v>
      </c>
      <c r="L42" s="139" t="s">
        <v>136</v>
      </c>
      <c r="M42" s="139" t="str">
        <f t="shared" si="11"/>
        <v>TRUE</v>
      </c>
    </row>
    <row r="44" spans="2:15">
      <c r="B44" s="348" t="s">
        <v>927</v>
      </c>
      <c r="C44" s="349"/>
      <c r="D44" s="349"/>
      <c r="E44" s="349"/>
      <c r="F44" s="349"/>
      <c r="G44" s="350">
        <f t="shared" ref="G44" si="12">MEDIAN(G38:G42)</f>
        <v>0.44870766176815696</v>
      </c>
      <c r="H44" s="350">
        <f>MEDIAN(H38:H42)</f>
        <v>8.6262220439815379E-2</v>
      </c>
      <c r="I44" s="351">
        <f>MEDIAN(I38:I42)</f>
        <v>0.57999999999999996</v>
      </c>
      <c r="J44" s="350">
        <f>MEDIAN(J38:J42)</f>
        <v>7.6858969797279839E-2</v>
      </c>
    </row>
    <row r="45" spans="2:15">
      <c r="B45" s="352" t="s">
        <v>928</v>
      </c>
      <c r="C45" s="353"/>
      <c r="D45" s="353"/>
      <c r="E45" s="353"/>
      <c r="F45" s="353"/>
      <c r="G45" s="354">
        <f t="shared" ref="G45" si="13">AVERAGE(G38:G42)</f>
        <v>0.62147019971198791</v>
      </c>
      <c r="H45" s="354">
        <f>AVERAGE(H38:H42)</f>
        <v>0.30425908329169093</v>
      </c>
      <c r="I45" s="355">
        <f t="shared" ref="I45:J45" si="14">AVERAGE(I38:I42)</f>
        <v>0.71</v>
      </c>
      <c r="J45" s="354">
        <f t="shared" si="14"/>
        <v>0.18015660047092916</v>
      </c>
    </row>
    <row r="46" spans="2:15">
      <c r="H46" s="139"/>
      <c r="I46" s="139"/>
      <c r="J46" s="139"/>
    </row>
    <row r="50" spans="2:15" ht="25.8">
      <c r="B50" s="522" t="str">
        <f>B2</f>
        <v>Mankind Pharma Ltd</v>
      </c>
    </row>
    <row r="51" spans="2:15" ht="18">
      <c r="B51" s="14" t="s">
        <v>929</v>
      </c>
    </row>
    <row r="52" spans="2:15" ht="4.2" customHeight="1"/>
    <row r="53" spans="2:15" ht="43.2" customHeight="1">
      <c r="B53" s="514" t="s">
        <v>911</v>
      </c>
      <c r="C53" s="511"/>
      <c r="D53" s="515" t="s">
        <v>912</v>
      </c>
      <c r="E53" s="515" t="s">
        <v>932</v>
      </c>
      <c r="F53" s="515" t="s">
        <v>914</v>
      </c>
      <c r="G53" s="515" t="s">
        <v>670</v>
      </c>
      <c r="H53" s="515" t="s">
        <v>930</v>
      </c>
      <c r="I53" s="515" t="s">
        <v>900</v>
      </c>
      <c r="J53" s="515" t="s">
        <v>931</v>
      </c>
      <c r="L53" s="515" t="s">
        <v>993</v>
      </c>
      <c r="M53" s="515" t="s">
        <v>994</v>
      </c>
    </row>
    <row r="54" spans="2:15" ht="5.4" customHeight="1"/>
    <row r="55" spans="2:15">
      <c r="B55" s="344" t="s">
        <v>917</v>
      </c>
      <c r="C55" s="330"/>
      <c r="D55" s="345" t="s">
        <v>918</v>
      </c>
      <c r="E55" s="334">
        <v>60</v>
      </c>
      <c r="F55" s="346">
        <v>380750</v>
      </c>
      <c r="G55" s="347">
        <f>I55/(1+(H55*(1-$D$19)))</f>
        <v>0.53918512463983037</v>
      </c>
      <c r="H55" s="358">
        <f>'Assumptions Working'!Z833</f>
        <v>5.1472427332693541E-2</v>
      </c>
      <c r="I55" s="406">
        <v>0.56000000000000005</v>
      </c>
      <c r="J55" s="358">
        <f>'Assumptions Working'!AA833</f>
        <v>4.8127993377851203E-2</v>
      </c>
      <c r="L55" s="139" t="s">
        <v>136</v>
      </c>
      <c r="M55" s="139" t="str">
        <f>IF(L55="Yes","TRUE","FALSE")</f>
        <v>TRUE</v>
      </c>
      <c r="O55" t="s">
        <v>136</v>
      </c>
    </row>
    <row r="56" spans="2:15">
      <c r="B56" s="344" t="s">
        <v>919</v>
      </c>
      <c r="C56" s="330"/>
      <c r="D56" s="345" t="s">
        <v>920</v>
      </c>
      <c r="E56" s="334">
        <v>60</v>
      </c>
      <c r="F56" s="346">
        <v>120928</v>
      </c>
      <c r="G56" s="347">
        <f t="shared" ref="G56:G59" si="15">I56/(1+(H56*(1-$D$19)))</f>
        <v>0.22464320853214281</v>
      </c>
      <c r="H56" s="358">
        <f>'Assumptions Working'!Z841</f>
        <v>0.62532814980268181</v>
      </c>
      <c r="I56" s="406">
        <v>0.33</v>
      </c>
      <c r="J56" s="358">
        <f>'Assumptions Working'!AA841</f>
        <v>0.37957189152297427</v>
      </c>
      <c r="L56" s="139" t="s">
        <v>137</v>
      </c>
      <c r="M56" s="139" t="str">
        <f t="shared" ref="M56:M59" si="16">IF(L56="Yes","TRUE","FALSE")</f>
        <v>FALSE</v>
      </c>
      <c r="O56" t="s">
        <v>137</v>
      </c>
    </row>
    <row r="57" spans="2:15">
      <c r="B57" s="344" t="s">
        <v>921</v>
      </c>
      <c r="C57" s="330"/>
      <c r="D57" s="345" t="s">
        <v>922</v>
      </c>
      <c r="E57" s="334">
        <v>60</v>
      </c>
      <c r="F57" s="346">
        <v>120016</v>
      </c>
      <c r="G57" s="347">
        <f t="shared" si="15"/>
        <v>0.39929191590180113</v>
      </c>
      <c r="H57" s="358">
        <f>'Assumptions Working'!Z849</f>
        <v>3.5756910910704258E-2</v>
      </c>
      <c r="I57" s="406">
        <v>0.41</v>
      </c>
      <c r="J57" s="358">
        <f>'Assumptions Working'!AA849</f>
        <v>3.3328882755412591E-2</v>
      </c>
      <c r="L57" s="139" t="s">
        <v>136</v>
      </c>
      <c r="M57" s="139" t="str">
        <f t="shared" si="16"/>
        <v>TRUE</v>
      </c>
    </row>
    <row r="58" spans="2:15">
      <c r="B58" s="344" t="s">
        <v>923</v>
      </c>
      <c r="C58" s="330"/>
      <c r="D58" s="345" t="s">
        <v>924</v>
      </c>
      <c r="E58" s="334">
        <v>60</v>
      </c>
      <c r="F58" s="346">
        <v>10101</v>
      </c>
      <c r="G58" s="347">
        <f t="shared" si="15"/>
        <v>0.61795715889993186</v>
      </c>
      <c r="H58" s="358">
        <f>'Assumptions Working'!AG833</f>
        <v>0.43593710489518606</v>
      </c>
      <c r="I58" s="406">
        <v>0.82</v>
      </c>
      <c r="J58" s="358">
        <f>'Assumptions Working'!AH833</f>
        <v>0.24761256037094129</v>
      </c>
      <c r="L58" s="139" t="s">
        <v>137</v>
      </c>
      <c r="M58" s="139" t="str">
        <f t="shared" si="16"/>
        <v>FALSE</v>
      </c>
    </row>
    <row r="59" spans="2:15">
      <c r="B59" s="344" t="s">
        <v>925</v>
      </c>
      <c r="C59" s="330"/>
      <c r="D59" s="345" t="s">
        <v>926</v>
      </c>
      <c r="E59" s="334">
        <v>60</v>
      </c>
      <c r="F59" s="346">
        <v>94199</v>
      </c>
      <c r="G59" s="347">
        <f t="shared" si="15"/>
        <v>0.68675449005842581</v>
      </c>
      <c r="H59" s="358">
        <f>'Assumptions Working'!AG841</f>
        <v>0.14220610325211042</v>
      </c>
      <c r="I59" s="406">
        <v>0.76</v>
      </c>
      <c r="J59" s="358">
        <f>'Assumptions Working'!AH841</f>
        <v>0.11916452472491501</v>
      </c>
      <c r="L59" s="139" t="s">
        <v>136</v>
      </c>
      <c r="M59" s="139" t="str">
        <f t="shared" si="16"/>
        <v>TRUE</v>
      </c>
    </row>
    <row r="61" spans="2:15">
      <c r="B61" s="348" t="s">
        <v>927</v>
      </c>
      <c r="C61" s="349"/>
      <c r="D61" s="349"/>
      <c r="E61" s="349"/>
      <c r="F61" s="349"/>
      <c r="G61" s="350">
        <f t="shared" ref="G61" si="17">MEDIAN(G55:G59)</f>
        <v>0.53918512463983037</v>
      </c>
      <c r="H61" s="350">
        <f>MEDIAN(H55:H59)</f>
        <v>0.14220610325211042</v>
      </c>
      <c r="I61" s="351">
        <f>MEDIAN(I55:I59)</f>
        <v>0.56000000000000005</v>
      </c>
      <c r="J61" s="350">
        <f>MEDIAN(J55:J59)</f>
        <v>0.11916452472491501</v>
      </c>
    </row>
    <row r="62" spans="2:15">
      <c r="B62" s="352" t="s">
        <v>928</v>
      </c>
      <c r="C62" s="353"/>
      <c r="D62" s="353"/>
      <c r="E62" s="353"/>
      <c r="F62" s="353"/>
      <c r="G62" s="354">
        <f t="shared" ref="G62" si="18">AVERAGE(G55:G59)</f>
        <v>0.49356637960642641</v>
      </c>
      <c r="H62" s="354">
        <f>AVERAGE(H55:H59)</f>
        <v>0.25814013923867518</v>
      </c>
      <c r="I62" s="355">
        <f t="shared" ref="I62:J62" si="19">AVERAGE(I55:I59)</f>
        <v>0.57599999999999996</v>
      </c>
      <c r="J62" s="354">
        <f t="shared" si="19"/>
        <v>0.16556117055041886</v>
      </c>
    </row>
    <row r="63" spans="2:15">
      <c r="H63" s="139"/>
      <c r="I63" s="139"/>
      <c r="J63" s="139"/>
    </row>
    <row r="67" spans="2:15" ht="18">
      <c r="B67" s="14" t="s">
        <v>933</v>
      </c>
    </row>
    <row r="68" spans="2:15" ht="3.6" customHeight="1"/>
    <row r="69" spans="2:15" ht="28.8">
      <c r="B69" s="514" t="s">
        <v>911</v>
      </c>
      <c r="C69" s="511"/>
      <c r="D69" s="515" t="s">
        <v>912</v>
      </c>
      <c r="E69" s="515" t="s">
        <v>932</v>
      </c>
      <c r="F69" s="515" t="s">
        <v>914</v>
      </c>
      <c r="G69" s="515" t="s">
        <v>670</v>
      </c>
      <c r="H69" s="515" t="s">
        <v>930</v>
      </c>
      <c r="I69" s="515" t="s">
        <v>900</v>
      </c>
      <c r="J69" s="515" t="s">
        <v>931</v>
      </c>
      <c r="L69" s="515" t="s">
        <v>993</v>
      </c>
      <c r="M69" s="515" t="s">
        <v>994</v>
      </c>
    </row>
    <row r="70" spans="2:15" ht="5.4" customHeight="1"/>
    <row r="71" spans="2:15">
      <c r="B71" s="344" t="s">
        <v>917</v>
      </c>
      <c r="C71" s="330"/>
      <c r="D71" s="345" t="s">
        <v>918</v>
      </c>
      <c r="E71" s="334">
        <v>60</v>
      </c>
      <c r="F71" s="346">
        <v>380750</v>
      </c>
      <c r="G71" s="347">
        <f>I71/(1+(H71*(1-$D$19)))</f>
        <v>0.53918512463983037</v>
      </c>
      <c r="H71" s="358">
        <f t="shared" ref="H71:J75" si="20">H55</f>
        <v>5.1472427332693541E-2</v>
      </c>
      <c r="I71" s="358">
        <f t="shared" si="20"/>
        <v>0.56000000000000005</v>
      </c>
      <c r="J71" s="358">
        <f t="shared" si="20"/>
        <v>4.8127993377851203E-2</v>
      </c>
      <c r="L71" s="139" t="s">
        <v>136</v>
      </c>
      <c r="M71" s="139" t="str">
        <f>IF(L71="Yes","TRUE","FALSE")</f>
        <v>TRUE</v>
      </c>
      <c r="O71" t="s">
        <v>136</v>
      </c>
    </row>
    <row r="72" spans="2:15">
      <c r="B72" s="344" t="s">
        <v>919</v>
      </c>
      <c r="C72" s="330"/>
      <c r="D72" s="345" t="s">
        <v>920</v>
      </c>
      <c r="E72" s="334">
        <v>60</v>
      </c>
      <c r="F72" s="346">
        <v>120928</v>
      </c>
      <c r="G72" s="347">
        <f t="shared" ref="G72:G75" si="21">I72/(1+(H72*(1-$D$19)))</f>
        <v>0.22464320853214281</v>
      </c>
      <c r="H72" s="358">
        <f t="shared" si="20"/>
        <v>0.62532814980268181</v>
      </c>
      <c r="I72" s="358">
        <f t="shared" si="20"/>
        <v>0.33</v>
      </c>
      <c r="J72" s="358">
        <f t="shared" si="20"/>
        <v>0.37957189152297427</v>
      </c>
      <c r="L72" s="139" t="s">
        <v>136</v>
      </c>
      <c r="M72" s="139" t="str">
        <f t="shared" ref="M72:M75" si="22">IF(L72="Yes","TRUE","FALSE")</f>
        <v>TRUE</v>
      </c>
      <c r="O72" t="s">
        <v>137</v>
      </c>
    </row>
    <row r="73" spans="2:15">
      <c r="B73" s="344" t="s">
        <v>921</v>
      </c>
      <c r="C73" s="330"/>
      <c r="D73" s="345" t="s">
        <v>922</v>
      </c>
      <c r="E73" s="334">
        <v>60</v>
      </c>
      <c r="F73" s="346">
        <v>120016</v>
      </c>
      <c r="G73" s="347">
        <f t="shared" si="21"/>
        <v>0.39929191590180113</v>
      </c>
      <c r="H73" s="358">
        <f t="shared" si="20"/>
        <v>3.5756910910704258E-2</v>
      </c>
      <c r="I73" s="358">
        <f t="shared" si="20"/>
        <v>0.41</v>
      </c>
      <c r="J73" s="358">
        <f t="shared" si="20"/>
        <v>3.3328882755412591E-2</v>
      </c>
      <c r="L73" s="139" t="s">
        <v>136</v>
      </c>
      <c r="M73" s="139" t="str">
        <f t="shared" si="22"/>
        <v>TRUE</v>
      </c>
    </row>
    <row r="74" spans="2:15">
      <c r="B74" s="344" t="s">
        <v>923</v>
      </c>
      <c r="C74" s="330"/>
      <c r="D74" s="345" t="s">
        <v>924</v>
      </c>
      <c r="E74" s="334">
        <v>60</v>
      </c>
      <c r="F74" s="346">
        <v>10101</v>
      </c>
      <c r="G74" s="347">
        <f t="shared" si="21"/>
        <v>0.61795715889993186</v>
      </c>
      <c r="H74" s="358">
        <f t="shared" si="20"/>
        <v>0.43593710489518606</v>
      </c>
      <c r="I74" s="358">
        <f t="shared" si="20"/>
        <v>0.82</v>
      </c>
      <c r="J74" s="358">
        <f t="shared" si="20"/>
        <v>0.24761256037094129</v>
      </c>
      <c r="L74" s="139" t="s">
        <v>137</v>
      </c>
      <c r="M74" s="139" t="str">
        <f t="shared" si="22"/>
        <v>FALSE</v>
      </c>
    </row>
    <row r="75" spans="2:15">
      <c r="B75" s="344" t="s">
        <v>925</v>
      </c>
      <c r="C75" s="330"/>
      <c r="D75" s="345" t="s">
        <v>926</v>
      </c>
      <c r="E75" s="334">
        <v>60</v>
      </c>
      <c r="F75" s="346">
        <v>94199</v>
      </c>
      <c r="G75" s="347">
        <f t="shared" si="21"/>
        <v>0.68675449005842581</v>
      </c>
      <c r="H75" s="358">
        <f t="shared" si="20"/>
        <v>0.14220610325211042</v>
      </c>
      <c r="I75" s="358">
        <f t="shared" si="20"/>
        <v>0.76</v>
      </c>
      <c r="J75" s="358">
        <f t="shared" si="20"/>
        <v>0.11916452472491501</v>
      </c>
      <c r="L75" s="139" t="s">
        <v>136</v>
      </c>
      <c r="M75" s="139" t="str">
        <f t="shared" si="22"/>
        <v>TRUE</v>
      </c>
    </row>
    <row r="77" spans="2:15">
      <c r="B77" s="348" t="s">
        <v>927</v>
      </c>
      <c r="C77" s="349"/>
      <c r="D77" s="349"/>
      <c r="E77" s="349"/>
      <c r="F77" s="349"/>
      <c r="G77" s="350">
        <f t="shared" ref="G77" si="23">MEDIAN(G71:G75)</f>
        <v>0.53918512463983037</v>
      </c>
      <c r="H77" s="350">
        <f>MEDIAN(H71:H75)</f>
        <v>0.14220610325211042</v>
      </c>
      <c r="I77" s="351">
        <f>MEDIAN(I71:I75)</f>
        <v>0.56000000000000005</v>
      </c>
      <c r="J77" s="350">
        <f>MEDIAN(J71:J75)</f>
        <v>0.11916452472491501</v>
      </c>
    </row>
    <row r="78" spans="2:15">
      <c r="B78" s="352" t="s">
        <v>928</v>
      </c>
      <c r="C78" s="353"/>
      <c r="D78" s="353"/>
      <c r="E78" s="353"/>
      <c r="F78" s="353"/>
      <c r="G78" s="354">
        <f t="shared" ref="G78" si="24">AVERAGE(G71:G75)</f>
        <v>0.49356637960642641</v>
      </c>
      <c r="H78" s="354">
        <f>AVERAGE(H71:H75)</f>
        <v>0.25814013923867518</v>
      </c>
      <c r="I78" s="355">
        <f t="shared" ref="I78:J78" si="25">AVERAGE(I71:I75)</f>
        <v>0.57599999999999996</v>
      </c>
      <c r="J78" s="354">
        <f t="shared" si="25"/>
        <v>0.16556117055041886</v>
      </c>
    </row>
    <row r="79" spans="2:15">
      <c r="H79" s="139"/>
      <c r="I79" s="139"/>
      <c r="J79" s="139"/>
    </row>
    <row r="80" spans="2:15">
      <c r="B80" s="356" t="str">
        <f>"We are taking "&amp;"=G84 "&amp;"as asset beta of botteling unit"</f>
        <v>We are taking =G84 as asset beta of botteling unit</v>
      </c>
    </row>
    <row r="102" ht="14.4" customHeight="1"/>
  </sheetData>
  <sheetProtection sheet="1" objects="1" scenarios="1" selectLockedCells="1"/>
  <mergeCells count="5">
    <mergeCell ref="J7:J12"/>
    <mergeCell ref="H28:H31"/>
    <mergeCell ref="H7:H10"/>
    <mergeCell ref="H14:H17"/>
    <mergeCell ref="H21:H24"/>
  </mergeCells>
  <dataValidations count="1">
    <dataValidation type="list" allowBlank="1" showInputMessage="1" showErrorMessage="1" sqref="L71:L75 L55:L59 L38:L42" xr:uid="{00000000-0002-0000-0800-000000000000}">
      <formula1>$O$38:$O$39</formula1>
    </dataValidation>
  </dataValidations>
  <hyperlinks>
    <hyperlink ref="D38" r:id="rId1" display="https://www.nseindia.com/get-quotes/equity?symbol=SUNPHARMA" xr:uid="{00000000-0004-0000-0800-000000000000}"/>
    <hyperlink ref="D39" r:id="rId2" display="https://www.nseindia.com/get-quotes/equity?symbol=TORNTPHARM" xr:uid="{00000000-0004-0000-0800-000001000000}"/>
    <hyperlink ref="D40" r:id="rId3" display="https://www.nseindia.com/get-quotes/equity?symbol=CIPLA" xr:uid="{00000000-0004-0000-0800-000002000000}"/>
    <hyperlink ref="D41" r:id="rId4" display="https://www.nseindia.com/get-quotes/equity?symbol=DRREDDY" xr:uid="{00000000-0004-0000-0800-000003000000}"/>
    <hyperlink ref="D42" r:id="rId5" display="https://www.nseindia.com/get-quotes/equity?symbol=ZYDUSLIFE" xr:uid="{00000000-0004-0000-0800-000004000000}"/>
    <hyperlink ref="D55" r:id="rId6" display="https://www.nseindia.com/get-quotes/equity?symbol=SUNPHARMA" xr:uid="{00000000-0004-0000-0800-000005000000}"/>
    <hyperlink ref="D56" r:id="rId7" display="https://www.nseindia.com/get-quotes/equity?symbol=TORNTPHARM" xr:uid="{00000000-0004-0000-0800-000006000000}"/>
    <hyperlink ref="D57" r:id="rId8" display="https://www.nseindia.com/get-quotes/equity?symbol=CIPLA" xr:uid="{00000000-0004-0000-0800-000007000000}"/>
    <hyperlink ref="D58" r:id="rId9" display="https://www.nseindia.com/get-quotes/equity?symbol=DRREDDY" xr:uid="{00000000-0004-0000-0800-000008000000}"/>
    <hyperlink ref="D59" r:id="rId10" display="https://www.nseindia.com/get-quotes/equity?symbol=ZYDUSLIFE" xr:uid="{00000000-0004-0000-0800-000009000000}"/>
    <hyperlink ref="D71" r:id="rId11" display="https://www.nseindia.com/get-quotes/equity?symbol=SUNPHARMA" xr:uid="{00000000-0004-0000-0800-00000A000000}"/>
    <hyperlink ref="D72" r:id="rId12" display="https://www.nseindia.com/get-quotes/equity?symbol=TORNTPHARM" xr:uid="{00000000-0004-0000-0800-00000B000000}"/>
    <hyperlink ref="D73" r:id="rId13" display="https://www.nseindia.com/get-quotes/equity?symbol=CIPLA" xr:uid="{00000000-0004-0000-0800-00000C000000}"/>
    <hyperlink ref="D74" r:id="rId14" display="https://www.nseindia.com/get-quotes/equity?symbol=DRREDDY" xr:uid="{00000000-0004-0000-0800-00000D000000}"/>
    <hyperlink ref="D75" r:id="rId15" display="https://www.nseindia.com/get-quotes/equity?symbol=ZYDUSLIFE" xr:uid="{00000000-0004-0000-0800-00000E000000}"/>
  </hyperlinks>
  <pageMargins left="0.7" right="0.7" top="0.75" bottom="0.75" header="0.3" footer="0.3"/>
  <drawing r:id="rId16"/>
  <legacyDrawing r:id="rId1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W177"/>
  <sheetViews>
    <sheetView showGridLines="0" zoomScale="96" zoomScaleNormal="96" workbookViewId="0">
      <selection activeCell="D25" sqref="D25"/>
    </sheetView>
  </sheetViews>
  <sheetFormatPr defaultRowHeight="14.4" customHeight="1"/>
  <cols>
    <col min="1" max="1" width="1.88671875" customWidth="1"/>
    <col min="2" max="2" width="34.109375" bestFit="1" customWidth="1"/>
    <col min="3" max="3" width="24.33203125" customWidth="1"/>
    <col min="4" max="4" width="6.44140625" bestFit="1" customWidth="1"/>
    <col min="5" max="6" width="9" customWidth="1"/>
    <col min="7" max="9" width="9.33203125" customWidth="1"/>
    <col min="10" max="10" width="8.6640625" customWidth="1"/>
    <col min="11" max="11" width="7.88671875" customWidth="1"/>
    <col min="12" max="13" width="9.77734375" customWidth="1"/>
    <col min="14" max="14" width="10.88671875" bestFit="1" customWidth="1"/>
    <col min="15" max="19" width="10.88671875" customWidth="1"/>
    <col min="20" max="20" width="1.88671875" customWidth="1"/>
  </cols>
  <sheetData>
    <row r="2" spans="1:23" ht="25.8">
      <c r="B2" s="522" t="str">
        <f>'Input Sheet'!C5</f>
        <v>Mankind Pharma Ltd</v>
      </c>
    </row>
    <row r="3" spans="1:23" ht="18">
      <c r="B3" s="14" t="s">
        <v>129</v>
      </c>
    </row>
    <row r="4" spans="1:23" ht="18">
      <c r="B4" s="14"/>
      <c r="I4" s="534"/>
      <c r="J4" s="534"/>
      <c r="W4" t="s">
        <v>135</v>
      </c>
    </row>
    <row r="5" spans="1:23" ht="18">
      <c r="B5" s="14"/>
      <c r="W5" t="s">
        <v>136</v>
      </c>
    </row>
    <row r="6" spans="1:23" ht="18">
      <c r="B6" s="14"/>
      <c r="W6" t="s">
        <v>137</v>
      </c>
    </row>
    <row r="8" spans="1:23">
      <c r="D8" s="99"/>
      <c r="E8" s="537" t="s">
        <v>21</v>
      </c>
      <c r="F8" s="537"/>
      <c r="G8" s="537"/>
      <c r="H8" s="537"/>
      <c r="I8" s="537"/>
      <c r="J8" s="536" t="s">
        <v>22</v>
      </c>
      <c r="K8" s="536"/>
      <c r="L8" s="536"/>
      <c r="M8" s="536"/>
      <c r="N8" s="536"/>
      <c r="O8" s="535" t="s">
        <v>995</v>
      </c>
      <c r="P8" s="535"/>
      <c r="Q8" s="535"/>
      <c r="R8" s="535"/>
      <c r="S8" s="535"/>
    </row>
    <row r="9" spans="1:23">
      <c r="A9" t="s">
        <v>31</v>
      </c>
      <c r="B9" s="16" t="s">
        <v>20</v>
      </c>
      <c r="C9" s="15"/>
      <c r="D9" s="64"/>
      <c r="E9" s="365">
        <f>'3StatementModel'!D9</f>
        <v>2021</v>
      </c>
      <c r="F9" s="365">
        <f>'3StatementModel'!E9</f>
        <v>2022</v>
      </c>
      <c r="G9" s="365">
        <f>'3StatementModel'!F9</f>
        <v>2023</v>
      </c>
      <c r="H9" s="365">
        <f>'3StatementModel'!G9</f>
        <v>2024</v>
      </c>
      <c r="I9" s="365">
        <f>'3StatementModel'!H9</f>
        <v>2025</v>
      </c>
      <c r="J9" s="365">
        <f>'3StatementModel'!I9</f>
        <v>2026</v>
      </c>
      <c r="K9" s="365">
        <f>'3StatementModel'!J9</f>
        <v>2027</v>
      </c>
      <c r="L9" s="365">
        <f>'3StatementModel'!K9</f>
        <v>2028</v>
      </c>
      <c r="M9" s="365">
        <f>'3StatementModel'!L9</f>
        <v>2029</v>
      </c>
      <c r="N9" s="365">
        <f>'3StatementModel'!M9</f>
        <v>2030</v>
      </c>
      <c r="O9" s="365">
        <f>'3StatementModel'!N9</f>
        <v>2031</v>
      </c>
      <c r="P9" s="365">
        <f>'3StatementModel'!O9</f>
        <v>2032</v>
      </c>
      <c r="Q9" s="365">
        <f>'3StatementModel'!P9</f>
        <v>2033</v>
      </c>
      <c r="R9" s="365">
        <f>'3StatementModel'!Q9</f>
        <v>2034</v>
      </c>
      <c r="S9" s="365">
        <f>'3StatementModel'!R9</f>
        <v>2035</v>
      </c>
    </row>
    <row r="10" spans="1:23" ht="6" customHeight="1">
      <c r="B10" s="77"/>
      <c r="D10" s="78"/>
      <c r="E10" s="78"/>
      <c r="F10" s="78"/>
      <c r="G10" s="78"/>
      <c r="H10" s="78"/>
      <c r="I10" s="79"/>
      <c r="J10" s="79"/>
      <c r="K10" s="79"/>
      <c r="L10" s="79"/>
      <c r="M10" s="79"/>
      <c r="N10" s="79"/>
      <c r="O10" s="79"/>
      <c r="P10" s="79"/>
      <c r="Q10" s="79"/>
      <c r="R10" s="79"/>
      <c r="S10" s="79"/>
    </row>
    <row r="11" spans="1:23" ht="15.6">
      <c r="A11" t="s">
        <v>23</v>
      </c>
      <c r="B11" s="491" t="s">
        <v>130</v>
      </c>
      <c r="C11" s="492"/>
      <c r="D11" s="492"/>
      <c r="E11" s="492"/>
      <c r="F11" s="492"/>
      <c r="G11" s="492"/>
      <c r="H11" s="492"/>
      <c r="I11" s="492"/>
      <c r="J11" s="492"/>
      <c r="K11" s="492"/>
      <c r="L11" s="492"/>
      <c r="M11" s="492"/>
      <c r="N11" s="492"/>
      <c r="O11" s="492"/>
      <c r="P11" s="492"/>
      <c r="Q11" s="492"/>
      <c r="R11" s="492"/>
      <c r="S11" s="492"/>
    </row>
    <row r="13" spans="1:23" ht="14.4" customHeight="1">
      <c r="B13" t="s">
        <v>63</v>
      </c>
      <c r="E13" s="368">
        <f>'3StatementModel'!D25</f>
        <v>1657.5927999999999</v>
      </c>
      <c r="F13" s="368">
        <f>'3StatementModel'!E25</f>
        <v>1989.3662000000004</v>
      </c>
      <c r="G13" s="368">
        <f>'3StatementModel'!F25</f>
        <v>1900.6581000000006</v>
      </c>
      <c r="H13" s="368">
        <f>'3StatementModel'!G25</f>
        <v>2535.1032999999998</v>
      </c>
      <c r="I13" s="368">
        <f>'3StatementModel'!H25</f>
        <v>2651.8599999999988</v>
      </c>
      <c r="J13" s="368">
        <f>'3StatementModel'!I25</f>
        <v>3096.9158999999991</v>
      </c>
      <c r="K13" s="368">
        <f>'3StatementModel'!J25</f>
        <v>3708.5928008999981</v>
      </c>
      <c r="L13" s="368">
        <f>'3StatementModel'!K25</f>
        <v>4380.6703650450017</v>
      </c>
      <c r="M13" s="368">
        <f>'3StatementModel'!L25</f>
        <v>5103.4809752774254</v>
      </c>
      <c r="N13" s="368">
        <f>'3StatementModel'!M25</f>
        <v>5863.0892165762289</v>
      </c>
      <c r="O13" s="368">
        <f>'3StatementModel'!N25</f>
        <v>6566.6599225653772</v>
      </c>
      <c r="P13" s="368">
        <f>'3StatementModel'!O25</f>
        <v>7354.6591132732246</v>
      </c>
      <c r="Q13" s="368">
        <f>'3StatementModel'!P25</f>
        <v>8237.2182068660095</v>
      </c>
      <c r="R13" s="368">
        <f>'3StatementModel'!Q25</f>
        <v>9225.6843916899306</v>
      </c>
      <c r="S13" s="368">
        <f>'3StatementModel'!R25</f>
        <v>10332.766518692726</v>
      </c>
    </row>
    <row r="14" spans="1:23" ht="14.4" customHeight="1">
      <c r="B14" s="83" t="s">
        <v>44</v>
      </c>
      <c r="E14" s="368">
        <f>'3StatementModel'!D29*-1</f>
        <v>-118.97030000000001</v>
      </c>
      <c r="F14" s="368">
        <f>'3StatementModel'!E29*-1</f>
        <v>-166.61919999999998</v>
      </c>
      <c r="G14" s="368">
        <f>'3StatementModel'!F29*-1</f>
        <v>-325.91950000000003</v>
      </c>
      <c r="H14" s="368">
        <f>'3StatementModel'!G29*-1</f>
        <v>-398.25370000000004</v>
      </c>
      <c r="I14" s="368">
        <f>'3StatementModel'!H29*-1</f>
        <v>-621</v>
      </c>
      <c r="J14" s="368">
        <f>'3StatementModel'!I29*-1</f>
        <v>-661.80718875000002</v>
      </c>
      <c r="K14" s="368">
        <f>'3StatementModel'!J29*-1</f>
        <v>-706.62506364374997</v>
      </c>
      <c r="L14" s="368">
        <f>'3StatementModel'!K29*-1</f>
        <v>-764.83402870312489</v>
      </c>
      <c r="M14" s="368">
        <f>'3StatementModel'!L29*-1</f>
        <v>-825.08030753957803</v>
      </c>
      <c r="N14" s="368">
        <f>'3StatementModel'!M29*-1</f>
        <v>-885.8621088545774</v>
      </c>
      <c r="O14" s="368">
        <f>'3StatementModel'!N29*-1</f>
        <v>-953.93772632737682</v>
      </c>
      <c r="P14" s="368">
        <f>'3StatementModel'!O29*-1</f>
        <v>-1030.1824178969118</v>
      </c>
      <c r="Q14" s="368">
        <f>'3StatementModel'!P29*-1</f>
        <v>-1115.5764724547914</v>
      </c>
      <c r="R14" s="368">
        <f>'3StatementModel'!Q29*-1</f>
        <v>-1211.2178135596164</v>
      </c>
      <c r="S14" s="368">
        <f>'3StatementModel'!R29*-1</f>
        <v>-1318.3361155970206</v>
      </c>
    </row>
    <row r="15" spans="1:23" ht="14.4" customHeight="1">
      <c r="B15" s="30" t="s">
        <v>64</v>
      </c>
      <c r="C15" s="19"/>
      <c r="D15" s="19"/>
      <c r="E15" s="369">
        <f>SUM(E13:E14)</f>
        <v>1538.6224999999999</v>
      </c>
      <c r="F15" s="369">
        <f t="shared" ref="F15:N15" si="0">SUM(F13:F14)</f>
        <v>1822.7470000000003</v>
      </c>
      <c r="G15" s="369">
        <f t="shared" si="0"/>
        <v>1574.7386000000006</v>
      </c>
      <c r="H15" s="369">
        <f t="shared" si="0"/>
        <v>2136.8495999999996</v>
      </c>
      <c r="I15" s="369">
        <f t="shared" si="0"/>
        <v>2030.8599999999988</v>
      </c>
      <c r="J15" s="369">
        <f t="shared" si="0"/>
        <v>2435.108711249999</v>
      </c>
      <c r="K15" s="369">
        <f t="shared" si="0"/>
        <v>3001.9677372562483</v>
      </c>
      <c r="L15" s="369">
        <f t="shared" si="0"/>
        <v>3615.8363363418766</v>
      </c>
      <c r="M15" s="369">
        <f t="shared" si="0"/>
        <v>4278.4006677378475</v>
      </c>
      <c r="N15" s="369">
        <f t="shared" si="0"/>
        <v>4977.2271077216519</v>
      </c>
      <c r="O15" s="369">
        <f t="shared" ref="O15:S15" si="1">SUM(O13:O14)</f>
        <v>5612.7221962380008</v>
      </c>
      <c r="P15" s="369">
        <f t="shared" si="1"/>
        <v>6324.4766953763128</v>
      </c>
      <c r="Q15" s="369">
        <f t="shared" si="1"/>
        <v>7121.6417344112178</v>
      </c>
      <c r="R15" s="369">
        <f t="shared" si="1"/>
        <v>8014.4665781303138</v>
      </c>
      <c r="S15" s="369">
        <f t="shared" si="1"/>
        <v>9014.4304030957064</v>
      </c>
    </row>
    <row r="16" spans="1:23" ht="14.4" customHeight="1">
      <c r="B16" s="83" t="s">
        <v>132</v>
      </c>
      <c r="E16" s="368">
        <f>'3StatementModel'!D39</f>
        <v>-398.58389999999997</v>
      </c>
      <c r="F16" s="368">
        <f>'3StatementModel'!E39</f>
        <v>-521.64350000000002</v>
      </c>
      <c r="G16" s="368">
        <f>'3StatementModel'!F39</f>
        <v>-361.56330000000003</v>
      </c>
      <c r="H16" s="368">
        <f>'3StatementModel'!G39</f>
        <v>-457.5865</v>
      </c>
      <c r="I16" s="368">
        <f>'3StatementModel'!H39</f>
        <v>-509.74</v>
      </c>
      <c r="J16" s="368">
        <f>'3StatementModel'!I39</f>
        <v>-576.44152604338387</v>
      </c>
      <c r="K16" s="368">
        <f>'3StatementModel'!J39</f>
        <v>-750.4933530224946</v>
      </c>
      <c r="L16" s="368">
        <f>'3StatementModel'!K39</f>
        <v>-914.98666676107109</v>
      </c>
      <c r="M16" s="368">
        <f>'3StatementModel'!L39</f>
        <v>-1089.6270520370556</v>
      </c>
      <c r="N16" s="368">
        <f>'3StatementModel'!M39</f>
        <v>-1274.5917066147476</v>
      </c>
      <c r="O16" s="368">
        <f>'3StatementModel'!N39</f>
        <v>-1467.4203790896629</v>
      </c>
      <c r="P16" s="368">
        <f>'3StatementModel'!O39</f>
        <v>-1683.6349893803313</v>
      </c>
      <c r="Q16" s="368">
        <f>'3StatementModel'!P39</f>
        <v>-1908.0559532619702</v>
      </c>
      <c r="R16" s="368">
        <f>'3StatementModel'!Q39</f>
        <v>-2159.6641875148416</v>
      </c>
      <c r="S16" s="368">
        <f>'3StatementModel'!R39</f>
        <v>-2441.7270771799422</v>
      </c>
    </row>
    <row r="17" spans="1:19" ht="14.4" customHeight="1">
      <c r="B17" s="30" t="s">
        <v>133</v>
      </c>
      <c r="C17" s="19"/>
      <c r="D17" s="19"/>
      <c r="E17" s="369">
        <f>SUM(E15:E16)</f>
        <v>1140.0385999999999</v>
      </c>
      <c r="F17" s="369">
        <f t="shared" ref="F17:N17" si="2">SUM(F15:F16)</f>
        <v>1301.1035000000002</v>
      </c>
      <c r="G17" s="369">
        <f t="shared" si="2"/>
        <v>1213.1753000000006</v>
      </c>
      <c r="H17" s="369">
        <f t="shared" si="2"/>
        <v>1679.2630999999997</v>
      </c>
      <c r="I17" s="369">
        <f t="shared" si="2"/>
        <v>1521.1199999999988</v>
      </c>
      <c r="J17" s="369">
        <f t="shared" si="2"/>
        <v>1858.6671852066152</v>
      </c>
      <c r="K17" s="369">
        <f t="shared" si="2"/>
        <v>2251.4743842337539</v>
      </c>
      <c r="L17" s="369">
        <f t="shared" si="2"/>
        <v>2700.8496695808053</v>
      </c>
      <c r="M17" s="369">
        <f t="shared" si="2"/>
        <v>3188.7736157007921</v>
      </c>
      <c r="N17" s="369">
        <f t="shared" si="2"/>
        <v>3702.6354011069043</v>
      </c>
      <c r="O17" s="369">
        <f t="shared" ref="O17:S17" si="3">SUM(O15:O16)</f>
        <v>4145.3018171483382</v>
      </c>
      <c r="P17" s="369">
        <f t="shared" si="3"/>
        <v>4640.8417059959811</v>
      </c>
      <c r="Q17" s="369">
        <f t="shared" si="3"/>
        <v>5213.5857811492479</v>
      </c>
      <c r="R17" s="369">
        <f t="shared" si="3"/>
        <v>5854.8023906154722</v>
      </c>
      <c r="S17" s="369">
        <f t="shared" si="3"/>
        <v>6572.7033259157643</v>
      </c>
    </row>
    <row r="18" spans="1:19" ht="14.4" customHeight="1">
      <c r="B18" s="83" t="s">
        <v>950</v>
      </c>
      <c r="E18" s="368">
        <f>'3StatementModel'!D29</f>
        <v>118.97030000000001</v>
      </c>
      <c r="F18" s="368">
        <f>'3StatementModel'!E29</f>
        <v>166.61919999999998</v>
      </c>
      <c r="G18" s="368">
        <f>'3StatementModel'!F29</f>
        <v>325.91950000000003</v>
      </c>
      <c r="H18" s="368">
        <f>'3StatementModel'!G29</f>
        <v>398.25370000000004</v>
      </c>
      <c r="I18" s="368">
        <f>'3StatementModel'!H29</f>
        <v>621</v>
      </c>
      <c r="J18" s="368">
        <f>'3StatementModel'!I29</f>
        <v>661.80718875000002</v>
      </c>
      <c r="K18" s="368">
        <f>'3StatementModel'!J29</f>
        <v>706.62506364374997</v>
      </c>
      <c r="L18" s="368">
        <f>'3StatementModel'!K29</f>
        <v>764.83402870312489</v>
      </c>
      <c r="M18" s="368">
        <f>'3StatementModel'!L29</f>
        <v>825.08030753957803</v>
      </c>
      <c r="N18" s="368">
        <f>'3StatementModel'!M29</f>
        <v>885.8621088545774</v>
      </c>
      <c r="O18" s="368">
        <f>'3StatementModel'!N29</f>
        <v>953.93772632737682</v>
      </c>
      <c r="P18" s="368">
        <f>'3StatementModel'!O29</f>
        <v>1030.1824178969118</v>
      </c>
      <c r="Q18" s="368">
        <f>'3StatementModel'!P29</f>
        <v>1115.5764724547914</v>
      </c>
      <c r="R18" s="368">
        <f>'3StatementModel'!Q29</f>
        <v>1211.2178135596164</v>
      </c>
      <c r="S18" s="368">
        <f>'3StatementModel'!R29</f>
        <v>1318.3361155970206</v>
      </c>
    </row>
    <row r="19" spans="1:19" s="20" customFormat="1" ht="14.4" customHeight="1">
      <c r="B19" s="30" t="s">
        <v>951</v>
      </c>
      <c r="C19" s="30"/>
      <c r="D19" s="30"/>
      <c r="E19" s="369">
        <f>SUM(E17:E18)</f>
        <v>1259.0088999999998</v>
      </c>
      <c r="F19" s="369">
        <f t="shared" ref="F19:N19" si="4">SUM(F17:F18)</f>
        <v>1467.7227000000003</v>
      </c>
      <c r="G19" s="369">
        <f t="shared" si="4"/>
        <v>1539.0948000000005</v>
      </c>
      <c r="H19" s="369">
        <f t="shared" si="4"/>
        <v>2077.5167999999999</v>
      </c>
      <c r="I19" s="369">
        <f t="shared" si="4"/>
        <v>2142.119999999999</v>
      </c>
      <c r="J19" s="369">
        <f t="shared" si="4"/>
        <v>2520.4743739566152</v>
      </c>
      <c r="K19" s="369">
        <f t="shared" si="4"/>
        <v>2958.0994478775037</v>
      </c>
      <c r="L19" s="369">
        <f t="shared" si="4"/>
        <v>3465.6836982839304</v>
      </c>
      <c r="M19" s="369">
        <f t="shared" si="4"/>
        <v>4013.85392324037</v>
      </c>
      <c r="N19" s="369">
        <f t="shared" si="4"/>
        <v>4588.4975099614821</v>
      </c>
      <c r="O19" s="369">
        <f t="shared" ref="O19:S19" si="5">SUM(O17:O18)</f>
        <v>5099.2395434757145</v>
      </c>
      <c r="P19" s="369">
        <f t="shared" si="5"/>
        <v>5671.0241238928929</v>
      </c>
      <c r="Q19" s="369">
        <f t="shared" si="5"/>
        <v>6329.1622536040395</v>
      </c>
      <c r="R19" s="369">
        <f t="shared" si="5"/>
        <v>7066.020204175089</v>
      </c>
      <c r="S19" s="369">
        <f t="shared" si="5"/>
        <v>7891.0394415127848</v>
      </c>
    </row>
    <row r="20" spans="1:19" ht="14.4" customHeight="1">
      <c r="B20" s="72" t="s">
        <v>134</v>
      </c>
      <c r="E20" s="370"/>
      <c r="F20" s="370"/>
      <c r="G20" s="370"/>
      <c r="H20" s="370"/>
      <c r="I20" s="370"/>
      <c r="J20" s="370"/>
      <c r="K20" s="370"/>
      <c r="L20" s="370"/>
      <c r="M20" s="370"/>
      <c r="N20" s="370"/>
      <c r="O20" s="370"/>
      <c r="P20" s="370"/>
      <c r="Q20" s="370"/>
      <c r="R20" s="370"/>
      <c r="S20" s="370"/>
    </row>
    <row r="21" spans="1:19" ht="14.4" customHeight="1">
      <c r="B21" s="83" t="s">
        <v>84</v>
      </c>
      <c r="E21" s="368">
        <f>'3StatementModel'!D124</f>
        <v>-94.029199999999989</v>
      </c>
      <c r="F21" s="368">
        <f>'3StatementModel'!E124</f>
        <v>-586.12070000000006</v>
      </c>
      <c r="G21" s="368">
        <f>'3StatementModel'!F124</f>
        <v>167.16740000000001</v>
      </c>
      <c r="H21" s="368">
        <f>'3StatementModel'!G124</f>
        <v>20.41589999999999</v>
      </c>
      <c r="I21" s="368">
        <f>'3StatementModel'!H124</f>
        <v>-146.41999999999999</v>
      </c>
      <c r="J21" s="368">
        <f>'3StatementModel'!I124</f>
        <v>973.69967869569268</v>
      </c>
      <c r="K21" s="368">
        <f>'3StatementModel'!J124</f>
        <v>-468.00419390699176</v>
      </c>
      <c r="L21" s="368">
        <f>'3StatementModel'!K124</f>
        <v>-376.49424595685241</v>
      </c>
      <c r="M21" s="368">
        <f>'3StatementModel'!L124</f>
        <v>-513.04282707732091</v>
      </c>
      <c r="N21" s="368">
        <f>'3StatementModel'!M124</f>
        <v>-527.58873582743354</v>
      </c>
      <c r="O21" s="368">
        <f>'3StatementModel'!N124</f>
        <v>-3396.9556691928592</v>
      </c>
      <c r="P21" s="368">
        <f>'3StatementModel'!O124</f>
        <v>-950.19195643055775</v>
      </c>
      <c r="Q21" s="368">
        <f>'3StatementModel'!P124</f>
        <v>-1064.1480158248396</v>
      </c>
      <c r="R21" s="368">
        <f>'3StatementModel'!Q124</f>
        <v>-1191.8214169217249</v>
      </c>
      <c r="S21" s="368">
        <f>'3StatementModel'!R124</f>
        <v>-1334.8820258931469</v>
      </c>
    </row>
    <row r="22" spans="1:19" ht="14.4" customHeight="1">
      <c r="B22" s="83" t="s">
        <v>952</v>
      </c>
      <c r="E22" s="368">
        <f>'3StatementModel'!D128</f>
        <v>-307.6859</v>
      </c>
      <c r="F22" s="368">
        <f>'3StatementModel'!E128</f>
        <v>-2325.3680000000004</v>
      </c>
      <c r="G22" s="368">
        <f>'3StatementModel'!F128</f>
        <v>-826.02110000000005</v>
      </c>
      <c r="H22" s="368">
        <f>'3StatementModel'!G128</f>
        <v>-381.7041999999999</v>
      </c>
      <c r="I22" s="368">
        <f>'3StatementModel'!H128</f>
        <v>-519</v>
      </c>
      <c r="J22" s="368">
        <f>'3StatementModel'!I128</f>
        <v>-652.91502000000003</v>
      </c>
      <c r="K22" s="368">
        <f>'3StatementModel'!J128</f>
        <v>-717.08599830000003</v>
      </c>
      <c r="L22" s="368">
        <f>'3StatementModel'!K128</f>
        <v>-931.34344094999938</v>
      </c>
      <c r="M22" s="368">
        <f>'3StatementModel'!L128</f>
        <v>-963.94046138324961</v>
      </c>
      <c r="N22" s="368">
        <f>'3StatementModel'!M128</f>
        <v>-972.50882103999027</v>
      </c>
      <c r="O22" s="368">
        <f>'3StatementModel'!N128</f>
        <v>-1089.2098795647894</v>
      </c>
      <c r="P22" s="368">
        <f>'3StatementModel'!O128</f>
        <v>-1219.9150651125644</v>
      </c>
      <c r="Q22" s="368">
        <f>'3StatementModel'!P128</f>
        <v>-1366.3048729260713</v>
      </c>
      <c r="R22" s="368">
        <f>'3StatementModel'!Q128</f>
        <v>-1530.2614576772014</v>
      </c>
      <c r="S22" s="368">
        <f>'3StatementModel'!R128</f>
        <v>-1713.8928325984648</v>
      </c>
    </row>
    <row r="23" spans="1:19" s="20" customFormat="1" ht="14.4" customHeight="1">
      <c r="B23" s="97" t="s">
        <v>130</v>
      </c>
      <c r="C23" s="30"/>
      <c r="D23" s="30"/>
      <c r="E23" s="369">
        <f t="shared" ref="E23" si="6">E19+SUM(E21:E22)</f>
        <v>857.29379999999981</v>
      </c>
      <c r="F23" s="369">
        <f t="shared" ref="F23" si="7">F19+SUM(F21:F22)</f>
        <v>-1443.7660000000001</v>
      </c>
      <c r="G23" s="369">
        <f t="shared" ref="G23" si="8">G19+SUM(G21:G22)</f>
        <v>880.24110000000053</v>
      </c>
      <c r="H23" s="369">
        <f t="shared" ref="H23" si="9">H19+SUM(H21:H22)</f>
        <v>1716.2284999999999</v>
      </c>
      <c r="I23" s="369">
        <f t="shared" ref="I23" si="10">I19+SUM(I21:I22)</f>
        <v>1476.6999999999989</v>
      </c>
      <c r="J23" s="369">
        <f t="shared" ref="J23:N23" si="11">J19+SUM(J21:J22)</f>
        <v>2841.2590326523077</v>
      </c>
      <c r="K23" s="369">
        <f t="shared" si="11"/>
        <v>1773.0092556705119</v>
      </c>
      <c r="L23" s="369">
        <f t="shared" si="11"/>
        <v>2157.8460113770789</v>
      </c>
      <c r="M23" s="369">
        <f t="shared" si="11"/>
        <v>2536.8706347797997</v>
      </c>
      <c r="N23" s="369">
        <f t="shared" si="11"/>
        <v>3088.3999530940582</v>
      </c>
      <c r="O23" s="369">
        <f t="shared" ref="O23:S23" si="12">O19+SUM(O21:O22)</f>
        <v>613.07399471806639</v>
      </c>
      <c r="P23" s="369">
        <f t="shared" si="12"/>
        <v>3500.9171023497706</v>
      </c>
      <c r="Q23" s="369">
        <f t="shared" si="12"/>
        <v>3898.7093648531286</v>
      </c>
      <c r="R23" s="369">
        <f t="shared" si="12"/>
        <v>4343.9373295761625</v>
      </c>
      <c r="S23" s="369">
        <f t="shared" si="12"/>
        <v>4842.2645830211732</v>
      </c>
    </row>
    <row r="24" spans="1:19" ht="14.4" customHeight="1">
      <c r="B24" s="83"/>
    </row>
    <row r="25" spans="1:19" ht="14.4" customHeight="1">
      <c r="B25" s="72" t="s">
        <v>138</v>
      </c>
      <c r="C25" s="530" t="s">
        <v>160</v>
      </c>
      <c r="D25" s="547" t="s">
        <v>136</v>
      </c>
      <c r="F25" s="146"/>
      <c r="G25" s="146"/>
      <c r="H25" s="146"/>
      <c r="J25">
        <f>IF(D25="Yes",(J9-I9)/2,J9-I9)</f>
        <v>0.5</v>
      </c>
      <c r="K25">
        <f>J25+1</f>
        <v>1.5</v>
      </c>
      <c r="L25">
        <f t="shared" ref="L25:N25" si="13">K25+1</f>
        <v>2.5</v>
      </c>
      <c r="M25">
        <f t="shared" si="13"/>
        <v>3.5</v>
      </c>
      <c r="N25">
        <f t="shared" si="13"/>
        <v>4.5</v>
      </c>
      <c r="O25">
        <f t="shared" ref="O25" si="14">N25+1</f>
        <v>5.5</v>
      </c>
      <c r="P25">
        <f t="shared" ref="P25" si="15">O25+1</f>
        <v>6.5</v>
      </c>
      <c r="Q25">
        <f t="shared" ref="Q25" si="16">P25+1</f>
        <v>7.5</v>
      </c>
      <c r="R25">
        <f t="shared" ref="R25" si="17">Q25+1</f>
        <v>8.5</v>
      </c>
      <c r="S25">
        <f t="shared" ref="S25" si="18">R25+1</f>
        <v>9.5</v>
      </c>
    </row>
    <row r="26" spans="1:19" ht="14.4" customHeight="1">
      <c r="B26" s="72" t="s">
        <v>139</v>
      </c>
      <c r="C26" s="531">
        <f>WACC!E24</f>
        <v>9.9999999999999992E-2</v>
      </c>
    </row>
    <row r="27" spans="1:19" ht="14.4" customHeight="1">
      <c r="B27" s="72" t="s">
        <v>140</v>
      </c>
      <c r="J27" s="115">
        <f>1/(1+$C$26)^J25</f>
        <v>0.95346258924559224</v>
      </c>
      <c r="K27" s="115">
        <f t="shared" ref="K27:N27" si="19">1/(1+$C$26)^K25</f>
        <v>0.86678417204144742</v>
      </c>
      <c r="L27" s="115">
        <f t="shared" si="19"/>
        <v>0.78798561094677033</v>
      </c>
      <c r="M27" s="115">
        <f t="shared" si="19"/>
        <v>0.71635055540615489</v>
      </c>
      <c r="N27" s="115">
        <f t="shared" si="19"/>
        <v>0.65122777764195883</v>
      </c>
      <c r="O27" s="115">
        <f t="shared" ref="O27:S27" si="20">1/(1+$C$26)^O25</f>
        <v>0.59202525240178083</v>
      </c>
      <c r="P27" s="115">
        <f t="shared" si="20"/>
        <v>0.53820477491070973</v>
      </c>
      <c r="Q27" s="115">
        <f t="shared" si="20"/>
        <v>0.48927706810064514</v>
      </c>
      <c r="R27" s="115">
        <f t="shared" si="20"/>
        <v>0.44479733463695009</v>
      </c>
      <c r="S27" s="115">
        <f t="shared" si="20"/>
        <v>0.4043612133063183</v>
      </c>
    </row>
    <row r="29" spans="1:19" ht="14.4" customHeight="1" thickBot="1">
      <c r="B29" s="100" t="s">
        <v>141</v>
      </c>
      <c r="C29" s="101"/>
      <c r="D29" s="101"/>
      <c r="E29" s="101"/>
      <c r="F29" s="101"/>
      <c r="G29" s="101"/>
      <c r="H29" s="101"/>
      <c r="I29" s="101"/>
      <c r="J29" s="371">
        <f>J23*J27</f>
        <v>2709.0341939900959</v>
      </c>
      <c r="K29" s="371">
        <f t="shared" ref="K29:N29" si="21">K23*K27</f>
        <v>1536.8163596981876</v>
      </c>
      <c r="L29" s="371">
        <f t="shared" si="21"/>
        <v>1700.3516076040189</v>
      </c>
      <c r="M29" s="371">
        <f t="shared" si="21"/>
        <v>1817.2886882180742</v>
      </c>
      <c r="N29" s="371">
        <f t="shared" si="21"/>
        <v>2011.2518379229734</v>
      </c>
      <c r="O29" s="371">
        <f t="shared" ref="O29:S29" si="22">O23*O27</f>
        <v>362.95528646393132</v>
      </c>
      <c r="P29" s="371">
        <f t="shared" si="22"/>
        <v>1884.2103010512124</v>
      </c>
      <c r="Q29" s="371">
        <f t="shared" si="22"/>
        <v>1907.549087411867</v>
      </c>
      <c r="R29" s="371">
        <f t="shared" si="22"/>
        <v>1932.1717460254276</v>
      </c>
      <c r="S29" s="371">
        <f t="shared" si="22"/>
        <v>1958.0239819406549</v>
      </c>
    </row>
    <row r="31" spans="1:19" ht="14.4" customHeight="1">
      <c r="A31" t="s">
        <v>23</v>
      </c>
      <c r="B31" s="491" t="s">
        <v>145</v>
      </c>
      <c r="C31" s="492"/>
    </row>
    <row r="32" spans="1:19" ht="6" customHeight="1"/>
    <row r="33" spans="2:8" ht="14.4" customHeight="1">
      <c r="B33" t="s">
        <v>146</v>
      </c>
      <c r="C33" s="409">
        <f>WACC!E7</f>
        <v>4.2100000000000005E-2</v>
      </c>
    </row>
    <row r="34" spans="2:8" ht="14.4" customHeight="1">
      <c r="B34" t="s">
        <v>147</v>
      </c>
      <c r="C34" s="370">
        <f>S23*(1+C33)</f>
        <v>5046.1239219663648</v>
      </c>
    </row>
    <row r="35" spans="2:8" ht="14.4" customHeight="1">
      <c r="B35" s="30" t="s">
        <v>148</v>
      </c>
      <c r="C35" s="369">
        <f>C34/(C26-C33)</f>
        <v>87152.399343115132</v>
      </c>
    </row>
    <row r="36" spans="2:8" ht="14.4" customHeight="1">
      <c r="B36" t="s">
        <v>149</v>
      </c>
      <c r="C36" s="370">
        <f>C35*S27</f>
        <v>35241.049940938814</v>
      </c>
    </row>
    <row r="37" spans="2:8" ht="14.4" customHeight="1">
      <c r="B37" t="s">
        <v>150</v>
      </c>
      <c r="C37" s="370">
        <f>SUM(J29:S29)</f>
        <v>17819.653090326447</v>
      </c>
    </row>
    <row r="38" spans="2:8" ht="14.4" customHeight="1">
      <c r="B38" s="30" t="s">
        <v>151</v>
      </c>
      <c r="C38" s="369">
        <f>SUM(C36:C37)</f>
        <v>53060.703031265264</v>
      </c>
    </row>
    <row r="39" spans="2:8" ht="14.4" customHeight="1">
      <c r="B39" s="366" t="s">
        <v>152</v>
      </c>
      <c r="C39" s="367">
        <f>C38/S13</f>
        <v>5.1351884256045652</v>
      </c>
    </row>
    <row r="40" spans="2:8" ht="14.4" customHeight="1">
      <c r="B40" s="366" t="s">
        <v>153</v>
      </c>
      <c r="C40" s="367">
        <f>C38/'3StatementModel'!H25</f>
        <v>20.00886284768626</v>
      </c>
    </row>
    <row r="41" spans="2:8" ht="14.4" customHeight="1">
      <c r="B41" t="s">
        <v>154</v>
      </c>
      <c r="C41" s="368">
        <f>SUM('3StatementModel'!H90,'3StatementModel'!H99)*-1</f>
        <v>-8483.0299999999988</v>
      </c>
      <c r="D41" s="66"/>
      <c r="E41" s="66"/>
      <c r="F41" s="66"/>
      <c r="G41" s="66"/>
      <c r="H41" s="66"/>
    </row>
    <row r="42" spans="2:8" ht="14.4" customHeight="1">
      <c r="B42" t="s">
        <v>155</v>
      </c>
      <c r="C42" s="368">
        <f>SUM('3StatementModel'!H68,'3StatementModel'!H69)</f>
        <v>554.5</v>
      </c>
    </row>
    <row r="43" spans="2:8" ht="14.4" customHeight="1">
      <c r="B43" t="s">
        <v>953</v>
      </c>
      <c r="C43" s="368">
        <f>'3StatementModel'!H84*-1</f>
        <v>-235.79</v>
      </c>
    </row>
    <row r="44" spans="2:8" ht="14.4" customHeight="1">
      <c r="B44" t="s">
        <v>954</v>
      </c>
      <c r="C44" s="368">
        <f>'3StatementModel'!M59</f>
        <v>360.57000000000005</v>
      </c>
    </row>
    <row r="45" spans="2:8" ht="14.4" customHeight="1">
      <c r="B45" s="30" t="s">
        <v>156</v>
      </c>
      <c r="C45" s="369">
        <f>SUM(C38,C41,C42,C43,C44)</f>
        <v>45256.953031265264</v>
      </c>
    </row>
    <row r="46" spans="2:8" ht="14.4" customHeight="1">
      <c r="B46" t="s">
        <v>955</v>
      </c>
      <c r="C46" s="370">
        <f ca="1">'Option value'!E28*-1</f>
        <v>-191.21859779612484</v>
      </c>
    </row>
    <row r="47" spans="2:8" s="20" customFormat="1" ht="14.4" customHeight="1">
      <c r="B47" s="30" t="s">
        <v>956</v>
      </c>
      <c r="C47" s="369" t="e">
        <f ca="1">SUM(C45:C46)</f>
        <v>#VALUE!</v>
      </c>
    </row>
    <row r="50" spans="1:8" ht="14.4" customHeight="1">
      <c r="A50" t="s">
        <v>23</v>
      </c>
      <c r="B50" s="491" t="s">
        <v>157</v>
      </c>
      <c r="C50" s="492"/>
    </row>
    <row r="52" spans="1:8" ht="14.4" customHeight="1">
      <c r="B52" t="s">
        <v>158</v>
      </c>
      <c r="C52" s="411">
        <v>12</v>
      </c>
      <c r="D52">
        <v>4</v>
      </c>
    </row>
    <row r="53" spans="1:8" ht="14.4" customHeight="1">
      <c r="B53" t="s">
        <v>159</v>
      </c>
      <c r="C53" s="370">
        <f>S13</f>
        <v>10332.766518692726</v>
      </c>
    </row>
    <row r="54" spans="1:8" ht="14.4" customHeight="1">
      <c r="B54" s="30" t="s">
        <v>148</v>
      </c>
      <c r="C54" s="369">
        <f>C53*C52</f>
        <v>123993.19822431271</v>
      </c>
    </row>
    <row r="55" spans="1:8" ht="14.4" customHeight="1">
      <c r="B55" t="s">
        <v>149</v>
      </c>
      <c r="C55" s="370">
        <f>C54*S27</f>
        <v>50138.040075713921</v>
      </c>
    </row>
    <row r="56" spans="1:8" ht="14.4" customHeight="1">
      <c r="B56" t="s">
        <v>150</v>
      </c>
      <c r="C56" s="370">
        <f>C37</f>
        <v>17819.653090326447</v>
      </c>
    </row>
    <row r="57" spans="1:8" ht="14.4" customHeight="1">
      <c r="B57" s="30" t="s">
        <v>151</v>
      </c>
      <c r="C57" s="369">
        <f>SUM(C55:C56)</f>
        <v>67957.693166040364</v>
      </c>
    </row>
    <row r="58" spans="1:8" ht="14.4" customHeight="1">
      <c r="B58" s="83" t="s">
        <v>152</v>
      </c>
      <c r="C58" s="106">
        <f>C57/S13</f>
        <v>6.5769117150861733</v>
      </c>
    </row>
    <row r="59" spans="1:8" ht="14.4" customHeight="1">
      <c r="B59" s="83" t="s">
        <v>153</v>
      </c>
      <c r="C59" s="106">
        <f>C57/'3StatementModel'!H25</f>
        <v>25.626425665774359</v>
      </c>
    </row>
    <row r="60" spans="1:8" ht="14.4" customHeight="1">
      <c r="B60" t="s">
        <v>154</v>
      </c>
      <c r="C60" s="368">
        <f>'DCF Val'!C41</f>
        <v>-8483.0299999999988</v>
      </c>
      <c r="D60" s="66"/>
      <c r="E60" s="66"/>
      <c r="F60" s="66"/>
      <c r="G60" s="66"/>
      <c r="H60" s="66"/>
    </row>
    <row r="61" spans="1:8" ht="14.4" customHeight="1">
      <c r="B61" t="s">
        <v>155</v>
      </c>
      <c r="C61" s="368">
        <f>'DCF Val'!C42</f>
        <v>554.5</v>
      </c>
    </row>
    <row r="62" spans="1:8" ht="14.4" customHeight="1">
      <c r="B62" t="str">
        <f>B43</f>
        <v>Less: Minority Interest</v>
      </c>
      <c r="C62" s="370">
        <f t="shared" ref="C62:C63" si="23">C43</f>
        <v>-235.79</v>
      </c>
    </row>
    <row r="63" spans="1:8" ht="14.4" customHeight="1">
      <c r="B63" t="str">
        <f t="shared" ref="B63" si="24">B44</f>
        <v>Add: Non Operating Asset</v>
      </c>
      <c r="C63" s="370">
        <f t="shared" si="23"/>
        <v>360.57000000000005</v>
      </c>
    </row>
    <row r="64" spans="1:8" ht="14.4" customHeight="1">
      <c r="B64" s="30" t="s">
        <v>156</v>
      </c>
      <c r="C64" s="369">
        <f>SUM(C60:C63,C57)</f>
        <v>60153.943166040364</v>
      </c>
    </row>
    <row r="65" spans="1:11" ht="14.4" customHeight="1">
      <c r="B65" t="str">
        <f>B46</f>
        <v>Less: Value of Options</v>
      </c>
      <c r="C65" s="370">
        <f t="shared" ref="C65" ca="1" si="25">C46</f>
        <v>-191.21859779612484</v>
      </c>
    </row>
    <row r="66" spans="1:11" ht="14.4" customHeight="1">
      <c r="B66" s="30" t="str">
        <f t="shared" ref="B66" si="26">B47</f>
        <v>Equity Value for Shareholders</v>
      </c>
      <c r="C66" s="369" t="e">
        <f ca="1">SUM(C64:C65)</f>
        <v>#VALUE!</v>
      </c>
    </row>
    <row r="68" spans="1:11" ht="14.4" customHeight="1">
      <c r="A68" t="s">
        <v>23</v>
      </c>
      <c r="B68" s="491" t="s">
        <v>996</v>
      </c>
      <c r="C68" s="491"/>
    </row>
    <row r="69" spans="1:11" ht="14.4" customHeight="1">
      <c r="E69" s="532" t="s">
        <v>998</v>
      </c>
      <c r="F69" s="532"/>
      <c r="G69" s="532"/>
      <c r="H69" s="532"/>
      <c r="I69" s="532"/>
      <c r="J69" s="532"/>
      <c r="K69" s="532"/>
    </row>
    <row r="70" spans="1:11" ht="14.4" customHeight="1">
      <c r="D70" s="410">
        <f ca="1">C47</f>
        <v>0</v>
      </c>
      <c r="E70" s="494">
        <v>0.09</v>
      </c>
      <c r="F70" s="494">
        <v>0.1</v>
      </c>
      <c r="G70" s="494">
        <v>0.11</v>
      </c>
      <c r="H70" s="494">
        <v>0.12</v>
      </c>
      <c r="I70" s="494">
        <v>0.13</v>
      </c>
      <c r="J70" s="494">
        <v>0.14000000000000001</v>
      </c>
      <c r="K70" s="494">
        <v>0.15</v>
      </c>
    </row>
    <row r="71" spans="1:11" ht="14.4" customHeight="1">
      <c r="C71" s="533" t="s">
        <v>997</v>
      </c>
      <c r="D71" s="495">
        <v>0.03</v>
      </c>
      <c r="E71" s="493">
        <f t="dataTable" ref="E71:K75" dt2D="1" dtr="1" r1="C26" r2="C33" ca="1"/>
        <v>0</v>
      </c>
      <c r="F71" s="493">
        <v>0</v>
      </c>
      <c r="G71" s="493">
        <v>0</v>
      </c>
      <c r="H71" s="493">
        <v>0</v>
      </c>
      <c r="I71" s="493">
        <v>0</v>
      </c>
      <c r="J71" s="493">
        <v>0</v>
      </c>
      <c r="K71" s="493">
        <v>0</v>
      </c>
    </row>
    <row r="72" spans="1:11" ht="14.4" customHeight="1">
      <c r="C72" s="533"/>
      <c r="D72" s="495">
        <v>0.04</v>
      </c>
      <c r="E72" s="493">
        <v>0</v>
      </c>
      <c r="F72" s="211">
        <v>0</v>
      </c>
      <c r="G72" s="493">
        <v>0</v>
      </c>
      <c r="H72" s="493">
        <v>0</v>
      </c>
      <c r="I72" s="493">
        <v>0</v>
      </c>
      <c r="J72" s="493">
        <v>0</v>
      </c>
      <c r="K72" s="493">
        <v>0</v>
      </c>
    </row>
    <row r="73" spans="1:11" ht="14.4" customHeight="1">
      <c r="C73" s="533"/>
      <c r="D73" s="495">
        <v>0.05</v>
      </c>
      <c r="E73" s="493">
        <v>0</v>
      </c>
      <c r="F73" s="493">
        <v>0</v>
      </c>
      <c r="G73" s="493">
        <v>0</v>
      </c>
      <c r="H73" s="493">
        <v>0</v>
      </c>
      <c r="I73" s="493">
        <v>0</v>
      </c>
      <c r="J73" s="493">
        <v>0</v>
      </c>
      <c r="K73" s="493">
        <v>0</v>
      </c>
    </row>
    <row r="74" spans="1:11" ht="14.4" customHeight="1">
      <c r="C74" s="533"/>
      <c r="D74" s="495">
        <v>0.06</v>
      </c>
      <c r="E74" s="493">
        <v>0</v>
      </c>
      <c r="F74" s="493">
        <v>0</v>
      </c>
      <c r="G74" s="493">
        <v>0</v>
      </c>
      <c r="H74" s="493">
        <v>0</v>
      </c>
      <c r="I74" s="493">
        <v>0</v>
      </c>
      <c r="J74" s="493">
        <v>0</v>
      </c>
      <c r="K74" s="493">
        <v>0</v>
      </c>
    </row>
    <row r="75" spans="1:11" ht="14.4" customHeight="1">
      <c r="C75" s="533"/>
      <c r="D75" s="495">
        <v>7.0000000000000007E-2</v>
      </c>
      <c r="E75" s="493">
        <v>0</v>
      </c>
      <c r="F75" s="493">
        <v>0</v>
      </c>
      <c r="G75" s="493">
        <v>0</v>
      </c>
      <c r="H75" s="493">
        <v>0</v>
      </c>
      <c r="I75" s="493">
        <v>0</v>
      </c>
      <c r="J75" s="493">
        <v>0</v>
      </c>
      <c r="K75" s="493">
        <v>0</v>
      </c>
    </row>
    <row r="76" spans="1:11" ht="14.4" customHeight="1">
      <c r="D76" s="102"/>
    </row>
    <row r="78" spans="1:11" ht="14.4" customHeight="1">
      <c r="E78" s="532" t="s">
        <v>998</v>
      </c>
      <c r="F78" s="532"/>
      <c r="G78" s="532"/>
      <c r="H78" s="532"/>
      <c r="I78" s="532"/>
      <c r="J78" s="532"/>
      <c r="K78" s="532"/>
    </row>
    <row r="79" spans="1:11" ht="14.4" customHeight="1">
      <c r="D79" s="412" t="e">
        <f ca="1">C66</f>
        <v>#VALUE!</v>
      </c>
      <c r="E79" s="495">
        <v>0.09</v>
      </c>
      <c r="F79" s="495">
        <v>0.1</v>
      </c>
      <c r="G79" s="495">
        <v>0.11</v>
      </c>
      <c r="H79" s="495">
        <v>0.12</v>
      </c>
      <c r="I79" s="495">
        <v>0.13</v>
      </c>
      <c r="J79" s="495">
        <v>0.14000000000000001</v>
      </c>
      <c r="K79" s="495">
        <v>0.15</v>
      </c>
    </row>
    <row r="80" spans="1:11" ht="14.4" customHeight="1">
      <c r="C80" s="533" t="s">
        <v>158</v>
      </c>
      <c r="D80" s="496">
        <v>11</v>
      </c>
      <c r="E80" s="493" t="e">
        <f t="dataTable" ref="E80:K84" dt2D="1" dtr="1" r1="C26" r2="C52" ca="1"/>
        <v>#VALUE!</v>
      </c>
      <c r="F80" s="493" t="e">
        <v>#VALUE!</v>
      </c>
      <c r="G80" s="493" t="e">
        <v>#VALUE!</v>
      </c>
      <c r="H80" s="493" t="e">
        <v>#VALUE!</v>
      </c>
      <c r="I80" s="493" t="e">
        <v>#VALUE!</v>
      </c>
      <c r="J80" s="493" t="e">
        <v>#VALUE!</v>
      </c>
      <c r="K80" s="493" t="e">
        <v>#VALUE!</v>
      </c>
    </row>
    <row r="81" spans="3:11" ht="14.4" customHeight="1">
      <c r="C81" s="533"/>
      <c r="D81" s="496">
        <v>12</v>
      </c>
      <c r="E81" s="493" t="e">
        <v>#VALUE!</v>
      </c>
      <c r="F81" s="211" t="e">
        <v>#VALUE!</v>
      </c>
      <c r="G81" s="493" t="e">
        <v>#VALUE!</v>
      </c>
      <c r="H81" s="493" t="e">
        <v>#VALUE!</v>
      </c>
      <c r="I81" s="493" t="e">
        <v>#VALUE!</v>
      </c>
      <c r="J81" s="493" t="e">
        <v>#VALUE!</v>
      </c>
      <c r="K81" s="493" t="e">
        <v>#VALUE!</v>
      </c>
    </row>
    <row r="82" spans="3:11" ht="14.4" customHeight="1">
      <c r="C82" s="533"/>
      <c r="D82" s="496">
        <v>13</v>
      </c>
      <c r="E82" s="493" t="e">
        <v>#VALUE!</v>
      </c>
      <c r="F82" s="493" t="e">
        <v>#VALUE!</v>
      </c>
      <c r="G82" s="493" t="e">
        <v>#VALUE!</v>
      </c>
      <c r="H82" s="493" t="e">
        <v>#VALUE!</v>
      </c>
      <c r="I82" s="493" t="e">
        <v>#VALUE!</v>
      </c>
      <c r="J82" s="493" t="e">
        <v>#VALUE!</v>
      </c>
      <c r="K82" s="493" t="e">
        <v>#VALUE!</v>
      </c>
    </row>
    <row r="83" spans="3:11" ht="14.4" customHeight="1">
      <c r="C83" s="533"/>
      <c r="D83" s="496">
        <v>14</v>
      </c>
      <c r="E83" s="493" t="e">
        <v>#VALUE!</v>
      </c>
      <c r="F83" s="493" t="e">
        <v>#VALUE!</v>
      </c>
      <c r="G83" s="493" t="e">
        <v>#VALUE!</v>
      </c>
      <c r="H83" s="493" t="e">
        <v>#VALUE!</v>
      </c>
      <c r="I83" s="493" t="e">
        <v>#VALUE!</v>
      </c>
      <c r="J83" s="493" t="e">
        <v>#VALUE!</v>
      </c>
      <c r="K83" s="493" t="e">
        <v>#VALUE!</v>
      </c>
    </row>
    <row r="84" spans="3:11" ht="14.4" customHeight="1">
      <c r="C84" s="533"/>
      <c r="D84" s="496">
        <v>15</v>
      </c>
      <c r="E84" s="493" t="e">
        <v>#VALUE!</v>
      </c>
      <c r="F84" s="493" t="e">
        <v>#VALUE!</v>
      </c>
      <c r="G84" s="493" t="e">
        <v>#VALUE!</v>
      </c>
      <c r="H84" s="493" t="e">
        <v>#VALUE!</v>
      </c>
      <c r="I84" s="493" t="e">
        <v>#VALUE!</v>
      </c>
      <c r="J84" s="493" t="e">
        <v>#VALUE!</v>
      </c>
      <c r="K84" s="493" t="e">
        <v>#VALUE!</v>
      </c>
    </row>
    <row r="121" ht="14.4" customHeight="1" collapsed="1"/>
    <row r="131" ht="14.4" customHeight="1" collapsed="1"/>
    <row r="164" ht="14.4" customHeight="1" collapsed="1"/>
    <row r="177" ht="14.4" customHeight="1" collapsed="1"/>
  </sheetData>
  <sheetProtection sheet="1" objects="1" scenarios="1" selectLockedCells="1"/>
  <mergeCells count="8">
    <mergeCell ref="E78:K78"/>
    <mergeCell ref="C80:C84"/>
    <mergeCell ref="I4:J4"/>
    <mergeCell ref="O8:S8"/>
    <mergeCell ref="C71:C75"/>
    <mergeCell ref="E69:K69"/>
    <mergeCell ref="J8:N8"/>
    <mergeCell ref="E8:I8"/>
  </mergeCells>
  <dataValidations count="1">
    <dataValidation type="list" allowBlank="1" showInputMessage="1" showErrorMessage="1" sqref="D25 F25:H25" xr:uid="{00000000-0002-0000-0900-000000000000}">
      <formula1>$W$5:$W$6</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
  <sheetViews>
    <sheetView workbookViewId="0">
      <selection activeCell="P19" sqref="G7:P19"/>
    </sheetView>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K35"/>
  <sheetViews>
    <sheetView showGridLines="0" workbookViewId="0">
      <selection activeCell="G1" sqref="G1"/>
    </sheetView>
  </sheetViews>
  <sheetFormatPr defaultRowHeight="14.4"/>
  <cols>
    <col min="1" max="1" width="3.33203125" customWidth="1"/>
    <col min="2" max="2" width="21.33203125" bestFit="1" customWidth="1"/>
    <col min="3" max="3" width="18.77734375" bestFit="1" customWidth="1"/>
    <col min="4" max="4" width="19.44140625" bestFit="1" customWidth="1"/>
    <col min="5" max="5" width="14.109375" bestFit="1" customWidth="1"/>
    <col min="6" max="6" width="14.77734375" bestFit="1" customWidth="1"/>
    <col min="7" max="8" width="14.77734375" customWidth="1"/>
    <col min="9" max="9" width="87.88671875" customWidth="1"/>
    <col min="11" max="11" width="54.44140625" customWidth="1"/>
  </cols>
  <sheetData>
    <row r="1" spans="2:11">
      <c r="G1" s="544"/>
    </row>
    <row r="2" spans="2:11">
      <c r="B2" s="184" t="s">
        <v>1006</v>
      </c>
      <c r="C2" s="184" t="s">
        <v>1256</v>
      </c>
      <c r="D2" s="184" t="s">
        <v>1019</v>
      </c>
      <c r="E2" s="184" t="s">
        <v>1020</v>
      </c>
      <c r="F2" s="184" t="s">
        <v>151</v>
      </c>
      <c r="G2" s="184" t="s">
        <v>1011</v>
      </c>
      <c r="H2" s="184" t="s">
        <v>590</v>
      </c>
      <c r="I2" s="499" t="s">
        <v>1007</v>
      </c>
    </row>
    <row r="3" spans="2:11" ht="7.2" customHeight="1"/>
    <row r="4" spans="2:11" ht="129.6">
      <c r="B4" s="439" t="s">
        <v>922</v>
      </c>
      <c r="C4" s="440">
        <v>123315</v>
      </c>
      <c r="D4" s="441" t="s">
        <v>1023</v>
      </c>
      <c r="E4" s="441" t="s">
        <v>1021</v>
      </c>
      <c r="F4" s="440">
        <v>122954</v>
      </c>
      <c r="G4" s="440">
        <v>1527</v>
      </c>
      <c r="H4" s="440">
        <v>91</v>
      </c>
      <c r="I4" s="442" t="s">
        <v>1024</v>
      </c>
      <c r="K4" s="363"/>
    </row>
    <row r="5" spans="2:11">
      <c r="B5" s="23"/>
      <c r="C5" s="443"/>
      <c r="D5" s="23"/>
      <c r="E5" s="23"/>
      <c r="F5" s="440"/>
      <c r="G5" s="440"/>
      <c r="H5" s="440"/>
      <c r="I5" s="23"/>
    </row>
    <row r="6" spans="2:11" ht="144">
      <c r="B6" s="439" t="s">
        <v>926</v>
      </c>
      <c r="C6" s="440">
        <v>94802</v>
      </c>
      <c r="D6" s="441" t="s">
        <v>1022</v>
      </c>
      <c r="E6" s="441" t="s">
        <v>1021</v>
      </c>
      <c r="F6" s="440">
        <v>95059</v>
      </c>
      <c r="G6" s="440">
        <v>942</v>
      </c>
      <c r="H6" s="440">
        <v>3169</v>
      </c>
      <c r="I6" s="442" t="s">
        <v>1025</v>
      </c>
      <c r="K6" s="363"/>
    </row>
    <row r="7" spans="2:11">
      <c r="B7" s="23" t="s">
        <v>31</v>
      </c>
      <c r="C7" s="443"/>
      <c r="D7" s="23"/>
      <c r="E7" s="23"/>
      <c r="F7" s="440"/>
      <c r="G7" s="440"/>
      <c r="H7" s="440"/>
      <c r="I7" s="23"/>
    </row>
    <row r="8" spans="2:11" ht="144">
      <c r="B8" s="439" t="s">
        <v>920</v>
      </c>
      <c r="C8" s="440">
        <v>122573</v>
      </c>
      <c r="D8" s="441"/>
      <c r="E8" s="441" t="s">
        <v>1021</v>
      </c>
      <c r="F8" s="440">
        <v>125196</v>
      </c>
      <c r="G8" s="440">
        <v>3622</v>
      </c>
      <c r="H8" s="440">
        <v>3025</v>
      </c>
      <c r="I8" s="442" t="s">
        <v>1026</v>
      </c>
      <c r="K8" s="363"/>
    </row>
    <row r="35" spans="2:2">
      <c r="B35" s="498"/>
    </row>
  </sheetData>
  <sheetProtection sheet="1" objects="1" scenarios="1" selectLockedCells="1"/>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AM34"/>
  <sheetViews>
    <sheetView showGridLines="0" zoomScale="90" zoomScaleNormal="90" workbookViewId="0">
      <pane xSplit="3" topLeftCell="D1" activePane="topRight" state="frozen"/>
      <selection pane="topRight" activeCell="D25" sqref="D25"/>
    </sheetView>
  </sheetViews>
  <sheetFormatPr defaultRowHeight="14.4" outlineLevelCol="1"/>
  <cols>
    <col min="1" max="1" width="5.44140625" customWidth="1"/>
    <col min="2" max="2" width="26.88671875" bestFit="1" customWidth="1"/>
    <col min="3" max="3" width="2.21875" customWidth="1"/>
    <col min="4" max="4" width="18.77734375" customWidth="1"/>
    <col min="5" max="5" width="10.5546875" bestFit="1" customWidth="1"/>
    <col min="6" max="6" width="11.21875" bestFit="1" customWidth="1"/>
    <col min="7" max="7" width="6" bestFit="1" customWidth="1"/>
    <col min="8" max="8" width="8.77734375" bestFit="1" customWidth="1"/>
    <col min="9" max="11" width="8.88671875" bestFit="1" customWidth="1"/>
    <col min="12" max="12" width="19.44140625" hidden="1" customWidth="1" outlineLevel="1"/>
    <col min="13" max="14" width="8.77734375" hidden="1" customWidth="1" outlineLevel="1"/>
    <col min="15" max="15" width="8.77734375" customWidth="1" collapsed="1"/>
    <col min="16" max="17" width="8.77734375" customWidth="1"/>
    <col min="18" max="20" width="8.77734375" hidden="1" customWidth="1" outlineLevel="1"/>
    <col min="21" max="21" width="8.77734375" customWidth="1" collapsed="1"/>
    <col min="22" max="22" width="9.6640625" bestFit="1" customWidth="1"/>
    <col min="23" max="23" width="9.109375" customWidth="1"/>
    <col min="24" max="24" width="17.6640625" hidden="1" customWidth="1" outlineLevel="1"/>
    <col min="25" max="26" width="8.77734375" hidden="1" customWidth="1" outlineLevel="1"/>
    <col min="27" max="27" width="0.6640625" hidden="1" customWidth="1" collapsed="1"/>
    <col min="28" max="28" width="11.109375" customWidth="1"/>
    <col min="29" max="30" width="12" bestFit="1" customWidth="1"/>
    <col min="31" max="31" width="10.5546875" customWidth="1"/>
    <col min="32" max="33" width="10.5546875" bestFit="1" customWidth="1"/>
    <col min="34" max="34" width="8.77734375" customWidth="1"/>
    <col min="35" max="36" width="6.5546875" bestFit="1" customWidth="1"/>
  </cols>
  <sheetData>
    <row r="2" spans="2:39">
      <c r="B2" s="429" t="s">
        <v>1012</v>
      </c>
    </row>
    <row r="3" spans="2:39">
      <c r="B3" s="492"/>
      <c r="C3" s="492"/>
      <c r="D3" s="536" t="s">
        <v>1013</v>
      </c>
      <c r="E3" s="536"/>
      <c r="F3" s="536"/>
      <c r="G3" s="536"/>
      <c r="H3" s="536"/>
      <c r="I3" s="536" t="s">
        <v>1014</v>
      </c>
      <c r="J3" s="536"/>
      <c r="K3" s="536"/>
      <c r="L3" s="536"/>
      <c r="M3" s="536"/>
      <c r="N3" s="536"/>
      <c r="O3" s="536"/>
      <c r="P3" s="536"/>
      <c r="Q3" s="536"/>
      <c r="R3" s="536"/>
      <c r="S3" s="536"/>
      <c r="T3" s="536"/>
      <c r="U3" s="536"/>
      <c r="V3" s="536"/>
      <c r="W3" s="536"/>
      <c r="X3" s="492"/>
      <c r="Y3" s="492"/>
      <c r="Z3" s="492"/>
      <c r="AA3" s="492"/>
      <c r="AB3" s="536" t="s">
        <v>1029</v>
      </c>
      <c r="AC3" s="536"/>
      <c r="AD3" s="536"/>
      <c r="AE3" s="536"/>
      <c r="AF3" s="536"/>
      <c r="AG3" s="536"/>
      <c r="AH3" s="536"/>
      <c r="AI3" s="536"/>
      <c r="AJ3" s="536"/>
    </row>
    <row r="4" spans="2:39">
      <c r="B4" s="492"/>
      <c r="C4" s="492"/>
      <c r="D4" s="492"/>
      <c r="E4" s="492"/>
      <c r="F4" s="492"/>
      <c r="G4" s="492"/>
      <c r="H4" s="492"/>
      <c r="I4" s="525">
        <v>2025</v>
      </c>
      <c r="J4" s="526">
        <f>I4+1</f>
        <v>2026</v>
      </c>
      <c r="K4" s="526">
        <f t="shared" ref="K4" si="0">J4+1</f>
        <v>2027</v>
      </c>
      <c r="L4" s="525">
        <f>I4</f>
        <v>2025</v>
      </c>
      <c r="M4" s="526">
        <f t="shared" ref="M4:N4" si="1">J4</f>
        <v>2026</v>
      </c>
      <c r="N4" s="526">
        <f t="shared" si="1"/>
        <v>2027</v>
      </c>
      <c r="O4" s="525">
        <f>I4</f>
        <v>2025</v>
      </c>
      <c r="P4" s="526">
        <f>J4</f>
        <v>2026</v>
      </c>
      <c r="Q4" s="526">
        <f>K4</f>
        <v>2027</v>
      </c>
      <c r="R4" s="525">
        <f>O4</f>
        <v>2025</v>
      </c>
      <c r="S4" s="526">
        <f t="shared" ref="S4:T4" si="2">P4</f>
        <v>2026</v>
      </c>
      <c r="T4" s="526">
        <f t="shared" si="2"/>
        <v>2027</v>
      </c>
      <c r="U4" s="527">
        <f>I4</f>
        <v>2025</v>
      </c>
      <c r="V4" s="528">
        <f>J4</f>
        <v>2026</v>
      </c>
      <c r="W4" s="528">
        <f>K4</f>
        <v>2027</v>
      </c>
      <c r="X4" s="527">
        <f>U4</f>
        <v>2025</v>
      </c>
      <c r="Y4" s="528">
        <f t="shared" ref="Y4:Z4" si="3">V4</f>
        <v>2026</v>
      </c>
      <c r="Z4" s="528">
        <f t="shared" si="3"/>
        <v>2027</v>
      </c>
      <c r="AA4" s="492"/>
      <c r="AB4" s="527">
        <f>U4</f>
        <v>2025</v>
      </c>
      <c r="AC4" s="528">
        <f t="shared" ref="AC4:AD4" si="4">V4</f>
        <v>2026</v>
      </c>
      <c r="AD4" s="528">
        <f t="shared" si="4"/>
        <v>2027</v>
      </c>
      <c r="AE4" s="527">
        <f>AB4</f>
        <v>2025</v>
      </c>
      <c r="AF4" s="528">
        <f t="shared" ref="AF4:AG4" si="5">AC4</f>
        <v>2026</v>
      </c>
      <c r="AG4" s="528">
        <f t="shared" si="5"/>
        <v>2027</v>
      </c>
      <c r="AH4" s="527">
        <f>AE4</f>
        <v>2025</v>
      </c>
      <c r="AI4" s="528">
        <f t="shared" ref="AI4:AJ4" si="6">AF4</f>
        <v>2026</v>
      </c>
      <c r="AJ4" s="528">
        <f t="shared" si="6"/>
        <v>2027</v>
      </c>
    </row>
    <row r="5" spans="2:39" s="139" customFormat="1">
      <c r="B5" s="184" t="s">
        <v>1010</v>
      </c>
      <c r="C5" s="184"/>
      <c r="D5" s="184" t="s">
        <v>912</v>
      </c>
      <c r="E5" s="184" t="s">
        <v>1011</v>
      </c>
      <c r="F5" s="184" t="s">
        <v>914</v>
      </c>
      <c r="G5" s="184" t="s">
        <v>590</v>
      </c>
      <c r="H5" s="184" t="s">
        <v>1244</v>
      </c>
      <c r="I5" s="184" t="s">
        <v>41</v>
      </c>
      <c r="J5" s="184" t="s">
        <v>41</v>
      </c>
      <c r="K5" s="184" t="s">
        <v>41</v>
      </c>
      <c r="L5" s="184" t="s">
        <v>1032</v>
      </c>
      <c r="M5" s="184" t="s">
        <v>1032</v>
      </c>
      <c r="N5" s="184" t="s">
        <v>1032</v>
      </c>
      <c r="O5" s="184" t="s">
        <v>63</v>
      </c>
      <c r="P5" s="184" t="s">
        <v>63</v>
      </c>
      <c r="Q5" s="184" t="s">
        <v>63</v>
      </c>
      <c r="R5" s="184" t="s">
        <v>1027</v>
      </c>
      <c r="S5" s="184" t="s">
        <v>1027</v>
      </c>
      <c r="T5" s="184" t="s">
        <v>1027</v>
      </c>
      <c r="U5" s="184" t="s">
        <v>109</v>
      </c>
      <c r="V5" s="184" t="s">
        <v>109</v>
      </c>
      <c r="W5" s="184" t="s">
        <v>109</v>
      </c>
      <c r="X5" s="184" t="s">
        <v>1028</v>
      </c>
      <c r="Y5" s="184" t="s">
        <v>1028</v>
      </c>
      <c r="Z5" s="184" t="s">
        <v>1028</v>
      </c>
      <c r="AA5" s="492"/>
      <c r="AB5" s="184" t="s">
        <v>1033</v>
      </c>
      <c r="AC5" s="184" t="str">
        <f>AB5</f>
        <v>EV/Revenue</v>
      </c>
      <c r="AD5" s="184" t="str">
        <f t="shared" ref="AD5" si="7">AC5</f>
        <v>EV/Revenue</v>
      </c>
      <c r="AE5" s="184" t="s">
        <v>1030</v>
      </c>
      <c r="AF5" s="184" t="str">
        <f>AE5</f>
        <v>EV/EBITDA</v>
      </c>
      <c r="AG5" s="184" t="str">
        <f t="shared" ref="AG5" si="8">AF5</f>
        <v>EV/EBITDA</v>
      </c>
      <c r="AH5" s="184" t="s">
        <v>1243</v>
      </c>
      <c r="AI5" s="184" t="s">
        <v>1243</v>
      </c>
      <c r="AJ5" s="184" t="s">
        <v>1243</v>
      </c>
      <c r="AK5"/>
      <c r="AL5"/>
      <c r="AM5"/>
    </row>
    <row r="6" spans="2:39" ht="7.2" customHeight="1"/>
    <row r="7" spans="2:39" s="20" customFormat="1" ht="14.4" customHeight="1">
      <c r="B7" s="24" t="s">
        <v>429</v>
      </c>
      <c r="C7" s="24"/>
      <c r="D7" s="254" t="s">
        <v>1031</v>
      </c>
      <c r="E7" s="470">
        <v>2481</v>
      </c>
      <c r="F7" s="470">
        <v>102398</v>
      </c>
      <c r="G7" s="470">
        <v>8483.0299999999988</v>
      </c>
      <c r="H7" s="470">
        <v>110355</v>
      </c>
      <c r="I7" s="471">
        <f>'3StatementModel'!H13</f>
        <v>12207</v>
      </c>
      <c r="J7" s="471">
        <f>'3StatementModel'!I13</f>
        <v>14404.259999999998</v>
      </c>
      <c r="K7" s="471">
        <f>'3StatementModel'!J13</f>
        <v>16780.962899999999</v>
      </c>
      <c r="L7" s="175">
        <f>'3StatementModel'!H13/'3StatementModel'!G13-1</f>
        <v>0.18115783579837341</v>
      </c>
      <c r="M7" s="175">
        <f>'3StatementModel'!I13/'3StatementModel'!H13-1</f>
        <v>0.17999999999999994</v>
      </c>
      <c r="N7" s="175">
        <f>'3StatementModel'!J13/'3StatementModel'!I13-1</f>
        <v>0.16500000000000004</v>
      </c>
      <c r="O7" s="471">
        <f>'3StatementModel'!H25</f>
        <v>2651.8599999999988</v>
      </c>
      <c r="P7" s="471">
        <f>'3StatementModel'!I25</f>
        <v>3096.9158999999991</v>
      </c>
      <c r="Q7" s="471">
        <f>'3StatementModel'!J25</f>
        <v>3708.5928008999981</v>
      </c>
      <c r="R7" s="175">
        <f>'3StatementModel'!H25/'3StatementModel'!G25-1</f>
        <v>4.6055993063477629E-2</v>
      </c>
      <c r="S7" s="175">
        <f>'3StatementModel'!I25/'3StatementModel'!H25-1</f>
        <v>0.1678278265066786</v>
      </c>
      <c r="T7" s="175">
        <f>'3StatementModel'!J25/'3StatementModel'!I25-1</f>
        <v>0.19751162790697641</v>
      </c>
      <c r="U7" s="471">
        <f>'3StatementModel'!H40</f>
        <v>1616.2699999999988</v>
      </c>
      <c r="V7" s="471">
        <f>'3StatementModel'!I40</f>
        <v>1729.3245781301516</v>
      </c>
      <c r="W7" s="471">
        <f>'3StatementModel'!J40</f>
        <v>2251.480059067484</v>
      </c>
      <c r="X7" s="472">
        <f>'3StatementModel'!H40/'3StatementModel'!G40-1</f>
        <v>-0.15439448619185847</v>
      </c>
      <c r="Y7" s="472">
        <f>'3StatementModel'!I40/'3StatementModel'!H40-1</f>
        <v>6.994782934172683E-2</v>
      </c>
      <c r="Z7" s="472">
        <f>'3StatementModel'!J40/'3StatementModel'!I40-1</f>
        <v>0.30194186073612506</v>
      </c>
      <c r="AA7" s="24"/>
      <c r="AB7" s="24"/>
      <c r="AC7" s="24"/>
      <c r="AD7" s="24"/>
      <c r="AE7" s="24"/>
      <c r="AF7" s="24"/>
      <c r="AG7" s="24"/>
      <c r="AH7" s="24"/>
      <c r="AI7" s="24"/>
      <c r="AJ7" s="24"/>
    </row>
    <row r="8" spans="2:39" ht="14.4" customHeight="1"/>
    <row r="9" spans="2:39">
      <c r="B9" s="433" t="s">
        <v>1008</v>
      </c>
      <c r="C9" s="434"/>
      <c r="D9" s="445" t="str">
        <f>'Comps Description'!B4</f>
        <v>NSE: CIPLA</v>
      </c>
      <c r="E9" s="446">
        <f>'Comps Description'!G4</f>
        <v>1527</v>
      </c>
      <c r="F9" s="446">
        <f>'Comps Description'!C4</f>
        <v>123315</v>
      </c>
      <c r="G9" s="446">
        <f>'Comps Description'!H4</f>
        <v>91</v>
      </c>
      <c r="H9" s="446">
        <f>'Comps Description'!F4</f>
        <v>122954</v>
      </c>
      <c r="I9" s="446">
        <f>Benchmarking!G27</f>
        <v>27548</v>
      </c>
      <c r="J9" s="446">
        <f>Benchmarking!H27</f>
        <v>29484</v>
      </c>
      <c r="K9" s="446">
        <f>Benchmarking!I27</f>
        <v>32849</v>
      </c>
      <c r="L9" s="447">
        <f>Benchmarking!G28</f>
        <v>6.8829052533560864E-2</v>
      </c>
      <c r="M9" s="444">
        <f>J9/I9-1</f>
        <v>7.0277334107739176E-2</v>
      </c>
      <c r="N9" s="444">
        <f t="shared" ref="N9:N11" si="9">K9/J9-1</f>
        <v>0.11412969746303081</v>
      </c>
      <c r="O9" s="446">
        <f>Benchmarking!G48</f>
        <v>7128</v>
      </c>
      <c r="P9" s="446">
        <f>Benchmarking!H48</f>
        <v>7244</v>
      </c>
      <c r="Q9" s="446">
        <f>Benchmarking!I48</f>
        <v>7765</v>
      </c>
      <c r="R9" s="447">
        <f>Benchmarking!G49</f>
        <v>0.25874836648758531</v>
      </c>
      <c r="S9" s="444">
        <f>P9/O9-1</f>
        <v>1.6273849607183033E-2</v>
      </c>
      <c r="T9" s="444">
        <f t="shared" ref="T9:T11" si="10">Q9/P9-1</f>
        <v>7.192159028161238E-2</v>
      </c>
      <c r="U9" s="446">
        <f>Benchmarking!P27</f>
        <v>5269</v>
      </c>
      <c r="V9" s="446">
        <f>Benchmarking!Q27</f>
        <v>5228</v>
      </c>
      <c r="W9" s="446">
        <f>Benchmarking!R27</f>
        <v>5588</v>
      </c>
      <c r="X9" s="447">
        <f>Benchmarking!P28</f>
        <v>0.19126615362276753</v>
      </c>
      <c r="Y9" s="444">
        <f>V9/U9-1</f>
        <v>-7.7813626874169151E-3</v>
      </c>
      <c r="Z9" s="444">
        <f t="shared" ref="Z9:Z11" si="11">W9/V9-1</f>
        <v>6.8859984697781096E-2</v>
      </c>
      <c r="AB9" s="457">
        <f>$H9/I9</f>
        <v>4.4632641208073185</v>
      </c>
      <c r="AC9" s="457">
        <f t="shared" ref="AC9:AD11" si="12">$H9/J9</f>
        <v>4.170194003527337</v>
      </c>
      <c r="AD9" s="457">
        <f t="shared" si="12"/>
        <v>3.7430058753691133</v>
      </c>
      <c r="AE9" s="457">
        <f>$H9/O9</f>
        <v>17.249438832772167</v>
      </c>
      <c r="AF9" s="457">
        <f t="shared" ref="AF9:AF11" si="13">$H9/P9</f>
        <v>16.973219215902816</v>
      </c>
      <c r="AG9" s="457">
        <f t="shared" ref="AG9:AG11" si="14">$H9/Q9</f>
        <v>15.834385061171925</v>
      </c>
      <c r="AH9" s="457">
        <f>$F9/U9</f>
        <v>23.403871702410324</v>
      </c>
      <c r="AI9" s="457">
        <f t="shared" ref="AI9:AI11" si="15">$F9/V9</f>
        <v>23.587413925019128</v>
      </c>
      <c r="AJ9" s="457">
        <f t="shared" ref="AJ9:AJ11" si="16">$F9/W9</f>
        <v>22.06782390837509</v>
      </c>
      <c r="AM9" s="20" t="s">
        <v>1033</v>
      </c>
    </row>
    <row r="10" spans="2:39">
      <c r="B10" s="435" t="s">
        <v>1009</v>
      </c>
      <c r="C10" s="436"/>
      <c r="D10" s="448" t="str">
        <f>'Comps Description'!B6</f>
        <v>NSE: ZYDUSLIFE</v>
      </c>
      <c r="E10" s="449">
        <f>'Comps Description'!G6</f>
        <v>942</v>
      </c>
      <c r="F10" s="449">
        <f>'Comps Description'!C6</f>
        <v>94802</v>
      </c>
      <c r="G10" s="449">
        <f>'Comps Description'!H6</f>
        <v>3169</v>
      </c>
      <c r="H10" s="449">
        <f>'Comps Description'!F6</f>
        <v>95059</v>
      </c>
      <c r="I10" s="449">
        <f>Benchmarking!G33</f>
        <v>23241</v>
      </c>
      <c r="J10" s="449">
        <f>Benchmarking!H33</f>
        <v>25910</v>
      </c>
      <c r="K10" s="449">
        <f>Benchmarking!I33</f>
        <v>28228</v>
      </c>
      <c r="L10" s="455">
        <f>Benchmarking!G34</f>
        <v>0.18898040620043988</v>
      </c>
      <c r="M10" s="453">
        <f t="shared" ref="M10:M11" si="17">J10/I10-1</f>
        <v>0.11484015317757401</v>
      </c>
      <c r="N10" s="453">
        <f t="shared" si="9"/>
        <v>8.9463527595522896E-2</v>
      </c>
      <c r="O10" s="449">
        <f>Benchmarking!G54</f>
        <v>6895</v>
      </c>
      <c r="P10" s="449">
        <f>Benchmarking!H54</f>
        <v>6860</v>
      </c>
      <c r="Q10" s="449">
        <f>Benchmarking!I54</f>
        <v>6641</v>
      </c>
      <c r="R10" s="455">
        <f>Benchmarking!G55</f>
        <v>0.29667398132610473</v>
      </c>
      <c r="S10" s="453">
        <f t="shared" ref="S10:S11" si="18">P10/O10-1</f>
        <v>-5.0761421319797106E-3</v>
      </c>
      <c r="T10" s="453">
        <f t="shared" si="10"/>
        <v>-3.1924198250728897E-2</v>
      </c>
      <c r="U10" s="449">
        <f>Benchmarking!P33</f>
        <v>4673</v>
      </c>
      <c r="V10" s="449">
        <f>Benchmarking!Q33</f>
        <v>4482</v>
      </c>
      <c r="W10" s="449">
        <f>Benchmarking!R33</f>
        <v>4247</v>
      </c>
      <c r="X10" s="455">
        <f>Benchmarking!P34</f>
        <v>0.20106707972978788</v>
      </c>
      <c r="Y10" s="444">
        <f t="shared" ref="Y10:Y11" si="19">V10/U10-1</f>
        <v>-4.0873100791782635E-2</v>
      </c>
      <c r="Z10" s="444">
        <f t="shared" si="11"/>
        <v>-5.2431950022311491E-2</v>
      </c>
      <c r="AB10" s="458">
        <f t="shared" ref="AB10" si="20">$H10/I10</f>
        <v>4.0901424207219996</v>
      </c>
      <c r="AC10" s="458">
        <f t="shared" si="12"/>
        <v>3.668815129293709</v>
      </c>
      <c r="AD10" s="458">
        <f t="shared" si="12"/>
        <v>3.3675428652401869</v>
      </c>
      <c r="AE10" s="458">
        <f t="shared" ref="AE10:AE11" si="21">$H10/O10</f>
        <v>13.78665699782451</v>
      </c>
      <c r="AF10" s="458">
        <f t="shared" si="13"/>
        <v>13.856997084548105</v>
      </c>
      <c r="AG10" s="458">
        <f t="shared" si="14"/>
        <v>14.31395874115344</v>
      </c>
      <c r="AH10" s="458">
        <f t="shared" ref="AH10:AH11" si="22">$F10/U10</f>
        <v>20.287181682002995</v>
      </c>
      <c r="AI10" s="458">
        <f t="shared" si="15"/>
        <v>21.151717983043284</v>
      </c>
      <c r="AJ10" s="458">
        <f t="shared" si="16"/>
        <v>22.322109724511421</v>
      </c>
      <c r="AM10" s="20" t="s">
        <v>1030</v>
      </c>
    </row>
    <row r="11" spans="2:39">
      <c r="B11" s="437" t="s">
        <v>937</v>
      </c>
      <c r="C11" s="438"/>
      <c r="D11" s="450" t="str">
        <f>'Comps Description'!B8</f>
        <v>NSE: TORNTPHARM</v>
      </c>
      <c r="E11" s="451">
        <f>'Comps Description'!G8</f>
        <v>3622</v>
      </c>
      <c r="F11" s="451">
        <f>'Comps Description'!C8</f>
        <v>122573</v>
      </c>
      <c r="G11" s="451">
        <f>'Comps Description'!H8</f>
        <v>3025</v>
      </c>
      <c r="H11" s="451">
        <f>'Comps Description'!F8</f>
        <v>125196</v>
      </c>
      <c r="I11" s="451">
        <f>Benchmarking!G24</f>
        <v>11516</v>
      </c>
      <c r="J11" s="451">
        <f>Benchmarking!H24</f>
        <v>14085</v>
      </c>
      <c r="K11" s="451">
        <f>Benchmarking!I24</f>
        <v>18861</v>
      </c>
      <c r="L11" s="456">
        <f>Benchmarking!G25</f>
        <v>7.3452647278150707E-2</v>
      </c>
      <c r="M11" s="454">
        <f t="shared" si="17"/>
        <v>0.22308093087877734</v>
      </c>
      <c r="N11" s="454">
        <f t="shared" si="9"/>
        <v>0.33908413205537813</v>
      </c>
      <c r="O11" s="451">
        <f>Benchmarking!G45</f>
        <v>3721</v>
      </c>
      <c r="P11" s="451">
        <f>Benchmarking!H45</f>
        <v>4677</v>
      </c>
      <c r="Q11" s="451">
        <f>Benchmarking!I45</f>
        <v>6143</v>
      </c>
      <c r="R11" s="456">
        <f>Benchmarking!G46</f>
        <v>0.32311566516151441</v>
      </c>
      <c r="S11" s="454">
        <f t="shared" si="18"/>
        <v>0.25692018274657347</v>
      </c>
      <c r="T11" s="454">
        <f t="shared" si="10"/>
        <v>0.31344879196065856</v>
      </c>
      <c r="U11" s="451">
        <f>Benchmarking!P24</f>
        <v>1911</v>
      </c>
      <c r="V11" s="451">
        <f>Benchmarking!Q24</f>
        <v>2383</v>
      </c>
      <c r="W11" s="451">
        <f>Benchmarking!R24</f>
        <v>2797</v>
      </c>
      <c r="X11" s="456">
        <f>Benchmarking!P25</f>
        <v>0.16594303577631123</v>
      </c>
      <c r="Y11" s="444">
        <f t="shared" si="19"/>
        <v>0.24699110413396119</v>
      </c>
      <c r="Z11" s="444">
        <f t="shared" si="11"/>
        <v>0.17373059169114557</v>
      </c>
      <c r="AB11" s="459">
        <f t="shared" ref="AB11" si="23">$H11/I11</f>
        <v>10.871483153872873</v>
      </c>
      <c r="AC11" s="459">
        <f t="shared" si="12"/>
        <v>8.8886048988285413</v>
      </c>
      <c r="AD11" s="459">
        <f t="shared" si="12"/>
        <v>6.6378240814378877</v>
      </c>
      <c r="AE11" s="459">
        <f t="shared" si="21"/>
        <v>33.64579414135985</v>
      </c>
      <c r="AF11" s="459">
        <f t="shared" si="13"/>
        <v>26.768441308531109</v>
      </c>
      <c r="AG11" s="459">
        <f t="shared" si="14"/>
        <v>20.380270226273808</v>
      </c>
      <c r="AH11" s="459">
        <f t="shared" si="22"/>
        <v>64.140763997906859</v>
      </c>
      <c r="AI11" s="459">
        <f t="shared" si="15"/>
        <v>51.436424674779687</v>
      </c>
      <c r="AJ11" s="459">
        <f t="shared" si="16"/>
        <v>43.823024669288522</v>
      </c>
      <c r="AM11" s="20" t="s">
        <v>1036</v>
      </c>
    </row>
    <row r="12" spans="2:39" ht="6" customHeight="1">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B12" s="19"/>
      <c r="AC12" s="19"/>
      <c r="AD12" s="19"/>
      <c r="AE12" s="19"/>
      <c r="AF12" s="19"/>
      <c r="AG12" s="19"/>
      <c r="AH12" s="19"/>
      <c r="AI12" s="19"/>
      <c r="AJ12" s="19"/>
    </row>
    <row r="13" spans="2:39">
      <c r="B13" s="461" t="s">
        <v>898</v>
      </c>
      <c r="C13" s="462"/>
      <c r="D13" s="462"/>
      <c r="E13" s="462"/>
      <c r="F13" s="462"/>
      <c r="G13" s="462"/>
      <c r="H13" s="462"/>
      <c r="I13" s="462"/>
      <c r="J13" s="462"/>
      <c r="K13" s="462"/>
      <c r="L13" s="462"/>
      <c r="M13" s="462"/>
      <c r="N13" s="462"/>
      <c r="O13" s="462"/>
      <c r="P13" s="462"/>
      <c r="Q13" s="462"/>
      <c r="R13" s="462"/>
      <c r="S13" s="462"/>
      <c r="T13" s="462"/>
      <c r="U13" s="462"/>
      <c r="V13" s="462"/>
      <c r="W13" s="462"/>
      <c r="X13" s="430"/>
      <c r="Y13" s="430"/>
      <c r="Z13" s="430"/>
      <c r="AB13" s="469">
        <f>MAX(AB9:AB11)</f>
        <v>10.871483153872873</v>
      </c>
      <c r="AC13" s="469">
        <f t="shared" ref="AC13:AJ13" si="24">MAX(AC9:AC11)</f>
        <v>8.8886048988285413</v>
      </c>
      <c r="AD13" s="469">
        <f t="shared" si="24"/>
        <v>6.6378240814378877</v>
      </c>
      <c r="AE13" s="469">
        <f t="shared" si="24"/>
        <v>33.64579414135985</v>
      </c>
      <c r="AF13" s="469">
        <f t="shared" si="24"/>
        <v>26.768441308531109</v>
      </c>
      <c r="AG13" s="469">
        <f t="shared" si="24"/>
        <v>20.380270226273808</v>
      </c>
      <c r="AH13" s="469">
        <f t="shared" si="24"/>
        <v>64.140763997906859</v>
      </c>
      <c r="AI13" s="469">
        <f t="shared" si="24"/>
        <v>51.436424674779687</v>
      </c>
      <c r="AJ13" s="469">
        <f t="shared" si="24"/>
        <v>43.823024669288522</v>
      </c>
    </row>
    <row r="14" spans="2:39">
      <c r="B14" s="463" t="s">
        <v>1015</v>
      </c>
      <c r="C14" s="464"/>
      <c r="D14" s="464"/>
      <c r="E14" s="464"/>
      <c r="F14" s="464"/>
      <c r="G14" s="464"/>
      <c r="H14" s="464"/>
      <c r="I14" s="464"/>
      <c r="J14" s="464"/>
      <c r="K14" s="464"/>
      <c r="L14" s="464"/>
      <c r="M14" s="464"/>
      <c r="N14" s="464"/>
      <c r="O14" s="464"/>
      <c r="P14" s="464"/>
      <c r="Q14" s="464"/>
      <c r="R14" s="464"/>
      <c r="S14" s="464"/>
      <c r="T14" s="464"/>
      <c r="U14" s="464"/>
      <c r="V14" s="464"/>
      <c r="W14" s="464"/>
      <c r="X14" s="431"/>
      <c r="Y14" s="431"/>
      <c r="Z14" s="431"/>
      <c r="AB14" s="469">
        <f>QUARTILE(AB9:AB11,3)</f>
        <v>7.6673736373400958</v>
      </c>
      <c r="AC14" s="469">
        <f t="shared" ref="AC14:AJ14" si="25">QUARTILE(AC9:AC11,3)</f>
        <v>6.5293994511779392</v>
      </c>
      <c r="AD14" s="469">
        <f t="shared" si="25"/>
        <v>5.190414978403501</v>
      </c>
      <c r="AE14" s="469">
        <f t="shared" si="25"/>
        <v>25.447616487066007</v>
      </c>
      <c r="AF14" s="469">
        <f t="shared" si="25"/>
        <v>21.870830262216963</v>
      </c>
      <c r="AG14" s="469">
        <f t="shared" si="25"/>
        <v>18.107327643722869</v>
      </c>
      <c r="AH14" s="469">
        <f t="shared" si="25"/>
        <v>43.772317850158586</v>
      </c>
      <c r="AI14" s="469">
        <f t="shared" si="25"/>
        <v>37.511919299899404</v>
      </c>
      <c r="AJ14" s="469">
        <f t="shared" si="25"/>
        <v>33.072567196899968</v>
      </c>
    </row>
    <row r="15" spans="2:39">
      <c r="B15" s="465" t="s">
        <v>1017</v>
      </c>
      <c r="C15" s="464"/>
      <c r="D15" s="464"/>
      <c r="E15" s="464"/>
      <c r="F15" s="464"/>
      <c r="G15" s="464"/>
      <c r="H15" s="464"/>
      <c r="I15" s="464"/>
      <c r="J15" s="464"/>
      <c r="K15" s="464"/>
      <c r="L15" s="464"/>
      <c r="M15" s="464"/>
      <c r="N15" s="464"/>
      <c r="O15" s="464"/>
      <c r="P15" s="464"/>
      <c r="Q15" s="464"/>
      <c r="R15" s="464"/>
      <c r="S15" s="464"/>
      <c r="T15" s="464"/>
      <c r="U15" s="464"/>
      <c r="V15" s="464"/>
      <c r="W15" s="464"/>
      <c r="X15" s="431"/>
      <c r="Y15" s="431"/>
      <c r="Z15" s="431"/>
      <c r="AB15" s="460">
        <f>AVERAGE(AB9:AB11)</f>
        <v>6.4749632318007313</v>
      </c>
      <c r="AC15" s="460">
        <f t="shared" ref="AC15:AJ15" si="26">AVERAGE(AC9:AC11)</f>
        <v>5.5758713438831959</v>
      </c>
      <c r="AD15" s="460">
        <f t="shared" si="26"/>
        <v>4.5827909406823961</v>
      </c>
      <c r="AE15" s="460">
        <f t="shared" si="26"/>
        <v>21.560629990652178</v>
      </c>
      <c r="AF15" s="460">
        <f t="shared" si="26"/>
        <v>19.199552536327342</v>
      </c>
      <c r="AG15" s="460">
        <f t="shared" si="26"/>
        <v>16.842871342866392</v>
      </c>
      <c r="AH15" s="460">
        <f t="shared" si="26"/>
        <v>35.943939127440061</v>
      </c>
      <c r="AI15" s="460">
        <f t="shared" si="26"/>
        <v>32.058518860947366</v>
      </c>
      <c r="AJ15" s="460">
        <f t="shared" si="26"/>
        <v>29.40431943405834</v>
      </c>
    </row>
    <row r="16" spans="2:39">
      <c r="B16" s="466" t="s">
        <v>357</v>
      </c>
      <c r="C16" s="464"/>
      <c r="D16" s="464"/>
      <c r="E16" s="464"/>
      <c r="F16" s="464"/>
      <c r="G16" s="464"/>
      <c r="H16" s="464"/>
      <c r="I16" s="464"/>
      <c r="J16" s="464"/>
      <c r="K16" s="464"/>
      <c r="L16" s="464"/>
      <c r="M16" s="464"/>
      <c r="N16" s="464"/>
      <c r="O16" s="464"/>
      <c r="P16" s="464"/>
      <c r="Q16" s="464"/>
      <c r="R16" s="464"/>
      <c r="S16" s="464"/>
      <c r="T16" s="464"/>
      <c r="U16" s="464"/>
      <c r="V16" s="464"/>
      <c r="W16" s="464"/>
      <c r="X16" s="431"/>
      <c r="Y16" s="431"/>
      <c r="Z16" s="431"/>
      <c r="AB16" s="460">
        <f>MEDIAN(AB9:AB11)</f>
        <v>4.4632641208073185</v>
      </c>
      <c r="AC16" s="460">
        <f t="shared" ref="AC16:AJ16" si="27">MEDIAN(AC9:AC11)</f>
        <v>4.170194003527337</v>
      </c>
      <c r="AD16" s="460">
        <f t="shared" si="27"/>
        <v>3.7430058753691133</v>
      </c>
      <c r="AE16" s="460">
        <f t="shared" si="27"/>
        <v>17.249438832772167</v>
      </c>
      <c r="AF16" s="460">
        <f t="shared" si="27"/>
        <v>16.973219215902816</v>
      </c>
      <c r="AG16" s="460">
        <f t="shared" si="27"/>
        <v>15.834385061171925</v>
      </c>
      <c r="AH16" s="460">
        <f t="shared" si="27"/>
        <v>23.403871702410324</v>
      </c>
      <c r="AI16" s="460">
        <f t="shared" si="27"/>
        <v>23.587413925019128</v>
      </c>
      <c r="AJ16" s="460">
        <f t="shared" si="27"/>
        <v>22.322109724511421</v>
      </c>
    </row>
    <row r="17" spans="2:36">
      <c r="B17" s="463" t="s">
        <v>1016</v>
      </c>
      <c r="C17" s="464"/>
      <c r="D17" s="464"/>
      <c r="E17" s="464"/>
      <c r="F17" s="464"/>
      <c r="G17" s="464"/>
      <c r="H17" s="464"/>
      <c r="I17" s="464"/>
      <c r="J17" s="464"/>
      <c r="K17" s="464"/>
      <c r="L17" s="464"/>
      <c r="M17" s="464"/>
      <c r="N17" s="464"/>
      <c r="O17" s="464"/>
      <c r="P17" s="464"/>
      <c r="Q17" s="464"/>
      <c r="R17" s="464"/>
      <c r="S17" s="464"/>
      <c r="T17" s="464"/>
      <c r="U17" s="464"/>
      <c r="V17" s="464"/>
      <c r="W17" s="464"/>
      <c r="X17" s="431"/>
      <c r="Y17" s="431"/>
      <c r="Z17" s="431"/>
      <c r="AB17" s="469">
        <f>QUARTILE(AB9:AB11,1)</f>
        <v>4.2767032707646591</v>
      </c>
      <c r="AC17" s="469">
        <f t="shared" ref="AC17:AJ17" si="28">QUARTILE(AC9:AC11,1)</f>
        <v>3.9195045664105228</v>
      </c>
      <c r="AD17" s="469">
        <f t="shared" si="28"/>
        <v>3.5552743703046499</v>
      </c>
      <c r="AE17" s="469">
        <f t="shared" si="28"/>
        <v>15.518047915298339</v>
      </c>
      <c r="AF17" s="469">
        <f t="shared" si="28"/>
        <v>15.415108150225461</v>
      </c>
      <c r="AG17" s="469">
        <f t="shared" si="28"/>
        <v>15.074171901162682</v>
      </c>
      <c r="AH17" s="469">
        <f t="shared" si="28"/>
        <v>21.845526692206661</v>
      </c>
      <c r="AI17" s="469">
        <f t="shared" si="28"/>
        <v>22.369565954031206</v>
      </c>
      <c r="AJ17" s="469">
        <f t="shared" si="28"/>
        <v>22.194966816443255</v>
      </c>
    </row>
    <row r="18" spans="2:36">
      <c r="B18" s="467" t="s">
        <v>1018</v>
      </c>
      <c r="C18" s="468"/>
      <c r="D18" s="468"/>
      <c r="E18" s="468"/>
      <c r="F18" s="468"/>
      <c r="G18" s="468"/>
      <c r="H18" s="468"/>
      <c r="I18" s="468"/>
      <c r="J18" s="468"/>
      <c r="K18" s="468"/>
      <c r="L18" s="468"/>
      <c r="M18" s="468"/>
      <c r="N18" s="468"/>
      <c r="O18" s="468"/>
      <c r="P18" s="468"/>
      <c r="Q18" s="468"/>
      <c r="R18" s="468"/>
      <c r="S18" s="468"/>
      <c r="T18" s="468"/>
      <c r="U18" s="468"/>
      <c r="V18" s="468"/>
      <c r="W18" s="468"/>
      <c r="X18" s="432"/>
      <c r="Y18" s="432"/>
      <c r="Z18" s="432"/>
      <c r="AB18" s="469">
        <f>MIN(AB9:AB11)</f>
        <v>4.0901424207219996</v>
      </c>
      <c r="AC18" s="469">
        <f t="shared" ref="AC18:AJ18" si="29">MIN(AC9:AC11)</f>
        <v>3.668815129293709</v>
      </c>
      <c r="AD18" s="469">
        <f t="shared" si="29"/>
        <v>3.3675428652401869</v>
      </c>
      <c r="AE18" s="469">
        <f t="shared" si="29"/>
        <v>13.78665699782451</v>
      </c>
      <c r="AF18" s="469">
        <f t="shared" si="29"/>
        <v>13.856997084548105</v>
      </c>
      <c r="AG18" s="469">
        <f t="shared" si="29"/>
        <v>14.31395874115344</v>
      </c>
      <c r="AH18" s="469">
        <f t="shared" si="29"/>
        <v>20.287181682002995</v>
      </c>
      <c r="AI18" s="469">
        <f t="shared" si="29"/>
        <v>21.151717983043284</v>
      </c>
      <c r="AJ18" s="469">
        <f t="shared" si="29"/>
        <v>22.06782390837509</v>
      </c>
    </row>
    <row r="20" spans="2:36">
      <c r="B20" s="497" t="s">
        <v>1010</v>
      </c>
      <c r="C20" s="184"/>
      <c r="D20" s="184"/>
    </row>
    <row r="22" spans="2:36">
      <c r="B22" t="s">
        <v>41</v>
      </c>
      <c r="D22" s="143">
        <f>I7</f>
        <v>12207</v>
      </c>
    </row>
    <row r="23" spans="2:36">
      <c r="B23" t="s">
        <v>63</v>
      </c>
      <c r="D23" s="143">
        <f>O7</f>
        <v>2651.8599999999988</v>
      </c>
    </row>
    <row r="24" spans="2:36">
      <c r="B24" t="s">
        <v>1034</v>
      </c>
      <c r="D24" s="143">
        <f>U7</f>
        <v>1616.2699999999988</v>
      </c>
    </row>
    <row r="25" spans="2:36">
      <c r="B25" s="18" t="s">
        <v>1035</v>
      </c>
      <c r="C25" s="18"/>
      <c r="D25" s="548" t="s">
        <v>1030</v>
      </c>
    </row>
    <row r="26" spans="2:36">
      <c r="B26" t="str">
        <f>D25</f>
        <v>EV/EBITDA</v>
      </c>
      <c r="D26" s="473">
        <f>IF(B26=AM9,AB16,IF(B26=AM10,AE16,AH16))</f>
        <v>17.249438832772167</v>
      </c>
    </row>
    <row r="27" spans="2:36">
      <c r="B27" s="20" t="str">
        <f>IF(D25=AM11,"Equity Value",IF(D25=AM10,"Enterprise Value","Enterprise Value"))</f>
        <v>Enterprise Value</v>
      </c>
      <c r="C27" s="20"/>
      <c r="D27" s="516">
        <f>IF(D25=AM9,D26*D22,IF(D25=AM10,D26*D23,D26*D24))</f>
        <v>45743.096863075181</v>
      </c>
    </row>
    <row r="28" spans="2:36">
      <c r="B28" t="s">
        <v>154</v>
      </c>
      <c r="D28" s="113">
        <f>IF($D$25=$AM$11,0,'DCF Val'!C41)</f>
        <v>-8483.0299999999988</v>
      </c>
    </row>
    <row r="29" spans="2:36">
      <c r="B29" t="str">
        <f>'DCF Val'!B42</f>
        <v>Add: Cash</v>
      </c>
      <c r="D29" s="113">
        <f>IF($D$25=$AM$11,0,'DCF Val'!C42)</f>
        <v>554.5</v>
      </c>
    </row>
    <row r="30" spans="2:36">
      <c r="B30" t="str">
        <f>'DCF Val'!B43</f>
        <v>Less: Minority Interest</v>
      </c>
      <c r="D30" s="113">
        <f>IF($D$25=$AM$11,0,'DCF Val'!C43)</f>
        <v>-235.79</v>
      </c>
    </row>
    <row r="31" spans="2:36">
      <c r="B31" t="str">
        <f>'DCF Val'!B44</f>
        <v>Add: Non Operating Asset</v>
      </c>
      <c r="D31" s="113">
        <f>IF($D$25=$AM$11,0,'DCF Val'!C44)</f>
        <v>360.57000000000005</v>
      </c>
    </row>
    <row r="32" spans="2:36" s="20" customFormat="1">
      <c r="B32" s="474" t="str">
        <f>'DCF Val'!B45</f>
        <v>Equity Value</v>
      </c>
      <c r="C32" s="474"/>
      <c r="D32" s="475">
        <f>SUM(D27:D31)</f>
        <v>37939.346863075181</v>
      </c>
    </row>
    <row r="33" spans="2:4">
      <c r="B33" t="str">
        <f>'DCF Val'!B46</f>
        <v>Less: Value of Options</v>
      </c>
      <c r="D33" s="113">
        <f ca="1">IF($D$25=$AM$11,0,'DCF Val'!C46)</f>
        <v>-191.21859779612484</v>
      </c>
    </row>
    <row r="34" spans="2:4" ht="15" thickBot="1">
      <c r="B34" s="105" t="str">
        <f>'DCF Val'!B47</f>
        <v>Equity Value for Shareholders</v>
      </c>
      <c r="C34" s="105"/>
      <c r="D34" s="114">
        <f ca="1">D32+D33</f>
        <v>37748.128265279054</v>
      </c>
    </row>
  </sheetData>
  <sheetProtection sheet="1" objects="1" scenarios="1" selectLockedCells="1"/>
  <mergeCells count="3">
    <mergeCell ref="D3:H3"/>
    <mergeCell ref="I3:W3"/>
    <mergeCell ref="AB3:AJ3"/>
  </mergeCells>
  <dataValidations count="1">
    <dataValidation type="list" allowBlank="1" showInputMessage="1" showErrorMessage="1" sqref="D25" xr:uid="{00000000-0002-0000-0C00-000000000000}">
      <formula1>$AM$9:$AM$11</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Y88"/>
  <sheetViews>
    <sheetView showGridLines="0" zoomScale="85" zoomScaleNormal="85" workbookViewId="0">
      <selection activeCell="M3" sqref="M3"/>
    </sheetView>
  </sheetViews>
  <sheetFormatPr defaultRowHeight="14.4"/>
  <cols>
    <col min="1" max="1" width="1.88671875" customWidth="1"/>
    <col min="2" max="2" width="34.88671875" bestFit="1" customWidth="1"/>
    <col min="10" max="10" width="8.88671875" customWidth="1"/>
    <col min="11" max="11" width="34.88671875" bestFit="1" customWidth="1"/>
  </cols>
  <sheetData>
    <row r="2" spans="1:13">
      <c r="A2" t="s">
        <v>23</v>
      </c>
      <c r="B2" s="108" t="s">
        <v>1005</v>
      </c>
      <c r="C2" s="108"/>
      <c r="D2" s="108"/>
      <c r="E2" s="108"/>
      <c r="F2" s="108"/>
      <c r="G2" s="108"/>
      <c r="H2" s="108"/>
      <c r="I2" s="108"/>
      <c r="J2" s="108"/>
    </row>
    <row r="3" spans="1:13">
      <c r="B3" s="419" t="s">
        <v>999</v>
      </c>
      <c r="C3" s="419">
        <v>2021</v>
      </c>
      <c r="D3" s="419">
        <f>C3+1</f>
        <v>2022</v>
      </c>
      <c r="E3" s="419">
        <f t="shared" ref="E3" si="0">D3+1</f>
        <v>2023</v>
      </c>
      <c r="F3" s="419">
        <f t="shared" ref="F3" si="1">E3+1</f>
        <v>2024</v>
      </c>
      <c r="G3" s="419">
        <f t="shared" ref="G3" si="2">F3+1</f>
        <v>2025</v>
      </c>
      <c r="H3" s="420">
        <f t="shared" ref="H3" si="3">G3+1</f>
        <v>2026</v>
      </c>
      <c r="I3" s="420">
        <f t="shared" ref="I3" si="4">H3+1</f>
        <v>2027</v>
      </c>
      <c r="J3" s="428" t="s">
        <v>358</v>
      </c>
      <c r="M3" s="544"/>
    </row>
    <row r="4" spans="1:13">
      <c r="B4" t="str">
        <f>"Average "&amp; B18</f>
        <v>Average Revenue Growth</v>
      </c>
      <c r="C4" s="104">
        <f>C36</f>
        <v>0</v>
      </c>
      <c r="D4" s="104">
        <f t="shared" ref="D4:I4" si="5">D36</f>
        <v>0.10458589654373433</v>
      </c>
      <c r="E4" s="104">
        <f t="shared" si="5"/>
        <v>0.13473629707071089</v>
      </c>
      <c r="F4" s="104">
        <f t="shared" si="5"/>
        <v>0.12449301013942438</v>
      </c>
      <c r="G4" s="104">
        <f t="shared" si="5"/>
        <v>0.11616428638050062</v>
      </c>
      <c r="H4" s="104">
        <f t="shared" si="5"/>
        <v>0.10742783676990623</v>
      </c>
      <c r="I4" s="104">
        <f t="shared" si="5"/>
        <v>0.13772359714297097</v>
      </c>
      <c r="J4" s="104">
        <f ca="1">AVERAGE(C4:J4)</f>
        <v>0.10359013200674963</v>
      </c>
    </row>
    <row r="5" spans="1:13">
      <c r="B5" t="str">
        <f>"Average "&amp; B39</f>
        <v>Average EBITDA margin</v>
      </c>
      <c r="C5" s="104">
        <f>C57</f>
        <v>0.23022024471543334</v>
      </c>
      <c r="D5" s="104">
        <f t="shared" ref="D5:I5" si="6">D57</f>
        <v>0.2154403124050483</v>
      </c>
      <c r="E5" s="104">
        <f t="shared" si="6"/>
        <v>0.24931517384899599</v>
      </c>
      <c r="F5" s="104">
        <f t="shared" si="6"/>
        <v>0.27621312500977868</v>
      </c>
      <c r="G5" s="104">
        <f t="shared" si="6"/>
        <v>0.28545729043984019</v>
      </c>
      <c r="H5" s="104">
        <f t="shared" si="6"/>
        <v>0.27825544110254991</v>
      </c>
      <c r="I5" s="104">
        <f t="shared" si="6"/>
        <v>0.27378622845916628</v>
      </c>
      <c r="J5" s="104">
        <f t="shared" ref="J5:J14" ca="1" si="7">AVERAGE(C5:J5)</f>
        <v>0.2583839737115447</v>
      </c>
    </row>
    <row r="6" spans="1:13">
      <c r="B6" t="str">
        <f>"Average "&amp; B60</f>
        <v>Average EBIT margin</v>
      </c>
      <c r="C6" s="104">
        <f>C78</f>
        <v>0.15019150031244843</v>
      </c>
      <c r="D6" s="104">
        <f t="shared" ref="D6:I6" si="8">D78</f>
        <v>0.1487018131792483</v>
      </c>
      <c r="E6" s="104">
        <f t="shared" si="8"/>
        <v>0.19500412322851135</v>
      </c>
      <c r="F6" s="104">
        <f t="shared" si="8"/>
        <v>0.23407998175157435</v>
      </c>
      <c r="G6" s="104">
        <f t="shared" si="8"/>
        <v>0.24671152742414604</v>
      </c>
      <c r="H6" s="104">
        <f t="shared" si="8"/>
        <v>0.22953446045073927</v>
      </c>
      <c r="I6" s="104">
        <f t="shared" si="8"/>
        <v>0.22296569035373931</v>
      </c>
      <c r="J6" s="104">
        <f t="shared" ca="1" si="7"/>
        <v>0.20388415667148671</v>
      </c>
    </row>
    <row r="7" spans="1:13">
      <c r="B7" t="str">
        <f>"Average "&amp; K18</f>
        <v>Average PAT margin</v>
      </c>
      <c r="C7" s="104">
        <f>L36</f>
        <v>0.12201461221808248</v>
      </c>
      <c r="D7" s="104">
        <f t="shared" ref="D7:I7" si="9">M36</f>
        <v>0.10722460191558905</v>
      </c>
      <c r="E7" s="104">
        <f t="shared" si="9"/>
        <v>0.15039369423757712</v>
      </c>
      <c r="F7" s="104">
        <f t="shared" si="9"/>
        <v>0.18321586662247466</v>
      </c>
      <c r="G7" s="104">
        <f t="shared" si="9"/>
        <v>0.18843975515573699</v>
      </c>
      <c r="H7" s="104">
        <f t="shared" si="9"/>
        <v>0.17812683494628243</v>
      </c>
      <c r="I7" s="104">
        <f t="shared" si="9"/>
        <v>0.17259335383286337</v>
      </c>
      <c r="J7" s="104">
        <f t="shared" ca="1" si="7"/>
        <v>0.15742981698980085</v>
      </c>
    </row>
    <row r="8" spans="1:13">
      <c r="B8" t="str">
        <f>"Average "&amp; K39</f>
        <v>Average PBT margin</v>
      </c>
      <c r="C8" s="104">
        <f>L57</f>
        <v>0.1545539046409217</v>
      </c>
      <c r="D8" s="104">
        <f t="shared" ref="D8:I8" si="10">M57</f>
        <v>0.15190747565324592</v>
      </c>
      <c r="E8" s="104">
        <f t="shared" si="10"/>
        <v>0.19692434494405303</v>
      </c>
      <c r="F8" s="104">
        <f t="shared" si="10"/>
        <v>0.23752125255376563</v>
      </c>
      <c r="G8" s="104">
        <f t="shared" si="10"/>
        <v>0.24937423729674807</v>
      </c>
      <c r="H8" s="104">
        <f t="shared" si="10"/>
        <v>0.23719545331215128</v>
      </c>
      <c r="I8" s="104">
        <f t="shared" si="10"/>
        <v>0.22900869882414249</v>
      </c>
      <c r="J8" s="104">
        <f t="shared" ca="1" si="7"/>
        <v>0.208069338175004</v>
      </c>
    </row>
    <row r="10" spans="1:13">
      <c r="B10" t="str">
        <f>"Median "&amp;B18</f>
        <v>Median Revenue Growth</v>
      </c>
      <c r="C10" s="104">
        <f>C37</f>
        <v>0</v>
      </c>
      <c r="D10" s="104">
        <f t="shared" ref="D10:I10" si="11">D37</f>
        <v>0.11368078175895757</v>
      </c>
      <c r="E10" s="104">
        <f t="shared" si="11"/>
        <v>0.14084320603613731</v>
      </c>
      <c r="F10" s="104">
        <f t="shared" si="11"/>
        <v>0.132773700171406</v>
      </c>
      <c r="G10" s="104">
        <f t="shared" si="11"/>
        <v>8.4160018475407661E-2</v>
      </c>
      <c r="H10" s="104">
        <f t="shared" si="11"/>
        <v>9.1874229721710776E-2</v>
      </c>
      <c r="I10" s="104">
        <f t="shared" si="11"/>
        <v>0.10606350920587371</v>
      </c>
      <c r="J10" s="104">
        <f t="shared" ca="1" si="7"/>
        <v>9.562792076707044E-2</v>
      </c>
    </row>
    <row r="11" spans="1:13">
      <c r="B11" t="str">
        <f>"Median "&amp;B39</f>
        <v>Median EBITDA margin</v>
      </c>
      <c r="C11" s="104">
        <f>C58</f>
        <v>0.21585780740123586</v>
      </c>
      <c r="D11" s="104">
        <f t="shared" ref="D11:I11" si="12">D58</f>
        <v>0.20408823937473985</v>
      </c>
      <c r="E11" s="104">
        <f t="shared" si="12"/>
        <v>0.25735711390352656</v>
      </c>
      <c r="F11" s="104">
        <f t="shared" si="12"/>
        <v>0.2712948278508211</v>
      </c>
      <c r="G11" s="104">
        <f t="shared" si="12"/>
        <v>0.28692390791655886</v>
      </c>
      <c r="H11" s="104">
        <f t="shared" si="12"/>
        <v>0.2700124062149229</v>
      </c>
      <c r="I11" s="104">
        <f t="shared" si="12"/>
        <v>0.2730087490057948</v>
      </c>
      <c r="J11" s="104">
        <f t="shared" ca="1" si="7"/>
        <v>0.25407757880965715</v>
      </c>
    </row>
    <row r="12" spans="1:13">
      <c r="B12" t="str">
        <f>"Median "&amp;B60</f>
        <v>Median EBIT margin</v>
      </c>
      <c r="C12" s="104">
        <f>C79</f>
        <v>0.16989516073040339</v>
      </c>
      <c r="D12" s="104">
        <f t="shared" ref="D12:I12" si="13">D79</f>
        <v>0.16093974009156917</v>
      </c>
      <c r="E12" s="104">
        <f t="shared" si="13"/>
        <v>0.20668828536684231</v>
      </c>
      <c r="F12" s="104">
        <f t="shared" si="13"/>
        <v>0.23073078433472563</v>
      </c>
      <c r="G12" s="104">
        <f t="shared" si="13"/>
        <v>0.2540812782216047</v>
      </c>
      <c r="H12" s="104">
        <f t="shared" si="13"/>
        <v>0.22547279042840601</v>
      </c>
      <c r="I12" s="104">
        <f t="shared" si="13"/>
        <v>0.21960572662197478</v>
      </c>
      <c r="J12" s="104">
        <f t="shared" ca="1" si="7"/>
        <v>0.20963053797078943</v>
      </c>
    </row>
    <row r="13" spans="1:13">
      <c r="B13" t="str">
        <f>"Median "&amp;K18</f>
        <v>Median PAT margin</v>
      </c>
      <c r="C13" s="104">
        <f>L37</f>
        <v>0.12580967928800885</v>
      </c>
      <c r="D13" s="104">
        <f t="shared" ref="D13:I13" si="14">M37</f>
        <v>0.10636638393292386</v>
      </c>
      <c r="E13" s="104">
        <f t="shared" si="14"/>
        <v>0.12941787941787941</v>
      </c>
      <c r="F13" s="104">
        <f t="shared" si="14"/>
        <v>0.19815699560178074</v>
      </c>
      <c r="G13" s="104">
        <f t="shared" si="14"/>
        <v>0.19126615362276753</v>
      </c>
      <c r="H13" s="104">
        <f t="shared" si="14"/>
        <v>0.17298340409108454</v>
      </c>
      <c r="I13" s="104">
        <f t="shared" si="14"/>
        <v>0.17011172334013211</v>
      </c>
      <c r="J13" s="104">
        <f t="shared" ca="1" si="7"/>
        <v>0.15630174561351101</v>
      </c>
    </row>
    <row r="14" spans="1:13">
      <c r="B14" t="str">
        <f>"Median "&amp;K39</f>
        <v>Median PBT margin</v>
      </c>
      <c r="C14" s="104">
        <f>L58</f>
        <v>0.16656252169686872</v>
      </c>
      <c r="D14" s="104">
        <f t="shared" ref="D14:I14" si="15">M58</f>
        <v>0.14921517012771765</v>
      </c>
      <c r="E14" s="104">
        <f t="shared" si="15"/>
        <v>0.19199584199584199</v>
      </c>
      <c r="F14" s="104">
        <f t="shared" si="15"/>
        <v>0.23807707296755048</v>
      </c>
      <c r="G14" s="104">
        <f t="shared" si="15"/>
        <v>0.24680557572237549</v>
      </c>
      <c r="H14" s="104">
        <f t="shared" si="15"/>
        <v>0.2306445387881127</v>
      </c>
      <c r="I14" s="104">
        <f t="shared" si="15"/>
        <v>0.22743462510274284</v>
      </c>
      <c r="J14" s="104">
        <f t="shared" ca="1" si="7"/>
        <v>0.20724790662874426</v>
      </c>
    </row>
    <row r="16" spans="1:13" ht="14.4" customHeight="1"/>
    <row r="17" spans="1:25" ht="14.4" customHeight="1"/>
    <row r="18" spans="1:25" ht="14.4" customHeight="1">
      <c r="A18" t="s">
        <v>23</v>
      </c>
      <c r="B18" s="108" t="s">
        <v>271</v>
      </c>
      <c r="C18" s="108"/>
      <c r="D18" s="108"/>
      <c r="E18" s="108"/>
      <c r="F18" s="108"/>
      <c r="G18" s="108"/>
      <c r="H18" s="108"/>
      <c r="I18" s="108"/>
      <c r="K18" s="108" t="s">
        <v>1004</v>
      </c>
      <c r="L18" s="108"/>
      <c r="M18" s="108"/>
      <c r="N18" s="108"/>
      <c r="O18" s="108"/>
      <c r="P18" s="108"/>
      <c r="Q18" s="108"/>
      <c r="R18" s="108"/>
    </row>
    <row r="19" spans="1:25" ht="14.4" customHeight="1">
      <c r="B19" s="418" t="s">
        <v>999</v>
      </c>
      <c r="C19" s="419">
        <v>2021</v>
      </c>
      <c r="D19" s="419">
        <f>C19+1</f>
        <v>2022</v>
      </c>
      <c r="E19" s="419">
        <f t="shared" ref="E19:I19" si="16">D19+1</f>
        <v>2023</v>
      </c>
      <c r="F19" s="419">
        <f t="shared" si="16"/>
        <v>2024</v>
      </c>
      <c r="G19" s="419">
        <f t="shared" si="16"/>
        <v>2025</v>
      </c>
      <c r="H19" s="420">
        <f t="shared" si="16"/>
        <v>2026</v>
      </c>
      <c r="I19" s="420">
        <f t="shared" si="16"/>
        <v>2027</v>
      </c>
      <c r="K19" s="418" t="s">
        <v>999</v>
      </c>
      <c r="L19" s="419">
        <v>2021</v>
      </c>
      <c r="M19" s="419">
        <f>L19+1</f>
        <v>2022</v>
      </c>
      <c r="N19" s="419">
        <f t="shared" ref="N19:R19" si="17">M19+1</f>
        <v>2023</v>
      </c>
      <c r="O19" s="419">
        <f t="shared" si="17"/>
        <v>2024</v>
      </c>
      <c r="P19" s="419">
        <f t="shared" si="17"/>
        <v>2025</v>
      </c>
      <c r="Q19" s="420">
        <f t="shared" si="17"/>
        <v>2026</v>
      </c>
      <c r="R19" s="420">
        <f t="shared" si="17"/>
        <v>2027</v>
      </c>
    </row>
    <row r="20" spans="1:25" ht="4.8" customHeight="1">
      <c r="B20" s="20"/>
      <c r="C20" s="20"/>
      <c r="D20" s="20"/>
      <c r="E20" s="20"/>
      <c r="F20" s="20"/>
      <c r="G20" s="20"/>
      <c r="H20" s="20"/>
      <c r="I20" s="20"/>
      <c r="K20" s="20"/>
      <c r="L20" s="20"/>
      <c r="M20" s="20"/>
      <c r="N20" s="20"/>
      <c r="O20" s="20"/>
      <c r="P20" s="20"/>
      <c r="Q20" s="20"/>
      <c r="R20" s="20"/>
    </row>
    <row r="21" spans="1:25" s="20" customFormat="1" ht="14.4" customHeight="1">
      <c r="B21" s="421" t="s">
        <v>917</v>
      </c>
      <c r="C21" s="413">
        <v>33498.1</v>
      </c>
      <c r="D21" s="413">
        <v>38654.5</v>
      </c>
      <c r="E21" s="413">
        <v>43885.7</v>
      </c>
      <c r="F21" s="413">
        <v>48496.9</v>
      </c>
      <c r="G21" s="413">
        <v>52578.400000000001</v>
      </c>
      <c r="H21" s="413">
        <v>57409</v>
      </c>
      <c r="I21" s="413">
        <v>63498</v>
      </c>
      <c r="K21" s="421" t="s">
        <v>917</v>
      </c>
      <c r="L21" s="413">
        <v>2272</v>
      </c>
      <c r="M21" s="413">
        <v>3389</v>
      </c>
      <c r="N21" s="413">
        <v>8513</v>
      </c>
      <c r="O21" s="413">
        <v>9610</v>
      </c>
      <c r="P21" s="413">
        <v>10965</v>
      </c>
      <c r="Q21" s="413">
        <v>11453</v>
      </c>
      <c r="R21" s="413">
        <v>13979</v>
      </c>
    </row>
    <row r="22" spans="1:25" ht="14.4" customHeight="1">
      <c r="B22" s="422" t="s">
        <v>389</v>
      </c>
      <c r="C22" s="414"/>
      <c r="D22" s="415">
        <f>D21/C21-1</f>
        <v>0.15393111848134677</v>
      </c>
      <c r="E22" s="415">
        <f t="shared" ref="E22:I22" si="18">E21/D21-1</f>
        <v>0.13533223816114548</v>
      </c>
      <c r="F22" s="415">
        <f t="shared" si="18"/>
        <v>0.10507295087010138</v>
      </c>
      <c r="G22" s="415">
        <f t="shared" si="18"/>
        <v>8.4160018475407661E-2</v>
      </c>
      <c r="H22" s="415">
        <f t="shared" si="18"/>
        <v>9.1874229721710776E-2</v>
      </c>
      <c r="I22" s="415">
        <f t="shared" si="18"/>
        <v>0.10606350920587371</v>
      </c>
      <c r="K22" s="422" t="s">
        <v>515</v>
      </c>
      <c r="L22" s="415">
        <f>L21/C$21</f>
        <v>6.7824742298816951E-2</v>
      </c>
      <c r="M22" s="415">
        <f t="shared" ref="M22:R22" si="19">M21/D$21</f>
        <v>8.7674138845412572E-2</v>
      </c>
      <c r="N22" s="415">
        <f t="shared" si="19"/>
        <v>0.19398118293658301</v>
      </c>
      <c r="O22" s="415">
        <f t="shared" si="19"/>
        <v>0.19815699560178074</v>
      </c>
      <c r="P22" s="415">
        <f t="shared" si="19"/>
        <v>0.20854571459002175</v>
      </c>
      <c r="Q22" s="415">
        <f t="shared" si="19"/>
        <v>0.19949833649776166</v>
      </c>
      <c r="R22" s="415">
        <f t="shared" si="19"/>
        <v>0.22014866609971967</v>
      </c>
    </row>
    <row r="23" spans="1:25" ht="14.4" customHeight="1">
      <c r="B23" s="423"/>
      <c r="K23" s="423"/>
    </row>
    <row r="24" spans="1:25" s="20" customFormat="1" ht="14.4" customHeight="1">
      <c r="B24" s="421" t="s">
        <v>919</v>
      </c>
      <c r="C24" s="413">
        <v>7886</v>
      </c>
      <c r="D24" s="413">
        <v>8419</v>
      </c>
      <c r="E24" s="413">
        <v>9620</v>
      </c>
      <c r="F24" s="413">
        <v>10728</v>
      </c>
      <c r="G24" s="413">
        <v>11516</v>
      </c>
      <c r="H24" s="413">
        <v>14085</v>
      </c>
      <c r="I24" s="413">
        <v>18861</v>
      </c>
      <c r="K24" s="421" t="s">
        <v>919</v>
      </c>
      <c r="L24" s="413">
        <v>1252</v>
      </c>
      <c r="M24" s="413">
        <v>777</v>
      </c>
      <c r="N24" s="413">
        <v>1245</v>
      </c>
      <c r="O24" s="413">
        <v>1656</v>
      </c>
      <c r="P24" s="413">
        <v>1911</v>
      </c>
      <c r="Q24" s="413">
        <v>2383</v>
      </c>
      <c r="R24" s="413">
        <v>2797</v>
      </c>
    </row>
    <row r="25" spans="1:25" ht="14.4" customHeight="1">
      <c r="B25" s="422" t="s">
        <v>389</v>
      </c>
      <c r="C25" s="331"/>
      <c r="D25" s="415">
        <f>D24/C24-1</f>
        <v>6.7588130864823848E-2</v>
      </c>
      <c r="E25" s="415">
        <f t="shared" ref="E25" si="20">E24/D24-1</f>
        <v>0.14265352179593771</v>
      </c>
      <c r="F25" s="415">
        <f t="shared" ref="F25" si="21">F24/E24-1</f>
        <v>0.11517671517671513</v>
      </c>
      <c r="G25" s="415">
        <f t="shared" ref="G25" si="22">G24/F24-1</f>
        <v>7.3452647278150707E-2</v>
      </c>
      <c r="H25" s="415">
        <f t="shared" ref="H25" si="23">H24/G24-1</f>
        <v>0.22308093087877734</v>
      </c>
      <c r="I25" s="415">
        <f t="shared" ref="I25" si="24">I24/H24-1</f>
        <v>0.33908413205537813</v>
      </c>
      <c r="K25" s="422" t="s">
        <v>515</v>
      </c>
      <c r="L25" s="415">
        <f>L24/C$24</f>
        <v>0.15876236368247526</v>
      </c>
      <c r="M25" s="415">
        <f t="shared" ref="M25:R25" si="25">M24/D$24</f>
        <v>9.2291245991210358E-2</v>
      </c>
      <c r="N25" s="415">
        <f t="shared" si="25"/>
        <v>0.12941787941787941</v>
      </c>
      <c r="O25" s="415">
        <f t="shared" si="25"/>
        <v>0.15436241610738255</v>
      </c>
      <c r="P25" s="415">
        <f t="shared" si="25"/>
        <v>0.16594303577631123</v>
      </c>
      <c r="Q25" s="415">
        <f t="shared" si="25"/>
        <v>0.16918707845225417</v>
      </c>
      <c r="R25" s="415">
        <f t="shared" si="25"/>
        <v>0.14829542442076241</v>
      </c>
    </row>
    <row r="26" spans="1:25" ht="14.4" customHeight="1">
      <c r="B26" s="423"/>
      <c r="F26" s="143"/>
      <c r="G26" s="143"/>
      <c r="K26" s="423"/>
      <c r="O26" s="143"/>
      <c r="P26" s="143"/>
    </row>
    <row r="27" spans="1:25" s="20" customFormat="1" ht="14.4" customHeight="1">
      <c r="B27" s="421" t="s">
        <v>921</v>
      </c>
      <c r="C27" s="413">
        <v>18989</v>
      </c>
      <c r="D27" s="413">
        <v>21623</v>
      </c>
      <c r="E27" s="413">
        <v>22753</v>
      </c>
      <c r="F27" s="413">
        <v>25774</v>
      </c>
      <c r="G27" s="413">
        <v>27548</v>
      </c>
      <c r="H27" s="413">
        <v>29484</v>
      </c>
      <c r="I27" s="413">
        <v>32849</v>
      </c>
      <c r="K27" s="421" t="s">
        <v>921</v>
      </c>
      <c r="L27" s="413">
        <v>2389</v>
      </c>
      <c r="M27" s="413">
        <v>2547</v>
      </c>
      <c r="N27" s="413">
        <v>2833</v>
      </c>
      <c r="O27" s="413">
        <v>4154</v>
      </c>
      <c r="P27" s="413">
        <v>5269</v>
      </c>
      <c r="Q27" s="413">
        <v>5228</v>
      </c>
      <c r="R27" s="413">
        <v>5588</v>
      </c>
      <c r="T27"/>
      <c r="U27"/>
      <c r="V27"/>
      <c r="W27"/>
      <c r="X27"/>
      <c r="Y27"/>
    </row>
    <row r="28" spans="1:25" ht="14.4" customHeight="1">
      <c r="B28" s="422" t="s">
        <v>389</v>
      </c>
      <c r="C28" s="331"/>
      <c r="D28" s="415">
        <f>D27/C27-1</f>
        <v>0.13871188582863758</v>
      </c>
      <c r="E28" s="415">
        <f t="shared" ref="E28" si="26">E27/D27-1</f>
        <v>5.2259168478009599E-2</v>
      </c>
      <c r="F28" s="415">
        <f t="shared" ref="F28" si="27">F27/E27-1</f>
        <v>0.132773700171406</v>
      </c>
      <c r="G28" s="415">
        <f t="shared" ref="G28" si="28">G27/F27-1</f>
        <v>6.8829052533560864E-2</v>
      </c>
      <c r="H28" s="415">
        <f t="shared" ref="H28" si="29">H27/G27-1</f>
        <v>7.0277334107739176E-2</v>
      </c>
      <c r="I28" s="415">
        <f t="shared" ref="I28" si="30">I27/H27-1</f>
        <v>0.11412969746303081</v>
      </c>
      <c r="K28" s="422" t="s">
        <v>515</v>
      </c>
      <c r="L28" s="415">
        <f>L27/C$27</f>
        <v>0.12580967928800885</v>
      </c>
      <c r="M28" s="415">
        <f t="shared" ref="M28:R28" si="31">M27/D$27</f>
        <v>0.11779124080839846</v>
      </c>
      <c r="N28" s="415">
        <f t="shared" si="31"/>
        <v>0.1245110534874522</v>
      </c>
      <c r="O28" s="415">
        <f t="shared" si="31"/>
        <v>0.16117017149064949</v>
      </c>
      <c r="P28" s="415">
        <f t="shared" si="31"/>
        <v>0.19126615362276753</v>
      </c>
      <c r="Q28" s="415">
        <f t="shared" si="31"/>
        <v>0.17731651064984399</v>
      </c>
      <c r="R28" s="415">
        <f t="shared" si="31"/>
        <v>0.17011172334013211</v>
      </c>
    </row>
    <row r="29" spans="1:25" ht="14.4" customHeight="1">
      <c r="B29" s="423"/>
      <c r="K29" s="423"/>
    </row>
    <row r="30" spans="1:25" s="20" customFormat="1" ht="14.4" customHeight="1">
      <c r="B30" s="421" t="s">
        <v>923</v>
      </c>
      <c r="C30" s="413">
        <v>18420</v>
      </c>
      <c r="D30" s="413">
        <v>20514</v>
      </c>
      <c r="E30" s="413">
        <v>24670</v>
      </c>
      <c r="F30" s="413">
        <v>28011</v>
      </c>
      <c r="G30" s="413">
        <v>32644</v>
      </c>
      <c r="H30" s="413">
        <v>33854</v>
      </c>
      <c r="I30" s="413">
        <v>35204</v>
      </c>
      <c r="J30" s="424"/>
      <c r="K30" s="421" t="s">
        <v>923</v>
      </c>
      <c r="L30" s="413">
        <v>1952</v>
      </c>
      <c r="M30" s="413">
        <v>2182</v>
      </c>
      <c r="N30" s="413">
        <v>4507</v>
      </c>
      <c r="O30" s="413">
        <v>5578</v>
      </c>
      <c r="P30" s="413">
        <v>5725</v>
      </c>
      <c r="Q30" s="413">
        <v>5811</v>
      </c>
      <c r="R30" s="413">
        <v>6124</v>
      </c>
      <c r="T30"/>
      <c r="U30"/>
      <c r="V30"/>
      <c r="W30"/>
      <c r="X30"/>
      <c r="Y30"/>
    </row>
    <row r="31" spans="1:25" ht="14.4" customHeight="1">
      <c r="B31" s="422" t="s">
        <v>389</v>
      </c>
      <c r="C31" s="331"/>
      <c r="D31" s="415">
        <f>D30/C30-1</f>
        <v>0.11368078175895757</v>
      </c>
      <c r="E31" s="415">
        <f t="shared" ref="E31" si="32">E30/D30-1</f>
        <v>0.20259335088232433</v>
      </c>
      <c r="F31" s="415">
        <f t="shared" ref="F31" si="33">F30/E30-1</f>
        <v>0.13542764491284953</v>
      </c>
      <c r="G31" s="415">
        <f t="shared" ref="G31" si="34">G30/F30-1</f>
        <v>0.16539930741494402</v>
      </c>
      <c r="H31" s="415">
        <f t="shared" ref="H31" si="35">H30/G30-1</f>
        <v>3.7066535963729885E-2</v>
      </c>
      <c r="I31" s="415">
        <f t="shared" ref="I31" si="36">I30/H30-1</f>
        <v>3.9877119395049343E-2</v>
      </c>
      <c r="K31" s="422" t="s">
        <v>515</v>
      </c>
      <c r="L31" s="415">
        <f>L30/C$30</f>
        <v>0.10597176981541802</v>
      </c>
      <c r="M31" s="415">
        <f t="shared" ref="M31" si="37">M30/D$30</f>
        <v>0.10636638393292386</v>
      </c>
      <c r="N31" s="415">
        <f t="shared" ref="N31" si="38">N30/E$30</f>
        <v>0.18269152817186868</v>
      </c>
      <c r="O31" s="415">
        <f t="shared" ref="O31" si="39">O30/F$30</f>
        <v>0.19913605369319196</v>
      </c>
      <c r="P31" s="415">
        <f t="shared" ref="P31" si="40">P30/G$30</f>
        <v>0.17537679205979659</v>
      </c>
      <c r="Q31" s="415">
        <f t="shared" ref="Q31" si="41">Q30/H$30</f>
        <v>0.1716488450404679</v>
      </c>
      <c r="R31" s="415">
        <f t="shared" ref="R31" si="42">R30/I$30</f>
        <v>0.17395750482899672</v>
      </c>
    </row>
    <row r="32" spans="1:25" ht="14.4" customHeight="1">
      <c r="B32" s="423"/>
      <c r="K32" s="423"/>
    </row>
    <row r="33" spans="1:18" s="20" customFormat="1" ht="14.4" customHeight="1">
      <c r="B33" s="421" t="s">
        <v>925</v>
      </c>
      <c r="C33" s="413">
        <v>14403</v>
      </c>
      <c r="D33" s="413">
        <v>15109</v>
      </c>
      <c r="E33" s="413">
        <v>17237</v>
      </c>
      <c r="F33" s="413">
        <v>19547</v>
      </c>
      <c r="G33" s="413">
        <v>23241</v>
      </c>
      <c r="H33" s="413">
        <v>25910</v>
      </c>
      <c r="I33" s="413">
        <v>28228</v>
      </c>
      <c r="K33" s="421" t="s">
        <v>925</v>
      </c>
      <c r="L33" s="413">
        <v>2185</v>
      </c>
      <c r="M33" s="413">
        <v>1994.3880000000001</v>
      </c>
      <c r="N33" s="413">
        <v>2092</v>
      </c>
      <c r="O33" s="413">
        <v>3973</v>
      </c>
      <c r="P33" s="413">
        <v>4673</v>
      </c>
      <c r="Q33" s="413">
        <v>4482</v>
      </c>
      <c r="R33" s="413">
        <v>4247</v>
      </c>
    </row>
    <row r="34" spans="1:18" ht="14.4" customHeight="1">
      <c r="B34" s="422" t="s">
        <v>389</v>
      </c>
      <c r="C34" s="415"/>
      <c r="D34" s="415">
        <f>D33/C33-1</f>
        <v>4.9017565784905903E-2</v>
      </c>
      <c r="E34" s="415">
        <f t="shared" ref="E34" si="43">E33/D33-1</f>
        <v>0.14084320603613731</v>
      </c>
      <c r="F34" s="415">
        <f t="shared" ref="F34" si="44">F33/E33-1</f>
        <v>0.13401403956604985</v>
      </c>
      <c r="G34" s="415">
        <f t="shared" ref="G34" si="45">G33/F33-1</f>
        <v>0.18898040620043988</v>
      </c>
      <c r="H34" s="415">
        <f t="shared" ref="H34" si="46">H33/G33-1</f>
        <v>0.11484015317757401</v>
      </c>
      <c r="I34" s="415">
        <f t="shared" ref="I34" si="47">I33/H33-1</f>
        <v>8.9463527595522896E-2</v>
      </c>
      <c r="K34" s="422" t="s">
        <v>515</v>
      </c>
      <c r="L34" s="415">
        <f>L33/C$33</f>
        <v>0.15170450600569327</v>
      </c>
      <c r="M34" s="415">
        <f t="shared" ref="M34:R34" si="48">M33/D$33</f>
        <v>0.13200000000000001</v>
      </c>
      <c r="N34" s="415">
        <f t="shared" si="48"/>
        <v>0.12136682717410222</v>
      </c>
      <c r="O34" s="415">
        <f t="shared" si="48"/>
        <v>0.2032536962193687</v>
      </c>
      <c r="P34" s="415">
        <f t="shared" si="48"/>
        <v>0.20106707972978788</v>
      </c>
      <c r="Q34" s="415">
        <f t="shared" si="48"/>
        <v>0.17298340409108454</v>
      </c>
      <c r="R34" s="415">
        <f t="shared" si="48"/>
        <v>0.15045345047470596</v>
      </c>
    </row>
    <row r="35" spans="1:18" ht="14.4" customHeight="1">
      <c r="B35" s="423"/>
      <c r="K35" s="423"/>
    </row>
    <row r="36" spans="1:18" ht="14.4" customHeight="1">
      <c r="B36" s="425" t="s">
        <v>1000</v>
      </c>
      <c r="C36" s="416"/>
      <c r="D36" s="416">
        <f>AVERAGE(D34,D31,D28,D25,D22)</f>
        <v>0.10458589654373433</v>
      </c>
      <c r="E36" s="416">
        <f t="shared" ref="E36:I36" si="49">AVERAGE(E34,E31,E28,E25,E22)</f>
        <v>0.13473629707071089</v>
      </c>
      <c r="F36" s="416">
        <f t="shared" si="49"/>
        <v>0.12449301013942438</v>
      </c>
      <c r="G36" s="416">
        <f t="shared" si="49"/>
        <v>0.11616428638050062</v>
      </c>
      <c r="H36" s="416">
        <f t="shared" si="49"/>
        <v>0.10742783676990623</v>
      </c>
      <c r="I36" s="416">
        <f t="shared" si="49"/>
        <v>0.13772359714297097</v>
      </c>
      <c r="K36" s="425" t="s">
        <v>1000</v>
      </c>
      <c r="L36" s="416">
        <f t="shared" ref="L36" si="50">AVERAGE(L34,L31,L28,L25,L22)</f>
        <v>0.12201461221808248</v>
      </c>
      <c r="M36" s="416">
        <f>AVERAGE(M34,M31,M28,M25,M22)</f>
        <v>0.10722460191558905</v>
      </c>
      <c r="N36" s="416">
        <f t="shared" ref="N36:R36" si="51">AVERAGE(N34,N31,N28,N25,N22)</f>
        <v>0.15039369423757712</v>
      </c>
      <c r="O36" s="416">
        <f t="shared" si="51"/>
        <v>0.18321586662247466</v>
      </c>
      <c r="P36" s="416">
        <f t="shared" si="51"/>
        <v>0.18843975515573699</v>
      </c>
      <c r="Q36" s="416">
        <f t="shared" si="51"/>
        <v>0.17812683494628243</v>
      </c>
      <c r="R36" s="416">
        <f t="shared" si="51"/>
        <v>0.17259335383286337</v>
      </c>
    </row>
    <row r="37" spans="1:18" ht="14.4" customHeight="1">
      <c r="B37" s="426" t="s">
        <v>357</v>
      </c>
      <c r="C37" s="417"/>
      <c r="D37" s="417">
        <f>MEDIAN(D34,D31,D28,D25,D22)</f>
        <v>0.11368078175895757</v>
      </c>
      <c r="E37" s="417">
        <f t="shared" ref="E37:I37" si="52">MEDIAN(E34,E31,E28,E25,E22)</f>
        <v>0.14084320603613731</v>
      </c>
      <c r="F37" s="417">
        <f t="shared" si="52"/>
        <v>0.132773700171406</v>
      </c>
      <c r="G37" s="417">
        <f t="shared" si="52"/>
        <v>8.4160018475407661E-2</v>
      </c>
      <c r="H37" s="417">
        <f t="shared" si="52"/>
        <v>9.1874229721710776E-2</v>
      </c>
      <c r="I37" s="417">
        <f t="shared" si="52"/>
        <v>0.10606350920587371</v>
      </c>
      <c r="K37" s="426" t="s">
        <v>357</v>
      </c>
      <c r="L37" s="417">
        <f t="shared" ref="L37" si="53">MEDIAN(L34,L31,L28,L25,L22)</f>
        <v>0.12580967928800885</v>
      </c>
      <c r="M37" s="417">
        <f>MEDIAN(M34,M31,M28,M25,M22)</f>
        <v>0.10636638393292386</v>
      </c>
      <c r="N37" s="417">
        <f t="shared" ref="N37:R37" si="54">MEDIAN(N34,N31,N28,N25,N22)</f>
        <v>0.12941787941787941</v>
      </c>
      <c r="O37" s="417">
        <f t="shared" si="54"/>
        <v>0.19815699560178074</v>
      </c>
      <c r="P37" s="417">
        <f t="shared" si="54"/>
        <v>0.19126615362276753</v>
      </c>
      <c r="Q37" s="417">
        <f t="shared" si="54"/>
        <v>0.17298340409108454</v>
      </c>
      <c r="R37" s="417">
        <f t="shared" si="54"/>
        <v>0.17011172334013211</v>
      </c>
    </row>
    <row r="38" spans="1:18" ht="14.4" customHeight="1"/>
    <row r="39" spans="1:18" ht="14.4" customHeight="1">
      <c r="A39" t="s">
        <v>23</v>
      </c>
      <c r="B39" s="108" t="s">
        <v>1002</v>
      </c>
      <c r="C39" s="108"/>
      <c r="D39" s="108"/>
      <c r="E39" s="108"/>
      <c r="F39" s="108"/>
      <c r="G39" s="108"/>
      <c r="H39" s="108"/>
      <c r="I39" s="108"/>
      <c r="K39" s="108" t="s">
        <v>1003</v>
      </c>
      <c r="L39" s="108"/>
      <c r="M39" s="108"/>
      <c r="N39" s="108"/>
      <c r="O39" s="108"/>
      <c r="P39" s="108"/>
      <c r="Q39" s="108"/>
      <c r="R39" s="108"/>
    </row>
    <row r="40" spans="1:18" ht="14.4" customHeight="1">
      <c r="B40" s="418" t="s">
        <v>999</v>
      </c>
      <c r="C40" s="419">
        <v>2021</v>
      </c>
      <c r="D40" s="419">
        <f>C40+1</f>
        <v>2022</v>
      </c>
      <c r="E40" s="419">
        <f t="shared" ref="E40:I40" si="55">D40+1</f>
        <v>2023</v>
      </c>
      <c r="F40" s="419">
        <f t="shared" si="55"/>
        <v>2024</v>
      </c>
      <c r="G40" s="419">
        <f t="shared" si="55"/>
        <v>2025</v>
      </c>
      <c r="H40" s="420">
        <f t="shared" si="55"/>
        <v>2026</v>
      </c>
      <c r="I40" s="420">
        <f t="shared" si="55"/>
        <v>2027</v>
      </c>
      <c r="K40" s="418" t="s">
        <v>999</v>
      </c>
      <c r="L40" s="419">
        <v>2021</v>
      </c>
      <c r="M40" s="419">
        <f>L40+1</f>
        <v>2022</v>
      </c>
      <c r="N40" s="419">
        <f t="shared" ref="N40:R40" si="56">M40+1</f>
        <v>2023</v>
      </c>
      <c r="O40" s="419">
        <f t="shared" si="56"/>
        <v>2024</v>
      </c>
      <c r="P40" s="419">
        <f t="shared" si="56"/>
        <v>2025</v>
      </c>
      <c r="Q40" s="420">
        <f t="shared" si="56"/>
        <v>2026</v>
      </c>
      <c r="R40" s="420">
        <f t="shared" si="56"/>
        <v>2027</v>
      </c>
    </row>
    <row r="41" spans="1:18" ht="5.4" customHeight="1">
      <c r="B41" s="20"/>
      <c r="C41" s="20"/>
      <c r="D41" s="20"/>
      <c r="E41" s="20"/>
      <c r="F41" s="20"/>
      <c r="G41" s="20"/>
      <c r="H41" s="20"/>
      <c r="I41" s="20"/>
      <c r="K41" s="20"/>
      <c r="L41" s="20"/>
      <c r="M41" s="20"/>
      <c r="N41" s="20"/>
      <c r="O41" s="20"/>
      <c r="P41" s="20"/>
      <c r="Q41" s="20"/>
      <c r="R41" s="20"/>
    </row>
    <row r="42" spans="1:18" ht="14.4" customHeight="1">
      <c r="B42" s="421" t="s">
        <v>917</v>
      </c>
      <c r="C42" s="413">
        <v>8203</v>
      </c>
      <c r="D42" s="413">
        <v>10016</v>
      </c>
      <c r="E42" s="413">
        <v>11647</v>
      </c>
      <c r="F42" s="413">
        <v>13023</v>
      </c>
      <c r="G42" s="413">
        <v>15086</v>
      </c>
      <c r="H42" s="413">
        <v>16003</v>
      </c>
      <c r="I42" s="413">
        <v>18959</v>
      </c>
      <c r="K42" s="421" t="s">
        <v>917</v>
      </c>
      <c r="L42" s="413">
        <v>2799</v>
      </c>
      <c r="M42" s="413">
        <v>4481</v>
      </c>
      <c r="N42" s="413">
        <v>9408</v>
      </c>
      <c r="O42" s="413">
        <v>11546</v>
      </c>
      <c r="P42" s="413">
        <v>14244</v>
      </c>
      <c r="Q42" s="413">
        <v>15081</v>
      </c>
      <c r="R42" s="413">
        <v>18182</v>
      </c>
    </row>
    <row r="43" spans="1:18" ht="14.4" customHeight="1">
      <c r="B43" s="422" t="s">
        <v>515</v>
      </c>
      <c r="C43" s="415">
        <f>C42/C$21</f>
        <v>0.24487956033327266</v>
      </c>
      <c r="D43" s="415">
        <f t="shared" ref="D43:I43" si="57">D42/D$21</f>
        <v>0.25911601495298092</v>
      </c>
      <c r="E43" s="415">
        <f t="shared" si="57"/>
        <v>0.26539396659959852</v>
      </c>
      <c r="F43" s="415">
        <f t="shared" si="57"/>
        <v>0.26853262785868787</v>
      </c>
      <c r="G43" s="415">
        <f t="shared" si="57"/>
        <v>0.28692390791655886</v>
      </c>
      <c r="H43" s="415">
        <f t="shared" si="57"/>
        <v>0.27875420230277481</v>
      </c>
      <c r="I43" s="415">
        <f t="shared" si="57"/>
        <v>0.29857633311285398</v>
      </c>
      <c r="K43" s="422" t="s">
        <v>515</v>
      </c>
      <c r="L43" s="415">
        <f>L42/C$21</f>
        <v>8.3556977858445708E-2</v>
      </c>
      <c r="M43" s="415">
        <f t="shared" ref="M43:R43" si="58">M42/D21</f>
        <v>0.1159244072488326</v>
      </c>
      <c r="N43" s="415">
        <f t="shared" si="58"/>
        <v>0.21437506978355136</v>
      </c>
      <c r="O43" s="415">
        <f t="shared" si="58"/>
        <v>0.23807707296755048</v>
      </c>
      <c r="P43" s="415">
        <f t="shared" si="58"/>
        <v>0.2709097271883511</v>
      </c>
      <c r="Q43" s="415">
        <f t="shared" si="58"/>
        <v>0.2626940026825062</v>
      </c>
      <c r="R43" s="415">
        <f t="shared" si="58"/>
        <v>0.28633972723550349</v>
      </c>
    </row>
    <row r="44" spans="1:18" ht="14.4" customHeight="1">
      <c r="B44" s="423"/>
      <c r="K44" s="423"/>
    </row>
    <row r="45" spans="1:18" ht="14.4" customHeight="1">
      <c r="B45" s="421" t="s">
        <v>919</v>
      </c>
      <c r="C45" s="413">
        <v>2361</v>
      </c>
      <c r="D45" s="413">
        <v>2342</v>
      </c>
      <c r="E45" s="413">
        <v>2842</v>
      </c>
      <c r="F45" s="413">
        <v>3368</v>
      </c>
      <c r="G45" s="413">
        <v>3721</v>
      </c>
      <c r="H45" s="413">
        <v>4677</v>
      </c>
      <c r="I45" s="413">
        <v>6143</v>
      </c>
      <c r="K45" s="421" t="s">
        <v>919</v>
      </c>
      <c r="L45" s="413">
        <v>1526</v>
      </c>
      <c r="M45" s="413">
        <v>1226</v>
      </c>
      <c r="N45" s="413">
        <v>1847</v>
      </c>
      <c r="O45" s="413">
        <v>2352</v>
      </c>
      <c r="P45" s="413">
        <v>2673</v>
      </c>
      <c r="Q45" s="413">
        <v>3186</v>
      </c>
      <c r="R45" s="413">
        <v>3740</v>
      </c>
    </row>
    <row r="46" spans="1:18" ht="14.4" customHeight="1">
      <c r="B46" s="422" t="s">
        <v>515</v>
      </c>
      <c r="C46" s="415">
        <f>C45/C$24</f>
        <v>0.29939132640121735</v>
      </c>
      <c r="D46" s="415">
        <f t="shared" ref="D46:I46" si="59">D45/D$24</f>
        <v>0.2781803064496971</v>
      </c>
      <c r="E46" s="415">
        <f t="shared" si="59"/>
        <v>0.29542619542619541</v>
      </c>
      <c r="F46" s="415">
        <f t="shared" si="59"/>
        <v>0.31394481730052198</v>
      </c>
      <c r="G46" s="415">
        <f t="shared" si="59"/>
        <v>0.32311566516151441</v>
      </c>
      <c r="H46" s="415">
        <f t="shared" si="59"/>
        <v>0.33205537806176783</v>
      </c>
      <c r="I46" s="415">
        <f t="shared" si="59"/>
        <v>0.32569853136100951</v>
      </c>
      <c r="K46" s="422" t="s">
        <v>515</v>
      </c>
      <c r="L46" s="415">
        <f>L45/C$24</f>
        <v>0.19350748161298503</v>
      </c>
      <c r="M46" s="415">
        <f t="shared" ref="M46:R46" si="60">M45/D$24</f>
        <v>0.14562299560517877</v>
      </c>
      <c r="N46" s="415">
        <f t="shared" si="60"/>
        <v>0.19199584199584199</v>
      </c>
      <c r="O46" s="415">
        <f t="shared" si="60"/>
        <v>0.21923937360178972</v>
      </c>
      <c r="P46" s="415">
        <f t="shared" si="60"/>
        <v>0.23211184439041332</v>
      </c>
      <c r="Q46" s="415">
        <f t="shared" si="60"/>
        <v>0.22619808306709266</v>
      </c>
      <c r="R46" s="415">
        <f t="shared" si="60"/>
        <v>0.19829277344785537</v>
      </c>
    </row>
    <row r="47" spans="1:18" ht="14.4" customHeight="1">
      <c r="B47" s="423"/>
      <c r="F47" s="452"/>
      <c r="G47" s="452"/>
      <c r="H47" s="452"/>
      <c r="I47" s="452"/>
      <c r="K47" s="423"/>
      <c r="O47" s="143"/>
      <c r="P47" s="143"/>
    </row>
    <row r="48" spans="1:18" ht="14.4" customHeight="1">
      <c r="B48" s="421" t="s">
        <v>921</v>
      </c>
      <c r="C48" s="413">
        <v>4081</v>
      </c>
      <c r="D48" s="413">
        <v>4413</v>
      </c>
      <c r="E48" s="413">
        <v>5027</v>
      </c>
      <c r="F48" s="413">
        <v>6291</v>
      </c>
      <c r="G48" s="413">
        <v>7128</v>
      </c>
      <c r="H48" s="413">
        <v>7244</v>
      </c>
      <c r="I48" s="413">
        <v>7765</v>
      </c>
      <c r="K48" s="421" t="s">
        <v>921</v>
      </c>
      <c r="L48" s="413">
        <v>3277</v>
      </c>
      <c r="M48" s="413">
        <v>3480</v>
      </c>
      <c r="N48" s="413">
        <v>4036</v>
      </c>
      <c r="O48" s="413">
        <v>5700</v>
      </c>
      <c r="P48" s="413">
        <v>6799</v>
      </c>
      <c r="Q48" s="413">
        <v>6989</v>
      </c>
      <c r="R48" s="413">
        <v>7471</v>
      </c>
    </row>
    <row r="49" spans="1:18" ht="14.4" customHeight="1">
      <c r="B49" s="422" t="s">
        <v>515</v>
      </c>
      <c r="C49" s="415">
        <f>C48/C$27</f>
        <v>0.21491389751961662</v>
      </c>
      <c r="D49" s="415">
        <f t="shared" ref="D49:I49" si="61">D48/D$27</f>
        <v>0.20408823937473985</v>
      </c>
      <c r="E49" s="415">
        <f t="shared" si="61"/>
        <v>0.22093789829912538</v>
      </c>
      <c r="F49" s="415">
        <f t="shared" si="61"/>
        <v>0.24408318460464035</v>
      </c>
      <c r="G49" s="415">
        <f t="shared" si="61"/>
        <v>0.25874836648758531</v>
      </c>
      <c r="H49" s="415">
        <f t="shared" si="61"/>
        <v>0.24569257902591235</v>
      </c>
      <c r="I49" s="415">
        <f t="shared" si="61"/>
        <v>0.23638466924411702</v>
      </c>
      <c r="K49" s="422" t="s">
        <v>515</v>
      </c>
      <c r="L49" s="415">
        <f>L48/C$27</f>
        <v>0.17257359523934909</v>
      </c>
      <c r="M49" s="415">
        <f t="shared" ref="M49:R49" si="62">M48/D$27</f>
        <v>0.16093974009156917</v>
      </c>
      <c r="N49" s="415">
        <f t="shared" si="62"/>
        <v>0.17738320221509252</v>
      </c>
      <c r="O49" s="415">
        <f t="shared" si="62"/>
        <v>0.22115310002327929</v>
      </c>
      <c r="P49" s="415">
        <f t="shared" si="62"/>
        <v>0.24680557572237549</v>
      </c>
      <c r="Q49" s="415">
        <f t="shared" si="62"/>
        <v>0.23704382037715371</v>
      </c>
      <c r="R49" s="415">
        <f t="shared" si="62"/>
        <v>0.22743462510274284</v>
      </c>
    </row>
    <row r="50" spans="1:18" ht="14.4" customHeight="1">
      <c r="B50" s="423"/>
      <c r="K50" s="423"/>
    </row>
    <row r="51" spans="1:18" ht="14.4" customHeight="1">
      <c r="B51" s="421" t="s">
        <v>923</v>
      </c>
      <c r="C51" s="413">
        <v>3243</v>
      </c>
      <c r="D51" s="413">
        <v>2737</v>
      </c>
      <c r="E51" s="413">
        <v>6349</v>
      </c>
      <c r="F51" s="413">
        <v>7933</v>
      </c>
      <c r="G51" s="413">
        <v>8547</v>
      </c>
      <c r="H51" s="413">
        <v>9141</v>
      </c>
      <c r="I51" s="413">
        <v>9611</v>
      </c>
      <c r="K51" s="421" t="s">
        <v>923</v>
      </c>
      <c r="L51" s="413">
        <v>2884</v>
      </c>
      <c r="M51" s="413">
        <v>3061</v>
      </c>
      <c r="N51" s="413">
        <v>6048</v>
      </c>
      <c r="O51" s="413">
        <v>7201</v>
      </c>
      <c r="P51" s="413">
        <v>7680</v>
      </c>
      <c r="Q51" s="413">
        <v>7766</v>
      </c>
      <c r="R51" s="413">
        <v>8180</v>
      </c>
    </row>
    <row r="52" spans="1:18" ht="14.4" customHeight="1">
      <c r="B52" s="422" t="s">
        <v>515</v>
      </c>
      <c r="C52" s="415">
        <f>C51/C$30</f>
        <v>0.17605863192182411</v>
      </c>
      <c r="D52" s="415">
        <f t="shared" ref="D52:I52" si="63">D51/D$30</f>
        <v>0.13342107828799843</v>
      </c>
      <c r="E52" s="415">
        <f t="shared" si="63"/>
        <v>0.25735711390352656</v>
      </c>
      <c r="F52" s="415">
        <f t="shared" si="63"/>
        <v>0.28321016743422228</v>
      </c>
      <c r="G52" s="415">
        <f t="shared" si="63"/>
        <v>0.26182453130743782</v>
      </c>
      <c r="H52" s="415">
        <f t="shared" si="63"/>
        <v>0.2700124062149229</v>
      </c>
      <c r="I52" s="415">
        <f t="shared" si="63"/>
        <v>0.2730087490057948</v>
      </c>
      <c r="K52" s="422" t="s">
        <v>515</v>
      </c>
      <c r="L52" s="415">
        <f>L51/C$30</f>
        <v>0.15656894679695982</v>
      </c>
      <c r="M52" s="415">
        <f t="shared" ref="M52:R52" si="64">M51/D$30</f>
        <v>0.14921517012771765</v>
      </c>
      <c r="N52" s="415">
        <f t="shared" si="64"/>
        <v>0.24515605999189299</v>
      </c>
      <c r="O52" s="415">
        <f t="shared" si="64"/>
        <v>0.25707757666630965</v>
      </c>
      <c r="P52" s="415">
        <f t="shared" si="64"/>
        <v>0.23526528611689743</v>
      </c>
      <c r="Q52" s="415">
        <f t="shared" si="64"/>
        <v>0.22939682164589117</v>
      </c>
      <c r="R52" s="415">
        <f t="shared" si="64"/>
        <v>0.23235995909555732</v>
      </c>
    </row>
    <row r="53" spans="1:18" ht="14.4" customHeight="1">
      <c r="B53" s="423"/>
      <c r="F53" s="452"/>
      <c r="G53" s="452"/>
      <c r="H53" s="452"/>
      <c r="I53" s="452"/>
      <c r="K53" s="423"/>
    </row>
    <row r="54" spans="1:18" ht="14.4" customHeight="1">
      <c r="B54" s="421" t="s">
        <v>925</v>
      </c>
      <c r="C54" s="413">
        <v>3109</v>
      </c>
      <c r="D54" s="413">
        <v>3058</v>
      </c>
      <c r="E54" s="413">
        <v>3576</v>
      </c>
      <c r="F54" s="413">
        <v>5303</v>
      </c>
      <c r="G54" s="413">
        <v>6895</v>
      </c>
      <c r="H54" s="413">
        <v>6860</v>
      </c>
      <c r="I54" s="413">
        <v>6641</v>
      </c>
      <c r="K54" s="421" t="s">
        <v>925</v>
      </c>
      <c r="L54" s="413">
        <v>2399</v>
      </c>
      <c r="M54" s="413">
        <v>2838</v>
      </c>
      <c r="N54" s="413">
        <v>2684</v>
      </c>
      <c r="O54" s="413">
        <v>4927</v>
      </c>
      <c r="P54" s="413">
        <v>6084</v>
      </c>
      <c r="Q54" s="413">
        <v>5976</v>
      </c>
      <c r="R54" s="413">
        <v>5663</v>
      </c>
    </row>
    <row r="55" spans="1:18" ht="14.4" customHeight="1">
      <c r="B55" s="422" t="s">
        <v>515</v>
      </c>
      <c r="C55" s="415">
        <f>C54/C$33</f>
        <v>0.21585780740123586</v>
      </c>
      <c r="D55" s="415">
        <f t="shared" ref="D55:I55" si="65">D54/D$33</f>
        <v>0.20239592295982528</v>
      </c>
      <c r="E55" s="415">
        <f t="shared" si="65"/>
        <v>0.20746069501653419</v>
      </c>
      <c r="F55" s="415">
        <f t="shared" si="65"/>
        <v>0.2712948278508211</v>
      </c>
      <c r="G55" s="415">
        <f t="shared" si="65"/>
        <v>0.29667398132610473</v>
      </c>
      <c r="H55" s="415">
        <f t="shared" si="65"/>
        <v>0.26476263990737164</v>
      </c>
      <c r="I55" s="415">
        <f t="shared" si="65"/>
        <v>0.23526285957205612</v>
      </c>
      <c r="K55" s="422" t="s">
        <v>515</v>
      </c>
      <c r="L55" s="415">
        <f>L54/C$33</f>
        <v>0.16656252169686872</v>
      </c>
      <c r="M55" s="415">
        <f t="shared" ref="M55:R55" si="66">M54/D$33</f>
        <v>0.18783506519293136</v>
      </c>
      <c r="N55" s="415">
        <f t="shared" si="66"/>
        <v>0.1557115507338864</v>
      </c>
      <c r="O55" s="415">
        <f t="shared" si="66"/>
        <v>0.25205913950989922</v>
      </c>
      <c r="P55" s="415">
        <f t="shared" si="66"/>
        <v>0.26177875306570286</v>
      </c>
      <c r="Q55" s="415">
        <f t="shared" si="66"/>
        <v>0.2306445387881127</v>
      </c>
      <c r="R55" s="415">
        <f t="shared" si="66"/>
        <v>0.20061640923905341</v>
      </c>
    </row>
    <row r="56" spans="1:18" ht="14.4" customHeight="1">
      <c r="B56" s="423"/>
      <c r="K56" s="423"/>
    </row>
    <row r="57" spans="1:18" ht="14.4" customHeight="1">
      <c r="B57" s="425" t="s">
        <v>1000</v>
      </c>
      <c r="C57" s="416">
        <f t="shared" ref="C57" si="67">AVERAGE(C55,C52,C49,C46,C43)</f>
        <v>0.23022024471543334</v>
      </c>
      <c r="D57" s="416">
        <f>AVERAGE(D55,D52,D49,D46,D43)</f>
        <v>0.2154403124050483</v>
      </c>
      <c r="E57" s="416">
        <f t="shared" ref="E57:I57" si="68">AVERAGE(E55,E52,E49,E46,E43)</f>
        <v>0.24931517384899599</v>
      </c>
      <c r="F57" s="416">
        <f t="shared" si="68"/>
        <v>0.27621312500977868</v>
      </c>
      <c r="G57" s="416">
        <f t="shared" si="68"/>
        <v>0.28545729043984019</v>
      </c>
      <c r="H57" s="416">
        <f t="shared" si="68"/>
        <v>0.27825544110254991</v>
      </c>
      <c r="I57" s="416">
        <f t="shared" si="68"/>
        <v>0.27378622845916628</v>
      </c>
      <c r="K57" s="425" t="s">
        <v>1000</v>
      </c>
      <c r="L57" s="416">
        <f t="shared" ref="L57" si="69">AVERAGE(L55,L52,L49,L46,L43)</f>
        <v>0.1545539046409217</v>
      </c>
      <c r="M57" s="416">
        <f>AVERAGE(M55,M52,M49,M46,M43)</f>
        <v>0.15190747565324592</v>
      </c>
      <c r="N57" s="416">
        <f t="shared" ref="N57:R57" si="70">AVERAGE(N55,N52,N49,N46,N43)</f>
        <v>0.19692434494405303</v>
      </c>
      <c r="O57" s="416">
        <f t="shared" si="70"/>
        <v>0.23752125255376563</v>
      </c>
      <c r="P57" s="416">
        <f t="shared" si="70"/>
        <v>0.24937423729674807</v>
      </c>
      <c r="Q57" s="416">
        <f t="shared" si="70"/>
        <v>0.23719545331215128</v>
      </c>
      <c r="R57" s="416">
        <f t="shared" si="70"/>
        <v>0.22900869882414249</v>
      </c>
    </row>
    <row r="58" spans="1:18" ht="14.4" customHeight="1">
      <c r="B58" s="426" t="s">
        <v>357</v>
      </c>
      <c r="C58" s="417">
        <f t="shared" ref="C58" si="71">MEDIAN(C55,C52,C49,C46,C43)</f>
        <v>0.21585780740123586</v>
      </c>
      <c r="D58" s="417">
        <f>MEDIAN(D55,D52,D49,D46,D43)</f>
        <v>0.20408823937473985</v>
      </c>
      <c r="E58" s="417">
        <f t="shared" ref="E58:I58" si="72">MEDIAN(E55,E52,E49,E46,E43)</f>
        <v>0.25735711390352656</v>
      </c>
      <c r="F58" s="417">
        <f t="shared" si="72"/>
        <v>0.2712948278508211</v>
      </c>
      <c r="G58" s="417">
        <f t="shared" si="72"/>
        <v>0.28692390791655886</v>
      </c>
      <c r="H58" s="417">
        <f t="shared" si="72"/>
        <v>0.2700124062149229</v>
      </c>
      <c r="I58" s="417">
        <f t="shared" si="72"/>
        <v>0.2730087490057948</v>
      </c>
      <c r="K58" s="426" t="s">
        <v>357</v>
      </c>
      <c r="L58" s="417">
        <f t="shared" ref="L58" si="73">MEDIAN(L55,L52,L49,L46,L43)</f>
        <v>0.16656252169686872</v>
      </c>
      <c r="M58" s="417">
        <f>MEDIAN(M55,M52,M49,M46,M43)</f>
        <v>0.14921517012771765</v>
      </c>
      <c r="N58" s="417">
        <f t="shared" ref="N58:R58" si="74">MEDIAN(N55,N52,N49,N46,N43)</f>
        <v>0.19199584199584199</v>
      </c>
      <c r="O58" s="417">
        <f t="shared" si="74"/>
        <v>0.23807707296755048</v>
      </c>
      <c r="P58" s="417">
        <f t="shared" si="74"/>
        <v>0.24680557572237549</v>
      </c>
      <c r="Q58" s="417">
        <f t="shared" si="74"/>
        <v>0.2306445387881127</v>
      </c>
      <c r="R58" s="417">
        <f t="shared" si="74"/>
        <v>0.22743462510274284</v>
      </c>
    </row>
    <row r="59" spans="1:18" ht="14.4" customHeight="1"/>
    <row r="60" spans="1:18" ht="14.4" customHeight="1">
      <c r="A60" t="s">
        <v>23</v>
      </c>
      <c r="B60" s="108" t="s">
        <v>1001</v>
      </c>
      <c r="C60" s="108"/>
      <c r="D60" s="108"/>
      <c r="E60" s="108"/>
      <c r="F60" s="108"/>
      <c r="G60" s="108"/>
      <c r="H60" s="108"/>
      <c r="I60" s="108"/>
    </row>
    <row r="61" spans="1:18" ht="14.4" customHeight="1">
      <c r="B61" s="418" t="s">
        <v>999</v>
      </c>
      <c r="C61" s="419">
        <v>2021</v>
      </c>
      <c r="D61" s="419">
        <f>C61+1</f>
        <v>2022</v>
      </c>
      <c r="E61" s="419">
        <f t="shared" ref="E61" si="75">D61+1</f>
        <v>2023</v>
      </c>
      <c r="F61" s="419">
        <f t="shared" ref="F61" si="76">E61+1</f>
        <v>2024</v>
      </c>
      <c r="G61" s="419">
        <f t="shared" ref="G61" si="77">F61+1</f>
        <v>2025</v>
      </c>
      <c r="H61" s="420">
        <f t="shared" ref="H61" si="78">G61+1</f>
        <v>2026</v>
      </c>
      <c r="I61" s="420">
        <f t="shared" ref="I61" si="79">H61+1</f>
        <v>2027</v>
      </c>
    </row>
    <row r="62" spans="1:18" ht="4.8" customHeight="1">
      <c r="B62" s="20"/>
      <c r="C62" s="20"/>
      <c r="D62" s="20"/>
      <c r="E62" s="20"/>
      <c r="F62" s="20"/>
      <c r="G62" s="20"/>
      <c r="H62" s="20"/>
      <c r="I62" s="20"/>
    </row>
    <row r="63" spans="1:18" ht="14.4" customHeight="1">
      <c r="B63" s="421" t="s">
        <v>917</v>
      </c>
      <c r="C63" s="413">
        <v>2787</v>
      </c>
      <c r="D63" s="413">
        <v>4465</v>
      </c>
      <c r="E63" s="413">
        <v>9361</v>
      </c>
      <c r="F63" s="413">
        <v>11049</v>
      </c>
      <c r="G63" s="413">
        <v>13737</v>
      </c>
      <c r="H63" s="413">
        <v>13281</v>
      </c>
      <c r="I63" s="413">
        <v>16082</v>
      </c>
      <c r="L63" s="143"/>
      <c r="M63" s="143"/>
      <c r="N63" s="143"/>
      <c r="O63" s="143"/>
      <c r="P63" s="143"/>
      <c r="Q63" s="143"/>
      <c r="R63" s="143"/>
    </row>
    <row r="64" spans="1:18" ht="14.4" customHeight="1">
      <c r="B64" s="422" t="s">
        <v>515</v>
      </c>
      <c r="C64" s="415">
        <f>C63/C$21</f>
        <v>8.3198748585740681E-2</v>
      </c>
      <c r="D64" s="415">
        <f t="shared" ref="D64:I64" si="80">D63/D$21</f>
        <v>0.11551048390226235</v>
      </c>
      <c r="E64" s="415">
        <f t="shared" si="80"/>
        <v>0.21330410589326365</v>
      </c>
      <c r="F64" s="415">
        <f t="shared" si="80"/>
        <v>0.22782899525536682</v>
      </c>
      <c r="G64" s="415">
        <f t="shared" si="80"/>
        <v>0.26126698416079608</v>
      </c>
      <c r="H64" s="415">
        <f t="shared" si="80"/>
        <v>0.23134003379261092</v>
      </c>
      <c r="I64" s="415">
        <f t="shared" si="80"/>
        <v>0.25326781945888061</v>
      </c>
      <c r="L64" s="143"/>
      <c r="M64" s="143"/>
      <c r="N64" s="143"/>
      <c r="O64" s="143"/>
      <c r="P64" s="143"/>
      <c r="Q64" s="143"/>
      <c r="R64" s="143"/>
    </row>
    <row r="65" spans="2:18" ht="14.4" customHeight="1">
      <c r="B65" s="423"/>
      <c r="L65" s="143"/>
      <c r="M65" s="143"/>
      <c r="N65" s="143"/>
      <c r="O65" s="143"/>
      <c r="P65" s="143"/>
      <c r="Q65" s="143"/>
      <c r="R65" s="143"/>
    </row>
    <row r="66" spans="2:18" ht="14.4" customHeight="1">
      <c r="B66" s="421" t="s">
        <v>919</v>
      </c>
      <c r="C66" s="413">
        <v>1703</v>
      </c>
      <c r="D66" s="413">
        <v>1680</v>
      </c>
      <c r="E66" s="413">
        <v>2135</v>
      </c>
      <c r="F66" s="413">
        <v>2560</v>
      </c>
      <c r="G66" s="413">
        <v>2926</v>
      </c>
      <c r="H66" s="413">
        <v>3731</v>
      </c>
      <c r="I66" s="413">
        <v>4654</v>
      </c>
      <c r="L66" s="143"/>
      <c r="M66" s="143"/>
      <c r="N66" s="143"/>
      <c r="O66" s="143"/>
      <c r="P66" s="143"/>
      <c r="Q66" s="143"/>
      <c r="R66" s="143"/>
    </row>
    <row r="67" spans="2:18" ht="14.4" customHeight="1">
      <c r="B67" s="422" t="s">
        <v>515</v>
      </c>
      <c r="C67" s="415">
        <f>C66/C$24</f>
        <v>0.21595232056809535</v>
      </c>
      <c r="D67" s="415">
        <f t="shared" ref="D67:I67" si="81">D66/D$24</f>
        <v>0.19954863998099537</v>
      </c>
      <c r="E67" s="415">
        <f t="shared" si="81"/>
        <v>0.22193347193347193</v>
      </c>
      <c r="F67" s="415">
        <f t="shared" si="81"/>
        <v>0.23862788963460105</v>
      </c>
      <c r="G67" s="415">
        <f t="shared" si="81"/>
        <v>0.2540812782216047</v>
      </c>
      <c r="H67" s="415">
        <f t="shared" si="81"/>
        <v>0.26489172878949235</v>
      </c>
      <c r="I67" s="415">
        <f t="shared" si="81"/>
        <v>0.2467525581888553</v>
      </c>
      <c r="L67" s="143"/>
      <c r="M67" s="143"/>
      <c r="N67" s="143"/>
      <c r="O67" s="143"/>
      <c r="P67" s="143"/>
      <c r="Q67" s="143"/>
      <c r="R67" s="143"/>
    </row>
    <row r="68" spans="2:18" ht="14.4" customHeight="1">
      <c r="B68" s="423"/>
      <c r="F68" s="143"/>
      <c r="G68" s="143"/>
      <c r="M68" s="427"/>
      <c r="N68" s="427"/>
      <c r="O68" s="427"/>
      <c r="P68" s="427"/>
      <c r="Q68" s="427"/>
    </row>
    <row r="69" spans="2:18" ht="14.4" customHeight="1">
      <c r="B69" s="421" t="s">
        <v>921</v>
      </c>
      <c r="C69" s="413">
        <v>3277</v>
      </c>
      <c r="D69" s="413">
        <v>3480</v>
      </c>
      <c r="E69" s="413">
        <v>4036</v>
      </c>
      <c r="F69" s="413">
        <v>5700</v>
      </c>
      <c r="G69" s="413">
        <v>6799</v>
      </c>
      <c r="H69" s="413">
        <v>6131</v>
      </c>
      <c r="I69" s="413">
        <v>6570</v>
      </c>
    </row>
    <row r="70" spans="2:18" ht="14.4" customHeight="1">
      <c r="B70" s="422" t="s">
        <v>515</v>
      </c>
      <c r="C70" s="415">
        <f>C69/C$27</f>
        <v>0.17257359523934909</v>
      </c>
      <c r="D70" s="415">
        <f t="shared" ref="D70:I70" si="82">D69/D$27</f>
        <v>0.16093974009156917</v>
      </c>
      <c r="E70" s="415">
        <f t="shared" si="82"/>
        <v>0.17738320221509252</v>
      </c>
      <c r="F70" s="415">
        <f t="shared" si="82"/>
        <v>0.22115310002327929</v>
      </c>
      <c r="G70" s="415">
        <f t="shared" si="82"/>
        <v>0.24680557572237549</v>
      </c>
      <c r="H70" s="415">
        <f t="shared" si="82"/>
        <v>0.20794329127662461</v>
      </c>
      <c r="I70" s="415">
        <f t="shared" si="82"/>
        <v>0.2000060884654023</v>
      </c>
    </row>
    <row r="71" spans="2:18" ht="14.4" customHeight="1">
      <c r="B71" s="423"/>
    </row>
    <row r="72" spans="2:18" ht="14.4" customHeight="1">
      <c r="B72" s="421" t="s">
        <v>923</v>
      </c>
      <c r="C72" s="413">
        <v>2014</v>
      </c>
      <c r="D72" s="413">
        <v>1572</v>
      </c>
      <c r="E72" s="413">
        <v>5099</v>
      </c>
      <c r="F72" s="413">
        <v>6463</v>
      </c>
      <c r="G72" s="413">
        <v>6843</v>
      </c>
      <c r="H72" s="413">
        <v>7381</v>
      </c>
      <c r="I72" s="413">
        <v>7731</v>
      </c>
    </row>
    <row r="73" spans="2:18" ht="14.4" customHeight="1">
      <c r="B73" s="422" t="s">
        <v>515</v>
      </c>
      <c r="C73" s="415">
        <f>C72/C$30</f>
        <v>0.10933767643865364</v>
      </c>
      <c r="D73" s="415">
        <f t="shared" ref="D73:I73" si="83">D72/D$30</f>
        <v>7.6630593740859898E-2</v>
      </c>
      <c r="E73" s="415">
        <f t="shared" si="83"/>
        <v>0.20668828536684231</v>
      </c>
      <c r="F73" s="415">
        <f t="shared" si="83"/>
        <v>0.23073078433472563</v>
      </c>
      <c r="G73" s="415">
        <f t="shared" si="83"/>
        <v>0.20962504595025119</v>
      </c>
      <c r="H73" s="415">
        <f t="shared" si="83"/>
        <v>0.21802445796656231</v>
      </c>
      <c r="I73" s="415">
        <f t="shared" si="83"/>
        <v>0.21960572662197478</v>
      </c>
    </row>
    <row r="74" spans="2:18" ht="14.4" customHeight="1">
      <c r="B74" s="423"/>
    </row>
    <row r="75" spans="2:18" ht="14.4" customHeight="1">
      <c r="B75" s="421" t="s">
        <v>925</v>
      </c>
      <c r="C75" s="413">
        <v>2447</v>
      </c>
      <c r="D75" s="413">
        <v>2884</v>
      </c>
      <c r="E75" s="413">
        <v>2684</v>
      </c>
      <c r="F75" s="413">
        <v>4927</v>
      </c>
      <c r="G75" s="413">
        <v>6084</v>
      </c>
      <c r="H75" s="413">
        <v>5842</v>
      </c>
      <c r="I75" s="413">
        <v>5510</v>
      </c>
    </row>
    <row r="76" spans="2:18" ht="14.4" customHeight="1">
      <c r="B76" s="422" t="s">
        <v>515</v>
      </c>
      <c r="C76" s="415">
        <f>C75/C$33</f>
        <v>0.16989516073040339</v>
      </c>
      <c r="D76" s="415">
        <f t="shared" ref="D76:I76" si="84">D75/D$33</f>
        <v>0.19087960818055463</v>
      </c>
      <c r="E76" s="415">
        <f t="shared" si="84"/>
        <v>0.1557115507338864</v>
      </c>
      <c r="F76" s="415">
        <f t="shared" si="84"/>
        <v>0.25205913950989922</v>
      </c>
      <c r="G76" s="415">
        <f t="shared" si="84"/>
        <v>0.26177875306570286</v>
      </c>
      <c r="H76" s="415">
        <f t="shared" si="84"/>
        <v>0.22547279042840601</v>
      </c>
      <c r="I76" s="415">
        <f t="shared" si="84"/>
        <v>0.19519625903358367</v>
      </c>
    </row>
    <row r="77" spans="2:18" ht="14.4" customHeight="1">
      <c r="B77" s="423"/>
    </row>
    <row r="78" spans="2:18" ht="14.4" customHeight="1">
      <c r="B78" s="425" t="s">
        <v>1000</v>
      </c>
      <c r="C78" s="416">
        <f t="shared" ref="C78" si="85">AVERAGE(C76,C73,C70,C67,C64)</f>
        <v>0.15019150031244843</v>
      </c>
      <c r="D78" s="416">
        <f>AVERAGE(D76,D73,D70,D67,D64)</f>
        <v>0.1487018131792483</v>
      </c>
      <c r="E78" s="416">
        <f t="shared" ref="E78:I78" si="86">AVERAGE(E76,E73,E70,E67,E64)</f>
        <v>0.19500412322851135</v>
      </c>
      <c r="F78" s="416">
        <f t="shared" si="86"/>
        <v>0.23407998175157435</v>
      </c>
      <c r="G78" s="416">
        <f t="shared" si="86"/>
        <v>0.24671152742414604</v>
      </c>
      <c r="H78" s="416">
        <f t="shared" si="86"/>
        <v>0.22953446045073927</v>
      </c>
      <c r="I78" s="416">
        <f t="shared" si="86"/>
        <v>0.22296569035373931</v>
      </c>
    </row>
    <row r="79" spans="2:18" ht="14.4" customHeight="1">
      <c r="B79" s="426" t="s">
        <v>357</v>
      </c>
      <c r="C79" s="417">
        <f t="shared" ref="C79" si="87">MEDIAN(C76,C73,C70,C67,C64)</f>
        <v>0.16989516073040339</v>
      </c>
      <c r="D79" s="417">
        <f>MEDIAN(D76,D73,D70,D67,D64)</f>
        <v>0.16093974009156917</v>
      </c>
      <c r="E79" s="417">
        <f t="shared" ref="E79:I79" si="88">MEDIAN(E76,E73,E70,E67,E64)</f>
        <v>0.20668828536684231</v>
      </c>
      <c r="F79" s="417">
        <f t="shared" si="88"/>
        <v>0.23073078433472563</v>
      </c>
      <c r="G79" s="417">
        <f t="shared" si="88"/>
        <v>0.2540812782216047</v>
      </c>
      <c r="H79" s="417">
        <f t="shared" si="88"/>
        <v>0.22547279042840601</v>
      </c>
      <c r="I79" s="417">
        <f t="shared" si="88"/>
        <v>0.21960572662197478</v>
      </c>
    </row>
    <row r="88" ht="14.4" customHeight="1"/>
  </sheetData>
  <sheetProtection sheet="1" objects="1" scenarios="1" selectLockedCell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
  <sheetViews>
    <sheetView workbookViewId="0">
      <selection activeCell="G10" sqref="G10:M17"/>
    </sheetView>
  </sheetViews>
  <sheetFormatPr defaultRowHeight="14.4"/>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Q60"/>
  <sheetViews>
    <sheetView showGridLines="0" zoomScaleNormal="100" workbookViewId="0">
      <pane ySplit="5" topLeftCell="A6" activePane="bottomLeft" state="frozen"/>
      <selection pane="bottomLeft" activeCell="D2" sqref="D2"/>
    </sheetView>
  </sheetViews>
  <sheetFormatPr defaultRowHeight="14.4"/>
  <cols>
    <col min="2" max="2" width="46.21875" bestFit="1" customWidth="1"/>
    <col min="3" max="4" width="6.88671875" bestFit="1" customWidth="1"/>
    <col min="5" max="8" width="11.33203125" customWidth="1"/>
  </cols>
  <sheetData>
    <row r="1" spans="2:10">
      <c r="J1">
        <v>-1</v>
      </c>
    </row>
    <row r="2" spans="2:10">
      <c r="D2" s="544"/>
    </row>
    <row r="4" spans="2:10">
      <c r="B4" s="133" t="s">
        <v>321</v>
      </c>
      <c r="C4" s="20"/>
      <c r="D4" s="20"/>
      <c r="E4" s="20"/>
      <c r="F4" s="20"/>
      <c r="G4" s="20"/>
      <c r="H4" s="20"/>
    </row>
    <row r="5" spans="2:10">
      <c r="B5" s="108" t="s">
        <v>161</v>
      </c>
      <c r="C5" s="108">
        <v>2019</v>
      </c>
      <c r="D5" s="108">
        <f t="shared" ref="D5:H5" si="0">C5+1</f>
        <v>2020</v>
      </c>
      <c r="E5" s="108">
        <f t="shared" si="0"/>
        <v>2021</v>
      </c>
      <c r="F5" s="108">
        <f t="shared" si="0"/>
        <v>2022</v>
      </c>
      <c r="G5" s="108">
        <f t="shared" si="0"/>
        <v>2023</v>
      </c>
      <c r="H5" s="108">
        <f t="shared" si="0"/>
        <v>2024</v>
      </c>
      <c r="I5" s="108">
        <f t="shared" ref="I5" si="1">H5+1</f>
        <v>2025</v>
      </c>
    </row>
    <row r="7" spans="2:10">
      <c r="B7" s="109" t="s">
        <v>162</v>
      </c>
      <c r="C7" s="110">
        <v>4979.9760999999999</v>
      </c>
      <c r="D7" s="110">
        <v>5871.8684999999996</v>
      </c>
      <c r="E7" s="110">
        <v>6223.8981999999996</v>
      </c>
      <c r="F7" s="110">
        <v>7781.5551000000005</v>
      </c>
      <c r="G7" s="110">
        <v>8749.4330000000009</v>
      </c>
      <c r="H7" s="110">
        <v>10334.774599999999</v>
      </c>
      <c r="I7" s="110">
        <v>12207</v>
      </c>
      <c r="J7" s="110"/>
    </row>
    <row r="8" spans="2:10">
      <c r="B8" s="109"/>
      <c r="C8" s="110"/>
      <c r="D8" s="110"/>
      <c r="E8" s="110"/>
      <c r="F8" s="110"/>
      <c r="G8" s="110"/>
      <c r="H8" s="110"/>
    </row>
    <row r="9" spans="2:10">
      <c r="B9" s="111" t="s">
        <v>163</v>
      </c>
      <c r="C9" s="123">
        <f>497998/436840-1</f>
        <v>0.14000091566706341</v>
      </c>
      <c r="D9" s="112">
        <f>D7/C7-1</f>
        <v>0.17909571895334997</v>
      </c>
      <c r="E9" s="112">
        <f t="shared" ref="E9:H9" si="2">E7/D7-1</f>
        <v>5.9951904576882153E-2</v>
      </c>
      <c r="F9" s="112">
        <f t="shared" si="2"/>
        <v>0.25027030487098911</v>
      </c>
      <c r="G9" s="112">
        <f t="shared" si="2"/>
        <v>0.12438103792389787</v>
      </c>
      <c r="H9" s="112">
        <f t="shared" si="2"/>
        <v>0.18119363849063097</v>
      </c>
      <c r="I9" s="112">
        <f t="shared" ref="I9" si="3">I7/H7-1</f>
        <v>0.18115783579837341</v>
      </c>
    </row>
    <row r="10" spans="2:10">
      <c r="B10" s="109"/>
      <c r="C10" s="110"/>
      <c r="D10" s="110"/>
      <c r="E10" s="110"/>
      <c r="F10" s="110"/>
      <c r="G10" s="110"/>
      <c r="H10" s="110"/>
    </row>
    <row r="11" spans="2:10">
      <c r="B11" s="109"/>
      <c r="C11" s="113"/>
      <c r="D11" s="113"/>
      <c r="E11" s="113"/>
      <c r="F11" s="113"/>
      <c r="G11" s="113"/>
      <c r="H11" s="113"/>
    </row>
    <row r="12" spans="2:10">
      <c r="B12" s="20" t="s">
        <v>164</v>
      </c>
      <c r="C12" s="113"/>
      <c r="D12" s="113"/>
      <c r="E12" s="113"/>
      <c r="F12" s="113"/>
      <c r="G12" s="113"/>
      <c r="H12" s="113"/>
    </row>
    <row r="13" spans="2:10" ht="6.6" customHeight="1">
      <c r="B13" s="20"/>
      <c r="C13" s="113"/>
      <c r="D13" s="113"/>
      <c r="E13" s="113"/>
      <c r="F13" s="113"/>
      <c r="G13" s="113"/>
      <c r="H13" s="113"/>
    </row>
    <row r="14" spans="2:10">
      <c r="B14" s="20" t="s">
        <v>165</v>
      </c>
      <c r="C14" s="113"/>
      <c r="D14" s="113"/>
      <c r="E14" s="113"/>
      <c r="F14" s="113"/>
      <c r="G14" s="113"/>
      <c r="H14" s="113"/>
    </row>
    <row r="15" spans="2:10">
      <c r="B15" t="s">
        <v>166</v>
      </c>
      <c r="C15" s="113">
        <v>-932.27559999999994</v>
      </c>
      <c r="D15" s="113">
        <v>-1297.3217</v>
      </c>
      <c r="E15" s="113">
        <v>-1373.1789000000001</v>
      </c>
      <c r="F15" s="113">
        <v>-2057.5616</v>
      </c>
      <c r="G15" s="113">
        <v>-1813.6635000000001</v>
      </c>
      <c r="H15" s="113">
        <v>-1853.5158999999999</v>
      </c>
      <c r="I15" s="113">
        <v>-2016.35</v>
      </c>
    </row>
    <row r="16" spans="2:10">
      <c r="B16" t="s">
        <v>167</v>
      </c>
      <c r="C16" s="113">
        <v>-777.13390000000004</v>
      </c>
      <c r="D16" s="113">
        <v>-591.20529999999997</v>
      </c>
      <c r="E16" s="113">
        <v>-654.82449999999994</v>
      </c>
      <c r="F16" s="113">
        <v>-813.75440000000003</v>
      </c>
      <c r="G16" s="113">
        <v>-809.23759999999993</v>
      </c>
      <c r="H16" s="113">
        <v>-1409.8510999999999</v>
      </c>
      <c r="I16" s="113">
        <v>-1655.69</v>
      </c>
    </row>
    <row r="17" spans="2:11">
      <c r="B17" t="s">
        <v>168</v>
      </c>
      <c r="C17" s="113">
        <v>-11.928199999999999</v>
      </c>
      <c r="D17" s="113">
        <v>10.4559</v>
      </c>
      <c r="E17" s="113">
        <v>247.39419999999998</v>
      </c>
      <c r="F17" s="113">
        <v>449.58760000000001</v>
      </c>
      <c r="G17" s="113">
        <v>-290.74090000000001</v>
      </c>
      <c r="H17" s="113">
        <v>53.671099999999996</v>
      </c>
      <c r="I17" s="113">
        <v>-183</v>
      </c>
    </row>
    <row r="18" spans="2:11" s="20" customFormat="1" ht="15" thickBot="1">
      <c r="B18" s="105" t="s">
        <v>169</v>
      </c>
      <c r="C18" s="114">
        <f>SUM(C15:C17)</f>
        <v>-1721.3377</v>
      </c>
      <c r="D18" s="114">
        <f t="shared" ref="D18:I18" si="4">SUM(D15:D17)</f>
        <v>-1878.0711000000001</v>
      </c>
      <c r="E18" s="114">
        <f t="shared" si="4"/>
        <v>-1780.6092000000001</v>
      </c>
      <c r="F18" s="114">
        <f t="shared" si="4"/>
        <v>-2421.7284</v>
      </c>
      <c r="G18" s="114">
        <f t="shared" si="4"/>
        <v>-2913.6419999999998</v>
      </c>
      <c r="H18" s="114">
        <f t="shared" si="4"/>
        <v>-3209.6958999999997</v>
      </c>
      <c r="I18" s="114">
        <f t="shared" si="4"/>
        <v>-3855.04</v>
      </c>
    </row>
    <row r="19" spans="2:11" s="20" customFormat="1">
      <c r="B19" s="109"/>
      <c r="C19" s="110"/>
      <c r="D19" s="110"/>
      <c r="E19" s="110"/>
      <c r="F19" s="110"/>
      <c r="G19" s="110"/>
      <c r="H19" s="110"/>
    </row>
    <row r="20" spans="2:11" s="20" customFormat="1">
      <c r="B20" s="155" t="s">
        <v>353</v>
      </c>
      <c r="C20" s="156">
        <f>-C18/C7</f>
        <v>0.34565179941325425</v>
      </c>
      <c r="D20" s="156">
        <f t="shared" ref="D20:I20" si="5">-D18/D7</f>
        <v>0.31984215927178888</v>
      </c>
      <c r="E20" s="156">
        <f t="shared" si="5"/>
        <v>0.28609227573805757</v>
      </c>
      <c r="F20" s="156">
        <f t="shared" si="5"/>
        <v>0.31121393717304652</v>
      </c>
      <c r="G20" s="156">
        <f t="shared" si="5"/>
        <v>0.33300923614135902</v>
      </c>
      <c r="H20" s="156">
        <f t="shared" si="5"/>
        <v>0.31057241441917854</v>
      </c>
      <c r="I20" s="156">
        <f t="shared" si="5"/>
        <v>0.31580568526255426</v>
      </c>
    </row>
    <row r="21" spans="2:11" s="20" customFormat="1">
      <c r="B21" s="155" t="s">
        <v>106</v>
      </c>
      <c r="C21" s="156">
        <f>1-C20</f>
        <v>0.65434820058674581</v>
      </c>
      <c r="D21" s="156">
        <f t="shared" ref="D21:I21" si="6">1-D20</f>
        <v>0.68015784072821117</v>
      </c>
      <c r="E21" s="156">
        <f t="shared" si="6"/>
        <v>0.71390772426194249</v>
      </c>
      <c r="F21" s="156">
        <f t="shared" si="6"/>
        <v>0.68878606282695354</v>
      </c>
      <c r="G21" s="156">
        <f t="shared" si="6"/>
        <v>0.66699076385864098</v>
      </c>
      <c r="H21" s="156">
        <f t="shared" si="6"/>
        <v>0.6894275855808214</v>
      </c>
      <c r="I21" s="156">
        <f t="shared" si="6"/>
        <v>0.68419431473744574</v>
      </c>
    </row>
    <row r="22" spans="2:11" s="20" customFormat="1">
      <c r="B22" s="155"/>
      <c r="C22" s="156"/>
      <c r="D22" s="156"/>
      <c r="E22" s="156"/>
      <c r="F22" s="156"/>
      <c r="G22" s="156"/>
      <c r="H22" s="156"/>
      <c r="I22" s="156"/>
    </row>
    <row r="23" spans="2:11" s="20" customFormat="1">
      <c r="B23" s="157" t="s">
        <v>383</v>
      </c>
      <c r="C23" s="161">
        <f>C15/C18</f>
        <v>0.54159947812680798</v>
      </c>
      <c r="D23" s="161">
        <f t="shared" ref="D23:I23" si="7">D15/D18</f>
        <v>0.69077347497653308</v>
      </c>
      <c r="E23" s="161">
        <f t="shared" si="7"/>
        <v>0.77118488436429511</v>
      </c>
      <c r="F23" s="161">
        <f t="shared" si="7"/>
        <v>0.84962525112229759</v>
      </c>
      <c r="G23" s="161">
        <f t="shared" si="7"/>
        <v>0.62247300800853378</v>
      </c>
      <c r="H23" s="161">
        <f t="shared" si="7"/>
        <v>0.57747399060453053</v>
      </c>
      <c r="I23" s="161">
        <f t="shared" si="7"/>
        <v>0.52304256246368386</v>
      </c>
      <c r="K23" s="162"/>
    </row>
    <row r="24" spans="2:11" s="20" customFormat="1">
      <c r="B24" s="157" t="s">
        <v>354</v>
      </c>
      <c r="C24" s="158">
        <f>C15/C$7*-1</f>
        <v>0.1872048341758106</v>
      </c>
      <c r="D24" s="158">
        <f t="shared" ref="D24:I24" si="8">D15/D$7*-1</f>
        <v>0.22093847980417136</v>
      </c>
      <c r="E24" s="158">
        <f t="shared" si="8"/>
        <v>0.22063003858257196</v>
      </c>
      <c r="F24" s="158">
        <f t="shared" si="8"/>
        <v>0.26441521952340863</v>
      </c>
      <c r="G24" s="158">
        <f t="shared" si="8"/>
        <v>0.2072892609155359</v>
      </c>
      <c r="H24" s="158">
        <f t="shared" si="8"/>
        <v>0.17934749152632706</v>
      </c>
      <c r="I24" s="158">
        <f t="shared" si="8"/>
        <v>0.16517981486032604</v>
      </c>
      <c r="K24" s="162"/>
    </row>
    <row r="25" spans="2:11" s="20" customFormat="1">
      <c r="B25" s="157" t="s">
        <v>355</v>
      </c>
      <c r="C25" s="158">
        <f t="shared" ref="C25:I25" si="9">C16/C$7*-1</f>
        <v>0.15605173285871796</v>
      </c>
      <c r="D25" s="158">
        <f t="shared" si="9"/>
        <v>0.10068435626581215</v>
      </c>
      <c r="E25" s="158">
        <f t="shared" si="9"/>
        <v>0.10521131274287231</v>
      </c>
      <c r="F25" s="158">
        <f t="shared" si="9"/>
        <v>0.10457477837559744</v>
      </c>
      <c r="G25" s="158">
        <f t="shared" si="9"/>
        <v>9.2490290513682405E-2</v>
      </c>
      <c r="H25" s="158">
        <f t="shared" si="9"/>
        <v>0.13641817597066896</v>
      </c>
      <c r="I25" s="158">
        <f t="shared" si="9"/>
        <v>0.13563447202424839</v>
      </c>
    </row>
    <row r="26" spans="2:11" s="20" customFormat="1">
      <c r="B26" s="157" t="s">
        <v>356</v>
      </c>
      <c r="C26" s="158">
        <f t="shared" ref="C26:I26" si="10">C17/C$7*-1</f>
        <v>2.395232378725673E-3</v>
      </c>
      <c r="D26" s="158">
        <f t="shared" si="10"/>
        <v>-1.7806767981946464E-3</v>
      </c>
      <c r="E26" s="158">
        <f t="shared" si="10"/>
        <v>-3.9749075587386697E-2</v>
      </c>
      <c r="F26" s="158">
        <f t="shared" si="10"/>
        <v>-5.7776060725959519E-2</v>
      </c>
      <c r="G26" s="158">
        <f t="shared" si="10"/>
        <v>3.3229684712140772E-2</v>
      </c>
      <c r="H26" s="158">
        <f t="shared" si="10"/>
        <v>-5.1932530778174887E-3</v>
      </c>
      <c r="I26" s="158">
        <f t="shared" si="10"/>
        <v>1.4991398377979848E-2</v>
      </c>
    </row>
    <row r="27" spans="2:11" s="20" customFormat="1">
      <c r="B27" s="109"/>
      <c r="C27" s="110"/>
      <c r="D27" s="110"/>
      <c r="E27" s="110"/>
      <c r="F27" s="110"/>
      <c r="G27" s="110"/>
      <c r="H27" s="110"/>
    </row>
    <row r="28" spans="2:11" s="20" customFormat="1">
      <c r="B28" s="109" t="s">
        <v>2</v>
      </c>
      <c r="C28" s="110">
        <f t="shared" ref="C28:G28" si="11">SUM(C7,C18)</f>
        <v>3258.6383999999998</v>
      </c>
      <c r="D28" s="110">
        <f t="shared" si="11"/>
        <v>3993.7973999999995</v>
      </c>
      <c r="E28" s="110">
        <f t="shared" si="11"/>
        <v>4443.2889999999998</v>
      </c>
      <c r="F28" s="110">
        <f t="shared" si="11"/>
        <v>5359.8267000000005</v>
      </c>
      <c r="G28" s="110">
        <f t="shared" si="11"/>
        <v>5835.7910000000011</v>
      </c>
      <c r="H28" s="110">
        <f>SUM(H7,H18)</f>
        <v>7125.0786999999991</v>
      </c>
      <c r="I28" s="110">
        <f>SUM(I7,I18)</f>
        <v>8351.9599999999991</v>
      </c>
    </row>
    <row r="29" spans="2:11" s="20" customFormat="1">
      <c r="B29" s="109"/>
      <c r="C29" s="110"/>
      <c r="D29" s="110"/>
      <c r="E29" s="110"/>
      <c r="F29" s="110"/>
      <c r="G29" s="110"/>
      <c r="H29" s="110"/>
    </row>
    <row r="30" spans="2:11" s="20" customFormat="1">
      <c r="B30" s="109" t="s">
        <v>170</v>
      </c>
      <c r="C30" s="110"/>
      <c r="D30" s="110"/>
      <c r="E30" s="110"/>
      <c r="F30" s="110"/>
      <c r="G30" s="110"/>
      <c r="H30" s="110"/>
    </row>
    <row r="31" spans="2:11">
      <c r="B31" t="s">
        <v>171</v>
      </c>
      <c r="C31" s="135">
        <v>-1094.7858000000001</v>
      </c>
      <c r="D31" s="135">
        <v>-1335.5266000000001</v>
      </c>
      <c r="E31" s="135">
        <v>-1415.7830999999999</v>
      </c>
      <c r="F31" s="135">
        <v>-1620.5932999999998</v>
      </c>
      <c r="G31" s="135">
        <v>-1918.4714999999999</v>
      </c>
      <c r="H31" s="135">
        <v>-2274.7312000000002</v>
      </c>
      <c r="I31" s="113">
        <v>-2692.37</v>
      </c>
    </row>
    <row r="32" spans="2:11">
      <c r="B32" t="s">
        <v>172</v>
      </c>
      <c r="C32" s="113">
        <v>-1239.3913</v>
      </c>
      <c r="D32" s="113">
        <v>-1124.2452000000001</v>
      </c>
      <c r="E32" s="113">
        <v>-1369.9361999999999</v>
      </c>
      <c r="F32" s="113">
        <v>-1749.8805</v>
      </c>
      <c r="G32" s="113">
        <v>-2016.6829</v>
      </c>
      <c r="H32" s="113">
        <v>-2315.2754</v>
      </c>
      <c r="I32" s="113">
        <v>-3008.1</v>
      </c>
    </row>
    <row r="33" spans="2:12" ht="15" thickBot="1">
      <c r="B33" s="105" t="s">
        <v>173</v>
      </c>
      <c r="C33" s="114">
        <f t="shared" ref="C33:G33" si="12">SUM(C31:C32)</f>
        <v>-2334.1770999999999</v>
      </c>
      <c r="D33" s="114">
        <f t="shared" si="12"/>
        <v>-2459.7718000000004</v>
      </c>
      <c r="E33" s="114">
        <f t="shared" si="12"/>
        <v>-2785.7192999999997</v>
      </c>
      <c r="F33" s="114">
        <f t="shared" si="12"/>
        <v>-3370.4737999999998</v>
      </c>
      <c r="G33" s="114">
        <f t="shared" si="12"/>
        <v>-3935.1543999999999</v>
      </c>
      <c r="H33" s="114">
        <f>SUM(H31:H32)</f>
        <v>-4590.0066000000006</v>
      </c>
      <c r="I33" s="114">
        <f>SUM(I31:I32)</f>
        <v>-5700.4699999999993</v>
      </c>
    </row>
    <row r="34" spans="2:12">
      <c r="C34" s="113"/>
      <c r="D34" s="113"/>
      <c r="E34" s="113"/>
      <c r="F34" s="113"/>
      <c r="G34" s="113"/>
      <c r="H34" s="113"/>
    </row>
    <row r="35" spans="2:12">
      <c r="B35" s="20" t="s">
        <v>174</v>
      </c>
      <c r="C35" s="110">
        <f>C28+C33</f>
        <v>924.46129999999994</v>
      </c>
      <c r="D35" s="110">
        <f t="shared" ref="D35:I35" si="13">D28+D33</f>
        <v>1534.025599999999</v>
      </c>
      <c r="E35" s="110">
        <f t="shared" si="13"/>
        <v>1657.5697</v>
      </c>
      <c r="F35" s="110">
        <f t="shared" si="13"/>
        <v>1989.3529000000008</v>
      </c>
      <c r="G35" s="110">
        <f t="shared" si="13"/>
        <v>1900.6366000000012</v>
      </c>
      <c r="H35" s="110">
        <f t="shared" si="13"/>
        <v>2535.0720999999985</v>
      </c>
      <c r="I35" s="110">
        <f t="shared" si="13"/>
        <v>2651.49</v>
      </c>
    </row>
    <row r="36" spans="2:12">
      <c r="B36" s="20"/>
      <c r="C36" s="110"/>
      <c r="D36" s="110"/>
      <c r="E36" s="110"/>
      <c r="F36" s="110"/>
      <c r="G36" s="110"/>
      <c r="H36" s="110"/>
    </row>
    <row r="37" spans="2:12">
      <c r="B37" t="s">
        <v>44</v>
      </c>
      <c r="C37" s="113">
        <v>-69.034399999999991</v>
      </c>
      <c r="D37" s="113">
        <v>-99.058400000000006</v>
      </c>
      <c r="E37" s="113">
        <v>-118.97030000000001</v>
      </c>
      <c r="F37" s="113">
        <v>-166.61919999999998</v>
      </c>
      <c r="G37" s="113">
        <v>-325.91950000000003</v>
      </c>
      <c r="H37" s="113">
        <v>-398.25370000000004</v>
      </c>
      <c r="I37" s="113">
        <v>-621</v>
      </c>
    </row>
    <row r="38" spans="2:12" ht="15" thickBot="1">
      <c r="B38" s="105" t="s">
        <v>175</v>
      </c>
      <c r="C38" s="114">
        <f>C35+C37</f>
        <v>855.42689999999993</v>
      </c>
      <c r="D38" s="114">
        <f t="shared" ref="D38:I38" si="14">D35+D37</f>
        <v>1434.9671999999991</v>
      </c>
      <c r="E38" s="114">
        <f t="shared" si="14"/>
        <v>1538.5994000000001</v>
      </c>
      <c r="F38" s="114">
        <f t="shared" si="14"/>
        <v>1822.7337000000007</v>
      </c>
      <c r="G38" s="114">
        <f t="shared" si="14"/>
        <v>1574.7171000000012</v>
      </c>
      <c r="H38" s="114">
        <f t="shared" si="14"/>
        <v>2136.8183999999983</v>
      </c>
      <c r="I38" s="114">
        <f t="shared" si="14"/>
        <v>2030.4899999999998</v>
      </c>
    </row>
    <row r="39" spans="2:12">
      <c r="C39" s="113"/>
      <c r="D39" s="113"/>
      <c r="E39" s="113"/>
      <c r="F39" s="113"/>
      <c r="G39" s="113"/>
      <c r="H39" s="113"/>
    </row>
    <row r="40" spans="2:12">
      <c r="C40" s="113"/>
      <c r="D40" s="113"/>
      <c r="E40" s="113"/>
      <c r="F40" s="113"/>
      <c r="G40" s="113"/>
      <c r="H40" s="113"/>
    </row>
    <row r="41" spans="2:12">
      <c r="B41" t="s">
        <v>176</v>
      </c>
      <c r="C41" s="113">
        <v>-43.032399999999996</v>
      </c>
      <c r="D41" s="113">
        <v>-21.971799999999998</v>
      </c>
      <c r="E41" s="113">
        <v>-20.147400000000001</v>
      </c>
      <c r="F41" s="113">
        <v>-58.610399999999998</v>
      </c>
      <c r="G41" s="113">
        <v>-44.468999999999994</v>
      </c>
      <c r="H41" s="113">
        <v>-33.531599999999997</v>
      </c>
      <c r="I41" s="113">
        <v>-429.4</v>
      </c>
    </row>
    <row r="42" spans="2:12">
      <c r="B42" s="72" t="s">
        <v>177</v>
      </c>
      <c r="C42" s="113">
        <v>52.918800000000005</v>
      </c>
      <c r="D42" s="113">
        <v>103.78440000000001</v>
      </c>
      <c r="E42" s="113">
        <v>161.4821</v>
      </c>
      <c r="F42" s="113">
        <v>196.02959999999999</v>
      </c>
      <c r="G42" s="113">
        <v>128.5668</v>
      </c>
      <c r="H42" s="113">
        <v>280.85790000000003</v>
      </c>
      <c r="I42" s="113">
        <v>536.79</v>
      </c>
    </row>
    <row r="43" spans="2:12">
      <c r="B43" s="72"/>
      <c r="C43" s="113"/>
      <c r="D43" s="113"/>
      <c r="E43" s="113"/>
      <c r="F43" s="113"/>
      <c r="G43" s="113"/>
      <c r="H43" s="113"/>
    </row>
    <row r="44" spans="2:12" s="20" customFormat="1">
      <c r="B44" s="109" t="s">
        <v>178</v>
      </c>
      <c r="C44" s="110">
        <f>SUM(C38:C42)</f>
        <v>865.31329999999991</v>
      </c>
      <c r="D44" s="110">
        <f t="shared" ref="D44:I44" si="15">SUM(D38:D42)</f>
        <v>1516.7797999999991</v>
      </c>
      <c r="E44" s="110">
        <f t="shared" si="15"/>
        <v>1679.9340999999999</v>
      </c>
      <c r="F44" s="110">
        <f t="shared" si="15"/>
        <v>1960.1529000000007</v>
      </c>
      <c r="G44" s="110">
        <f t="shared" si="15"/>
        <v>1658.8149000000012</v>
      </c>
      <c r="H44" s="110">
        <f t="shared" si="15"/>
        <v>2384.1446999999985</v>
      </c>
      <c r="I44" s="110">
        <f t="shared" si="15"/>
        <v>2137.8799999999997</v>
      </c>
    </row>
    <row r="45" spans="2:12">
      <c r="B45" t="s">
        <v>179</v>
      </c>
      <c r="C45" s="113">
        <v>9.9379999999999988</v>
      </c>
      <c r="D45" s="113">
        <v>11.5352</v>
      </c>
      <c r="E45" s="113">
        <v>11.677100000000001</v>
      </c>
      <c r="F45" s="113">
        <v>14.447699999999999</v>
      </c>
      <c r="G45" s="113">
        <v>12.424200000000001</v>
      </c>
      <c r="H45" s="113">
        <v>15.2135</v>
      </c>
      <c r="I45" s="113">
        <v>12.24</v>
      </c>
    </row>
    <row r="46" spans="2:12">
      <c r="C46" s="113"/>
      <c r="D46" s="113"/>
      <c r="E46" s="113"/>
      <c r="F46" s="113"/>
      <c r="G46" s="113"/>
      <c r="H46" s="113"/>
    </row>
    <row r="47" spans="2:12">
      <c r="B47" s="20" t="s">
        <v>180</v>
      </c>
      <c r="C47" s="110">
        <f>C44-C45</f>
        <v>855.37529999999992</v>
      </c>
      <c r="D47" s="110">
        <f t="shared" ref="D47:I47" si="16">D44-D45</f>
        <v>1505.2445999999991</v>
      </c>
      <c r="E47" s="110">
        <f t="shared" si="16"/>
        <v>1668.2569999999998</v>
      </c>
      <c r="F47" s="110">
        <f t="shared" si="16"/>
        <v>1945.7052000000008</v>
      </c>
      <c r="G47" s="110">
        <f t="shared" si="16"/>
        <v>1646.3907000000013</v>
      </c>
      <c r="H47" s="110">
        <f t="shared" si="16"/>
        <v>2368.9311999999986</v>
      </c>
      <c r="I47" s="110">
        <f t="shared" si="16"/>
        <v>2125.64</v>
      </c>
    </row>
    <row r="48" spans="2:12">
      <c r="B48" t="s">
        <v>181</v>
      </c>
      <c r="C48" s="113">
        <v>-264.1207</v>
      </c>
      <c r="D48" s="113">
        <v>-381.5949</v>
      </c>
      <c r="E48" s="113">
        <v>-398.58389999999997</v>
      </c>
      <c r="F48" s="113">
        <v>-521.64350000000002</v>
      </c>
      <c r="G48" s="113">
        <v>-361.56330000000003</v>
      </c>
      <c r="H48" s="113">
        <v>-457.5865</v>
      </c>
      <c r="I48" s="113">
        <v>-509.74</v>
      </c>
      <c r="L48" s="113"/>
    </row>
    <row r="49" spans="2:17" ht="15" thickBot="1">
      <c r="B49" s="105" t="s">
        <v>182</v>
      </c>
      <c r="C49" s="114">
        <f>SUM(C47:C48)</f>
        <v>591.25459999999998</v>
      </c>
      <c r="D49" s="114">
        <f t="shared" ref="D49:I49" si="17">SUM(D47:D48)</f>
        <v>1123.649699999999</v>
      </c>
      <c r="E49" s="114">
        <f t="shared" si="17"/>
        <v>1269.6731</v>
      </c>
      <c r="F49" s="114">
        <f t="shared" si="17"/>
        <v>1424.0617000000007</v>
      </c>
      <c r="G49" s="114">
        <f t="shared" si="17"/>
        <v>1284.8274000000013</v>
      </c>
      <c r="H49" s="114">
        <f t="shared" si="17"/>
        <v>1911.3446999999987</v>
      </c>
      <c r="I49" s="114">
        <f t="shared" si="17"/>
        <v>1615.8999999999999</v>
      </c>
    </row>
    <row r="53" spans="2:17">
      <c r="Q53" s="134"/>
    </row>
    <row r="60" spans="2:17" s="20" customFormat="1">
      <c r="B60"/>
      <c r="C60"/>
      <c r="D60"/>
      <c r="E60"/>
      <c r="F60"/>
      <c r="G60"/>
      <c r="H60"/>
      <c r="I60"/>
      <c r="J60"/>
      <c r="K60"/>
      <c r="L60"/>
    </row>
  </sheetData>
  <sheetProtection sheet="1" objects="1" scenarios="1" selectLockedCells="1"/>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3"/>
  <sheetViews>
    <sheetView showGridLines="0" zoomScaleNormal="100" workbookViewId="0">
      <pane ySplit="4" topLeftCell="A5" activePane="bottomLeft" state="frozen"/>
      <selection activeCell="C9" sqref="C9"/>
      <selection pane="bottomLeft" activeCell="F1" sqref="F1"/>
    </sheetView>
  </sheetViews>
  <sheetFormatPr defaultRowHeight="14.4"/>
  <cols>
    <col min="2" max="2" width="40.44140625" bestFit="1" customWidth="1"/>
    <col min="3" max="3" width="11.88671875" customWidth="1"/>
    <col min="4" max="4" width="11.21875" customWidth="1"/>
    <col min="5" max="8" width="10.77734375" customWidth="1"/>
    <col min="9" max="9" width="10.5546875" bestFit="1" customWidth="1"/>
    <col min="12" max="16" width="9.5546875" bestFit="1" customWidth="1"/>
  </cols>
  <sheetData>
    <row r="1" spans="1:16">
      <c r="F1" s="544"/>
    </row>
    <row r="3" spans="1:16">
      <c r="B3" s="133" t="s">
        <v>321</v>
      </c>
      <c r="C3" s="20"/>
      <c r="D3" s="20"/>
      <c r="E3" s="20"/>
      <c r="F3" s="20"/>
      <c r="G3" s="20"/>
      <c r="H3" s="20"/>
    </row>
    <row r="4" spans="1:16">
      <c r="A4" s="20"/>
      <c r="B4" s="108" t="s">
        <v>161</v>
      </c>
      <c r="C4" s="108">
        <v>2019</v>
      </c>
      <c r="D4" s="108">
        <f t="shared" ref="D4:H4" si="0">C4+1</f>
        <v>2020</v>
      </c>
      <c r="E4" s="108">
        <f t="shared" si="0"/>
        <v>2021</v>
      </c>
      <c r="F4" s="108">
        <f t="shared" si="0"/>
        <v>2022</v>
      </c>
      <c r="G4" s="108">
        <f t="shared" si="0"/>
        <v>2023</v>
      </c>
      <c r="H4" s="108">
        <f t="shared" si="0"/>
        <v>2024</v>
      </c>
      <c r="I4" s="108">
        <f t="shared" ref="I4" si="1">H4+1</f>
        <v>2025</v>
      </c>
    </row>
    <row r="5" spans="1:16">
      <c r="A5" s="20"/>
      <c r="B5" s="20" t="s">
        <v>183</v>
      </c>
    </row>
    <row r="6" spans="1:16">
      <c r="A6" s="20"/>
      <c r="B6" s="20" t="s">
        <v>184</v>
      </c>
      <c r="C6" s="110">
        <f t="shared" ref="C6:I6" si="2">SUM(C7:C13)</f>
        <v>1942.9712000000004</v>
      </c>
      <c r="D6" s="110">
        <f t="shared" si="2"/>
        <v>2075.3714999999997</v>
      </c>
      <c r="E6" s="110">
        <f t="shared" si="2"/>
        <v>2196.8861999999999</v>
      </c>
      <c r="F6" s="110">
        <f t="shared" si="2"/>
        <v>4452.0331999999999</v>
      </c>
      <c r="G6" s="110">
        <f t="shared" si="2"/>
        <v>4976.8680000000004</v>
      </c>
      <c r="H6" s="110">
        <f t="shared" si="2"/>
        <v>5011.0376000000006</v>
      </c>
      <c r="I6" s="110">
        <f t="shared" si="2"/>
        <v>20021.110500000003</v>
      </c>
    </row>
    <row r="7" spans="1:16">
      <c r="B7" t="s">
        <v>185</v>
      </c>
      <c r="C7" s="113">
        <v>1352.1338000000001</v>
      </c>
      <c r="D7" s="113">
        <v>1551.3441</v>
      </c>
      <c r="E7" s="113">
        <v>1620.2787999999998</v>
      </c>
      <c r="F7" s="113">
        <v>1652.4046000000003</v>
      </c>
      <c r="G7" s="113">
        <v>2409.4607000000005</v>
      </c>
      <c r="H7" s="113">
        <v>2812.5396000000014</v>
      </c>
      <c r="I7" s="113">
        <v>2740.6304999999998</v>
      </c>
    </row>
    <row r="8" spans="1:16">
      <c r="B8" t="s">
        <v>186</v>
      </c>
      <c r="C8" s="113">
        <v>326.80290000000002</v>
      </c>
      <c r="D8" s="113">
        <v>313.2586</v>
      </c>
      <c r="E8" s="113">
        <v>371.61620000000005</v>
      </c>
      <c r="F8" s="113">
        <v>669.87339999999995</v>
      </c>
      <c r="G8" s="113">
        <v>493.19199999999995</v>
      </c>
      <c r="H8" s="113">
        <v>207.09389999999999</v>
      </c>
      <c r="I8" s="113">
        <v>306.13</v>
      </c>
    </row>
    <row r="9" spans="1:16">
      <c r="B9" t="s">
        <v>187</v>
      </c>
      <c r="C9" s="116">
        <v>0</v>
      </c>
      <c r="D9" s="116">
        <v>0</v>
      </c>
      <c r="E9" s="116">
        <v>0</v>
      </c>
      <c r="F9" s="113">
        <v>67.357100000000003</v>
      </c>
      <c r="G9" s="113">
        <v>114.3647</v>
      </c>
      <c r="H9" s="113">
        <v>119.06129999999999</v>
      </c>
      <c r="I9" s="113">
        <v>167.25</v>
      </c>
    </row>
    <row r="10" spans="1:16">
      <c r="B10" t="s">
        <v>13</v>
      </c>
      <c r="C10" s="113">
        <v>20.445599999999999</v>
      </c>
      <c r="D10" s="113">
        <v>20.4422</v>
      </c>
      <c r="E10" s="113">
        <v>20.4422</v>
      </c>
      <c r="F10" s="113">
        <v>20.4422</v>
      </c>
      <c r="G10" s="113">
        <v>20.022500000000001</v>
      </c>
      <c r="H10" s="113">
        <v>20.022500000000001</v>
      </c>
      <c r="I10" s="113">
        <v>6492</v>
      </c>
      <c r="N10" s="115"/>
      <c r="O10" s="115"/>
      <c r="P10" s="115"/>
    </row>
    <row r="11" spans="1:16">
      <c r="B11" t="s">
        <v>495</v>
      </c>
      <c r="C11" s="117">
        <v>26.8765</v>
      </c>
      <c r="D11" s="117">
        <v>22.252199999999995</v>
      </c>
      <c r="E11" s="117">
        <v>18.428600000000003</v>
      </c>
      <c r="F11" s="117">
        <v>1842.6152</v>
      </c>
      <c r="G11" s="117">
        <v>1701.4632999999999</v>
      </c>
      <c r="H11" s="117">
        <v>1588.3397</v>
      </c>
      <c r="I11" s="117">
        <v>9604.66</v>
      </c>
      <c r="L11" s="117"/>
    </row>
    <row r="12" spans="1:16">
      <c r="B12" t="s">
        <v>188</v>
      </c>
      <c r="C12" s="113">
        <v>1.0706</v>
      </c>
      <c r="D12" s="113">
        <v>3.6945999999999999</v>
      </c>
      <c r="E12" s="224">
        <v>0.33360000000000001</v>
      </c>
      <c r="F12" s="113">
        <v>31.597899999999999</v>
      </c>
      <c r="G12" s="113">
        <v>56.953599999999994</v>
      </c>
      <c r="H12" s="113">
        <v>74.699200000000005</v>
      </c>
      <c r="I12" s="113">
        <v>519.54</v>
      </c>
    </row>
    <row r="13" spans="1:16">
      <c r="B13" t="s">
        <v>189</v>
      </c>
      <c r="C13" s="113">
        <v>215.64179999999999</v>
      </c>
      <c r="D13" s="113">
        <v>164.37979999999999</v>
      </c>
      <c r="E13" s="113">
        <v>165.7868</v>
      </c>
      <c r="F13" s="113">
        <v>167.74279999999999</v>
      </c>
      <c r="G13" s="113">
        <v>181.41119999999998</v>
      </c>
      <c r="H13" s="113">
        <v>189.28139999999999</v>
      </c>
      <c r="I13" s="113">
        <v>190.9</v>
      </c>
    </row>
    <row r="14" spans="1:16">
      <c r="C14" s="113"/>
      <c r="D14" s="113"/>
      <c r="E14" s="113"/>
      <c r="F14" s="113"/>
      <c r="G14" s="113"/>
      <c r="H14" s="113"/>
      <c r="I14" s="115"/>
    </row>
    <row r="15" spans="1:16">
      <c r="B15" s="20" t="s">
        <v>190</v>
      </c>
      <c r="C15" s="110">
        <f>SUM(C16:C18)</f>
        <v>27.035800000000002</v>
      </c>
      <c r="D15" s="110">
        <f t="shared" ref="D15:I15" si="3">SUM(D16:D18)</f>
        <v>31.041699999999995</v>
      </c>
      <c r="E15" s="110">
        <f t="shared" si="3"/>
        <v>68.019000000000005</v>
      </c>
      <c r="F15" s="110">
        <f t="shared" si="3"/>
        <v>95.644600000000011</v>
      </c>
      <c r="G15" s="110">
        <f t="shared" si="3"/>
        <v>205.0883</v>
      </c>
      <c r="H15" s="110">
        <f t="shared" si="3"/>
        <v>155.33539999999999</v>
      </c>
      <c r="I15" s="110">
        <f t="shared" si="3"/>
        <v>360.57000000000005</v>
      </c>
    </row>
    <row r="16" spans="1:16">
      <c r="B16" t="s">
        <v>191</v>
      </c>
      <c r="C16" s="113">
        <v>1.7500000000000002E-2</v>
      </c>
      <c r="D16" s="113">
        <v>1.2500000000000001E-2</v>
      </c>
      <c r="E16" s="113">
        <v>45.516000000000005</v>
      </c>
      <c r="F16" s="113">
        <v>72.689300000000003</v>
      </c>
      <c r="G16" s="113">
        <v>94.906900000000007</v>
      </c>
      <c r="H16" s="113">
        <v>125.83969999999999</v>
      </c>
      <c r="I16" s="113">
        <v>160.24</v>
      </c>
    </row>
    <row r="17" spans="1:10">
      <c r="B17" t="s">
        <v>192</v>
      </c>
      <c r="C17" s="113">
        <v>7.2000000000000008E-2</v>
      </c>
      <c r="D17" s="113">
        <v>9.9299999999999999E-2</v>
      </c>
      <c r="E17" s="113">
        <v>7.4299999999999991E-2</v>
      </c>
      <c r="F17" s="113">
        <v>2.8799999999999999E-2</v>
      </c>
      <c r="G17" s="113">
        <v>0</v>
      </c>
      <c r="H17" s="113">
        <v>0</v>
      </c>
      <c r="I17" s="113">
        <v>0</v>
      </c>
    </row>
    <row r="18" spans="1:10">
      <c r="B18" t="s">
        <v>193</v>
      </c>
      <c r="C18" s="113">
        <v>26.946300000000001</v>
      </c>
      <c r="D18" s="113">
        <v>30.929899999999996</v>
      </c>
      <c r="E18" s="113">
        <v>22.428699999999999</v>
      </c>
      <c r="F18" s="113">
        <v>22.926500000000001</v>
      </c>
      <c r="G18" s="113">
        <v>110.1814</v>
      </c>
      <c r="H18" s="113">
        <v>29.495700000000003</v>
      </c>
      <c r="I18" s="113">
        <v>200.33</v>
      </c>
    </row>
    <row r="19" spans="1:10">
      <c r="C19" s="113"/>
      <c r="D19" s="113"/>
      <c r="E19" s="113"/>
      <c r="F19" s="113"/>
      <c r="G19" s="113"/>
      <c r="H19" s="113"/>
      <c r="I19" s="113"/>
    </row>
    <row r="20" spans="1:10">
      <c r="B20" s="20" t="s">
        <v>194</v>
      </c>
      <c r="C20" s="113">
        <v>35.511099999999999</v>
      </c>
      <c r="D20" s="113">
        <v>36.6462</v>
      </c>
      <c r="E20" s="113">
        <v>96.676599999999993</v>
      </c>
      <c r="F20" s="113">
        <v>74.184300000000007</v>
      </c>
      <c r="G20" s="113">
        <v>73.355000000000004</v>
      </c>
      <c r="H20" s="113">
        <v>66.281099999999995</v>
      </c>
      <c r="I20" s="113">
        <v>92.26</v>
      </c>
    </row>
    <row r="21" spans="1:10">
      <c r="B21" s="20" t="s">
        <v>195</v>
      </c>
      <c r="C21" s="113">
        <v>69.505299999999991</v>
      </c>
      <c r="D21" s="113">
        <v>54.511600000000001</v>
      </c>
      <c r="E21" s="113">
        <v>55.605600000000003</v>
      </c>
      <c r="F21" s="113">
        <v>79.824200000000005</v>
      </c>
      <c r="G21" s="113">
        <v>102.51530000000001</v>
      </c>
      <c r="H21" s="113">
        <v>81.983899999999991</v>
      </c>
      <c r="I21" s="113">
        <v>189.49</v>
      </c>
    </row>
    <row r="22" spans="1:10">
      <c r="B22" s="20" t="s">
        <v>196</v>
      </c>
      <c r="C22" s="113">
        <v>28.894699999999997</v>
      </c>
      <c r="D22" s="113">
        <v>47.931599999999996</v>
      </c>
      <c r="E22" s="113">
        <v>49.011000000000003</v>
      </c>
      <c r="F22" s="113">
        <v>39.286200000000001</v>
      </c>
      <c r="G22" s="113">
        <v>29.776900000000001</v>
      </c>
      <c r="H22" s="113">
        <v>80.397499999999994</v>
      </c>
      <c r="I22" s="113">
        <v>107.89</v>
      </c>
    </row>
    <row r="23" spans="1:10" ht="15" thickBot="1">
      <c r="B23" s="105" t="s">
        <v>197</v>
      </c>
      <c r="C23" s="114">
        <f t="shared" ref="C23:I23" si="4">SUM(C6,C15,C20:C22)</f>
        <v>2103.9181000000003</v>
      </c>
      <c r="D23" s="114">
        <f t="shared" si="4"/>
        <v>2245.5025999999998</v>
      </c>
      <c r="E23" s="114">
        <f t="shared" si="4"/>
        <v>2466.1983999999998</v>
      </c>
      <c r="F23" s="114">
        <f t="shared" si="4"/>
        <v>4740.9724999999989</v>
      </c>
      <c r="G23" s="114">
        <f t="shared" si="4"/>
        <v>5387.6035000000002</v>
      </c>
      <c r="H23" s="114">
        <f t="shared" si="4"/>
        <v>5395.0355000000009</v>
      </c>
      <c r="I23" s="114">
        <f t="shared" si="4"/>
        <v>20771.320500000002</v>
      </c>
      <c r="J23" s="113"/>
    </row>
    <row r="24" spans="1:10">
      <c r="B24" s="20"/>
      <c r="C24" s="110"/>
      <c r="D24" s="110"/>
      <c r="E24" s="110"/>
      <c r="F24" s="110"/>
      <c r="G24" s="110"/>
      <c r="H24" s="110"/>
      <c r="I24" s="118"/>
    </row>
    <row r="25" spans="1:10">
      <c r="A25" s="20"/>
      <c r="B25" s="20" t="s">
        <v>94</v>
      </c>
      <c r="C25" s="113"/>
      <c r="D25" s="113"/>
      <c r="E25" s="113"/>
      <c r="F25" s="113"/>
      <c r="G25" s="113"/>
      <c r="H25" s="113"/>
      <c r="I25" s="115"/>
    </row>
    <row r="26" spans="1:10">
      <c r="B26" t="s">
        <v>198</v>
      </c>
      <c r="C26" s="113">
        <v>820.98529999999994</v>
      </c>
      <c r="D26" s="113">
        <v>899.1345</v>
      </c>
      <c r="E26" s="113">
        <v>1183.5377000000001</v>
      </c>
      <c r="F26" s="113">
        <v>1760.2381</v>
      </c>
      <c r="G26" s="113">
        <v>1498.4582</v>
      </c>
      <c r="H26" s="113">
        <v>1553.4612</v>
      </c>
      <c r="I26" s="113">
        <v>2093.71</v>
      </c>
    </row>
    <row r="27" spans="1:10">
      <c r="B27" s="72" t="s">
        <v>199</v>
      </c>
      <c r="C27" s="113">
        <v>220.21880000000002</v>
      </c>
      <c r="D27" s="113">
        <v>531.09199999999998</v>
      </c>
      <c r="E27" s="113">
        <v>330.61129999999997</v>
      </c>
      <c r="F27" s="113">
        <v>388.166</v>
      </c>
      <c r="G27" s="113">
        <v>576.42139999999995</v>
      </c>
      <c r="H27" s="113">
        <v>848.2811999999999</v>
      </c>
      <c r="I27" s="113">
        <v>1538.34</v>
      </c>
    </row>
    <row r="28" spans="1:10">
      <c r="B28" s="109" t="s">
        <v>200</v>
      </c>
      <c r="C28" s="110">
        <f>SUM(C29:C32)</f>
        <v>272.63290000000001</v>
      </c>
      <c r="D28" s="110">
        <f t="shared" ref="D28:I28" si="5">SUM(D29:D32)</f>
        <v>307.07629999999995</v>
      </c>
      <c r="E28" s="110">
        <f t="shared" si="5"/>
        <v>385.56990000000002</v>
      </c>
      <c r="F28" s="110">
        <f t="shared" si="5"/>
        <v>978.01089999999999</v>
      </c>
      <c r="G28" s="110">
        <f t="shared" si="5"/>
        <v>724.3196999999999</v>
      </c>
      <c r="H28" s="110">
        <f t="shared" si="5"/>
        <v>710.4011999999999</v>
      </c>
      <c r="I28" s="110">
        <f t="shared" si="5"/>
        <v>1110.8800000000001</v>
      </c>
    </row>
    <row r="29" spans="1:10">
      <c r="B29" s="83" t="s">
        <v>192</v>
      </c>
      <c r="C29" s="113">
        <v>31.620200000000001</v>
      </c>
      <c r="D29" s="113">
        <v>34.497900000000001</v>
      </c>
      <c r="E29" s="113">
        <v>18.4114</v>
      </c>
      <c r="F29" s="113">
        <v>1.1943999999999999</v>
      </c>
      <c r="G29" s="113">
        <v>1.6325999999999998</v>
      </c>
      <c r="H29" s="113">
        <v>2.8620000000000001</v>
      </c>
      <c r="I29" s="113">
        <v>3.95</v>
      </c>
    </row>
    <row r="30" spans="1:10">
      <c r="B30" s="83" t="s">
        <v>193</v>
      </c>
      <c r="C30" s="113">
        <v>3.6642999999999999</v>
      </c>
      <c r="D30" s="113">
        <v>4.4869000000000003</v>
      </c>
      <c r="E30" s="113">
        <v>9.9911999999999992</v>
      </c>
      <c r="F30" s="113">
        <v>13.937100000000001</v>
      </c>
      <c r="G30" s="113">
        <v>55.979700000000001</v>
      </c>
      <c r="H30" s="113">
        <v>13.160399999999999</v>
      </c>
      <c r="I30" s="113">
        <v>301.41000000000003</v>
      </c>
    </row>
    <row r="31" spans="1:10">
      <c r="B31" s="83" t="s">
        <v>201</v>
      </c>
      <c r="C31" s="113">
        <v>54.965800000000002</v>
      </c>
      <c r="D31" s="113">
        <v>2.7105000000000001</v>
      </c>
      <c r="E31" s="113">
        <v>2.702</v>
      </c>
      <c r="F31" s="113">
        <v>2.9816000000000003</v>
      </c>
      <c r="G31" s="113">
        <v>3.3155999999999999</v>
      </c>
      <c r="H31" s="113">
        <v>2.702</v>
      </c>
      <c r="I31" s="113">
        <v>2.7</v>
      </c>
    </row>
    <row r="32" spans="1:10">
      <c r="B32" s="83" t="s">
        <v>200</v>
      </c>
      <c r="C32" s="113">
        <v>182.3826</v>
      </c>
      <c r="D32" s="113">
        <v>265.38099999999997</v>
      </c>
      <c r="E32" s="113">
        <v>354.46530000000001</v>
      </c>
      <c r="F32" s="113">
        <v>959.89779999999996</v>
      </c>
      <c r="G32" s="113">
        <v>663.39179999999988</v>
      </c>
      <c r="H32" s="113">
        <v>691.67679999999996</v>
      </c>
      <c r="I32" s="113">
        <v>802.82</v>
      </c>
    </row>
    <row r="33" spans="1:16">
      <c r="B33" s="72" t="s">
        <v>191</v>
      </c>
      <c r="C33" s="113">
        <v>543.26660000000004</v>
      </c>
      <c r="D33" s="113">
        <v>665.03250000000003</v>
      </c>
      <c r="E33" s="113">
        <v>1306.1741</v>
      </c>
      <c r="F33" s="113">
        <v>874.46179999999993</v>
      </c>
      <c r="G33" s="113">
        <v>1075.4741000000001</v>
      </c>
      <c r="H33" s="113">
        <v>2258.1124</v>
      </c>
      <c r="I33" s="113">
        <v>1690.84</v>
      </c>
    </row>
    <row r="34" spans="1:16">
      <c r="B34" s="72" t="s">
        <v>202</v>
      </c>
      <c r="C34" s="113">
        <v>116.39030000000001</v>
      </c>
      <c r="D34" s="113">
        <v>226.0753</v>
      </c>
      <c r="E34" s="113">
        <v>167.18200000000002</v>
      </c>
      <c r="F34" s="113">
        <v>302.53469999999999</v>
      </c>
      <c r="G34" s="113">
        <v>304.82069999999999</v>
      </c>
      <c r="H34" s="113">
        <v>382.00749999999999</v>
      </c>
      <c r="I34" s="113">
        <v>407.36</v>
      </c>
      <c r="L34" s="134"/>
      <c r="M34" s="134"/>
      <c r="N34" s="134"/>
      <c r="O34" s="134"/>
      <c r="P34" s="134"/>
    </row>
    <row r="35" spans="1:16">
      <c r="B35" s="72" t="s">
        <v>203</v>
      </c>
      <c r="C35" s="113">
        <v>24.621100000000002</v>
      </c>
      <c r="D35" s="113">
        <v>193.80200000000002</v>
      </c>
      <c r="E35" s="113">
        <v>533.5598</v>
      </c>
      <c r="F35" s="113">
        <v>103.4068</v>
      </c>
      <c r="G35" s="113">
        <v>148.37790000000001</v>
      </c>
      <c r="H35" s="113">
        <v>815.9636999999999</v>
      </c>
      <c r="I35" s="113">
        <v>147.13999999999999</v>
      </c>
    </row>
    <row r="36" spans="1:16" ht="15" thickBot="1">
      <c r="B36" s="105" t="s">
        <v>204</v>
      </c>
      <c r="C36" s="114">
        <f>SUM(C26:C28,C33:C35)</f>
        <v>1998.115</v>
      </c>
      <c r="D36" s="114">
        <f t="shared" ref="D36:I36" si="6">SUM(D26:D28,D33:D35)</f>
        <v>2822.2125999999998</v>
      </c>
      <c r="E36" s="114">
        <f t="shared" si="6"/>
        <v>3906.6347999999998</v>
      </c>
      <c r="F36" s="237">
        <f t="shared" si="6"/>
        <v>4406.8182999999999</v>
      </c>
      <c r="G36" s="114">
        <f t="shared" si="6"/>
        <v>4327.8720000000012</v>
      </c>
      <c r="H36" s="114">
        <f t="shared" si="6"/>
        <v>6568.2271999999994</v>
      </c>
      <c r="I36" s="114">
        <f t="shared" si="6"/>
        <v>6988.27</v>
      </c>
    </row>
    <row r="37" spans="1:16">
      <c r="B37" s="20"/>
      <c r="C37" s="110"/>
      <c r="D37" s="110"/>
      <c r="E37" s="110"/>
      <c r="F37" s="110"/>
      <c r="G37" s="110"/>
      <c r="H37" s="110"/>
      <c r="I37" s="118"/>
      <c r="L37" s="113"/>
      <c r="M37" s="113"/>
      <c r="N37" s="113"/>
      <c r="O37" s="113"/>
      <c r="P37" s="113"/>
    </row>
    <row r="38" spans="1:16">
      <c r="B38" s="20" t="s">
        <v>14</v>
      </c>
      <c r="C38" s="110">
        <f>SUM(C36,C23)</f>
        <v>4102.0331000000006</v>
      </c>
      <c r="D38" s="110">
        <f t="shared" ref="D38:I38" si="7">SUM(D36,D23)</f>
        <v>5067.7151999999996</v>
      </c>
      <c r="E38" s="110">
        <f t="shared" si="7"/>
        <v>6372.8331999999991</v>
      </c>
      <c r="F38" s="110">
        <f t="shared" si="7"/>
        <v>9147.7907999999989</v>
      </c>
      <c r="G38" s="110">
        <f t="shared" si="7"/>
        <v>9715.4755000000005</v>
      </c>
      <c r="H38" s="110">
        <f t="shared" si="7"/>
        <v>11963.262699999999</v>
      </c>
      <c r="I38" s="110">
        <f t="shared" si="7"/>
        <v>27759.590500000002</v>
      </c>
    </row>
    <row r="39" spans="1:16">
      <c r="C39" s="76">
        <f>C36/C38</f>
        <v>0.487103577979417</v>
      </c>
      <c r="D39" s="76">
        <f t="shared" ref="D39:I39" si="8">D36/D38</f>
        <v>0.55690039566548655</v>
      </c>
      <c r="E39" s="76">
        <f t="shared" si="8"/>
        <v>0.61301381620971973</v>
      </c>
      <c r="F39" s="76">
        <f t="shared" si="8"/>
        <v>0.48173579789341053</v>
      </c>
      <c r="G39" s="76">
        <f t="shared" si="8"/>
        <v>0.44546167606516029</v>
      </c>
      <c r="H39" s="76">
        <f t="shared" si="8"/>
        <v>0.54903309947377477</v>
      </c>
      <c r="I39" s="76">
        <f t="shared" si="8"/>
        <v>0.25174254641832705</v>
      </c>
    </row>
    <row r="40" spans="1:16">
      <c r="A40" s="20"/>
      <c r="B40" s="20" t="s">
        <v>205</v>
      </c>
      <c r="C40" s="113"/>
      <c r="D40" s="113"/>
      <c r="E40" s="113"/>
      <c r="F40" s="113"/>
      <c r="G40" s="113"/>
      <c r="H40" s="113"/>
      <c r="I40" s="115"/>
    </row>
    <row r="41" spans="1:16">
      <c r="A41" s="20"/>
      <c r="B41" s="20"/>
      <c r="C41" s="113"/>
      <c r="D41" s="113"/>
      <c r="E41" s="113"/>
      <c r="F41" s="113"/>
      <c r="G41" s="113"/>
      <c r="H41" s="113"/>
      <c r="I41" s="115"/>
    </row>
    <row r="42" spans="1:16">
      <c r="A42" s="20"/>
      <c r="B42" s="20" t="s">
        <v>558</v>
      </c>
      <c r="C42" s="113"/>
      <c r="D42" s="113"/>
      <c r="E42" s="113"/>
      <c r="F42" s="113"/>
      <c r="G42" s="113"/>
      <c r="H42" s="113"/>
      <c r="I42" s="115"/>
    </row>
    <row r="43" spans="1:16">
      <c r="B43" t="s">
        <v>206</v>
      </c>
      <c r="C43" s="113">
        <v>40.058799999999998</v>
      </c>
      <c r="D43" s="113">
        <v>40.058799999999998</v>
      </c>
      <c r="E43" s="113">
        <v>40.058799999999998</v>
      </c>
      <c r="F43" s="113">
        <v>40.058799999999998</v>
      </c>
      <c r="G43" s="113">
        <v>40.058799999999998</v>
      </c>
      <c r="H43" s="113">
        <v>40.058799999999998</v>
      </c>
      <c r="I43" s="113">
        <v>41.26</v>
      </c>
    </row>
    <row r="44" spans="1:16">
      <c r="B44" t="s">
        <v>207</v>
      </c>
      <c r="C44" s="113">
        <v>2782.9913000000001</v>
      </c>
      <c r="D44" s="113">
        <v>3445.2514000000001</v>
      </c>
      <c r="E44" s="113">
        <v>4681.9449999999997</v>
      </c>
      <c r="F44" s="113">
        <v>6115.1732999999995</v>
      </c>
      <c r="G44" s="113">
        <v>7395.5640000000003</v>
      </c>
      <c r="H44" s="113">
        <v>9323.0293000000001</v>
      </c>
      <c r="I44" s="113">
        <v>14291.13</v>
      </c>
    </row>
    <row r="45" spans="1:16">
      <c r="B45" s="20" t="s">
        <v>208</v>
      </c>
      <c r="C45" s="110">
        <f>C43+C44</f>
        <v>2823.0500999999999</v>
      </c>
      <c r="D45" s="110">
        <f t="shared" ref="D45:I45" si="9">D43+D44</f>
        <v>3485.3101999999999</v>
      </c>
      <c r="E45" s="110">
        <f t="shared" si="9"/>
        <v>4722.0037999999995</v>
      </c>
      <c r="F45" s="110">
        <f t="shared" si="9"/>
        <v>6155.2320999999993</v>
      </c>
      <c r="G45" s="110">
        <f t="shared" si="9"/>
        <v>7435.6228000000001</v>
      </c>
      <c r="H45" s="110">
        <f t="shared" si="9"/>
        <v>9363.0881000000008</v>
      </c>
      <c r="I45" s="110">
        <f t="shared" si="9"/>
        <v>14332.39</v>
      </c>
    </row>
    <row r="46" spans="1:16">
      <c r="B46" t="s">
        <v>209</v>
      </c>
      <c r="C46" s="134">
        <v>158.62260000000001</v>
      </c>
      <c r="D46" s="134">
        <v>186.2611</v>
      </c>
      <c r="E46" s="134">
        <v>140.88739999999999</v>
      </c>
      <c r="F46" s="134">
        <v>161.07990000000001</v>
      </c>
      <c r="G46" s="134">
        <v>188.0701</v>
      </c>
      <c r="H46" s="134">
        <v>212.7</v>
      </c>
      <c r="I46" s="113">
        <v>235.79</v>
      </c>
    </row>
    <row r="47" spans="1:16">
      <c r="B47" s="20"/>
      <c r="C47" s="110"/>
      <c r="D47" s="110"/>
      <c r="E47" s="110"/>
      <c r="F47" s="110"/>
      <c r="G47" s="110"/>
      <c r="H47" s="110"/>
      <c r="I47" s="115"/>
    </row>
    <row r="48" spans="1:16" ht="15" thickBot="1">
      <c r="B48" s="105" t="s">
        <v>102</v>
      </c>
      <c r="C48" s="114">
        <f t="shared" ref="C48:G48" si="10">C45+C46</f>
        <v>2981.6727000000001</v>
      </c>
      <c r="D48" s="114">
        <f t="shared" si="10"/>
        <v>3671.5713000000001</v>
      </c>
      <c r="E48" s="114">
        <f t="shared" si="10"/>
        <v>4862.8911999999991</v>
      </c>
      <c r="F48" s="114">
        <f t="shared" si="10"/>
        <v>6316.311999999999</v>
      </c>
      <c r="G48" s="114">
        <f t="shared" si="10"/>
        <v>7623.6929</v>
      </c>
      <c r="H48" s="114">
        <f>H45+H46</f>
        <v>9575.7881000000016</v>
      </c>
      <c r="I48" s="114">
        <f t="shared" ref="I48" si="11">I45+I46</f>
        <v>14568.18</v>
      </c>
    </row>
    <row r="49" spans="2:11">
      <c r="B49" s="20"/>
      <c r="C49" s="110"/>
      <c r="D49" s="110"/>
      <c r="E49" s="110"/>
      <c r="F49" s="110"/>
      <c r="G49" s="110"/>
      <c r="H49" s="110"/>
      <c r="I49" s="118"/>
    </row>
    <row r="50" spans="2:11">
      <c r="B50" s="20" t="s">
        <v>210</v>
      </c>
      <c r="C50" s="110"/>
      <c r="D50" s="110"/>
      <c r="E50" s="110"/>
      <c r="F50" s="113"/>
      <c r="G50" s="113"/>
      <c r="H50" s="113"/>
      <c r="I50" s="115"/>
    </row>
    <row r="51" spans="2:11">
      <c r="B51" t="s">
        <v>592</v>
      </c>
      <c r="C51" s="113">
        <v>25.111900000000002</v>
      </c>
      <c r="D51" s="113">
        <v>58.192700000000002</v>
      </c>
      <c r="E51" s="113">
        <v>57.419899999999998</v>
      </c>
      <c r="F51" s="113">
        <v>49.193999999999996</v>
      </c>
      <c r="G51" s="113">
        <v>23.186499999999999</v>
      </c>
      <c r="H51" s="113">
        <v>24.867699999999999</v>
      </c>
      <c r="I51" s="113">
        <v>5526.19</v>
      </c>
    </row>
    <row r="52" spans="2:11">
      <c r="B52" t="s">
        <v>211</v>
      </c>
      <c r="C52" s="113">
        <v>1</v>
      </c>
      <c r="D52" s="113">
        <v>3.8281999999999998</v>
      </c>
      <c r="E52" s="113">
        <v>5.5104999999999995</v>
      </c>
      <c r="F52" s="113">
        <v>2.99</v>
      </c>
      <c r="G52" s="113">
        <v>5.1779999999999999</v>
      </c>
      <c r="H52" s="113">
        <v>7.7138</v>
      </c>
      <c r="I52" s="113">
        <v>14.03</v>
      </c>
    </row>
    <row r="53" spans="2:11">
      <c r="B53" t="s">
        <v>212</v>
      </c>
      <c r="C53" s="113">
        <v>44.9161</v>
      </c>
      <c r="D53" s="113">
        <v>63.004899999999999</v>
      </c>
      <c r="E53" s="113">
        <v>72.24430000000001</v>
      </c>
      <c r="F53" s="113">
        <v>80.004300000000001</v>
      </c>
      <c r="G53" s="113">
        <v>97.888799999999989</v>
      </c>
      <c r="H53" s="113">
        <v>123.12459999999999</v>
      </c>
      <c r="I53" s="113">
        <v>155.06</v>
      </c>
    </row>
    <row r="54" spans="2:11">
      <c r="B54" t="s">
        <v>213</v>
      </c>
      <c r="C54" s="113">
        <v>22.325800000000001</v>
      </c>
      <c r="D54" s="113">
        <v>8.1664999999999992</v>
      </c>
      <c r="E54" s="113">
        <v>13.0319</v>
      </c>
      <c r="F54" s="113">
        <v>55.620600000000003</v>
      </c>
      <c r="G54" s="113">
        <v>77.312100000000001</v>
      </c>
      <c r="H54" s="113">
        <v>89.069199999999995</v>
      </c>
      <c r="I54" s="113">
        <v>1812.51</v>
      </c>
    </row>
    <row r="55" spans="2:11">
      <c r="B55" t="s">
        <v>214</v>
      </c>
      <c r="C55" s="113">
        <v>13.3355</v>
      </c>
      <c r="D55" s="113">
        <v>17.787300000000002</v>
      </c>
      <c r="E55" s="113">
        <v>7.8869000000000007</v>
      </c>
      <c r="F55" s="113">
        <v>20.154199999999999</v>
      </c>
      <c r="G55" s="113">
        <v>25.494600000000002</v>
      </c>
      <c r="H55" s="113">
        <v>22.961500000000001</v>
      </c>
      <c r="I55" s="113">
        <v>20</v>
      </c>
    </row>
    <row r="56" spans="2:11">
      <c r="B56" s="20" t="s">
        <v>215</v>
      </c>
      <c r="C56" s="110">
        <f>SUM(C51:C55)</f>
        <v>106.6893</v>
      </c>
      <c r="D56" s="110">
        <f t="shared" ref="D56:I56" si="12">SUM(D51:D55)</f>
        <v>150.9796</v>
      </c>
      <c r="E56" s="110">
        <f t="shared" si="12"/>
        <v>156.09350000000001</v>
      </c>
      <c r="F56" s="110">
        <f t="shared" si="12"/>
        <v>207.9631</v>
      </c>
      <c r="G56" s="110">
        <f t="shared" si="12"/>
        <v>229.06</v>
      </c>
      <c r="H56" s="110">
        <f t="shared" si="12"/>
        <v>267.73680000000002</v>
      </c>
      <c r="I56" s="110">
        <f t="shared" si="12"/>
        <v>7527.79</v>
      </c>
    </row>
    <row r="57" spans="2:11">
      <c r="C57" s="113"/>
      <c r="D57" s="113"/>
      <c r="E57" s="113"/>
      <c r="F57" s="113"/>
      <c r="G57" s="113"/>
      <c r="H57" s="113"/>
      <c r="I57" s="115"/>
    </row>
    <row r="58" spans="2:11">
      <c r="B58" s="20" t="s">
        <v>95</v>
      </c>
      <c r="C58" s="110"/>
      <c r="D58" s="110"/>
      <c r="E58" s="110"/>
      <c r="F58" s="113"/>
      <c r="G58" s="113"/>
      <c r="H58" s="113"/>
      <c r="I58" s="115"/>
    </row>
    <row r="59" spans="2:11">
      <c r="B59" t="s">
        <v>216</v>
      </c>
      <c r="C59" s="113">
        <v>561.96900000000005</v>
      </c>
      <c r="D59" s="113">
        <v>745.1101000000001</v>
      </c>
      <c r="E59" s="113">
        <v>667.16750000000002</v>
      </c>
      <c r="F59" s="113">
        <v>1076.4388000000001</v>
      </c>
      <c r="G59" s="113">
        <f>1007.7605+0.0028</f>
        <v>1007.7633</v>
      </c>
      <c r="H59" s="113">
        <f>1103.0028-0.004</f>
        <v>1102.9988000000001</v>
      </c>
      <c r="I59" s="113">
        <v>1133.4605000000001</v>
      </c>
      <c r="K59" s="113"/>
    </row>
    <row r="60" spans="2:11">
      <c r="B60" s="20" t="s">
        <v>17</v>
      </c>
      <c r="C60" s="113"/>
      <c r="D60" s="113"/>
      <c r="E60" s="113"/>
      <c r="F60" s="113"/>
      <c r="G60" s="113"/>
      <c r="H60" s="113"/>
      <c r="I60" s="113"/>
      <c r="K60" s="113"/>
    </row>
    <row r="61" spans="2:11">
      <c r="B61" t="s">
        <v>591</v>
      </c>
      <c r="C61" s="113">
        <v>241.4641</v>
      </c>
      <c r="D61" s="113">
        <v>44.280200000000008</v>
      </c>
      <c r="E61" s="113">
        <v>158.60389999999998</v>
      </c>
      <c r="F61" s="113">
        <v>818.83320000000003</v>
      </c>
      <c r="G61" s="113">
        <v>139.48990000000001</v>
      </c>
      <c r="H61" s="113">
        <v>171.16810000000001</v>
      </c>
      <c r="I61" s="113">
        <v>2956.84</v>
      </c>
    </row>
    <row r="62" spans="2:11">
      <c r="B62" t="s">
        <v>211</v>
      </c>
      <c r="C62" s="113">
        <v>0</v>
      </c>
      <c r="D62" s="113">
        <v>0</v>
      </c>
      <c r="E62" s="113">
        <v>0</v>
      </c>
      <c r="F62" s="113">
        <v>2.0571999999999999</v>
      </c>
      <c r="G62" s="113">
        <v>2.5565000000000002</v>
      </c>
      <c r="H62" s="113">
        <v>3.4227999999999996</v>
      </c>
      <c r="I62" s="113">
        <v>14.39</v>
      </c>
    </row>
    <row r="63" spans="2:11">
      <c r="B63" t="s">
        <v>217</v>
      </c>
      <c r="C63" s="113">
        <v>69.922799999999995</v>
      </c>
      <c r="D63" s="113">
        <v>120.5857</v>
      </c>
      <c r="E63" s="113">
        <v>183.58689999999999</v>
      </c>
      <c r="F63" s="113">
        <v>221.489</v>
      </c>
      <c r="G63" s="113">
        <v>236.49180000000001</v>
      </c>
      <c r="H63" s="113">
        <v>235.54910000000001</v>
      </c>
      <c r="I63" s="113">
        <v>674.16</v>
      </c>
    </row>
    <row r="64" spans="2:11">
      <c r="B64" t="s">
        <v>212</v>
      </c>
      <c r="C64" s="113">
        <v>103.0194</v>
      </c>
      <c r="D64" s="113">
        <v>215.6704</v>
      </c>
      <c r="E64" s="113">
        <v>234.21849999999998</v>
      </c>
      <c r="F64" s="113">
        <v>264.51260000000002</v>
      </c>
      <c r="G64" s="113">
        <v>307.63040000000001</v>
      </c>
      <c r="H64" s="113">
        <v>389.30720000000002</v>
      </c>
      <c r="I64" s="113">
        <v>663.87</v>
      </c>
    </row>
    <row r="65" spans="2:9">
      <c r="B65" t="s">
        <v>218</v>
      </c>
      <c r="C65" s="113">
        <v>1.0759000000000001</v>
      </c>
      <c r="D65" s="113">
        <v>65.622399999999999</v>
      </c>
      <c r="E65" s="113">
        <v>11.0847</v>
      </c>
      <c r="F65" s="113">
        <v>15.089600000000001</v>
      </c>
      <c r="G65" s="113">
        <v>46.255500000000005</v>
      </c>
      <c r="H65" s="113">
        <v>46.378700000000002</v>
      </c>
      <c r="I65" s="113">
        <v>18.079999999999998</v>
      </c>
    </row>
    <row r="66" spans="2:9">
      <c r="B66" t="s">
        <v>219</v>
      </c>
      <c r="C66" s="113">
        <v>46.610600000000005</v>
      </c>
      <c r="D66" s="113">
        <v>59.460900000000002</v>
      </c>
      <c r="E66" s="113">
        <v>99.187000000000012</v>
      </c>
      <c r="F66" s="113">
        <v>225.09529999999998</v>
      </c>
      <c r="G66" s="113">
        <v>122.5352</v>
      </c>
      <c r="H66" s="113">
        <v>170.91310000000001</v>
      </c>
      <c r="I66" s="113">
        <v>202.82</v>
      </c>
    </row>
    <row r="67" spans="2:9">
      <c r="B67" s="20" t="s">
        <v>18</v>
      </c>
      <c r="C67" s="110" t="e">
        <f>SUM(#REF!,C59)</f>
        <v>#REF!</v>
      </c>
      <c r="D67" s="110" t="e">
        <f>SUM(#REF!,D59)</f>
        <v>#REF!</v>
      </c>
      <c r="E67" s="110">
        <f>SUM(E59:E66)</f>
        <v>1353.8485000000001</v>
      </c>
      <c r="F67" s="110">
        <f t="shared" ref="F67:I67" si="13">SUM(F59:F66)</f>
        <v>2623.5156999999999</v>
      </c>
      <c r="G67" s="110">
        <f t="shared" si="13"/>
        <v>1862.7225999999998</v>
      </c>
      <c r="H67" s="110">
        <f t="shared" si="13"/>
        <v>2119.7378000000003</v>
      </c>
      <c r="I67" s="110">
        <f t="shared" si="13"/>
        <v>5663.6205</v>
      </c>
    </row>
    <row r="68" spans="2:9">
      <c r="B68" s="20"/>
      <c r="C68" s="110"/>
      <c r="D68" s="110"/>
      <c r="E68" s="110"/>
      <c r="F68" s="110"/>
      <c r="G68" s="110"/>
      <c r="H68" s="110"/>
      <c r="I68" s="110"/>
    </row>
    <row r="69" spans="2:9">
      <c r="B69" s="20" t="s">
        <v>220</v>
      </c>
      <c r="C69" s="110" t="e">
        <f t="shared" ref="C69:I69" si="14">SUM(C67,C56)</f>
        <v>#REF!</v>
      </c>
      <c r="D69" s="110" t="e">
        <f t="shared" si="14"/>
        <v>#REF!</v>
      </c>
      <c r="E69" s="110">
        <f t="shared" si="14"/>
        <v>1509.942</v>
      </c>
      <c r="F69" s="110">
        <f t="shared" si="14"/>
        <v>2831.4787999999999</v>
      </c>
      <c r="G69" s="110">
        <f t="shared" si="14"/>
        <v>2091.7826</v>
      </c>
      <c r="H69" s="110">
        <f t="shared" si="14"/>
        <v>2387.4746000000005</v>
      </c>
      <c r="I69" s="110">
        <f t="shared" si="14"/>
        <v>13191.4105</v>
      </c>
    </row>
    <row r="70" spans="2:9">
      <c r="B70" s="20"/>
      <c r="C70" s="110"/>
      <c r="D70" s="110"/>
      <c r="E70" s="110"/>
      <c r="F70" s="110"/>
      <c r="G70" s="110"/>
      <c r="H70" s="110"/>
      <c r="I70" s="110"/>
    </row>
    <row r="71" spans="2:9">
      <c r="B71" s="20" t="s">
        <v>221</v>
      </c>
      <c r="C71" s="110" t="e">
        <f t="shared" ref="C71:I71" si="15">SUM(C69,C48)</f>
        <v>#REF!</v>
      </c>
      <c r="D71" s="110" t="e">
        <f t="shared" si="15"/>
        <v>#REF!</v>
      </c>
      <c r="E71" s="110">
        <f t="shared" si="15"/>
        <v>6372.8331999999991</v>
      </c>
      <c r="F71" s="110">
        <f t="shared" si="15"/>
        <v>9147.7907999999989</v>
      </c>
      <c r="G71" s="110">
        <f t="shared" si="15"/>
        <v>9715.4755000000005</v>
      </c>
      <c r="H71" s="110">
        <f t="shared" si="15"/>
        <v>11963.262700000003</v>
      </c>
      <c r="I71" s="110">
        <f t="shared" si="15"/>
        <v>27759.590499999998</v>
      </c>
    </row>
    <row r="73" spans="2:9">
      <c r="B73" t="s">
        <v>76</v>
      </c>
      <c r="E73" s="113">
        <f>E71-E38</f>
        <v>0</v>
      </c>
      <c r="F73" s="239">
        <f t="shared" ref="F73:I73" si="16">F71-F38</f>
        <v>0</v>
      </c>
      <c r="G73" s="113">
        <f t="shared" si="16"/>
        <v>0</v>
      </c>
      <c r="H73" s="238">
        <f t="shared" si="16"/>
        <v>0</v>
      </c>
      <c r="I73" s="113">
        <f t="shared" si="16"/>
        <v>0</v>
      </c>
    </row>
  </sheetData>
  <sheetProtection sheet="1" objects="1" scenarios="1" selectLockedCell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R72"/>
  <sheetViews>
    <sheetView showGridLines="0" zoomScaleNormal="100" workbookViewId="0">
      <pane ySplit="4" topLeftCell="A5" activePane="bottomLeft" state="frozen"/>
      <selection activeCell="C9" sqref="C9"/>
      <selection pane="bottomLeft" activeCell="E2" sqref="E2"/>
    </sheetView>
  </sheetViews>
  <sheetFormatPr defaultRowHeight="14.4"/>
  <cols>
    <col min="1" max="1" width="2" bestFit="1" customWidth="1"/>
    <col min="2" max="2" width="68.88671875" customWidth="1"/>
    <col min="3" max="3" width="5.33203125" hidden="1" customWidth="1"/>
    <col min="4" max="4" width="5.5546875" hidden="1" customWidth="1"/>
    <col min="5" max="6" width="10.44140625" bestFit="1" customWidth="1"/>
    <col min="7" max="7" width="11" bestFit="1" customWidth="1"/>
    <col min="8" max="8" width="10.44140625" bestFit="1" customWidth="1"/>
  </cols>
  <sheetData>
    <row r="2" spans="1:15">
      <c r="E2" s="544"/>
    </row>
    <row r="3" spans="1:15">
      <c r="B3" s="133" t="s">
        <v>321</v>
      </c>
    </row>
    <row r="4" spans="1:15">
      <c r="B4" s="108" t="s">
        <v>161</v>
      </c>
      <c r="C4" s="108">
        <v>2019</v>
      </c>
      <c r="D4" s="108">
        <f t="shared" ref="D4:I4" si="0">C4+1</f>
        <v>2020</v>
      </c>
      <c r="E4" s="108">
        <f t="shared" si="0"/>
        <v>2021</v>
      </c>
      <c r="F4" s="108">
        <f t="shared" si="0"/>
        <v>2022</v>
      </c>
      <c r="G4" s="108">
        <f t="shared" si="0"/>
        <v>2023</v>
      </c>
      <c r="H4" s="108">
        <f t="shared" si="0"/>
        <v>2024</v>
      </c>
      <c r="I4" s="108">
        <f t="shared" si="0"/>
        <v>2025</v>
      </c>
    </row>
    <row r="5" spans="1:15" s="27" customFormat="1">
      <c r="B5" s="119"/>
      <c r="C5" s="119"/>
      <c r="D5" s="119"/>
      <c r="E5" s="119"/>
      <c r="F5" s="119"/>
      <c r="G5" s="119"/>
      <c r="H5" s="119"/>
    </row>
    <row r="6" spans="1:15">
      <c r="A6" s="120" t="s">
        <v>23</v>
      </c>
      <c r="B6" s="20" t="s">
        <v>222</v>
      </c>
    </row>
    <row r="7" spans="1:15">
      <c r="A7" s="120"/>
      <c r="B7" s="20"/>
    </row>
    <row r="8" spans="1:15">
      <c r="B8" s="20" t="s">
        <v>180</v>
      </c>
      <c r="C8" s="121">
        <v>855.37529999999936</v>
      </c>
      <c r="D8" s="121">
        <v>1505.2446000000002</v>
      </c>
      <c r="E8" s="121">
        <f>'3StatementModel'!D37</f>
        <v>1668.2800999999997</v>
      </c>
      <c r="F8" s="121">
        <f>'3StatementModel'!E37</f>
        <v>1945.7185000000004</v>
      </c>
      <c r="G8" s="121">
        <f>'3StatementModel'!F37</f>
        <v>1646.4122000000007</v>
      </c>
      <c r="H8" s="121">
        <f>'3StatementModel'!G37</f>
        <v>2368.9623999999999</v>
      </c>
      <c r="I8" s="121">
        <v>2516</v>
      </c>
      <c r="J8" s="134"/>
      <c r="K8" s="113"/>
      <c r="L8" s="113"/>
      <c r="M8" s="113"/>
      <c r="N8" s="113"/>
      <c r="O8" s="113"/>
    </row>
    <row r="9" spans="1:15">
      <c r="B9" s="109"/>
      <c r="K9" s="113"/>
      <c r="L9" s="113"/>
      <c r="M9" s="113"/>
      <c r="N9" s="113"/>
      <c r="O9" s="113"/>
    </row>
    <row r="10" spans="1:15">
      <c r="B10" s="72" t="s">
        <v>223</v>
      </c>
      <c r="C10" s="113">
        <v>-9.9379999999999988</v>
      </c>
      <c r="D10" s="113">
        <v>-11.5352</v>
      </c>
      <c r="E10" s="113">
        <v>-11.677100000000001</v>
      </c>
      <c r="F10" s="113">
        <v>-14.447699999999999</v>
      </c>
      <c r="G10" s="113">
        <v>-12.424200000000001</v>
      </c>
      <c r="H10" s="113">
        <v>-15.2135</v>
      </c>
      <c r="I10" s="113">
        <v>-12.24</v>
      </c>
      <c r="K10" s="113"/>
      <c r="L10" s="113"/>
      <c r="M10" s="113"/>
      <c r="N10" s="113"/>
      <c r="O10" s="113"/>
    </row>
    <row r="11" spans="1:15" s="20" customFormat="1">
      <c r="B11" s="72" t="s">
        <v>224</v>
      </c>
      <c r="C11" s="113">
        <v>69.034399999999991</v>
      </c>
      <c r="D11" s="113">
        <v>99.058400000000006</v>
      </c>
      <c r="E11" s="113">
        <v>118.97030000000001</v>
      </c>
      <c r="F11" s="113">
        <v>166.61919999999998</v>
      </c>
      <c r="G11" s="113">
        <v>325.91950000000003</v>
      </c>
      <c r="H11" s="113">
        <v>398.25370000000004</v>
      </c>
      <c r="I11" s="113">
        <v>621.22</v>
      </c>
      <c r="K11" s="110"/>
      <c r="L11" s="110"/>
      <c r="M11" s="110"/>
      <c r="N11" s="110"/>
      <c r="O11" s="110"/>
    </row>
    <row r="12" spans="1:15">
      <c r="B12" s="72" t="s">
        <v>225</v>
      </c>
      <c r="C12" s="113">
        <v>-29.577199999999998</v>
      </c>
      <c r="D12" s="113">
        <v>-35.058599999999998</v>
      </c>
      <c r="E12" s="113">
        <v>-62.864899999999999</v>
      </c>
      <c r="F12" s="113">
        <v>-87.433199999999999</v>
      </c>
      <c r="G12" s="113">
        <v>-37.430999999999997</v>
      </c>
      <c r="H12" s="113">
        <v>-133.52699999999999</v>
      </c>
      <c r="I12" s="113">
        <v>-160.84</v>
      </c>
      <c r="K12" s="113"/>
      <c r="L12" s="113"/>
      <c r="M12" s="113"/>
      <c r="N12" s="113"/>
      <c r="O12" s="113"/>
    </row>
    <row r="13" spans="1:15">
      <c r="B13" s="72" t="s">
        <v>567</v>
      </c>
      <c r="C13" s="113"/>
      <c r="D13" s="113"/>
      <c r="E13" s="113">
        <v>-50</v>
      </c>
      <c r="F13" s="113">
        <v>-38</v>
      </c>
      <c r="G13" s="113">
        <v>-36</v>
      </c>
      <c r="H13" s="113">
        <v>-68</v>
      </c>
      <c r="I13" s="113">
        <v>-87</v>
      </c>
      <c r="K13" s="113"/>
      <c r="L13" s="113"/>
      <c r="M13" s="113"/>
      <c r="N13" s="113"/>
      <c r="O13" s="113"/>
    </row>
    <row r="14" spans="1:15">
      <c r="B14" s="72" t="s">
        <v>226</v>
      </c>
      <c r="C14" s="113">
        <v>0.54310000000000003</v>
      </c>
      <c r="D14" s="113">
        <v>1.0249999999999999</v>
      </c>
      <c r="E14" s="113">
        <v>-0.50240000000000007</v>
      </c>
      <c r="F14" s="113">
        <v>-4.6932</v>
      </c>
      <c r="G14" s="113">
        <v>3.9583999999999997</v>
      </c>
      <c r="H14" s="113">
        <v>-3.5864999999999996</v>
      </c>
      <c r="I14" s="113">
        <v>-2.38</v>
      </c>
      <c r="L14" s="72"/>
      <c r="N14" s="110"/>
      <c r="O14" s="110"/>
    </row>
    <row r="15" spans="1:15">
      <c r="B15" s="72" t="s">
        <v>227</v>
      </c>
      <c r="C15" s="113">
        <v>1.28</v>
      </c>
      <c r="D15" s="113">
        <v>-1.9378</v>
      </c>
      <c r="E15" s="113">
        <v>3.0444999999999998</v>
      </c>
      <c r="F15" s="113">
        <v>3.7433999999999998</v>
      </c>
      <c r="G15" s="113">
        <v>-1.6649</v>
      </c>
      <c r="H15" s="113">
        <v>-0.48009999999999997</v>
      </c>
      <c r="I15" s="113">
        <v>-5.37</v>
      </c>
      <c r="K15" s="113"/>
      <c r="L15" s="113"/>
      <c r="M15" s="113"/>
      <c r="N15" s="113"/>
      <c r="O15" s="113"/>
    </row>
    <row r="16" spans="1:15">
      <c r="B16" s="72" t="s">
        <v>228</v>
      </c>
      <c r="C16" s="113">
        <v>0</v>
      </c>
      <c r="D16" s="113">
        <v>0</v>
      </c>
      <c r="E16" s="113">
        <v>0</v>
      </c>
      <c r="F16" s="113">
        <v>5.7628999999999992</v>
      </c>
      <c r="G16" s="113">
        <v>4.7077</v>
      </c>
      <c r="H16" s="113">
        <v>4.6913999999999998</v>
      </c>
      <c r="I16" s="113">
        <v>4.3499999999999996</v>
      </c>
      <c r="L16" s="72"/>
    </row>
    <row r="17" spans="2:18">
      <c r="B17" s="72" t="s">
        <v>229</v>
      </c>
      <c r="C17" s="113">
        <v>1.2477</v>
      </c>
      <c r="D17" s="113">
        <v>0.61219999999999997</v>
      </c>
      <c r="E17" s="113">
        <v>0.55349999999999999</v>
      </c>
      <c r="F17" s="113">
        <v>4.9157000000000002</v>
      </c>
      <c r="G17" s="113">
        <v>4.6389999999999993</v>
      </c>
      <c r="H17" s="113">
        <v>5.9535</v>
      </c>
      <c r="I17" s="113">
        <v>5</v>
      </c>
      <c r="K17" s="113"/>
      <c r="L17" s="113"/>
      <c r="M17" s="113"/>
      <c r="N17" s="113"/>
      <c r="O17" s="113"/>
    </row>
    <row r="18" spans="2:18">
      <c r="B18" s="72" t="s">
        <v>230</v>
      </c>
      <c r="C18" s="113">
        <v>0</v>
      </c>
      <c r="D18" s="113">
        <v>0</v>
      </c>
      <c r="E18" s="113">
        <v>-7.7123999999999997</v>
      </c>
      <c r="F18" s="113">
        <v>-8.5265000000000004</v>
      </c>
      <c r="G18" s="113">
        <v>-4.1533999999999995</v>
      </c>
      <c r="H18" s="113">
        <v>-2.4792000000000001</v>
      </c>
      <c r="I18" s="113">
        <v>-0.81</v>
      </c>
    </row>
    <row r="19" spans="2:18">
      <c r="B19" s="72" t="s">
        <v>231</v>
      </c>
      <c r="C19" s="113">
        <v>0</v>
      </c>
      <c r="D19" s="113">
        <v>0.74260000000000004</v>
      </c>
      <c r="E19" s="113">
        <v>0.2006</v>
      </c>
      <c r="F19" s="113">
        <v>6.6273999999999997</v>
      </c>
      <c r="G19" s="113">
        <v>9.1503999999999994</v>
      </c>
      <c r="H19" s="113">
        <v>7.9596</v>
      </c>
      <c r="I19" s="113">
        <v>8.61</v>
      </c>
    </row>
    <row r="20" spans="2:18">
      <c r="B20" s="72" t="s">
        <v>232</v>
      </c>
      <c r="C20" s="113">
        <v>0.65040000000000009</v>
      </c>
      <c r="D20" s="113">
        <v>90.579899999999995</v>
      </c>
      <c r="E20" s="113">
        <v>0</v>
      </c>
      <c r="F20" s="113">
        <v>-8</v>
      </c>
      <c r="G20" s="113">
        <v>5</v>
      </c>
      <c r="H20" s="113">
        <v>4.4718</v>
      </c>
      <c r="I20" s="113">
        <v>0</v>
      </c>
    </row>
    <row r="21" spans="2:18">
      <c r="B21" s="72" t="s">
        <v>233</v>
      </c>
      <c r="C21" s="113">
        <v>0</v>
      </c>
      <c r="D21" s="113">
        <v>0</v>
      </c>
      <c r="E21" s="113">
        <v>17.710599999999999</v>
      </c>
      <c r="F21" s="113">
        <v>-17.512999999999998</v>
      </c>
      <c r="G21" s="113">
        <v>1.9352</v>
      </c>
      <c r="H21" s="113">
        <v>4</v>
      </c>
      <c r="I21" s="113">
        <v>0</v>
      </c>
      <c r="P21" s="110"/>
      <c r="Q21" s="110"/>
      <c r="R21" s="110"/>
    </row>
    <row r="22" spans="2:18">
      <c r="B22" s="72" t="s">
        <v>234</v>
      </c>
      <c r="C22" s="113">
        <v>-5.6109</v>
      </c>
      <c r="D22" s="113">
        <v>-12.895099999999999</v>
      </c>
      <c r="E22" s="113">
        <v>-38.302399999999999</v>
      </c>
      <c r="F22" s="113">
        <v>-12.923399999999999</v>
      </c>
      <c r="G22" s="113">
        <v>-12.764000000000001</v>
      </c>
      <c r="H22" s="113">
        <v>-40.051000000000002</v>
      </c>
      <c r="I22" s="113">
        <v>-67.91</v>
      </c>
    </row>
    <row r="23" spans="2:18">
      <c r="B23" s="72" t="s">
        <v>568</v>
      </c>
      <c r="C23" s="113"/>
      <c r="D23" s="113"/>
      <c r="E23" s="113">
        <v>27</v>
      </c>
      <c r="F23" s="113">
        <v>31</v>
      </c>
      <c r="G23" s="113">
        <v>27</v>
      </c>
      <c r="H23" s="113">
        <v>24</v>
      </c>
      <c r="I23" s="113">
        <v>403</v>
      </c>
    </row>
    <row r="24" spans="2:18">
      <c r="B24" s="72" t="s">
        <v>235</v>
      </c>
      <c r="C24" s="113">
        <v>43.032399999999996</v>
      </c>
      <c r="D24" s="113">
        <v>21.718000000000004</v>
      </c>
      <c r="E24" s="113">
        <v>16.445899999999998</v>
      </c>
      <c r="F24" s="113">
        <v>21.3385</v>
      </c>
      <c r="G24" s="113">
        <v>40.302100000000003</v>
      </c>
      <c r="H24" s="113">
        <v>48.010399999999997</v>
      </c>
      <c r="I24" s="113">
        <v>-121.03</v>
      </c>
    </row>
    <row r="25" spans="2:18" s="20" customFormat="1">
      <c r="B25" s="72" t="s">
        <v>565</v>
      </c>
      <c r="C25" s="113">
        <v>0</v>
      </c>
      <c r="D25" s="113">
        <v>0</v>
      </c>
      <c r="E25" s="113">
        <v>3.7015000000000002</v>
      </c>
      <c r="F25" s="113">
        <v>10.740900000000002</v>
      </c>
      <c r="G25" s="113">
        <v>4.226</v>
      </c>
      <c r="H25" s="113">
        <v>8.1553000000000004</v>
      </c>
      <c r="I25" s="113">
        <v>25.4</v>
      </c>
      <c r="K25" s="121"/>
    </row>
    <row r="26" spans="2:18" s="20" customFormat="1">
      <c r="B26" s="20" t="s">
        <v>236</v>
      </c>
      <c r="C26" s="110">
        <v>932.7270999999995</v>
      </c>
      <c r="D26" s="110">
        <v>1610.7018000000003</v>
      </c>
      <c r="E26" s="110">
        <f>SUM(E8:E25)</f>
        <v>1684.8477999999991</v>
      </c>
      <c r="F26" s="110">
        <f t="shared" ref="F26" si="1">SUM(F8:F25)</f>
        <v>2004.9295000000009</v>
      </c>
      <c r="G26" s="110">
        <f t="shared" ref="G26" si="2">SUM(G8:G25)</f>
        <v>1968.8130000000008</v>
      </c>
      <c r="H26" s="110">
        <f t="shared" ref="H26" si="3">SUM(H8:H25)</f>
        <v>2611.1208000000001</v>
      </c>
      <c r="I26" s="110">
        <f t="shared" ref="I26" si="4">SUM(I8:I25)</f>
        <v>3126.0000000000005</v>
      </c>
      <c r="K26" s="110"/>
    </row>
    <row r="27" spans="2:18">
      <c r="C27" s="113"/>
      <c r="D27" s="113"/>
      <c r="E27" s="113"/>
      <c r="F27" s="113"/>
      <c r="G27" s="113"/>
      <c r="H27" s="113"/>
      <c r="I27" s="115"/>
      <c r="K27" s="134"/>
      <c r="L27" s="113"/>
    </row>
    <row r="28" spans="2:18">
      <c r="B28" s="20" t="s">
        <v>237</v>
      </c>
      <c r="C28" s="113"/>
      <c r="D28" s="113"/>
      <c r="E28" s="113"/>
      <c r="F28" s="113"/>
      <c r="G28" s="113"/>
      <c r="H28" s="113"/>
      <c r="K28" s="134"/>
    </row>
    <row r="29" spans="2:18">
      <c r="B29" s="122" t="s">
        <v>238</v>
      </c>
      <c r="C29" s="113">
        <v>70.322600000000008</v>
      </c>
      <c r="D29" s="113">
        <v>-308.83069999999998</v>
      </c>
      <c r="E29" s="113">
        <v>198.87349999999998</v>
      </c>
      <c r="F29" s="113">
        <v>-65.952700000000007</v>
      </c>
      <c r="G29" s="113">
        <v>-205.31479999999999</v>
      </c>
      <c r="H29" s="113">
        <v>-289.91020000000003</v>
      </c>
      <c r="I29" s="113">
        <v>-123.55</v>
      </c>
    </row>
    <row r="30" spans="2:18">
      <c r="B30" s="122" t="s">
        <v>198</v>
      </c>
      <c r="C30" s="113">
        <v>-30.495100000000001</v>
      </c>
      <c r="D30" s="113">
        <v>-78.149200000000008</v>
      </c>
      <c r="E30" s="113">
        <v>-284.40319999999997</v>
      </c>
      <c r="F30" s="113">
        <v>-576.70040000000006</v>
      </c>
      <c r="G30" s="113">
        <v>261.7799</v>
      </c>
      <c r="H30" s="113">
        <v>-55.003</v>
      </c>
      <c r="I30" s="113">
        <v>-220.7</v>
      </c>
    </row>
    <row r="31" spans="2:18">
      <c r="B31" s="122" t="s">
        <v>239</v>
      </c>
      <c r="C31" s="113">
        <v>-7.9603000000000002</v>
      </c>
      <c r="D31" s="113">
        <v>-4.8062000000000005</v>
      </c>
      <c r="E31" s="113">
        <v>2.9969000000000001</v>
      </c>
      <c r="F31" s="113">
        <v>13.3911</v>
      </c>
      <c r="G31" s="113">
        <v>-129.29750000000001</v>
      </c>
      <c r="H31" s="113">
        <v>113.34270000000001</v>
      </c>
      <c r="I31" s="113">
        <v>28.23</v>
      </c>
    </row>
    <row r="32" spans="2:18">
      <c r="B32" s="122" t="s">
        <v>240</v>
      </c>
      <c r="C32" s="113">
        <v>-37.962699999999998</v>
      </c>
      <c r="D32" s="113">
        <v>-130.39230000000001</v>
      </c>
      <c r="E32" s="113">
        <v>-94.308300000000003</v>
      </c>
      <c r="F32" s="113">
        <v>-605.59120000000007</v>
      </c>
      <c r="G32" s="113">
        <v>296</v>
      </c>
      <c r="H32" s="113">
        <v>5.2229999999999999</v>
      </c>
      <c r="I32" s="113">
        <v>-125.37</v>
      </c>
    </row>
    <row r="33" spans="1:9">
      <c r="B33" s="122" t="s">
        <v>212</v>
      </c>
      <c r="C33" s="113">
        <v>55.023100000000007</v>
      </c>
      <c r="D33" s="113">
        <v>117.8946</v>
      </c>
      <c r="E33" s="113">
        <v>29.932300000000001</v>
      </c>
      <c r="F33" s="113">
        <v>36.8917</v>
      </c>
      <c r="G33" s="113">
        <v>53.2074</v>
      </c>
      <c r="H33" s="113">
        <v>95.685699999999997</v>
      </c>
      <c r="I33" s="113">
        <v>174.29</v>
      </c>
    </row>
    <row r="34" spans="1:9">
      <c r="B34" s="122" t="s">
        <v>241</v>
      </c>
      <c r="C34" s="113">
        <v>-74.833100000000002</v>
      </c>
      <c r="D34" s="113">
        <v>183.14109999999999</v>
      </c>
      <c r="E34" s="113">
        <f>-78.1507-29</f>
        <v>-107.1507</v>
      </c>
      <c r="F34" s="113">
        <v>419.84910000000002</v>
      </c>
      <c r="G34" s="113">
        <v>-65.019300000000001</v>
      </c>
      <c r="H34" s="113">
        <v>97.452099999999987</v>
      </c>
      <c r="I34" s="113">
        <v>-146.04</v>
      </c>
    </row>
    <row r="35" spans="1:9">
      <c r="B35" s="122" t="s">
        <v>242</v>
      </c>
      <c r="C35" s="113">
        <v>-8.6227</v>
      </c>
      <c r="D35" s="113">
        <v>53.345500000000001</v>
      </c>
      <c r="E35" s="113">
        <v>85.436399999999992</v>
      </c>
      <c r="F35" s="113">
        <v>18.994399999999999</v>
      </c>
      <c r="G35" s="113">
        <v>16.210999999999999</v>
      </c>
      <c r="H35" s="113">
        <v>2.6993999999999998</v>
      </c>
      <c r="I35" s="113">
        <v>160.25</v>
      </c>
    </row>
    <row r="36" spans="1:9">
      <c r="B36" s="122" t="s">
        <v>243</v>
      </c>
      <c r="C36" s="113">
        <v>24.789000000000001</v>
      </c>
      <c r="D36" s="113">
        <v>52.161499999999997</v>
      </c>
      <c r="E36" s="113">
        <v>74.593900000000005</v>
      </c>
      <c r="F36" s="113">
        <v>172.9973</v>
      </c>
      <c r="G36" s="113">
        <v>-60.399300000000004</v>
      </c>
      <c r="H36" s="113">
        <v>50.926200000000001</v>
      </c>
      <c r="I36" s="113">
        <v>106.47</v>
      </c>
    </row>
    <row r="37" spans="1:9">
      <c r="B37" s="20" t="s">
        <v>244</v>
      </c>
      <c r="C37" s="110">
        <f>SUM(C26:C36)</f>
        <v>922.98789999999951</v>
      </c>
      <c r="D37" s="110">
        <f t="shared" ref="D37:I37" si="5">SUM(D26:D36)</f>
        <v>1495.0661000000002</v>
      </c>
      <c r="E37" s="110">
        <f t="shared" si="5"/>
        <v>1590.8185999999994</v>
      </c>
      <c r="F37" s="110">
        <f t="shared" si="5"/>
        <v>1418.8088000000007</v>
      </c>
      <c r="G37" s="110">
        <f t="shared" si="5"/>
        <v>2135.9804000000004</v>
      </c>
      <c r="H37" s="110">
        <f t="shared" si="5"/>
        <v>2631.5367000000001</v>
      </c>
      <c r="I37" s="110">
        <f t="shared" si="5"/>
        <v>2979.5800000000004</v>
      </c>
    </row>
    <row r="38" spans="1:9">
      <c r="B38" t="s">
        <v>245</v>
      </c>
      <c r="C38" s="113">
        <v>-341.84120000000001</v>
      </c>
      <c r="D38" s="113">
        <v>-330.91149999999999</v>
      </c>
      <c r="E38" s="113">
        <v>-454.07499999999999</v>
      </c>
      <c r="F38" s="113">
        <v>-499.50830000000002</v>
      </c>
      <c r="G38" s="113">
        <v>-323.0967</v>
      </c>
      <c r="H38" s="113">
        <v>-479.53379999999999</v>
      </c>
      <c r="I38" s="113">
        <v>-566.75</v>
      </c>
    </row>
    <row r="39" spans="1:9">
      <c r="B39" s="20" t="s">
        <v>246</v>
      </c>
      <c r="C39" s="110">
        <f>SUM(C37:C38)</f>
        <v>581.14669999999956</v>
      </c>
      <c r="D39" s="110">
        <f t="shared" ref="D39:I39" si="6">SUM(D37:D38)</f>
        <v>1164.1546000000003</v>
      </c>
      <c r="E39" s="110">
        <f t="shared" si="6"/>
        <v>1136.7435999999993</v>
      </c>
      <c r="F39" s="110">
        <f t="shared" si="6"/>
        <v>919.30050000000074</v>
      </c>
      <c r="G39" s="110">
        <f t="shared" si="6"/>
        <v>1812.8837000000003</v>
      </c>
      <c r="H39" s="110">
        <f t="shared" si="6"/>
        <v>2152.0029</v>
      </c>
      <c r="I39" s="110">
        <f t="shared" si="6"/>
        <v>2412.8300000000004</v>
      </c>
    </row>
    <row r="40" spans="1:9">
      <c r="C40" s="113"/>
      <c r="D40" s="113"/>
      <c r="E40" s="113"/>
      <c r="F40" s="113"/>
      <c r="G40" s="113"/>
      <c r="H40" s="113"/>
    </row>
    <row r="41" spans="1:9">
      <c r="A41" s="120" t="s">
        <v>23</v>
      </c>
      <c r="B41" s="20" t="s">
        <v>247</v>
      </c>
      <c r="C41" s="113"/>
      <c r="D41" s="113"/>
      <c r="E41" s="113"/>
      <c r="F41" s="113"/>
      <c r="G41" s="113"/>
      <c r="H41" s="113"/>
    </row>
    <row r="42" spans="1:9">
      <c r="B42" t="s">
        <v>248</v>
      </c>
      <c r="C42" s="113">
        <v>58.889499999999998</v>
      </c>
      <c r="D42" s="113">
        <v>11.2424</v>
      </c>
      <c r="E42" s="113">
        <v>0.74250000000000005</v>
      </c>
      <c r="F42" s="113">
        <v>3.1463999999999999</v>
      </c>
      <c r="G42" s="113">
        <v>6.0478999999999994</v>
      </c>
      <c r="H42" s="113">
        <v>7.5070000000000006</v>
      </c>
      <c r="I42" s="135">
        <v>12</v>
      </c>
    </row>
    <row r="43" spans="1:9">
      <c r="B43" t="s">
        <v>249</v>
      </c>
      <c r="C43" s="113">
        <v>-297.67520000000002</v>
      </c>
      <c r="D43" s="113">
        <v>-227.96979999999999</v>
      </c>
      <c r="E43" s="113">
        <v>-308.42840000000001</v>
      </c>
      <c r="F43" s="113">
        <v>-464.86440000000005</v>
      </c>
      <c r="G43" s="113">
        <v>-789.02050000000008</v>
      </c>
      <c r="H43" s="113">
        <v>-315.33349999999996</v>
      </c>
      <c r="I43" s="135">
        <v>-461</v>
      </c>
    </row>
    <row r="44" spans="1:9">
      <c r="B44" t="s">
        <v>250</v>
      </c>
      <c r="C44" s="113">
        <v>0</v>
      </c>
      <c r="D44" s="113">
        <v>0</v>
      </c>
      <c r="E44" s="113">
        <v>0</v>
      </c>
      <c r="F44" s="113">
        <v>0</v>
      </c>
      <c r="G44" s="113">
        <v>0</v>
      </c>
      <c r="H44" s="113">
        <v>-6.8744000000000005</v>
      </c>
      <c r="I44" s="135">
        <v>-11</v>
      </c>
    </row>
    <row r="45" spans="1:9">
      <c r="B45" t="s">
        <v>251</v>
      </c>
      <c r="C45" s="113">
        <v>55.145299999999999</v>
      </c>
      <c r="D45" s="113">
        <v>-86.702299999999994</v>
      </c>
      <c r="E45" s="113">
        <v>-623.27670000000001</v>
      </c>
      <c r="F45" s="113">
        <v>519.14550000000008</v>
      </c>
      <c r="G45" s="113">
        <v>-165.34770000000003</v>
      </c>
      <c r="H45" s="113">
        <v>-1047.2855999999999</v>
      </c>
      <c r="I45" s="135">
        <v>728.11</v>
      </c>
    </row>
    <row r="46" spans="1:9">
      <c r="B46" t="s">
        <v>252</v>
      </c>
      <c r="C46" s="113">
        <v>0</v>
      </c>
      <c r="D46" s="113">
        <v>0</v>
      </c>
      <c r="E46" s="113">
        <v>0</v>
      </c>
      <c r="F46" s="113">
        <v>-1863.65</v>
      </c>
      <c r="G46" s="113">
        <v>-43.048500000000004</v>
      </c>
      <c r="H46" s="113">
        <v>-67.003299999999996</v>
      </c>
      <c r="I46" s="135">
        <v>-59</v>
      </c>
    </row>
    <row r="47" spans="1:9">
      <c r="B47" t="s">
        <v>253</v>
      </c>
      <c r="C47" s="113">
        <v>0</v>
      </c>
      <c r="D47" s="113">
        <v>0</v>
      </c>
      <c r="E47" s="113">
        <v>0</v>
      </c>
      <c r="F47" s="113">
        <v>-27</v>
      </c>
      <c r="G47" s="113">
        <v>-20.077000000000002</v>
      </c>
      <c r="H47" s="113">
        <v>-31.3338</v>
      </c>
      <c r="I47" s="135">
        <v>-21</v>
      </c>
    </row>
    <row r="48" spans="1:9">
      <c r="B48" t="s">
        <v>254</v>
      </c>
      <c r="C48" s="113">
        <v>-20.395399999999999</v>
      </c>
      <c r="D48" s="113">
        <v>-169.18090000000001</v>
      </c>
      <c r="E48" s="113">
        <v>-339.75779999999997</v>
      </c>
      <c r="F48" s="113">
        <v>430.15300000000002</v>
      </c>
      <c r="G48" s="113">
        <v>-44.9711</v>
      </c>
      <c r="H48" s="113">
        <v>-667.58580000000006</v>
      </c>
      <c r="I48" s="135">
        <v>188.34</v>
      </c>
    </row>
    <row r="49" spans="1:9">
      <c r="B49" t="s">
        <v>255</v>
      </c>
      <c r="C49" s="113">
        <v>-245.05020000000002</v>
      </c>
      <c r="D49" s="113">
        <v>0</v>
      </c>
      <c r="E49" s="113">
        <v>0</v>
      </c>
      <c r="F49" s="113">
        <v>0</v>
      </c>
      <c r="G49" s="113">
        <v>-3.8273000000000001</v>
      </c>
      <c r="H49" s="113">
        <v>0</v>
      </c>
      <c r="I49" s="135">
        <v>-13136</v>
      </c>
    </row>
    <row r="50" spans="1:9">
      <c r="B50" t="s">
        <v>256</v>
      </c>
      <c r="C50" s="113">
        <v>-0.96140000000000003</v>
      </c>
      <c r="D50" s="113">
        <v>5.2972000000000001</v>
      </c>
      <c r="E50" s="113">
        <v>10.270099999999999</v>
      </c>
      <c r="F50" s="113">
        <v>20.744199999999999</v>
      </c>
      <c r="G50" s="113">
        <v>-6.2441999999999993</v>
      </c>
      <c r="H50" s="113">
        <v>7.3951000000000002</v>
      </c>
      <c r="I50" s="135">
        <v>5.63</v>
      </c>
    </row>
    <row r="51" spans="1:9">
      <c r="B51" t="s">
        <v>257</v>
      </c>
      <c r="C51" s="113">
        <v>5.6109</v>
      </c>
      <c r="D51" s="113">
        <v>12.895099999999999</v>
      </c>
      <c r="E51" s="113">
        <v>38.302399999999999</v>
      </c>
      <c r="F51" s="113">
        <v>12.923399999999999</v>
      </c>
      <c r="G51" s="113">
        <v>12.764000000000001</v>
      </c>
      <c r="H51" s="113">
        <v>40.051000000000002</v>
      </c>
      <c r="I51" s="135">
        <v>67.91</v>
      </c>
    </row>
    <row r="52" spans="1:9">
      <c r="B52" s="20" t="s">
        <v>258</v>
      </c>
      <c r="C52" s="110">
        <f t="shared" ref="C52:I52" si="7">SUM(C42:C51)</f>
        <v>-444.43650000000002</v>
      </c>
      <c r="D52" s="110">
        <f t="shared" si="7"/>
        <v>-454.41829999999999</v>
      </c>
      <c r="E52" s="110">
        <f t="shared" si="7"/>
        <v>-1222.1479000000002</v>
      </c>
      <c r="F52" s="110">
        <f t="shared" si="7"/>
        <v>-1369.4019000000001</v>
      </c>
      <c r="G52" s="110">
        <f t="shared" si="7"/>
        <v>-1053.7244000000003</v>
      </c>
      <c r="H52" s="110">
        <f t="shared" si="7"/>
        <v>-2080.4633000000003</v>
      </c>
      <c r="I52" s="236">
        <f t="shared" si="7"/>
        <v>-12686.01</v>
      </c>
    </row>
    <row r="53" spans="1:9">
      <c r="C53" s="113"/>
      <c r="D53" s="113"/>
      <c r="E53" s="113"/>
      <c r="F53" s="113"/>
      <c r="G53" s="113"/>
      <c r="H53" s="113"/>
      <c r="I53" s="113"/>
    </row>
    <row r="54" spans="1:9">
      <c r="A54" s="120" t="s">
        <v>23</v>
      </c>
      <c r="B54" s="20" t="s">
        <v>259</v>
      </c>
      <c r="C54" s="113"/>
      <c r="D54" s="113"/>
      <c r="E54" s="113"/>
      <c r="F54" s="113"/>
      <c r="G54" s="113"/>
      <c r="H54" s="113"/>
    </row>
    <row r="55" spans="1:9">
      <c r="A55" s="120"/>
      <c r="B55" t="s">
        <v>579</v>
      </c>
      <c r="C55" s="113"/>
      <c r="D55" s="113"/>
      <c r="E55" s="113"/>
      <c r="F55" s="113"/>
      <c r="G55" s="113"/>
      <c r="H55" s="113"/>
      <c r="I55">
        <v>2966</v>
      </c>
    </row>
    <row r="56" spans="1:9">
      <c r="B56" t="s">
        <v>260</v>
      </c>
      <c r="C56" s="113">
        <v>-44.9696</v>
      </c>
      <c r="D56" s="113">
        <v>-21.971799999999998</v>
      </c>
      <c r="E56" s="113">
        <v>-16.773</v>
      </c>
      <c r="F56" s="113">
        <v>-17.306899999999999</v>
      </c>
      <c r="G56" s="113">
        <v>-41.481899999999996</v>
      </c>
      <c r="H56" s="113">
        <v>-25.388500000000001</v>
      </c>
      <c r="I56" s="113">
        <v>-97</v>
      </c>
    </row>
    <row r="57" spans="1:9">
      <c r="B57" t="s">
        <v>261</v>
      </c>
      <c r="C57" s="113">
        <v>10.9697</v>
      </c>
      <c r="D57" s="113">
        <v>13.879200000000001</v>
      </c>
      <c r="E57" s="113">
        <v>126.78229999999999</v>
      </c>
      <c r="F57" s="113">
        <v>1272.3271</v>
      </c>
      <c r="G57" s="113">
        <v>1094.7348</v>
      </c>
      <c r="H57" s="113">
        <v>374.61239999999998</v>
      </c>
      <c r="I57" s="113">
        <v>6567.21</v>
      </c>
    </row>
    <row r="58" spans="1:9">
      <c r="B58" t="s">
        <v>262</v>
      </c>
      <c r="C58" s="113">
        <v>352.94529999999997</v>
      </c>
      <c r="D58" s="113">
        <v>36.601100000000002</v>
      </c>
      <c r="E58" s="113">
        <v>452.15809999999999</v>
      </c>
      <c r="F58" s="113">
        <v>5.8595000000000006</v>
      </c>
      <c r="G58" s="113">
        <v>3.8451</v>
      </c>
      <c r="H58" s="113">
        <v>26.092500000000001</v>
      </c>
      <c r="I58" s="113">
        <v>5889.07</v>
      </c>
    </row>
    <row r="59" spans="1:9">
      <c r="B59" t="s">
        <v>263</v>
      </c>
      <c r="C59" s="113">
        <v>-187.48220000000001</v>
      </c>
      <c r="D59" s="113">
        <v>-211.06310000000002</v>
      </c>
      <c r="E59" s="113">
        <v>-17.697600000000001</v>
      </c>
      <c r="F59" s="113">
        <v>-645.35059999999999</v>
      </c>
      <c r="G59" s="113">
        <v>-1764.152</v>
      </c>
      <c r="H59" s="113">
        <v>-339.80919999999998</v>
      </c>
      <c r="I59" s="113">
        <v>-4501.93</v>
      </c>
    </row>
    <row r="60" spans="1:9">
      <c r="B60" t="s">
        <v>264</v>
      </c>
      <c r="C60" s="113">
        <v>-330.529</v>
      </c>
      <c r="D60" s="113">
        <v>-3.5202999999999998</v>
      </c>
      <c r="E60" s="113">
        <v>-450.76499999999999</v>
      </c>
      <c r="F60" s="113">
        <v>-8.5906000000000002</v>
      </c>
      <c r="G60" s="113">
        <v>-29.671100000000003</v>
      </c>
      <c r="H60" s="113">
        <v>-26.931899999999999</v>
      </c>
      <c r="I60" s="113">
        <v>-593.14</v>
      </c>
    </row>
    <row r="61" spans="1:9">
      <c r="B61" t="s">
        <v>265</v>
      </c>
      <c r="C61" s="113">
        <v>0</v>
      </c>
      <c r="D61" s="113">
        <v>-1.0688</v>
      </c>
      <c r="E61" s="113">
        <v>-1.1261000000000001</v>
      </c>
      <c r="F61" s="113">
        <v>-1.8384</v>
      </c>
      <c r="G61" s="113">
        <v>-2.5537999999999998</v>
      </c>
      <c r="H61" s="113">
        <v>-2.5246</v>
      </c>
      <c r="I61" s="113">
        <v>10.75</v>
      </c>
    </row>
    <row r="62" spans="1:9">
      <c r="B62" t="s">
        <v>266</v>
      </c>
      <c r="C62" s="113">
        <v>0</v>
      </c>
      <c r="D62" s="113">
        <v>0</v>
      </c>
      <c r="E62" s="113">
        <v>-0.3271</v>
      </c>
      <c r="F62" s="113">
        <v>-0.47950000000000004</v>
      </c>
      <c r="G62" s="113">
        <v>-0.44920000000000004</v>
      </c>
      <c r="H62" s="113">
        <v>-0.78510000000000002</v>
      </c>
      <c r="I62" s="113">
        <v>-1.43</v>
      </c>
    </row>
    <row r="63" spans="1:9">
      <c r="B63" t="s">
        <v>402</v>
      </c>
      <c r="C63" s="113"/>
      <c r="D63" s="113"/>
      <c r="E63" s="113">
        <v>-100</v>
      </c>
      <c r="F63" s="113">
        <v>0</v>
      </c>
      <c r="G63" s="113">
        <v>0</v>
      </c>
      <c r="H63" s="113">
        <v>0</v>
      </c>
      <c r="I63" s="113">
        <v>0</v>
      </c>
    </row>
    <row r="64" spans="1:9" s="20" customFormat="1">
      <c r="B64" s="20" t="s">
        <v>267</v>
      </c>
      <c r="C64" s="110">
        <f>SUM(C56:C62)</f>
        <v>-199.06580000000005</v>
      </c>
      <c r="D64" s="110">
        <f>SUM(D56:D62)</f>
        <v>-187.14370000000002</v>
      </c>
      <c r="E64" s="110">
        <f>SUM(E56:E63)</f>
        <v>-7.7483999999999043</v>
      </c>
      <c r="F64" s="110">
        <f>SUM(F56:F63)</f>
        <v>604.62059999999997</v>
      </c>
      <c r="G64" s="110">
        <f>SUM(G56:G62)</f>
        <v>-739.72810000000015</v>
      </c>
      <c r="H64" s="110">
        <f>SUM(H56:H62)</f>
        <v>5.2655999999999565</v>
      </c>
      <c r="I64" s="110">
        <f>SUM(I55:I62)</f>
        <v>10239.529999999999</v>
      </c>
    </row>
    <row r="65" spans="2:9">
      <c r="C65" s="113"/>
      <c r="D65" s="113"/>
      <c r="E65" s="113"/>
      <c r="F65" s="113"/>
      <c r="G65" s="113"/>
      <c r="H65" s="113"/>
      <c r="I65" s="113"/>
    </row>
    <row r="66" spans="2:9">
      <c r="C66" s="113"/>
      <c r="D66" s="113"/>
      <c r="E66" s="113"/>
      <c r="F66" s="113"/>
      <c r="G66" s="113"/>
      <c r="H66" s="113"/>
      <c r="I66" s="113"/>
    </row>
    <row r="67" spans="2:9">
      <c r="B67" s="20" t="s">
        <v>581</v>
      </c>
      <c r="C67" s="113">
        <v>135.53559999999999</v>
      </c>
      <c r="D67" s="113">
        <v>116.39030000000001</v>
      </c>
      <c r="E67" s="113">
        <f>D71</f>
        <v>220.1266</v>
      </c>
      <c r="F67" s="113">
        <f>E71</f>
        <v>126.97389999999922</v>
      </c>
      <c r="G67" s="113">
        <f t="shared" ref="G67" si="8">F71</f>
        <v>285.49309999999986</v>
      </c>
      <c r="H67" s="113">
        <f t="shared" ref="H67" si="9">G71</f>
        <v>307.23429999999985</v>
      </c>
      <c r="I67" s="113">
        <f t="shared" ref="I67" si="10">H71</f>
        <v>385.19949999999966</v>
      </c>
    </row>
    <row r="68" spans="2:9">
      <c r="B68" t="s">
        <v>268</v>
      </c>
      <c r="C68" s="113">
        <v>-71.967299999999994</v>
      </c>
      <c r="D68" s="113">
        <v>106.08149999999999</v>
      </c>
      <c r="E68" s="113">
        <f>E64+E52+E39</f>
        <v>-93.152700000000777</v>
      </c>
      <c r="F68" s="113">
        <f t="shared" ref="F68:I68" si="11">F64+F52+F39</f>
        <v>154.51920000000064</v>
      </c>
      <c r="G68" s="113">
        <f t="shared" si="11"/>
        <v>19.43119999999999</v>
      </c>
      <c r="H68" s="113">
        <f t="shared" si="11"/>
        <v>76.805199999999786</v>
      </c>
      <c r="I68" s="113">
        <f t="shared" si="11"/>
        <v>-33.650000000001</v>
      </c>
    </row>
    <row r="69" spans="2:9">
      <c r="B69" t="s">
        <v>580</v>
      </c>
      <c r="C69" s="113"/>
      <c r="D69" s="113">
        <v>4</v>
      </c>
      <c r="E69" s="113">
        <v>0</v>
      </c>
      <c r="F69" s="113">
        <v>4</v>
      </c>
      <c r="G69" s="113">
        <v>2.31</v>
      </c>
      <c r="H69" s="113">
        <v>1.1599999999999999</v>
      </c>
      <c r="I69" s="113">
        <v>-8</v>
      </c>
    </row>
    <row r="70" spans="2:9">
      <c r="B70" t="s">
        <v>269</v>
      </c>
      <c r="C70" s="113">
        <v>52.846000000000004</v>
      </c>
      <c r="D70" s="113">
        <v>-6.3452000000000046</v>
      </c>
      <c r="E70" s="113">
        <v>0</v>
      </c>
      <c r="F70" s="113">
        <v>0</v>
      </c>
      <c r="G70" s="113">
        <v>0</v>
      </c>
      <c r="H70" s="113">
        <v>0</v>
      </c>
      <c r="I70" s="113">
        <v>66.97</v>
      </c>
    </row>
    <row r="71" spans="2:9">
      <c r="B71" s="20" t="s">
        <v>270</v>
      </c>
      <c r="C71" s="110">
        <f>SUM(C67:C67)</f>
        <v>135.53559999999999</v>
      </c>
      <c r="D71" s="110">
        <f>SUM(D67:D70)</f>
        <v>220.1266</v>
      </c>
      <c r="E71" s="110">
        <f>SUM(E67:E70)</f>
        <v>126.97389999999922</v>
      </c>
      <c r="F71" s="110">
        <f>SUM(F67:F70)</f>
        <v>285.49309999999986</v>
      </c>
      <c r="G71" s="110">
        <f t="shared" ref="G71:I71" si="12">SUM(G67:G70)</f>
        <v>307.23429999999985</v>
      </c>
      <c r="H71" s="110">
        <f t="shared" si="12"/>
        <v>385.19949999999966</v>
      </c>
      <c r="I71" s="110">
        <f t="shared" si="12"/>
        <v>410.51949999999863</v>
      </c>
    </row>
    <row r="72" spans="2:9">
      <c r="C72" s="113"/>
      <c r="D72" s="113"/>
      <c r="E72" s="113"/>
      <c r="F72" s="113"/>
      <c r="G72" s="113"/>
      <c r="H72" s="113"/>
      <c r="I72" s="113"/>
    </row>
  </sheetData>
  <sheetProtection sheet="1" objects="1" scenarios="1" selectLockedCells="1"/>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61"/>
  <sheetViews>
    <sheetView showGridLines="0" workbookViewId="0">
      <selection activeCell="A4" sqref="A4"/>
    </sheetView>
  </sheetViews>
  <sheetFormatPr defaultRowHeight="14.4"/>
  <cols>
    <col min="1" max="1" width="7.5546875" customWidth="1"/>
    <col min="3" max="3" width="27.21875" bestFit="1" customWidth="1"/>
    <col min="4" max="4" width="22.88671875" bestFit="1" customWidth="1"/>
    <col min="5" max="5" width="16" customWidth="1"/>
    <col min="6" max="6" width="27.44140625" customWidth="1"/>
    <col min="7" max="7" width="25.88671875" customWidth="1"/>
    <col min="8" max="8" width="32" bestFit="1" customWidth="1"/>
    <col min="9" max="9" width="10" bestFit="1" customWidth="1"/>
    <col min="10" max="10" width="9" bestFit="1" customWidth="1"/>
    <col min="11" max="11" width="9.109375" bestFit="1" customWidth="1"/>
    <col min="13" max="13" width="25.77734375" bestFit="1" customWidth="1"/>
    <col min="14" max="14" width="10" bestFit="1" customWidth="1"/>
    <col min="15" max="15" width="9" bestFit="1" customWidth="1"/>
    <col min="16" max="16" width="7.88671875" bestFit="1" customWidth="1"/>
  </cols>
  <sheetData>
    <row r="1" spans="1:16">
      <c r="A1" s="318" t="s">
        <v>866</v>
      </c>
      <c r="B1" s="319" t="s">
        <v>867</v>
      </c>
    </row>
    <row r="2" spans="1:16">
      <c r="A2" s="318"/>
      <c r="B2" s="319"/>
    </row>
    <row r="3" spans="1:16">
      <c r="C3" s="20" t="s">
        <v>869</v>
      </c>
      <c r="H3" s="20" t="s">
        <v>870</v>
      </c>
    </row>
    <row r="4" spans="1:16">
      <c r="A4" s="544"/>
      <c r="C4" s="108" t="s">
        <v>666</v>
      </c>
      <c r="D4" s="108" t="s">
        <v>677</v>
      </c>
      <c r="E4" s="108" t="s">
        <v>678</v>
      </c>
      <c r="F4" s="108" t="s">
        <v>679</v>
      </c>
      <c r="H4" s="108" t="s">
        <v>871</v>
      </c>
      <c r="I4" s="321"/>
      <c r="J4" s="321"/>
      <c r="K4" s="321"/>
      <c r="M4" s="108" t="s">
        <v>892</v>
      </c>
      <c r="N4" s="328"/>
      <c r="O4" s="328"/>
      <c r="P4" s="328"/>
    </row>
    <row r="5" spans="1:16">
      <c r="C5" t="s">
        <v>773</v>
      </c>
      <c r="D5" t="s">
        <v>709</v>
      </c>
      <c r="E5" t="s">
        <v>697</v>
      </c>
      <c r="F5" s="137">
        <v>2.1600000000000001E-2</v>
      </c>
      <c r="H5" s="322" t="s">
        <v>872</v>
      </c>
      <c r="I5" s="322"/>
      <c r="J5" s="323"/>
      <c r="K5" s="323"/>
      <c r="M5" s="542" t="s">
        <v>872</v>
      </c>
      <c r="N5" s="543"/>
      <c r="O5" s="325"/>
      <c r="P5" s="325"/>
    </row>
    <row r="6" spans="1:16">
      <c r="C6" t="s">
        <v>859</v>
      </c>
      <c r="D6" t="s">
        <v>687</v>
      </c>
      <c r="E6" t="s">
        <v>714</v>
      </c>
      <c r="F6" s="137">
        <v>5.8999999999999999E-3</v>
      </c>
      <c r="H6" s="324" t="s">
        <v>873</v>
      </c>
      <c r="I6" s="324" t="s">
        <v>874</v>
      </c>
      <c r="J6" s="324" t="s">
        <v>875</v>
      </c>
      <c r="K6" s="324" t="s">
        <v>876</v>
      </c>
      <c r="M6" s="325" t="s">
        <v>893</v>
      </c>
      <c r="N6" s="325" t="s">
        <v>874</v>
      </c>
      <c r="O6" s="325" t="s">
        <v>875</v>
      </c>
      <c r="P6" s="325" t="s">
        <v>876</v>
      </c>
    </row>
    <row r="7" spans="1:16">
      <c r="C7" t="s">
        <v>860</v>
      </c>
      <c r="D7" t="s">
        <v>732</v>
      </c>
      <c r="E7" t="s">
        <v>702</v>
      </c>
      <c r="F7" s="137">
        <v>2.7000000000000001E-3</v>
      </c>
      <c r="H7" s="325">
        <v>-100000</v>
      </c>
      <c r="I7" s="325">
        <v>0.19999900000000001</v>
      </c>
      <c r="J7" s="325" t="s">
        <v>877</v>
      </c>
      <c r="K7" s="327">
        <v>0.19</v>
      </c>
      <c r="M7" s="325">
        <v>-100000</v>
      </c>
      <c r="N7" s="325">
        <v>0.49999900000000003</v>
      </c>
      <c r="O7" s="325" t="s">
        <v>877</v>
      </c>
      <c r="P7" s="327">
        <v>0.19</v>
      </c>
    </row>
    <row r="8" spans="1:16">
      <c r="C8" t="s">
        <v>680</v>
      </c>
      <c r="D8" t="s">
        <v>681</v>
      </c>
      <c r="E8" t="s">
        <v>682</v>
      </c>
      <c r="F8" s="137">
        <v>4.8999999999999998E-3</v>
      </c>
      <c r="H8" s="325">
        <v>0.2</v>
      </c>
      <c r="I8" s="325">
        <v>0.64999899999999999</v>
      </c>
      <c r="J8" s="325" t="s">
        <v>878</v>
      </c>
      <c r="K8" s="327">
        <v>0.155</v>
      </c>
      <c r="M8" s="325">
        <v>0.5</v>
      </c>
      <c r="N8" s="325">
        <v>0.79999900000000002</v>
      </c>
      <c r="O8" s="325" t="s">
        <v>878</v>
      </c>
      <c r="P8" s="327">
        <v>0.155</v>
      </c>
    </row>
    <row r="9" spans="1:16">
      <c r="C9" t="s">
        <v>683</v>
      </c>
      <c r="D9" t="s">
        <v>684</v>
      </c>
      <c r="E9" t="s">
        <v>685</v>
      </c>
      <c r="F9" s="137">
        <v>3.5400000000000001E-2</v>
      </c>
      <c r="H9" s="325">
        <v>0.65</v>
      </c>
      <c r="I9" s="325">
        <v>0.79999900000000002</v>
      </c>
      <c r="J9" s="325" t="s">
        <v>879</v>
      </c>
      <c r="K9" s="327">
        <v>0.10100000000000001</v>
      </c>
      <c r="M9" s="325">
        <v>0.8</v>
      </c>
      <c r="N9" s="325">
        <v>1.2499990000000001</v>
      </c>
      <c r="O9" s="325" t="s">
        <v>879</v>
      </c>
      <c r="P9" s="327">
        <v>0.10100000000000001</v>
      </c>
    </row>
    <row r="10" spans="1:16">
      <c r="C10" t="s">
        <v>686</v>
      </c>
      <c r="D10" t="s">
        <v>687</v>
      </c>
      <c r="E10" t="s">
        <v>688</v>
      </c>
      <c r="F10" s="137">
        <v>1.5699999999999999E-2</v>
      </c>
      <c r="H10" s="325">
        <v>0.8</v>
      </c>
      <c r="I10" s="325">
        <v>1.2499990000000001</v>
      </c>
      <c r="J10" s="325" t="s">
        <v>880</v>
      </c>
      <c r="K10" s="327">
        <v>7.2800000000000004E-2</v>
      </c>
      <c r="M10" s="325">
        <v>1.25</v>
      </c>
      <c r="N10" s="325">
        <v>1.4999990000000001</v>
      </c>
      <c r="O10" s="325" t="s">
        <v>880</v>
      </c>
      <c r="P10" s="327">
        <v>7.2800000000000004E-2</v>
      </c>
    </row>
    <row r="11" spans="1:16">
      <c r="C11" t="s">
        <v>689</v>
      </c>
      <c r="D11" t="s">
        <v>677</v>
      </c>
      <c r="E11" t="s">
        <v>690</v>
      </c>
      <c r="F11" s="137">
        <v>6.3899999999999998E-2</v>
      </c>
      <c r="H11" s="325">
        <v>1.25</v>
      </c>
      <c r="I11" s="325">
        <v>1.4999990000000001</v>
      </c>
      <c r="J11" s="325" t="s">
        <v>881</v>
      </c>
      <c r="K11" s="327">
        <v>4.4200000000000003E-2</v>
      </c>
      <c r="M11" s="325">
        <v>1.5</v>
      </c>
      <c r="N11" s="325">
        <v>1.9999990000000001</v>
      </c>
      <c r="O11" s="325" t="s">
        <v>881</v>
      </c>
      <c r="P11" s="327">
        <v>4.4200000000000003E-2</v>
      </c>
    </row>
    <row r="12" spans="1:16">
      <c r="C12" t="s">
        <v>691</v>
      </c>
      <c r="D12" t="s">
        <v>692</v>
      </c>
      <c r="E12" t="s">
        <v>693</v>
      </c>
      <c r="F12" s="137">
        <v>9.8299999999999998E-2</v>
      </c>
      <c r="H12" s="325">
        <v>1.5</v>
      </c>
      <c r="I12" s="325">
        <v>1.7499990000000001</v>
      </c>
      <c r="J12" s="325" t="s">
        <v>882</v>
      </c>
      <c r="K12" s="327">
        <v>0.03</v>
      </c>
      <c r="M12" s="325">
        <v>2</v>
      </c>
      <c r="N12" s="325">
        <v>2.4999989999999999</v>
      </c>
      <c r="O12" s="325" t="s">
        <v>882</v>
      </c>
      <c r="P12" s="327">
        <v>0.03</v>
      </c>
    </row>
    <row r="13" spans="1:16">
      <c r="C13" t="s">
        <v>694</v>
      </c>
      <c r="D13" t="s">
        <v>684</v>
      </c>
      <c r="E13" t="s">
        <v>685</v>
      </c>
      <c r="F13" s="137">
        <v>3.5400000000000001E-2</v>
      </c>
      <c r="H13" s="325">
        <v>1.75</v>
      </c>
      <c r="I13" s="325">
        <v>1.9999990000000001</v>
      </c>
      <c r="J13" s="325" t="s">
        <v>883</v>
      </c>
      <c r="K13" s="327">
        <v>2.6100000000000002E-2</v>
      </c>
      <c r="M13" s="325">
        <v>2.5</v>
      </c>
      <c r="N13" s="325">
        <v>2.9999989999999999</v>
      </c>
      <c r="O13" s="325" t="s">
        <v>883</v>
      </c>
      <c r="P13" s="327">
        <v>2.6100000000000002E-2</v>
      </c>
    </row>
    <row r="14" spans="1:16">
      <c r="C14" t="s">
        <v>695</v>
      </c>
      <c r="D14" t="s">
        <v>696</v>
      </c>
      <c r="E14" t="s">
        <v>697</v>
      </c>
      <c r="F14" s="137">
        <v>2.1600000000000001E-2</v>
      </c>
      <c r="H14" s="325">
        <v>2</v>
      </c>
      <c r="I14" s="325">
        <v>2.2499999000000002</v>
      </c>
      <c r="J14" s="325" t="s">
        <v>884</v>
      </c>
      <c r="K14" s="327">
        <v>1.83E-2</v>
      </c>
      <c r="M14" s="325">
        <v>3</v>
      </c>
      <c r="N14" s="325">
        <v>3.4999989999999999</v>
      </c>
      <c r="O14" s="325" t="s">
        <v>884</v>
      </c>
      <c r="P14" s="327">
        <v>1.83E-2</v>
      </c>
    </row>
    <row r="15" spans="1:16">
      <c r="C15" t="s">
        <v>698</v>
      </c>
      <c r="D15" t="s">
        <v>699</v>
      </c>
      <c r="E15" t="s">
        <v>700</v>
      </c>
      <c r="F15" s="137">
        <v>0</v>
      </c>
      <c r="H15" s="325">
        <v>2.25</v>
      </c>
      <c r="I15" s="325">
        <v>2.4999899999999999</v>
      </c>
      <c r="J15" s="325" t="s">
        <v>885</v>
      </c>
      <c r="K15" s="327">
        <v>1.55E-2</v>
      </c>
      <c r="M15" s="325">
        <v>3.5</v>
      </c>
      <c r="N15" s="325">
        <v>3.9999999000000002</v>
      </c>
      <c r="O15" s="325" t="s">
        <v>885</v>
      </c>
      <c r="P15" s="327">
        <v>1.55E-2</v>
      </c>
    </row>
    <row r="16" spans="1:16">
      <c r="C16" t="s">
        <v>701</v>
      </c>
      <c r="D16" t="s">
        <v>687</v>
      </c>
      <c r="E16" t="s">
        <v>702</v>
      </c>
      <c r="F16" s="137">
        <v>2.7000000000000001E-3</v>
      </c>
      <c r="H16" s="325">
        <v>2.5</v>
      </c>
      <c r="I16" s="325">
        <v>2.9999989999999999</v>
      </c>
      <c r="J16" s="325" t="s">
        <v>886</v>
      </c>
      <c r="K16" s="327">
        <v>1.2E-2</v>
      </c>
      <c r="M16" s="325">
        <v>4</v>
      </c>
      <c r="N16" s="325">
        <v>4.4999989999999999</v>
      </c>
      <c r="O16" s="325" t="s">
        <v>886</v>
      </c>
      <c r="P16" s="327">
        <v>1.2E-2</v>
      </c>
    </row>
    <row r="17" spans="3:16">
      <c r="C17" t="s">
        <v>703</v>
      </c>
      <c r="D17" t="s">
        <v>684</v>
      </c>
      <c r="E17" t="s">
        <v>697</v>
      </c>
      <c r="F17" s="137">
        <v>2.1600000000000001E-2</v>
      </c>
      <c r="H17" s="325">
        <v>3</v>
      </c>
      <c r="I17" s="325">
        <v>4.2499989999999999</v>
      </c>
      <c r="J17" s="325" t="s">
        <v>887</v>
      </c>
      <c r="K17" s="327">
        <v>9.4999999999999998E-3</v>
      </c>
      <c r="M17" s="325">
        <v>4.5</v>
      </c>
      <c r="N17" s="325">
        <v>5.9999989999999999</v>
      </c>
      <c r="O17" s="325" t="s">
        <v>887</v>
      </c>
      <c r="P17" s="327">
        <v>9.4999999999999998E-3</v>
      </c>
    </row>
    <row r="18" spans="3:16">
      <c r="C18" t="s">
        <v>704</v>
      </c>
      <c r="D18" t="s">
        <v>696</v>
      </c>
      <c r="E18" t="s">
        <v>705</v>
      </c>
      <c r="F18" s="137">
        <v>4.4299999999999999E-2</v>
      </c>
      <c r="H18" s="325">
        <v>4.25</v>
      </c>
      <c r="I18" s="325">
        <v>5.4999989999999999</v>
      </c>
      <c r="J18" s="325" t="s">
        <v>888</v>
      </c>
      <c r="K18" s="327">
        <v>8.5000000000000006E-3</v>
      </c>
      <c r="M18" s="325">
        <v>6</v>
      </c>
      <c r="N18" s="325">
        <v>7.4999989999999999</v>
      </c>
      <c r="O18" s="325" t="s">
        <v>888</v>
      </c>
      <c r="P18" s="327">
        <v>8.5000000000000006E-3</v>
      </c>
    </row>
    <row r="19" spans="3:16">
      <c r="C19" t="s">
        <v>706</v>
      </c>
      <c r="D19" t="s">
        <v>681</v>
      </c>
      <c r="E19" t="s">
        <v>707</v>
      </c>
      <c r="F19" s="137">
        <v>5.4100000000000002E-2</v>
      </c>
      <c r="H19" s="325">
        <v>5.5</v>
      </c>
      <c r="I19" s="325">
        <v>6.4999989999999999</v>
      </c>
      <c r="J19" s="325" t="s">
        <v>889</v>
      </c>
      <c r="K19" s="327">
        <v>7.7000000000000002E-3</v>
      </c>
      <c r="M19" s="325">
        <v>7.5</v>
      </c>
      <c r="N19" s="325">
        <v>9.4999990000000007</v>
      </c>
      <c r="O19" s="325" t="s">
        <v>889</v>
      </c>
      <c r="P19" s="327">
        <v>7.7000000000000002E-3</v>
      </c>
    </row>
    <row r="20" spans="3:16">
      <c r="C20" t="s">
        <v>708</v>
      </c>
      <c r="D20" t="s">
        <v>709</v>
      </c>
      <c r="E20" t="s">
        <v>707</v>
      </c>
      <c r="F20" s="137">
        <v>5.4100000000000002E-2</v>
      </c>
      <c r="H20" s="325">
        <v>6.5</v>
      </c>
      <c r="I20" s="325">
        <v>8.4999990000000007</v>
      </c>
      <c r="J20" s="325" t="s">
        <v>890</v>
      </c>
      <c r="K20" s="327">
        <v>6.0000000000000001E-3</v>
      </c>
      <c r="M20" s="325">
        <v>9.5</v>
      </c>
      <c r="N20" s="325">
        <v>12.499999000000001</v>
      </c>
      <c r="O20" s="325" t="s">
        <v>890</v>
      </c>
      <c r="P20" s="327">
        <v>6.0000000000000001E-3</v>
      </c>
    </row>
    <row r="21" spans="3:16">
      <c r="C21" t="s">
        <v>710</v>
      </c>
      <c r="D21" t="s">
        <v>696</v>
      </c>
      <c r="E21" t="s">
        <v>707</v>
      </c>
      <c r="F21" s="137">
        <v>5.4100000000000002E-2</v>
      </c>
      <c r="H21" s="326">
        <v>8.5</v>
      </c>
      <c r="I21" s="325">
        <v>100000</v>
      </c>
      <c r="J21" s="325" t="s">
        <v>891</v>
      </c>
      <c r="K21" s="327">
        <v>4.4999999999999997E-3</v>
      </c>
      <c r="M21" s="325">
        <v>12.5</v>
      </c>
      <c r="N21" s="325">
        <v>100000</v>
      </c>
      <c r="O21" s="325" t="s">
        <v>891</v>
      </c>
      <c r="P21" s="327">
        <v>4.4999999999999997E-3</v>
      </c>
    </row>
    <row r="22" spans="3:16">
      <c r="C22" t="s">
        <v>711</v>
      </c>
      <c r="D22" t="s">
        <v>684</v>
      </c>
      <c r="E22" t="s">
        <v>712</v>
      </c>
      <c r="F22" s="137">
        <v>0.17499999999999999</v>
      </c>
    </row>
    <row r="23" spans="3:16">
      <c r="C23" t="s">
        <v>713</v>
      </c>
      <c r="D23" t="s">
        <v>687</v>
      </c>
      <c r="E23" t="s">
        <v>714</v>
      </c>
      <c r="F23" s="137">
        <v>5.8999999999999999E-3</v>
      </c>
    </row>
    <row r="24" spans="3:16">
      <c r="C24" t="s">
        <v>715</v>
      </c>
      <c r="D24" t="s">
        <v>692</v>
      </c>
      <c r="E24" t="s">
        <v>716</v>
      </c>
      <c r="F24" s="137">
        <v>7.3700000000000002E-2</v>
      </c>
    </row>
    <row r="25" spans="3:16">
      <c r="C25" t="s">
        <v>717</v>
      </c>
      <c r="D25" t="s">
        <v>677</v>
      </c>
      <c r="E25" t="s">
        <v>705</v>
      </c>
      <c r="F25" s="137">
        <v>4.4299999999999999E-2</v>
      </c>
    </row>
    <row r="26" spans="3:16">
      <c r="C26" t="s">
        <v>718</v>
      </c>
      <c r="D26" t="s">
        <v>696</v>
      </c>
      <c r="E26" t="s">
        <v>719</v>
      </c>
      <c r="F26" s="137">
        <v>8.3000000000000001E-3</v>
      </c>
    </row>
    <row r="27" spans="3:16">
      <c r="C27" t="s">
        <v>720</v>
      </c>
      <c r="D27" t="s">
        <v>692</v>
      </c>
      <c r="E27" t="s">
        <v>721</v>
      </c>
      <c r="F27" s="137">
        <v>0.11799999999999999</v>
      </c>
    </row>
    <row r="28" spans="3:16">
      <c r="C28" t="s">
        <v>722</v>
      </c>
      <c r="D28" t="s">
        <v>684</v>
      </c>
      <c r="E28" t="s">
        <v>690</v>
      </c>
      <c r="F28" s="137">
        <v>6.3899999999999998E-2</v>
      </c>
    </row>
    <row r="29" spans="3:16">
      <c r="C29" t="s">
        <v>723</v>
      </c>
      <c r="D29" t="s">
        <v>677</v>
      </c>
      <c r="E29" t="s">
        <v>724</v>
      </c>
      <c r="F29" s="137">
        <v>1.18E-2</v>
      </c>
    </row>
    <row r="30" spans="3:16">
      <c r="C30" t="s">
        <v>725</v>
      </c>
      <c r="D30" t="s">
        <v>692</v>
      </c>
      <c r="E30" t="s">
        <v>726</v>
      </c>
      <c r="F30" s="137">
        <v>2.46E-2</v>
      </c>
    </row>
    <row r="31" spans="3:16">
      <c r="C31" t="s">
        <v>727</v>
      </c>
      <c r="D31" t="s">
        <v>684</v>
      </c>
      <c r="E31" t="s">
        <v>688</v>
      </c>
      <c r="F31" s="137">
        <v>1.5699999999999999E-2</v>
      </c>
    </row>
    <row r="32" spans="3:16">
      <c r="C32" t="s">
        <v>728</v>
      </c>
      <c r="D32" t="s">
        <v>677</v>
      </c>
      <c r="E32" t="s">
        <v>716</v>
      </c>
      <c r="F32" s="137">
        <v>7.3700000000000002E-2</v>
      </c>
    </row>
    <row r="33" spans="3:6">
      <c r="C33" t="s">
        <v>729</v>
      </c>
      <c r="D33" t="s">
        <v>709</v>
      </c>
      <c r="E33" t="s">
        <v>707</v>
      </c>
      <c r="F33" s="137">
        <v>5.4100000000000002E-2</v>
      </c>
    </row>
    <row r="34" spans="3:6">
      <c r="C34" t="s">
        <v>730</v>
      </c>
      <c r="D34" t="s">
        <v>677</v>
      </c>
      <c r="E34" t="s">
        <v>716</v>
      </c>
      <c r="F34" s="137">
        <v>7.3700000000000002E-2</v>
      </c>
    </row>
    <row r="35" spans="3:6">
      <c r="C35" t="s">
        <v>731</v>
      </c>
      <c r="D35" t="s">
        <v>732</v>
      </c>
      <c r="E35" t="s">
        <v>700</v>
      </c>
      <c r="F35" s="137">
        <v>0</v>
      </c>
    </row>
    <row r="36" spans="3:6">
      <c r="C36" t="s">
        <v>733</v>
      </c>
      <c r="D36" t="s">
        <v>677</v>
      </c>
      <c r="E36" t="s">
        <v>707</v>
      </c>
      <c r="F36" s="137">
        <v>5.4100000000000002E-2</v>
      </c>
    </row>
    <row r="37" spans="3:6">
      <c r="C37" t="s">
        <v>734</v>
      </c>
      <c r="D37" t="s">
        <v>696</v>
      </c>
      <c r="E37" t="s">
        <v>714</v>
      </c>
      <c r="F37" s="137">
        <v>5.8999999999999999E-3</v>
      </c>
    </row>
    <row r="38" spans="3:6">
      <c r="C38" t="s">
        <v>735</v>
      </c>
      <c r="D38" t="s">
        <v>692</v>
      </c>
      <c r="E38" t="s">
        <v>719</v>
      </c>
      <c r="F38" s="137">
        <v>8.3000000000000001E-3</v>
      </c>
    </row>
    <row r="39" spans="3:6">
      <c r="C39" t="s">
        <v>736</v>
      </c>
      <c r="D39" t="s">
        <v>709</v>
      </c>
      <c r="E39" t="s">
        <v>737</v>
      </c>
      <c r="F39" s="137">
        <v>6.8999999999999999E-3</v>
      </c>
    </row>
    <row r="40" spans="3:6">
      <c r="C40" t="s">
        <v>738</v>
      </c>
      <c r="D40" t="s">
        <v>692</v>
      </c>
      <c r="E40" t="s">
        <v>697</v>
      </c>
      <c r="F40" s="137">
        <v>2.1600000000000001E-2</v>
      </c>
    </row>
    <row r="41" spans="3:6">
      <c r="C41" t="s">
        <v>739</v>
      </c>
      <c r="D41" t="s">
        <v>677</v>
      </c>
      <c r="E41" t="s">
        <v>690</v>
      </c>
      <c r="F41" s="137">
        <v>6.3899999999999998E-2</v>
      </c>
    </row>
    <row r="42" spans="3:6">
      <c r="C42" t="s">
        <v>740</v>
      </c>
      <c r="D42" t="s">
        <v>677</v>
      </c>
      <c r="E42" t="s">
        <v>741</v>
      </c>
      <c r="F42" s="137">
        <v>8.8499999999999995E-2</v>
      </c>
    </row>
    <row r="43" spans="3:6">
      <c r="C43" t="s">
        <v>742</v>
      </c>
      <c r="D43" t="s">
        <v>699</v>
      </c>
      <c r="E43" t="s">
        <v>705</v>
      </c>
      <c r="F43" s="137">
        <v>4.4299999999999999E-2</v>
      </c>
    </row>
    <row r="44" spans="3:6">
      <c r="C44" t="s">
        <v>743</v>
      </c>
      <c r="D44" t="s">
        <v>692</v>
      </c>
      <c r="E44" t="s">
        <v>685</v>
      </c>
      <c r="F44" s="137">
        <v>3.5400000000000001E-2</v>
      </c>
    </row>
    <row r="45" spans="3:6">
      <c r="C45" t="s">
        <v>744</v>
      </c>
      <c r="D45" t="s">
        <v>677</v>
      </c>
      <c r="E45" t="s">
        <v>745</v>
      </c>
      <c r="F45" s="137">
        <v>2.9600000000000001E-2</v>
      </c>
    </row>
    <row r="46" spans="3:6">
      <c r="C46" t="s">
        <v>746</v>
      </c>
      <c r="D46" t="s">
        <v>684</v>
      </c>
      <c r="E46" t="s">
        <v>724</v>
      </c>
      <c r="F46" s="137">
        <v>1.18E-2</v>
      </c>
    </row>
    <row r="47" spans="3:6">
      <c r="C47" t="s">
        <v>747</v>
      </c>
      <c r="D47" t="s">
        <v>696</v>
      </c>
      <c r="E47" t="s">
        <v>721</v>
      </c>
      <c r="F47" s="137">
        <v>0.11799999999999999</v>
      </c>
    </row>
    <row r="48" spans="3:6">
      <c r="C48" t="s">
        <v>748</v>
      </c>
      <c r="D48" t="s">
        <v>696</v>
      </c>
      <c r="E48" t="s">
        <v>697</v>
      </c>
      <c r="F48" s="137">
        <v>2.1600000000000001E-2</v>
      </c>
    </row>
    <row r="49" spans="3:6">
      <c r="C49" t="s">
        <v>749</v>
      </c>
      <c r="D49" t="s">
        <v>687</v>
      </c>
      <c r="E49" t="s">
        <v>724</v>
      </c>
      <c r="F49" s="137">
        <v>1.18E-2</v>
      </c>
    </row>
    <row r="50" spans="3:6">
      <c r="C50" t="s">
        <v>750</v>
      </c>
      <c r="D50" t="s">
        <v>684</v>
      </c>
      <c r="E50" t="s">
        <v>714</v>
      </c>
      <c r="F50" s="137">
        <v>5.8999999999999999E-3</v>
      </c>
    </row>
    <row r="51" spans="3:6">
      <c r="C51" t="s">
        <v>751</v>
      </c>
      <c r="D51" t="s">
        <v>687</v>
      </c>
      <c r="E51" t="s">
        <v>700</v>
      </c>
      <c r="F51" s="137">
        <v>0</v>
      </c>
    </row>
    <row r="52" spans="3:6">
      <c r="C52" t="s">
        <v>752</v>
      </c>
      <c r="D52" t="s">
        <v>696</v>
      </c>
      <c r="E52" t="s">
        <v>685</v>
      </c>
      <c r="F52" s="137">
        <v>3.5400000000000001E-2</v>
      </c>
    </row>
    <row r="53" spans="3:6">
      <c r="C53" t="s">
        <v>753</v>
      </c>
      <c r="D53" t="s">
        <v>692</v>
      </c>
      <c r="E53" t="s">
        <v>693</v>
      </c>
      <c r="F53" s="137">
        <v>9.8299999999999998E-2</v>
      </c>
    </row>
    <row r="54" spans="3:6">
      <c r="C54" t="s">
        <v>754</v>
      </c>
      <c r="D54" t="s">
        <v>677</v>
      </c>
      <c r="E54" t="s">
        <v>716</v>
      </c>
      <c r="F54" s="137">
        <v>7.3700000000000002E-2</v>
      </c>
    </row>
    <row r="55" spans="3:6">
      <c r="C55" t="s">
        <v>755</v>
      </c>
      <c r="D55" t="s">
        <v>692</v>
      </c>
      <c r="E55" t="s">
        <v>690</v>
      </c>
      <c r="F55" s="137">
        <v>6.3899999999999998E-2</v>
      </c>
    </row>
    <row r="56" spans="3:6">
      <c r="C56" t="s">
        <v>756</v>
      </c>
      <c r="D56" t="s">
        <v>684</v>
      </c>
      <c r="E56" t="s">
        <v>737</v>
      </c>
      <c r="F56" s="137">
        <v>6.8999999999999999E-3</v>
      </c>
    </row>
    <row r="57" spans="3:6">
      <c r="C57" t="s">
        <v>757</v>
      </c>
      <c r="D57" t="s">
        <v>677</v>
      </c>
      <c r="E57" t="s">
        <v>741</v>
      </c>
      <c r="F57" s="137">
        <v>8.8499999999999995E-2</v>
      </c>
    </row>
    <row r="58" spans="3:6">
      <c r="C58" t="s">
        <v>758</v>
      </c>
      <c r="D58" t="s">
        <v>709</v>
      </c>
      <c r="E58" t="s">
        <v>705</v>
      </c>
      <c r="F58" s="137">
        <v>4.4299999999999999E-2</v>
      </c>
    </row>
    <row r="59" spans="3:6">
      <c r="C59" t="s">
        <v>759</v>
      </c>
      <c r="D59" t="s">
        <v>687</v>
      </c>
      <c r="E59" t="s">
        <v>702</v>
      </c>
      <c r="F59" s="137">
        <v>2.7000000000000001E-3</v>
      </c>
    </row>
    <row r="60" spans="3:6">
      <c r="C60" t="s">
        <v>760</v>
      </c>
      <c r="D60" t="s">
        <v>687</v>
      </c>
      <c r="E60" t="s">
        <v>714</v>
      </c>
      <c r="F60" s="137">
        <v>5.8999999999999999E-3</v>
      </c>
    </row>
    <row r="61" spans="3:6">
      <c r="C61" t="s">
        <v>761</v>
      </c>
      <c r="D61" t="s">
        <v>677</v>
      </c>
      <c r="E61" t="s">
        <v>741</v>
      </c>
      <c r="F61" s="137">
        <v>8.8499999999999995E-2</v>
      </c>
    </row>
    <row r="62" spans="3:6">
      <c r="C62" t="s">
        <v>762</v>
      </c>
      <c r="D62" t="s">
        <v>684</v>
      </c>
      <c r="E62" t="s">
        <v>745</v>
      </c>
      <c r="F62" s="137">
        <v>2.9600000000000001E-2</v>
      </c>
    </row>
    <row r="63" spans="3:6">
      <c r="C63" t="s">
        <v>763</v>
      </c>
      <c r="D63" t="s">
        <v>687</v>
      </c>
      <c r="E63" t="s">
        <v>700</v>
      </c>
      <c r="F63" s="137">
        <v>0</v>
      </c>
    </row>
    <row r="64" spans="3:6">
      <c r="C64" t="s">
        <v>764</v>
      </c>
      <c r="D64" t="s">
        <v>677</v>
      </c>
      <c r="E64" t="s">
        <v>741</v>
      </c>
      <c r="F64" s="137">
        <v>8.8499999999999995E-2</v>
      </c>
    </row>
    <row r="65" spans="3:6">
      <c r="C65" t="s">
        <v>765</v>
      </c>
      <c r="D65" t="s">
        <v>687</v>
      </c>
      <c r="E65" t="s">
        <v>697</v>
      </c>
      <c r="F65" s="137">
        <v>2.1600000000000001E-2</v>
      </c>
    </row>
    <row r="66" spans="3:6">
      <c r="C66" t="s">
        <v>766</v>
      </c>
      <c r="D66" t="s">
        <v>692</v>
      </c>
      <c r="E66" t="s">
        <v>726</v>
      </c>
      <c r="F66" s="137">
        <v>2.46E-2</v>
      </c>
    </row>
    <row r="67" spans="3:6">
      <c r="C67" t="s">
        <v>767</v>
      </c>
      <c r="D67" t="s">
        <v>687</v>
      </c>
      <c r="E67" t="s">
        <v>737</v>
      </c>
      <c r="F67" s="137">
        <v>6.8999999999999999E-3</v>
      </c>
    </row>
    <row r="68" spans="3:6">
      <c r="C68" t="s">
        <v>768</v>
      </c>
      <c r="D68" t="s">
        <v>692</v>
      </c>
      <c r="E68" t="s">
        <v>705</v>
      </c>
      <c r="F68" s="137">
        <v>4.4299999999999999E-2</v>
      </c>
    </row>
    <row r="69" spans="3:6">
      <c r="C69" t="s">
        <v>769</v>
      </c>
      <c r="D69" t="s">
        <v>709</v>
      </c>
      <c r="E69" t="s">
        <v>714</v>
      </c>
      <c r="F69" s="137">
        <v>5.8999999999999999E-3</v>
      </c>
    </row>
    <row r="70" spans="3:6">
      <c r="C70" t="s">
        <v>770</v>
      </c>
      <c r="D70" t="s">
        <v>684</v>
      </c>
      <c r="E70" t="s">
        <v>771</v>
      </c>
      <c r="F70" s="137">
        <v>1.8700000000000001E-2</v>
      </c>
    </row>
    <row r="71" spans="3:6">
      <c r="C71" t="s">
        <v>772</v>
      </c>
      <c r="D71" t="s">
        <v>687</v>
      </c>
      <c r="E71" t="s">
        <v>737</v>
      </c>
      <c r="F71" s="137">
        <v>6.8999999999999999E-3</v>
      </c>
    </row>
    <row r="72" spans="3:6">
      <c r="C72" t="s">
        <v>774</v>
      </c>
      <c r="D72" t="s">
        <v>709</v>
      </c>
      <c r="E72" t="s">
        <v>771</v>
      </c>
      <c r="F72" s="137">
        <v>1.8700000000000001E-2</v>
      </c>
    </row>
    <row r="73" spans="3:6">
      <c r="C73" t="s">
        <v>775</v>
      </c>
      <c r="D73" t="s">
        <v>681</v>
      </c>
      <c r="E73" t="s">
        <v>716</v>
      </c>
      <c r="F73" s="137">
        <v>7.3700000000000002E-2</v>
      </c>
    </row>
    <row r="74" spans="3:6">
      <c r="C74" t="s">
        <v>776</v>
      </c>
      <c r="D74" t="s">
        <v>687</v>
      </c>
      <c r="E74" t="s">
        <v>714</v>
      </c>
      <c r="F74" s="137">
        <v>5.8999999999999999E-3</v>
      </c>
    </row>
    <row r="75" spans="3:6">
      <c r="C75" t="s">
        <v>777</v>
      </c>
      <c r="D75" t="s">
        <v>687</v>
      </c>
      <c r="E75" t="s">
        <v>714</v>
      </c>
      <c r="F75" s="137">
        <v>5.8999999999999999E-3</v>
      </c>
    </row>
    <row r="76" spans="3:6">
      <c r="C76" t="s">
        <v>778</v>
      </c>
      <c r="D76" t="s">
        <v>681</v>
      </c>
      <c r="E76" t="s">
        <v>688</v>
      </c>
      <c r="F76" s="137">
        <v>1.5699999999999999E-2</v>
      </c>
    </row>
    <row r="77" spans="3:6">
      <c r="C77" t="s">
        <v>779</v>
      </c>
      <c r="D77" t="s">
        <v>687</v>
      </c>
      <c r="E77" t="s">
        <v>697</v>
      </c>
      <c r="F77" s="137">
        <v>2.1600000000000001E-2</v>
      </c>
    </row>
    <row r="78" spans="3:6">
      <c r="C78" t="s">
        <v>780</v>
      </c>
      <c r="D78" t="s">
        <v>696</v>
      </c>
      <c r="E78" t="s">
        <v>705</v>
      </c>
      <c r="F78" s="137">
        <v>4.4299999999999999E-2</v>
      </c>
    </row>
    <row r="79" spans="3:6">
      <c r="C79" t="s">
        <v>781</v>
      </c>
      <c r="D79" t="s">
        <v>709</v>
      </c>
      <c r="E79" t="s">
        <v>737</v>
      </c>
      <c r="F79" s="137">
        <v>6.8999999999999999E-3</v>
      </c>
    </row>
    <row r="80" spans="3:6">
      <c r="C80" t="s">
        <v>782</v>
      </c>
      <c r="D80" t="s">
        <v>687</v>
      </c>
      <c r="E80" t="s">
        <v>714</v>
      </c>
      <c r="F80" s="137">
        <v>5.8999999999999999E-3</v>
      </c>
    </row>
    <row r="81" spans="3:6">
      <c r="C81" t="s">
        <v>783</v>
      </c>
      <c r="D81" t="s">
        <v>681</v>
      </c>
      <c r="E81" t="s">
        <v>685</v>
      </c>
      <c r="F81" s="137">
        <v>3.5400000000000001E-2</v>
      </c>
    </row>
    <row r="82" spans="3:6">
      <c r="C82" t="s">
        <v>784</v>
      </c>
      <c r="D82" t="s">
        <v>684</v>
      </c>
      <c r="E82" t="s">
        <v>688</v>
      </c>
      <c r="F82" s="137">
        <v>1.5699999999999999E-2</v>
      </c>
    </row>
    <row r="83" spans="3:6">
      <c r="C83" t="s">
        <v>785</v>
      </c>
      <c r="D83" t="s">
        <v>677</v>
      </c>
      <c r="E83" t="s">
        <v>716</v>
      </c>
      <c r="F83" s="137">
        <v>7.3700000000000002E-2</v>
      </c>
    </row>
    <row r="84" spans="3:6">
      <c r="C84" t="s">
        <v>786</v>
      </c>
      <c r="D84" t="s">
        <v>709</v>
      </c>
      <c r="E84" t="s">
        <v>682</v>
      </c>
      <c r="F84" s="137">
        <v>4.8999999999999998E-3</v>
      </c>
    </row>
    <row r="85" spans="3:6">
      <c r="C85" t="s">
        <v>787</v>
      </c>
      <c r="D85" t="s">
        <v>681</v>
      </c>
      <c r="E85" t="s">
        <v>737</v>
      </c>
      <c r="F85" s="137">
        <v>6.8999999999999999E-3</v>
      </c>
    </row>
    <row r="86" spans="3:6">
      <c r="C86" t="s">
        <v>788</v>
      </c>
      <c r="D86" t="s">
        <v>684</v>
      </c>
      <c r="E86" t="s">
        <v>690</v>
      </c>
      <c r="F86" s="137">
        <v>6.3899999999999998E-2</v>
      </c>
    </row>
    <row r="87" spans="3:6">
      <c r="C87" t="s">
        <v>789</v>
      </c>
      <c r="D87" t="s">
        <v>709</v>
      </c>
      <c r="E87" t="s">
        <v>693</v>
      </c>
      <c r="F87" s="137">
        <v>9.8299999999999998E-2</v>
      </c>
    </row>
    <row r="88" spans="3:6">
      <c r="C88" t="s">
        <v>790</v>
      </c>
      <c r="D88" t="s">
        <v>684</v>
      </c>
      <c r="E88" t="s">
        <v>724</v>
      </c>
      <c r="F88" s="137">
        <v>1.18E-2</v>
      </c>
    </row>
    <row r="89" spans="3:6">
      <c r="C89" t="s">
        <v>791</v>
      </c>
      <c r="D89" t="s">
        <v>681</v>
      </c>
      <c r="E89" t="s">
        <v>712</v>
      </c>
      <c r="F89" s="137">
        <v>0.17499999999999999</v>
      </c>
    </row>
    <row r="90" spans="3:6">
      <c r="C90" t="s">
        <v>792</v>
      </c>
      <c r="D90" t="s">
        <v>687</v>
      </c>
      <c r="E90" t="s">
        <v>700</v>
      </c>
      <c r="F90" s="137">
        <v>0</v>
      </c>
    </row>
    <row r="91" spans="3:6">
      <c r="C91" t="s">
        <v>793</v>
      </c>
      <c r="D91" t="s">
        <v>684</v>
      </c>
      <c r="E91" t="s">
        <v>719</v>
      </c>
      <c r="F91" s="137">
        <v>8.3000000000000001E-3</v>
      </c>
    </row>
    <row r="92" spans="3:6">
      <c r="C92" t="s">
        <v>794</v>
      </c>
      <c r="D92" t="s">
        <v>687</v>
      </c>
      <c r="E92" t="s">
        <v>700</v>
      </c>
      <c r="F92" s="137">
        <v>0</v>
      </c>
    </row>
    <row r="93" spans="3:6">
      <c r="C93" t="s">
        <v>795</v>
      </c>
      <c r="D93" t="s">
        <v>709</v>
      </c>
      <c r="E93" t="s">
        <v>714</v>
      </c>
      <c r="F93" s="137">
        <v>5.8999999999999999E-3</v>
      </c>
    </row>
    <row r="94" spans="3:6">
      <c r="C94" t="s">
        <v>796</v>
      </c>
      <c r="D94" t="s">
        <v>684</v>
      </c>
      <c r="E94" t="s">
        <v>685</v>
      </c>
      <c r="F94" s="137">
        <v>3.5400000000000001E-2</v>
      </c>
    </row>
    <row r="95" spans="3:6">
      <c r="C95" t="s">
        <v>797</v>
      </c>
      <c r="D95" t="s">
        <v>709</v>
      </c>
      <c r="E95" t="s">
        <v>724</v>
      </c>
      <c r="F95" s="137">
        <v>1.18E-2</v>
      </c>
    </row>
    <row r="96" spans="3:6">
      <c r="C96" t="s">
        <v>798</v>
      </c>
      <c r="D96" t="s">
        <v>709</v>
      </c>
      <c r="E96" t="s">
        <v>741</v>
      </c>
      <c r="F96" s="137">
        <v>8.8499999999999995E-2</v>
      </c>
    </row>
    <row r="97" spans="3:6">
      <c r="C97" t="s">
        <v>799</v>
      </c>
      <c r="D97" t="s">
        <v>677</v>
      </c>
      <c r="E97" t="s">
        <v>741</v>
      </c>
      <c r="F97" s="137">
        <v>8.8499999999999995E-2</v>
      </c>
    </row>
    <row r="98" spans="3:6">
      <c r="C98" t="s">
        <v>800</v>
      </c>
      <c r="D98" t="s">
        <v>687</v>
      </c>
      <c r="E98" t="s">
        <v>719</v>
      </c>
      <c r="F98" s="137">
        <v>8.3000000000000001E-3</v>
      </c>
    </row>
    <row r="99" spans="3:6">
      <c r="C99" t="s">
        <v>801</v>
      </c>
      <c r="D99" t="s">
        <v>677</v>
      </c>
      <c r="E99" t="s">
        <v>697</v>
      </c>
      <c r="F99" s="137">
        <v>2.1600000000000001E-2</v>
      </c>
    </row>
    <row r="100" spans="3:6">
      <c r="C100" t="s">
        <v>802</v>
      </c>
      <c r="D100" t="s">
        <v>692</v>
      </c>
      <c r="E100" t="s">
        <v>771</v>
      </c>
      <c r="F100" s="137">
        <v>1.8700000000000001E-2</v>
      </c>
    </row>
    <row r="101" spans="3:6">
      <c r="C101" t="s">
        <v>803</v>
      </c>
      <c r="D101" t="s">
        <v>684</v>
      </c>
      <c r="E101" t="s">
        <v>690</v>
      </c>
      <c r="F101" s="137">
        <v>6.3899999999999998E-2</v>
      </c>
    </row>
    <row r="102" spans="3:6">
      <c r="C102" t="s">
        <v>804</v>
      </c>
      <c r="D102" t="s">
        <v>709</v>
      </c>
      <c r="E102" t="s">
        <v>707</v>
      </c>
      <c r="F102" s="137">
        <v>5.4100000000000002E-2</v>
      </c>
    </row>
    <row r="103" spans="3:6">
      <c r="C103" t="s">
        <v>805</v>
      </c>
      <c r="D103" t="s">
        <v>684</v>
      </c>
      <c r="E103" t="s">
        <v>705</v>
      </c>
      <c r="F103" s="137">
        <v>4.4299999999999999E-2</v>
      </c>
    </row>
    <row r="104" spans="3:6">
      <c r="C104" t="s">
        <v>806</v>
      </c>
      <c r="D104" t="s">
        <v>696</v>
      </c>
      <c r="E104" t="s">
        <v>697</v>
      </c>
      <c r="F104" s="137">
        <v>2.1600000000000001E-2</v>
      </c>
    </row>
    <row r="105" spans="3:6">
      <c r="C105" t="s">
        <v>807</v>
      </c>
      <c r="D105" t="s">
        <v>677</v>
      </c>
      <c r="E105" t="s">
        <v>726</v>
      </c>
      <c r="F105" s="137">
        <v>2.46E-2</v>
      </c>
    </row>
    <row r="106" spans="3:6">
      <c r="C106" t="s">
        <v>808</v>
      </c>
      <c r="D106" t="s">
        <v>677</v>
      </c>
      <c r="E106" t="s">
        <v>693</v>
      </c>
      <c r="F106" s="137">
        <v>9.8299999999999998E-2</v>
      </c>
    </row>
    <row r="107" spans="3:6">
      <c r="C107" t="s">
        <v>809</v>
      </c>
      <c r="D107" t="s">
        <v>677</v>
      </c>
      <c r="E107" t="s">
        <v>705</v>
      </c>
      <c r="F107" s="137">
        <v>4.4299999999999999E-2</v>
      </c>
    </row>
    <row r="108" spans="3:6">
      <c r="C108" t="s">
        <v>810</v>
      </c>
      <c r="D108" t="s">
        <v>709</v>
      </c>
      <c r="E108" t="s">
        <v>685</v>
      </c>
      <c r="F108" s="137">
        <v>3.5400000000000001E-2</v>
      </c>
    </row>
    <row r="109" spans="3:6">
      <c r="C109" t="s">
        <v>811</v>
      </c>
      <c r="D109" t="s">
        <v>687</v>
      </c>
      <c r="E109" t="s">
        <v>700</v>
      </c>
      <c r="F109" s="137">
        <v>0</v>
      </c>
    </row>
    <row r="110" spans="3:6">
      <c r="C110" t="s">
        <v>812</v>
      </c>
      <c r="D110" t="s">
        <v>699</v>
      </c>
      <c r="E110" t="s">
        <v>700</v>
      </c>
      <c r="F110" s="137">
        <v>0</v>
      </c>
    </row>
    <row r="111" spans="3:6">
      <c r="C111" t="s">
        <v>813</v>
      </c>
      <c r="D111" t="s">
        <v>692</v>
      </c>
      <c r="E111" t="s">
        <v>707</v>
      </c>
      <c r="F111" s="137">
        <v>5.4100000000000002E-2</v>
      </c>
    </row>
    <row r="112" spans="3:6">
      <c r="C112" t="s">
        <v>814</v>
      </c>
      <c r="D112" t="s">
        <v>677</v>
      </c>
      <c r="E112" t="s">
        <v>693</v>
      </c>
      <c r="F112" s="137">
        <v>9.8299999999999998E-2</v>
      </c>
    </row>
    <row r="113" spans="3:6">
      <c r="C113" t="s">
        <v>815</v>
      </c>
      <c r="D113" t="s">
        <v>677</v>
      </c>
      <c r="E113" t="s">
        <v>690</v>
      </c>
      <c r="F113" s="137">
        <v>6.3899999999999998E-2</v>
      </c>
    </row>
    <row r="114" spans="3:6">
      <c r="C114" t="s">
        <v>816</v>
      </c>
      <c r="D114" t="s">
        <v>687</v>
      </c>
      <c r="E114" t="s">
        <v>700</v>
      </c>
      <c r="F114" s="137">
        <v>0</v>
      </c>
    </row>
    <row r="115" spans="3:6">
      <c r="C115" t="s">
        <v>817</v>
      </c>
      <c r="D115" t="s">
        <v>681</v>
      </c>
      <c r="E115" t="s">
        <v>726</v>
      </c>
      <c r="F115" s="137">
        <v>2.46E-2</v>
      </c>
    </row>
    <row r="116" spans="3:6">
      <c r="C116" t="s">
        <v>818</v>
      </c>
      <c r="D116" t="s">
        <v>709</v>
      </c>
      <c r="E116" t="s">
        <v>741</v>
      </c>
      <c r="F116" s="137">
        <v>8.8499999999999995E-2</v>
      </c>
    </row>
    <row r="117" spans="3:6">
      <c r="C117" t="s">
        <v>819</v>
      </c>
      <c r="D117" t="s">
        <v>692</v>
      </c>
      <c r="E117" t="s">
        <v>697</v>
      </c>
      <c r="F117" s="137">
        <v>2.1600000000000001E-2</v>
      </c>
    </row>
    <row r="118" spans="3:6">
      <c r="C118" t="s">
        <v>820</v>
      </c>
      <c r="D118" t="s">
        <v>709</v>
      </c>
      <c r="E118" t="s">
        <v>707</v>
      </c>
      <c r="F118" s="137">
        <v>5.4100000000000002E-2</v>
      </c>
    </row>
    <row r="119" spans="3:6">
      <c r="C119" t="s">
        <v>821</v>
      </c>
      <c r="D119" t="s">
        <v>692</v>
      </c>
      <c r="E119" t="s">
        <v>697</v>
      </c>
      <c r="F119" s="137">
        <v>2.1600000000000001E-2</v>
      </c>
    </row>
    <row r="120" spans="3:6">
      <c r="C120" t="s">
        <v>822</v>
      </c>
      <c r="D120" t="s">
        <v>692</v>
      </c>
      <c r="E120" t="s">
        <v>688</v>
      </c>
      <c r="F120" s="137">
        <v>1.5699999999999999E-2</v>
      </c>
    </row>
    <row r="121" spans="3:6">
      <c r="C121" t="s">
        <v>823</v>
      </c>
      <c r="D121" t="s">
        <v>709</v>
      </c>
      <c r="E121" t="s">
        <v>771</v>
      </c>
      <c r="F121" s="137">
        <v>1.8700000000000001E-2</v>
      </c>
    </row>
    <row r="122" spans="3:6">
      <c r="C122" t="s">
        <v>824</v>
      </c>
      <c r="D122" t="s">
        <v>684</v>
      </c>
      <c r="E122" t="s">
        <v>719</v>
      </c>
      <c r="F122" s="137">
        <v>8.3000000000000001E-3</v>
      </c>
    </row>
    <row r="123" spans="3:6">
      <c r="C123" t="s">
        <v>825</v>
      </c>
      <c r="D123" t="s">
        <v>687</v>
      </c>
      <c r="E123" t="s">
        <v>724</v>
      </c>
      <c r="F123" s="137">
        <v>1.18E-2</v>
      </c>
    </row>
    <row r="124" spans="3:6">
      <c r="C124" t="s">
        <v>826</v>
      </c>
      <c r="D124" t="s">
        <v>681</v>
      </c>
      <c r="E124" t="s">
        <v>682</v>
      </c>
      <c r="F124" s="137">
        <v>4.8999999999999998E-3</v>
      </c>
    </row>
    <row r="125" spans="3:6">
      <c r="C125" t="s">
        <v>827</v>
      </c>
      <c r="D125" t="s">
        <v>681</v>
      </c>
      <c r="E125" t="s">
        <v>724</v>
      </c>
      <c r="F125" s="137">
        <v>1.18E-2</v>
      </c>
    </row>
    <row r="126" spans="3:6">
      <c r="C126" t="s">
        <v>828</v>
      </c>
      <c r="D126" t="s">
        <v>684</v>
      </c>
      <c r="E126" t="s">
        <v>697</v>
      </c>
      <c r="F126" s="137">
        <v>2.1600000000000001E-2</v>
      </c>
    </row>
    <row r="127" spans="3:6">
      <c r="C127" t="s">
        <v>829</v>
      </c>
      <c r="D127" t="s">
        <v>677</v>
      </c>
      <c r="E127" t="s">
        <v>707</v>
      </c>
      <c r="F127" s="137">
        <v>5.4100000000000002E-2</v>
      </c>
    </row>
    <row r="128" spans="3:6">
      <c r="C128" t="s">
        <v>830</v>
      </c>
      <c r="D128" t="s">
        <v>681</v>
      </c>
      <c r="E128" t="s">
        <v>714</v>
      </c>
      <c r="F128" s="137">
        <v>5.8999999999999999E-3</v>
      </c>
    </row>
    <row r="129" spans="3:6">
      <c r="C129" t="s">
        <v>831</v>
      </c>
      <c r="D129" t="s">
        <v>677</v>
      </c>
      <c r="E129" t="s">
        <v>690</v>
      </c>
      <c r="F129" s="137">
        <v>6.3899999999999998E-2</v>
      </c>
    </row>
    <row r="130" spans="3:6">
      <c r="C130" t="s">
        <v>832</v>
      </c>
      <c r="D130" t="s">
        <v>684</v>
      </c>
      <c r="E130" t="s">
        <v>745</v>
      </c>
      <c r="F130" s="137">
        <v>2.9600000000000001E-2</v>
      </c>
    </row>
    <row r="131" spans="3:6">
      <c r="C131" t="s">
        <v>833</v>
      </c>
      <c r="D131" t="s">
        <v>681</v>
      </c>
      <c r="E131" t="s">
        <v>726</v>
      </c>
      <c r="F131" s="137">
        <v>2.46E-2</v>
      </c>
    </row>
    <row r="132" spans="3:6">
      <c r="C132" t="s">
        <v>834</v>
      </c>
      <c r="D132" t="s">
        <v>709</v>
      </c>
      <c r="E132" t="s">
        <v>700</v>
      </c>
      <c r="F132" s="137">
        <v>0</v>
      </c>
    </row>
    <row r="133" spans="3:6">
      <c r="C133" t="s">
        <v>835</v>
      </c>
      <c r="D133" t="s">
        <v>684</v>
      </c>
      <c r="E133" t="s">
        <v>724</v>
      </c>
      <c r="F133" s="137">
        <v>1.18E-2</v>
      </c>
    </row>
    <row r="134" spans="3:6">
      <c r="C134" t="s">
        <v>836</v>
      </c>
      <c r="D134" t="s">
        <v>684</v>
      </c>
      <c r="E134" t="s">
        <v>724</v>
      </c>
      <c r="F134" s="137">
        <v>1.18E-2</v>
      </c>
    </row>
    <row r="135" spans="3:6">
      <c r="C135" t="s">
        <v>837</v>
      </c>
      <c r="D135" t="s">
        <v>709</v>
      </c>
      <c r="E135" t="s">
        <v>716</v>
      </c>
      <c r="F135" s="137">
        <v>7.3700000000000002E-2</v>
      </c>
    </row>
    <row r="136" spans="3:6">
      <c r="C136" t="s">
        <v>838</v>
      </c>
      <c r="D136" t="s">
        <v>677</v>
      </c>
      <c r="E136" t="s">
        <v>745</v>
      </c>
      <c r="F136" s="137">
        <v>2.9600000000000001E-2</v>
      </c>
    </row>
    <row r="137" spans="3:6">
      <c r="C137" t="s">
        <v>839</v>
      </c>
      <c r="D137" t="s">
        <v>687</v>
      </c>
      <c r="E137" t="s">
        <v>688</v>
      </c>
      <c r="F137" s="137">
        <v>1.5699999999999999E-2</v>
      </c>
    </row>
    <row r="138" spans="3:6">
      <c r="C138" t="s">
        <v>840</v>
      </c>
      <c r="D138" t="s">
        <v>709</v>
      </c>
      <c r="E138" t="s">
        <v>721</v>
      </c>
      <c r="F138" s="137">
        <v>0.11799999999999999</v>
      </c>
    </row>
    <row r="139" spans="3:6">
      <c r="C139" t="s">
        <v>841</v>
      </c>
      <c r="D139" t="s">
        <v>696</v>
      </c>
      <c r="E139" t="s">
        <v>745</v>
      </c>
      <c r="F139" s="137">
        <v>2.9600000000000001E-2</v>
      </c>
    </row>
    <row r="140" spans="3:6">
      <c r="C140" t="s">
        <v>842</v>
      </c>
      <c r="D140" t="s">
        <v>696</v>
      </c>
      <c r="E140" t="s">
        <v>690</v>
      </c>
      <c r="F140" s="137">
        <v>6.3899999999999998E-2</v>
      </c>
    </row>
    <row r="141" spans="3:6">
      <c r="C141" t="s">
        <v>843</v>
      </c>
      <c r="D141" t="s">
        <v>692</v>
      </c>
      <c r="E141" t="s">
        <v>716</v>
      </c>
      <c r="F141" s="137">
        <v>7.3700000000000002E-2</v>
      </c>
    </row>
    <row r="142" spans="3:6">
      <c r="C142" t="s">
        <v>844</v>
      </c>
      <c r="D142" t="s">
        <v>677</v>
      </c>
      <c r="E142" t="s">
        <v>707</v>
      </c>
      <c r="F142" s="137">
        <v>5.4100000000000002E-2</v>
      </c>
    </row>
    <row r="143" spans="3:6">
      <c r="C143" t="s">
        <v>845</v>
      </c>
      <c r="D143" t="s">
        <v>687</v>
      </c>
      <c r="E143" t="s">
        <v>700</v>
      </c>
      <c r="F143" s="137">
        <v>0</v>
      </c>
    </row>
    <row r="144" spans="3:6">
      <c r="C144" t="s">
        <v>846</v>
      </c>
      <c r="D144" t="s">
        <v>687</v>
      </c>
      <c r="E144" t="s">
        <v>700</v>
      </c>
      <c r="F144" s="137">
        <v>0</v>
      </c>
    </row>
    <row r="145" spans="3:6">
      <c r="C145" t="s">
        <v>847</v>
      </c>
      <c r="D145" t="s">
        <v>709</v>
      </c>
      <c r="E145" t="s">
        <v>714</v>
      </c>
      <c r="F145" s="137">
        <v>5.8999999999999999E-3</v>
      </c>
    </row>
    <row r="146" spans="3:6">
      <c r="C146" t="s">
        <v>848</v>
      </c>
      <c r="D146" t="s">
        <v>684</v>
      </c>
      <c r="E146" t="s">
        <v>690</v>
      </c>
      <c r="F146" s="137">
        <v>6.3899999999999998E-2</v>
      </c>
    </row>
    <row r="147" spans="3:6">
      <c r="C147" t="s">
        <v>849</v>
      </c>
      <c r="D147" t="s">
        <v>677</v>
      </c>
      <c r="E147" t="s">
        <v>705</v>
      </c>
      <c r="F147" s="137">
        <v>4.4299999999999999E-2</v>
      </c>
    </row>
    <row r="148" spans="3:6">
      <c r="C148" t="s">
        <v>850</v>
      </c>
      <c r="D148" t="s">
        <v>709</v>
      </c>
      <c r="E148" t="s">
        <v>688</v>
      </c>
      <c r="F148" s="137">
        <v>1.5699999999999999E-2</v>
      </c>
    </row>
    <row r="149" spans="3:6">
      <c r="C149" t="s">
        <v>851</v>
      </c>
      <c r="D149" t="s">
        <v>677</v>
      </c>
      <c r="E149" t="s">
        <v>690</v>
      </c>
      <c r="F149" s="137">
        <v>6.3899999999999998E-2</v>
      </c>
    </row>
    <row r="150" spans="3:6">
      <c r="C150" t="s">
        <v>852</v>
      </c>
      <c r="D150" t="s">
        <v>696</v>
      </c>
      <c r="E150" t="s">
        <v>745</v>
      </c>
      <c r="F150" s="137">
        <v>2.9600000000000001E-2</v>
      </c>
    </row>
    <row r="151" spans="3:6">
      <c r="C151" t="s">
        <v>853</v>
      </c>
      <c r="D151" t="s">
        <v>677</v>
      </c>
      <c r="E151" t="s">
        <v>716</v>
      </c>
      <c r="F151" s="137">
        <v>7.3700000000000002E-2</v>
      </c>
    </row>
    <row r="152" spans="3:6">
      <c r="C152" t="s">
        <v>854</v>
      </c>
      <c r="D152" t="s">
        <v>687</v>
      </c>
      <c r="E152" t="s">
        <v>705</v>
      </c>
      <c r="F152" s="137">
        <v>4.4299999999999999E-2</v>
      </c>
    </row>
    <row r="153" spans="3:6">
      <c r="C153" t="s">
        <v>855</v>
      </c>
      <c r="D153" t="s">
        <v>696</v>
      </c>
      <c r="E153" t="s">
        <v>688</v>
      </c>
      <c r="F153" s="137">
        <v>1.5699999999999999E-2</v>
      </c>
    </row>
    <row r="154" spans="3:6">
      <c r="C154" t="s">
        <v>856</v>
      </c>
      <c r="D154" t="s">
        <v>677</v>
      </c>
      <c r="E154" t="s">
        <v>690</v>
      </c>
      <c r="F154" s="137">
        <v>6.3899999999999998E-2</v>
      </c>
    </row>
    <row r="155" spans="3:6">
      <c r="C155" t="s">
        <v>857</v>
      </c>
      <c r="D155" t="s">
        <v>684</v>
      </c>
      <c r="E155" t="s">
        <v>721</v>
      </c>
      <c r="F155" s="137">
        <v>0.11799999999999999</v>
      </c>
    </row>
    <row r="156" spans="3:6">
      <c r="C156" t="s">
        <v>858</v>
      </c>
      <c r="D156" t="s">
        <v>681</v>
      </c>
      <c r="E156" t="s">
        <v>682</v>
      </c>
      <c r="F156" s="137">
        <v>4.8999999999999998E-3</v>
      </c>
    </row>
    <row r="157" spans="3:6">
      <c r="C157" t="s">
        <v>861</v>
      </c>
      <c r="D157" t="s">
        <v>692</v>
      </c>
      <c r="E157" t="s">
        <v>688</v>
      </c>
      <c r="F157" s="137">
        <v>1.5699999999999999E-2</v>
      </c>
    </row>
    <row r="158" spans="3:6">
      <c r="C158" t="s">
        <v>862</v>
      </c>
      <c r="D158" t="s">
        <v>684</v>
      </c>
      <c r="E158" t="s">
        <v>685</v>
      </c>
      <c r="F158" s="137">
        <v>3.5400000000000001E-2</v>
      </c>
    </row>
    <row r="159" spans="3:6">
      <c r="C159" t="s">
        <v>863</v>
      </c>
      <c r="D159" t="s">
        <v>692</v>
      </c>
      <c r="E159" t="s">
        <v>712</v>
      </c>
      <c r="F159" s="137">
        <v>0.17499999999999999</v>
      </c>
    </row>
    <row r="160" spans="3:6">
      <c r="C160" t="s">
        <v>864</v>
      </c>
      <c r="D160" t="s">
        <v>709</v>
      </c>
      <c r="E160" t="s">
        <v>745</v>
      </c>
      <c r="F160" s="137">
        <v>2.9600000000000001E-2</v>
      </c>
    </row>
    <row r="161" spans="3:6">
      <c r="C161" t="s">
        <v>865</v>
      </c>
      <c r="D161" t="s">
        <v>677</v>
      </c>
      <c r="E161" t="s">
        <v>741</v>
      </c>
      <c r="F161" s="137">
        <v>8.8499999999999995E-2</v>
      </c>
    </row>
  </sheetData>
  <sheetProtection sheet="1" objects="1" scenarios="1" selectLockedCells="1"/>
  <mergeCells count="1">
    <mergeCell ref="M5:N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9F70-1AC7-4770-89C8-0375429A7A8C}">
  <sheetPr>
    <tabColor theme="6" tint="-0.499984740745262"/>
  </sheetPr>
  <dimension ref="A1"/>
  <sheetViews>
    <sheetView workbookViewId="0"/>
  </sheetViews>
  <sheetFormatPr defaultRowHeight="14.4"/>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Y464"/>
  <sheetViews>
    <sheetView showGridLines="0" zoomScaleNormal="100" workbookViewId="0"/>
  </sheetViews>
  <sheetFormatPr defaultRowHeight="14.4"/>
  <cols>
    <col min="2" max="2" width="35.109375" customWidth="1"/>
    <col min="3" max="3" width="14.77734375" bestFit="1" customWidth="1"/>
    <col min="4" max="4" width="17.6640625" customWidth="1"/>
    <col min="5" max="5" width="14.5546875" bestFit="1" customWidth="1"/>
    <col min="6" max="6" width="11.33203125" bestFit="1" customWidth="1"/>
    <col min="7" max="7" width="17" bestFit="1" customWidth="1"/>
    <col min="8" max="8" width="18.5546875" bestFit="1" customWidth="1"/>
    <col min="20" max="20" width="10.88671875" bestFit="1" customWidth="1"/>
    <col min="21" max="21" width="8.21875" bestFit="1" customWidth="1"/>
  </cols>
  <sheetData>
    <row r="1" spans="1:25">
      <c r="A1" s="544"/>
    </row>
    <row r="3" spans="1:25" ht="51" customHeight="1">
      <c r="B3" s="476" t="s">
        <v>1037</v>
      </c>
    </row>
    <row r="5" spans="1:25">
      <c r="B5" t="s">
        <v>1038</v>
      </c>
    </row>
    <row r="6" spans="1:25">
      <c r="B6" t="s">
        <v>1039</v>
      </c>
    </row>
    <row r="15" spans="1:25">
      <c r="T15" t="s">
        <v>1057</v>
      </c>
      <c r="U15" t="s">
        <v>1058</v>
      </c>
    </row>
    <row r="16" spans="1:25">
      <c r="S16" s="479">
        <v>45870</v>
      </c>
      <c r="T16" t="s">
        <v>1059</v>
      </c>
      <c r="U16" s="477">
        <v>2606.8000000000002</v>
      </c>
      <c r="X16" s="479">
        <v>45891</v>
      </c>
      <c r="Y16" s="477">
        <v>2606.8000000000002</v>
      </c>
    </row>
    <row r="17" spans="3:25">
      <c r="S17" s="479">
        <v>45870</v>
      </c>
      <c r="T17" t="s">
        <v>1060</v>
      </c>
      <c r="U17" s="477">
        <v>2600.1</v>
      </c>
      <c r="X17" s="479">
        <v>45890</v>
      </c>
      <c r="Y17" s="477">
        <v>2600.1</v>
      </c>
    </row>
    <row r="18" spans="3:25">
      <c r="S18" s="479">
        <v>45870</v>
      </c>
      <c r="T18" t="s">
        <v>1061</v>
      </c>
      <c r="U18" s="477">
        <v>2506.6</v>
      </c>
      <c r="X18" s="479">
        <v>45889</v>
      </c>
      <c r="Y18" s="477">
        <v>2506.6</v>
      </c>
    </row>
    <row r="19" spans="3:25">
      <c r="S19" s="479">
        <v>45870</v>
      </c>
      <c r="T19" t="s">
        <v>1062</v>
      </c>
      <c r="U19" s="477">
        <v>2492.1999999999998</v>
      </c>
      <c r="X19" s="479">
        <v>45888</v>
      </c>
      <c r="Y19" s="477">
        <v>2492.1999999999998</v>
      </c>
    </row>
    <row r="20" spans="3:25">
      <c r="S20" s="479">
        <v>45870</v>
      </c>
      <c r="T20" t="s">
        <v>1063</v>
      </c>
      <c r="U20" s="477">
        <v>2472.4</v>
      </c>
      <c r="X20" s="479">
        <v>45887</v>
      </c>
      <c r="Y20" s="477">
        <v>2472.4</v>
      </c>
    </row>
    <row r="21" spans="3:25">
      <c r="S21" s="479">
        <v>45870</v>
      </c>
      <c r="T21" t="s">
        <v>1064</v>
      </c>
      <c r="U21" s="477">
        <v>2472.6</v>
      </c>
      <c r="X21" s="479">
        <v>45883</v>
      </c>
      <c r="Y21" s="477">
        <v>2472.6</v>
      </c>
    </row>
    <row r="22" spans="3:25">
      <c r="S22" s="479">
        <v>45870</v>
      </c>
      <c r="T22" t="s">
        <v>1065</v>
      </c>
      <c r="U22" s="477">
        <v>2466</v>
      </c>
      <c r="X22" s="479">
        <v>45882</v>
      </c>
      <c r="Y22" s="477">
        <v>2466</v>
      </c>
    </row>
    <row r="23" spans="3:25">
      <c r="S23" s="479">
        <v>45870</v>
      </c>
      <c r="T23" s="478">
        <v>45999</v>
      </c>
      <c r="U23" s="477">
        <v>2430.6999999999998</v>
      </c>
      <c r="X23" s="479">
        <v>45881</v>
      </c>
      <c r="Y23" s="477">
        <v>2430.6999999999998</v>
      </c>
    </row>
    <row r="24" spans="3:25">
      <c r="C24" t="s">
        <v>1041</v>
      </c>
      <c r="D24" s="104">
        <v>0.13300000000000001</v>
      </c>
      <c r="S24" s="479">
        <v>45870</v>
      </c>
      <c r="T24" s="478">
        <v>45969</v>
      </c>
      <c r="U24" s="477">
        <v>2437.5</v>
      </c>
      <c r="X24" s="479">
        <v>45880</v>
      </c>
      <c r="Y24" s="477">
        <v>2437.5</v>
      </c>
    </row>
    <row r="25" spans="3:25">
      <c r="C25" t="s">
        <v>1042</v>
      </c>
      <c r="D25" s="104">
        <v>0.11700000000000001</v>
      </c>
      <c r="S25" s="479">
        <v>45870</v>
      </c>
      <c r="T25" s="478">
        <v>45877</v>
      </c>
      <c r="U25" s="477">
        <v>2467.1</v>
      </c>
      <c r="X25" s="479">
        <v>45877</v>
      </c>
      <c r="Y25" s="477">
        <v>2467.1</v>
      </c>
    </row>
    <row r="26" spans="3:25">
      <c r="C26" t="s">
        <v>1043</v>
      </c>
      <c r="D26" s="104">
        <v>9.6000000000000002E-2</v>
      </c>
      <c r="S26" s="479">
        <v>45870</v>
      </c>
      <c r="T26" s="478">
        <v>45846</v>
      </c>
      <c r="U26" s="477">
        <v>2537.8000000000002</v>
      </c>
      <c r="X26" s="479">
        <v>45876</v>
      </c>
      <c r="Y26" s="477">
        <v>2537.8000000000002</v>
      </c>
    </row>
    <row r="27" spans="3:25">
      <c r="C27" t="s">
        <v>1044</v>
      </c>
      <c r="D27" s="104">
        <v>6.7000000000000004E-2</v>
      </c>
      <c r="S27" s="479">
        <v>45870</v>
      </c>
      <c r="T27" s="478">
        <v>45816</v>
      </c>
      <c r="U27" s="477">
        <v>2556.1999999999998</v>
      </c>
      <c r="X27" s="479">
        <v>45875</v>
      </c>
      <c r="Y27" s="477">
        <v>2556.1999999999998</v>
      </c>
    </row>
    <row r="28" spans="3:25">
      <c r="C28" t="s">
        <v>1047</v>
      </c>
      <c r="D28" s="104">
        <v>6.0999999999999999E-2</v>
      </c>
      <c r="S28" s="479">
        <v>45870</v>
      </c>
      <c r="T28" s="478">
        <v>45785</v>
      </c>
      <c r="U28" s="477">
        <v>2618.9</v>
      </c>
      <c r="X28" s="479">
        <v>45874</v>
      </c>
      <c r="Y28" s="477">
        <v>2618.9</v>
      </c>
    </row>
    <row r="29" spans="3:25">
      <c r="C29" t="s">
        <v>1045</v>
      </c>
      <c r="D29" s="104">
        <v>5.7000000000000002E-2</v>
      </c>
      <c r="S29" s="479">
        <v>45870</v>
      </c>
      <c r="T29" s="478">
        <v>45755</v>
      </c>
      <c r="U29" s="477">
        <v>2628.9</v>
      </c>
      <c r="X29" s="479">
        <v>45873</v>
      </c>
      <c r="Y29" s="477">
        <v>2628.9</v>
      </c>
    </row>
    <row r="30" spans="3:25">
      <c r="C30" t="s">
        <v>1046</v>
      </c>
      <c r="D30" s="104">
        <v>4.9000000000000002E-2</v>
      </c>
      <c r="S30" s="479">
        <v>45870</v>
      </c>
      <c r="T30" s="478">
        <v>45665</v>
      </c>
      <c r="U30" s="477">
        <v>2566.3000000000002</v>
      </c>
      <c r="X30" s="479">
        <v>45870</v>
      </c>
      <c r="Y30" s="477">
        <v>2566.3000000000002</v>
      </c>
    </row>
    <row r="31" spans="3:25">
      <c r="C31" t="s">
        <v>1048</v>
      </c>
      <c r="D31" s="76">
        <v>5.5E-2</v>
      </c>
      <c r="S31" s="479">
        <v>45839</v>
      </c>
      <c r="T31" t="s">
        <v>1066</v>
      </c>
      <c r="U31" s="477">
        <v>2567.1999999999998</v>
      </c>
      <c r="X31" s="479">
        <v>45869</v>
      </c>
      <c r="Y31" s="477">
        <v>2567.1999999999998</v>
      </c>
    </row>
    <row r="32" spans="3:25">
      <c r="C32" t="s">
        <v>1049</v>
      </c>
      <c r="D32" s="104">
        <v>3.4000000000000002E-2</v>
      </c>
      <c r="S32" s="479">
        <v>45839</v>
      </c>
      <c r="T32" t="s">
        <v>1067</v>
      </c>
      <c r="U32" s="477">
        <v>2575.5</v>
      </c>
      <c r="X32" s="479">
        <v>45868</v>
      </c>
      <c r="Y32" s="477">
        <v>2575.5</v>
      </c>
    </row>
    <row r="33" spans="3:25">
      <c r="C33" t="s">
        <v>1050</v>
      </c>
      <c r="D33" s="104">
        <v>3.04E-2</v>
      </c>
      <c r="S33" s="479">
        <v>45839</v>
      </c>
      <c r="T33" t="s">
        <v>1068</v>
      </c>
      <c r="U33" s="477">
        <v>2554.6999999999998</v>
      </c>
      <c r="X33" s="479">
        <v>45867</v>
      </c>
      <c r="Y33" s="477">
        <v>2554.6999999999998</v>
      </c>
    </row>
    <row r="34" spans="3:25">
      <c r="C34" t="s">
        <v>1051</v>
      </c>
      <c r="D34" s="104">
        <v>2.8899999999999999E-2</v>
      </c>
      <c r="S34" s="479">
        <v>45839</v>
      </c>
      <c r="T34" t="s">
        <v>1069</v>
      </c>
      <c r="U34" s="477">
        <v>2541.6</v>
      </c>
      <c r="X34" s="479">
        <v>45866</v>
      </c>
      <c r="Y34" s="477">
        <v>2541.6</v>
      </c>
    </row>
    <row r="35" spans="3:25">
      <c r="C35" t="s">
        <v>402</v>
      </c>
      <c r="D35" s="104">
        <f>1-SUM(D24:D34)</f>
        <v>0.27169999999999983</v>
      </c>
      <c r="S35" s="479">
        <v>45839</v>
      </c>
      <c r="T35" t="s">
        <v>1070</v>
      </c>
      <c r="U35" s="477">
        <v>2603.4</v>
      </c>
      <c r="X35" s="479">
        <v>45863</v>
      </c>
      <c r="Y35" s="477">
        <v>2603.4</v>
      </c>
    </row>
    <row r="36" spans="3:25">
      <c r="D36" s="137"/>
      <c r="S36" s="479">
        <v>45839</v>
      </c>
      <c r="T36" t="s">
        <v>1071</v>
      </c>
      <c r="U36" s="477">
        <v>2589.5</v>
      </c>
      <c r="X36" s="479">
        <v>45862</v>
      </c>
      <c r="Y36" s="477">
        <v>2589.5</v>
      </c>
    </row>
    <row r="37" spans="3:25">
      <c r="S37" s="479">
        <v>45839</v>
      </c>
      <c r="T37" t="s">
        <v>1072</v>
      </c>
      <c r="U37" s="477">
        <v>2599</v>
      </c>
      <c r="X37" s="479">
        <v>45861</v>
      </c>
      <c r="Y37" s="477">
        <v>2599</v>
      </c>
    </row>
    <row r="38" spans="3:25">
      <c r="S38" s="479">
        <v>45839</v>
      </c>
      <c r="T38" t="s">
        <v>1073</v>
      </c>
      <c r="U38" s="477">
        <v>2670.5</v>
      </c>
      <c r="X38" s="479">
        <v>45860</v>
      </c>
      <c r="Y38" s="477">
        <v>2670.5</v>
      </c>
    </row>
    <row r="39" spans="3:25">
      <c r="C39" t="s">
        <v>1040</v>
      </c>
      <c r="D39" s="102">
        <v>0.16</v>
      </c>
      <c r="S39" s="479">
        <v>45839</v>
      </c>
      <c r="T39" t="s">
        <v>1074</v>
      </c>
      <c r="U39" s="477">
        <v>2646</v>
      </c>
      <c r="X39" s="479">
        <v>45859</v>
      </c>
      <c r="Y39" s="477">
        <v>2646</v>
      </c>
    </row>
    <row r="40" spans="3:25">
      <c r="C40" t="s">
        <v>1052</v>
      </c>
      <c r="D40" s="102">
        <v>0.13</v>
      </c>
      <c r="S40" s="479">
        <v>45839</v>
      </c>
      <c r="T40" t="s">
        <v>1075</v>
      </c>
      <c r="U40" s="477">
        <v>2652.3</v>
      </c>
      <c r="X40" s="479">
        <v>45856</v>
      </c>
      <c r="Y40" s="477">
        <v>2652.3</v>
      </c>
    </row>
    <row r="41" spans="3:25">
      <c r="C41" t="s">
        <v>1053</v>
      </c>
      <c r="D41" s="102">
        <v>0.13</v>
      </c>
      <c r="S41" s="479">
        <v>45839</v>
      </c>
      <c r="T41" t="s">
        <v>1076</v>
      </c>
      <c r="U41" s="477">
        <v>2639.3</v>
      </c>
      <c r="X41" s="479">
        <v>45855</v>
      </c>
      <c r="Y41" s="477">
        <v>2639.3</v>
      </c>
    </row>
    <row r="42" spans="3:25">
      <c r="C42" t="s">
        <v>1054</v>
      </c>
      <c r="D42" s="102">
        <v>0.11</v>
      </c>
      <c r="S42" s="479">
        <v>45839</v>
      </c>
      <c r="T42" t="s">
        <v>1077</v>
      </c>
      <c r="U42" s="477">
        <v>2625.5</v>
      </c>
      <c r="X42" s="479">
        <v>45854</v>
      </c>
      <c r="Y42" s="477">
        <v>2625.5</v>
      </c>
    </row>
    <row r="43" spans="3:25">
      <c r="C43" t="s">
        <v>1055</v>
      </c>
      <c r="D43" s="102">
        <v>0.08</v>
      </c>
      <c r="S43" s="479">
        <v>45839</v>
      </c>
      <c r="T43" t="s">
        <v>1078</v>
      </c>
      <c r="U43" s="477">
        <v>2651</v>
      </c>
      <c r="X43" s="479">
        <v>45853</v>
      </c>
      <c r="Y43" s="477">
        <v>2651</v>
      </c>
    </row>
    <row r="44" spans="3:25">
      <c r="C44" t="s">
        <v>1056</v>
      </c>
      <c r="D44" s="102">
        <v>0.08</v>
      </c>
      <c r="S44" s="479">
        <v>45839</v>
      </c>
      <c r="T44" t="s">
        <v>1079</v>
      </c>
      <c r="U44" s="477">
        <v>2696.5</v>
      </c>
      <c r="X44" s="479">
        <v>45852</v>
      </c>
      <c r="Y44" s="477">
        <v>2696.5</v>
      </c>
    </row>
    <row r="45" spans="3:25">
      <c r="C45" t="s">
        <v>402</v>
      </c>
      <c r="D45" s="102">
        <f>1-SUM(D39:D44)</f>
        <v>0.31000000000000005</v>
      </c>
      <c r="S45" s="479">
        <v>45839</v>
      </c>
      <c r="T45" s="478">
        <v>45968</v>
      </c>
      <c r="U45" s="477">
        <v>2578.3000000000002</v>
      </c>
      <c r="X45" s="479">
        <v>45849</v>
      </c>
      <c r="Y45" s="477">
        <v>2578.3000000000002</v>
      </c>
    </row>
    <row r="46" spans="3:25">
      <c r="D46" s="102"/>
      <c r="S46" s="479">
        <v>45839</v>
      </c>
      <c r="T46" s="478">
        <v>45937</v>
      </c>
      <c r="U46" s="477">
        <v>2544</v>
      </c>
      <c r="X46" s="479">
        <v>45848</v>
      </c>
      <c r="Y46" s="477">
        <v>2544</v>
      </c>
    </row>
    <row r="47" spans="3:25">
      <c r="S47" s="479">
        <v>45839</v>
      </c>
      <c r="T47" s="478">
        <v>45907</v>
      </c>
      <c r="U47" s="477">
        <v>2526.6</v>
      </c>
      <c r="X47" s="479">
        <v>45847</v>
      </c>
      <c r="Y47" s="477">
        <v>2526.6</v>
      </c>
    </row>
    <row r="48" spans="3:25">
      <c r="S48" s="479">
        <v>45839</v>
      </c>
      <c r="T48" s="478">
        <v>45876</v>
      </c>
      <c r="U48" s="477">
        <v>2431.6999999999998</v>
      </c>
      <c r="X48" s="479">
        <v>45846</v>
      </c>
      <c r="Y48" s="477">
        <v>2431.6999999999998</v>
      </c>
    </row>
    <row r="49" spans="1:25">
      <c r="S49" s="479">
        <v>45839</v>
      </c>
      <c r="T49" s="478">
        <v>45845</v>
      </c>
      <c r="U49" s="477">
        <v>2410.4</v>
      </c>
      <c r="X49" s="479">
        <v>45845</v>
      </c>
      <c r="Y49" s="477">
        <v>2410.4</v>
      </c>
    </row>
    <row r="50" spans="1:25">
      <c r="S50" s="479">
        <v>45839</v>
      </c>
      <c r="T50" s="478">
        <v>45754</v>
      </c>
      <c r="U50" s="477">
        <v>2439.5</v>
      </c>
      <c r="X50" s="479">
        <v>45842</v>
      </c>
      <c r="Y50" s="477">
        <v>2439.5</v>
      </c>
    </row>
    <row r="51" spans="1:25">
      <c r="S51" s="479">
        <v>45839</v>
      </c>
      <c r="T51" s="478">
        <v>45723</v>
      </c>
      <c r="U51" s="477">
        <v>2361.6999999999998</v>
      </c>
      <c r="X51" s="479">
        <v>45841</v>
      </c>
      <c r="Y51" s="477">
        <v>2361.6999999999998</v>
      </c>
    </row>
    <row r="52" spans="1:25">
      <c r="S52" s="479">
        <v>45839</v>
      </c>
      <c r="T52" s="478">
        <v>45695</v>
      </c>
      <c r="U52" s="477">
        <v>2384.6999999999998</v>
      </c>
      <c r="X52" s="480">
        <v>45840</v>
      </c>
      <c r="Y52" s="481">
        <v>2384.6999999999998</v>
      </c>
    </row>
    <row r="53" spans="1:25">
      <c r="S53" s="479">
        <v>45839</v>
      </c>
      <c r="T53" s="478">
        <v>45664</v>
      </c>
      <c r="U53" s="477">
        <v>2287</v>
      </c>
      <c r="X53" s="480">
        <v>45839</v>
      </c>
      <c r="Y53" s="481">
        <v>2287</v>
      </c>
    </row>
    <row r="54" spans="1:25">
      <c r="S54" s="479">
        <v>45809</v>
      </c>
      <c r="T54" t="s">
        <v>1080</v>
      </c>
      <c r="U54" s="477">
        <v>2319.8000000000002</v>
      </c>
      <c r="X54" s="479">
        <v>45838</v>
      </c>
      <c r="Y54" s="477">
        <v>2319.8000000000002</v>
      </c>
    </row>
    <row r="55" spans="1:25">
      <c r="S55" s="479">
        <v>45809</v>
      </c>
      <c r="T55" t="s">
        <v>1081</v>
      </c>
      <c r="U55" s="477">
        <v>2333.4</v>
      </c>
      <c r="X55" s="479">
        <v>45835</v>
      </c>
      <c r="Y55" s="477">
        <v>2333.4</v>
      </c>
    </row>
    <row r="56" spans="1:25">
      <c r="S56" s="479">
        <v>45809</v>
      </c>
      <c r="T56" t="s">
        <v>1082</v>
      </c>
      <c r="U56" s="477">
        <v>2303.5</v>
      </c>
      <c r="X56" s="479">
        <v>45834</v>
      </c>
      <c r="Y56" s="477">
        <v>2303.5</v>
      </c>
    </row>
    <row r="57" spans="1:25">
      <c r="S57" s="479">
        <v>45809</v>
      </c>
      <c r="T57" t="s">
        <v>1083</v>
      </c>
      <c r="U57" s="477">
        <v>2308.8000000000002</v>
      </c>
      <c r="X57" s="479">
        <v>45833</v>
      </c>
      <c r="Y57" s="477">
        <v>2308.8000000000002</v>
      </c>
    </row>
    <row r="58" spans="1:25">
      <c r="S58" s="479">
        <v>45809</v>
      </c>
      <c r="T58" t="s">
        <v>1084</v>
      </c>
      <c r="U58" s="477">
        <v>2307.5</v>
      </c>
      <c r="X58" s="479">
        <v>45832</v>
      </c>
      <c r="Y58" s="477">
        <v>2307.5</v>
      </c>
    </row>
    <row r="59" spans="1:25">
      <c r="S59" s="479">
        <v>45809</v>
      </c>
      <c r="T59" t="s">
        <v>1085</v>
      </c>
      <c r="U59" s="477">
        <v>2300.6</v>
      </c>
      <c r="X59" s="479">
        <v>45831</v>
      </c>
      <c r="Y59" s="477">
        <v>2300.6</v>
      </c>
    </row>
    <row r="60" spans="1:25">
      <c r="S60" s="479">
        <v>45809</v>
      </c>
      <c r="T60" t="s">
        <v>1086</v>
      </c>
      <c r="U60" s="477">
        <v>2288.8000000000002</v>
      </c>
      <c r="X60" s="479">
        <v>45828</v>
      </c>
      <c r="Y60" s="477">
        <v>2288.8000000000002</v>
      </c>
    </row>
    <row r="61" spans="1:25">
      <c r="S61" s="479">
        <v>45809</v>
      </c>
      <c r="T61" t="s">
        <v>1087</v>
      </c>
      <c r="U61" s="477">
        <v>2325.1999999999998</v>
      </c>
      <c r="X61" s="479">
        <v>45827</v>
      </c>
      <c r="Y61" s="477">
        <v>2325.1999999999998</v>
      </c>
    </row>
    <row r="62" spans="1:25">
      <c r="S62" s="479">
        <v>45809</v>
      </c>
      <c r="T62" t="s">
        <v>1088</v>
      </c>
      <c r="U62" s="477">
        <v>2358.3000000000002</v>
      </c>
      <c r="X62" s="479">
        <v>45826</v>
      </c>
      <c r="Y62" s="477">
        <v>2358.3000000000002</v>
      </c>
    </row>
    <row r="63" spans="1:25">
      <c r="S63" s="479">
        <v>45809</v>
      </c>
      <c r="T63" t="s">
        <v>1089</v>
      </c>
      <c r="U63" s="477">
        <v>2353.1999999999998</v>
      </c>
      <c r="X63" s="479">
        <v>45825</v>
      </c>
      <c r="Y63" s="477">
        <v>2353.1999999999998</v>
      </c>
    </row>
    <row r="64" spans="1:25">
      <c r="A64" t="s">
        <v>23</v>
      </c>
      <c r="B64" s="20" t="s">
        <v>1219</v>
      </c>
      <c r="S64" s="479">
        <v>45809</v>
      </c>
      <c r="T64" t="s">
        <v>1090</v>
      </c>
      <c r="U64" s="477">
        <v>2370</v>
      </c>
      <c r="X64" s="479">
        <v>45824</v>
      </c>
      <c r="Y64" s="477">
        <v>2370</v>
      </c>
    </row>
    <row r="65" spans="2:25" ht="13.2" customHeight="1">
      <c r="S65" s="479">
        <v>45809</v>
      </c>
      <c r="T65" t="s">
        <v>1091</v>
      </c>
      <c r="U65" s="477">
        <v>2381.3000000000002</v>
      </c>
      <c r="X65" s="479">
        <v>45821</v>
      </c>
      <c r="Y65" s="477">
        <v>2381.3000000000002</v>
      </c>
    </row>
    <row r="66" spans="2:25">
      <c r="C66" s="20" t="s">
        <v>1216</v>
      </c>
      <c r="D66" s="20" t="s">
        <v>1217</v>
      </c>
      <c r="E66" s="20" t="s">
        <v>1218</v>
      </c>
      <c r="S66" s="479">
        <v>45809</v>
      </c>
      <c r="T66" s="478">
        <v>45997</v>
      </c>
      <c r="U66" s="477">
        <v>2390</v>
      </c>
      <c r="X66" s="479">
        <v>45820</v>
      </c>
      <c r="Y66" s="477">
        <v>2390</v>
      </c>
    </row>
    <row r="67" spans="2:25">
      <c r="B67" s="482" t="s">
        <v>1210</v>
      </c>
      <c r="C67" s="103">
        <v>3.3000000000000002E-2</v>
      </c>
      <c r="D67" s="103">
        <v>2.7999999999999997E-2</v>
      </c>
      <c r="E67" s="103">
        <v>0.03</v>
      </c>
      <c r="S67" s="479">
        <v>45809</v>
      </c>
      <c r="T67" s="478">
        <v>45967</v>
      </c>
      <c r="U67" s="477">
        <v>2378.8000000000002</v>
      </c>
      <c r="X67" s="479">
        <v>45819</v>
      </c>
      <c r="Y67" s="477">
        <v>2378.8000000000002</v>
      </c>
    </row>
    <row r="68" spans="2:25">
      <c r="B68" s="20" t="s">
        <v>1212</v>
      </c>
      <c r="C68" s="103">
        <v>1.8000000000000002E-2</v>
      </c>
      <c r="D68" s="103">
        <v>1.3999999999999999E-2</v>
      </c>
      <c r="E68" s="103">
        <v>1.4999999999999999E-2</v>
      </c>
      <c r="S68" s="479">
        <v>45809</v>
      </c>
      <c r="T68" s="478">
        <v>45936</v>
      </c>
      <c r="U68" s="477">
        <v>2376.4</v>
      </c>
      <c r="X68" s="479">
        <v>45818</v>
      </c>
      <c r="Y68" s="477">
        <v>2376.4</v>
      </c>
    </row>
    <row r="69" spans="2:25">
      <c r="B69" s="20" t="s">
        <v>1211</v>
      </c>
      <c r="C69" s="103">
        <v>4.2999999999999997E-2</v>
      </c>
      <c r="D69" s="103">
        <v>3.7000000000000005E-2</v>
      </c>
      <c r="E69" s="103">
        <v>3.9E-2</v>
      </c>
      <c r="S69" s="479">
        <v>45809</v>
      </c>
      <c r="T69" s="478">
        <v>45906</v>
      </c>
      <c r="U69" s="477">
        <v>2356.6999999999998</v>
      </c>
      <c r="X69" s="479">
        <v>45817</v>
      </c>
      <c r="Y69" s="477">
        <v>2356.6999999999998</v>
      </c>
    </row>
    <row r="70" spans="2:25">
      <c r="B70" s="20" t="s">
        <v>1213</v>
      </c>
      <c r="C70" s="103">
        <v>9.0000000000000011E-3</v>
      </c>
      <c r="D70" s="103">
        <v>8.0000000000000002E-3</v>
      </c>
      <c r="E70" s="103">
        <v>1.2E-2</v>
      </c>
      <c r="S70" s="479">
        <v>45809</v>
      </c>
      <c r="T70" s="478">
        <v>45814</v>
      </c>
      <c r="U70" s="477">
        <v>2352.4</v>
      </c>
      <c r="X70" s="479">
        <v>45814</v>
      </c>
      <c r="Y70" s="477">
        <v>2352.4</v>
      </c>
    </row>
    <row r="71" spans="2:25">
      <c r="B71" s="20" t="s">
        <v>1214</v>
      </c>
      <c r="C71" s="103">
        <v>2.7999999999999997E-2</v>
      </c>
      <c r="D71" s="103">
        <v>1.8000000000000002E-2</v>
      </c>
      <c r="E71" s="103">
        <v>1.7000000000000001E-2</v>
      </c>
      <c r="S71" s="479">
        <v>45809</v>
      </c>
      <c r="T71" s="478">
        <v>45783</v>
      </c>
      <c r="U71" s="477">
        <v>2359.1999999999998</v>
      </c>
      <c r="X71" s="479">
        <v>45813</v>
      </c>
      <c r="Y71" s="477">
        <v>2359.1999999999998</v>
      </c>
    </row>
    <row r="72" spans="2:25">
      <c r="B72" s="20" t="s">
        <v>781</v>
      </c>
      <c r="C72" s="103">
        <v>1E-3</v>
      </c>
      <c r="D72" s="103">
        <v>6.0000000000000001E-3</v>
      </c>
      <c r="E72" s="103">
        <v>6.0000000000000001E-3</v>
      </c>
      <c r="S72" s="479">
        <v>45809</v>
      </c>
      <c r="T72" s="478">
        <v>45753</v>
      </c>
      <c r="U72" s="477">
        <v>2345.9</v>
      </c>
      <c r="X72" s="479">
        <v>45812</v>
      </c>
      <c r="Y72" s="477">
        <v>2345.9</v>
      </c>
    </row>
    <row r="73" spans="2:25">
      <c r="B73" s="20" t="s">
        <v>1215</v>
      </c>
      <c r="C73" s="103">
        <v>1.1000000000000001E-2</v>
      </c>
      <c r="D73" s="103">
        <v>1.1000000000000001E-2</v>
      </c>
      <c r="E73" s="103">
        <v>1.3999999999999999E-2</v>
      </c>
      <c r="S73" s="479">
        <v>45809</v>
      </c>
      <c r="T73" s="478">
        <v>45722</v>
      </c>
      <c r="U73" s="477">
        <v>2352.4</v>
      </c>
      <c r="X73" s="479">
        <v>45811</v>
      </c>
      <c r="Y73" s="477">
        <v>2352.4</v>
      </c>
    </row>
    <row r="74" spans="2:25">
      <c r="B74" s="20" t="s">
        <v>736</v>
      </c>
      <c r="C74" s="103">
        <v>0.05</v>
      </c>
      <c r="D74" s="103">
        <v>0.04</v>
      </c>
      <c r="E74" s="103">
        <v>0.04</v>
      </c>
      <c r="S74" s="479">
        <v>45809</v>
      </c>
      <c r="T74" s="478">
        <v>45694</v>
      </c>
      <c r="U74" s="477">
        <v>2414.3000000000002</v>
      </c>
      <c r="X74" s="479">
        <v>45810</v>
      </c>
      <c r="Y74" s="477">
        <v>2414.3000000000002</v>
      </c>
    </row>
    <row r="75" spans="2:25">
      <c r="B75" s="20" t="s">
        <v>773</v>
      </c>
      <c r="C75" s="103">
        <v>6.5000000000000002E-2</v>
      </c>
      <c r="D75" s="103">
        <v>6.2E-2</v>
      </c>
      <c r="E75" s="103">
        <v>6.3E-2</v>
      </c>
      <c r="S75" s="479">
        <v>45778</v>
      </c>
      <c r="T75" t="s">
        <v>1092</v>
      </c>
      <c r="U75" s="477">
        <v>2467.6999999999998</v>
      </c>
      <c r="X75" s="479">
        <v>45807</v>
      </c>
      <c r="Y75" s="477">
        <v>2467.6999999999998</v>
      </c>
    </row>
    <row r="76" spans="2:25">
      <c r="S76" s="479">
        <v>45778</v>
      </c>
      <c r="T76" t="s">
        <v>1093</v>
      </c>
      <c r="U76" s="477">
        <v>2461.8000000000002</v>
      </c>
      <c r="X76" s="479">
        <v>45806</v>
      </c>
      <c r="Y76" s="477">
        <v>2461.8000000000002</v>
      </c>
    </row>
    <row r="77" spans="2:25">
      <c r="S77" s="479">
        <v>45778</v>
      </c>
      <c r="T77" t="s">
        <v>1094</v>
      </c>
      <c r="U77" s="477">
        <v>2483.8000000000002</v>
      </c>
      <c r="X77" s="479">
        <v>45805</v>
      </c>
      <c r="Y77" s="477">
        <v>2483.8000000000002</v>
      </c>
    </row>
    <row r="78" spans="2:25">
      <c r="S78" s="479">
        <v>45778</v>
      </c>
      <c r="T78" t="s">
        <v>1095</v>
      </c>
      <c r="U78" s="477">
        <v>2454.8000000000002</v>
      </c>
      <c r="X78" s="479">
        <v>45804</v>
      </c>
      <c r="Y78" s="477">
        <v>2454.8000000000002</v>
      </c>
    </row>
    <row r="79" spans="2:25">
      <c r="B79" s="20"/>
      <c r="C79" s="20" t="s">
        <v>773</v>
      </c>
      <c r="D79" s="20" t="s">
        <v>1210</v>
      </c>
      <c r="S79" s="479">
        <v>45778</v>
      </c>
      <c r="T79" t="s">
        <v>1096</v>
      </c>
      <c r="U79" s="477">
        <v>2430.3000000000002</v>
      </c>
      <c r="X79" s="479">
        <v>45803</v>
      </c>
      <c r="Y79" s="477">
        <v>2430.3000000000002</v>
      </c>
    </row>
    <row r="80" spans="2:25">
      <c r="B80">
        <v>2018</v>
      </c>
      <c r="C80" s="76">
        <v>6.8000000000000005E-2</v>
      </c>
      <c r="D80" s="137">
        <v>3.2800000000000003E-2</v>
      </c>
      <c r="S80" s="479">
        <v>45778</v>
      </c>
      <c r="T80" t="s">
        <v>1097</v>
      </c>
      <c r="U80" s="477">
        <v>2432.4</v>
      </c>
      <c r="X80" s="479">
        <v>45800</v>
      </c>
      <c r="Y80" s="477">
        <v>2432.4</v>
      </c>
    </row>
    <row r="81" spans="1:25">
      <c r="B81">
        <f>B80+1</f>
        <v>2019</v>
      </c>
      <c r="C81" s="76">
        <v>6.5000000000000002E-2</v>
      </c>
      <c r="D81" s="137">
        <v>2.69E-2</v>
      </c>
      <c r="S81" s="479">
        <v>45778</v>
      </c>
      <c r="T81" t="s">
        <v>1098</v>
      </c>
      <c r="U81" s="477">
        <v>2439.1999999999998</v>
      </c>
      <c r="X81" s="479">
        <v>45799</v>
      </c>
      <c r="Y81" s="477">
        <v>2439.1999999999998</v>
      </c>
    </row>
    <row r="82" spans="1:25">
      <c r="B82">
        <f t="shared" ref="B82:B86" si="0">B81+1</f>
        <v>2020</v>
      </c>
      <c r="C82" s="76">
        <v>3.9E-2</v>
      </c>
      <c r="D82" s="137">
        <v>-3.0700000000000002E-2</v>
      </c>
      <c r="S82" s="479">
        <v>45778</v>
      </c>
      <c r="T82" t="s">
        <v>1099</v>
      </c>
      <c r="U82" s="477">
        <v>2531.4</v>
      </c>
      <c r="X82" s="479">
        <v>45798</v>
      </c>
      <c r="Y82" s="477">
        <v>2531.4</v>
      </c>
    </row>
    <row r="83" spans="1:25">
      <c r="B83">
        <f t="shared" si="0"/>
        <v>2021</v>
      </c>
      <c r="C83" s="76">
        <v>-5.7999999999999996E-2</v>
      </c>
      <c r="D83" s="137">
        <v>6.0199999999999997E-2</v>
      </c>
      <c r="S83" s="479">
        <v>45778</v>
      </c>
      <c r="T83" t="s">
        <v>1100</v>
      </c>
      <c r="U83" s="477">
        <v>2549.1999999999998</v>
      </c>
      <c r="X83" s="479">
        <v>45797</v>
      </c>
      <c r="Y83" s="477">
        <v>2549.1999999999998</v>
      </c>
    </row>
    <row r="84" spans="1:25">
      <c r="B84">
        <f t="shared" si="0"/>
        <v>2022</v>
      </c>
      <c r="C84" s="76">
        <v>9.6999999999999989E-2</v>
      </c>
      <c r="D84" s="137">
        <v>3.0800000000000001E-2</v>
      </c>
      <c r="S84" s="479">
        <v>45778</v>
      </c>
      <c r="T84" t="s">
        <v>1101</v>
      </c>
      <c r="U84" s="477">
        <v>2564.1999999999998</v>
      </c>
      <c r="X84" s="479">
        <v>45796</v>
      </c>
      <c r="Y84" s="477">
        <v>2564.1999999999998</v>
      </c>
    </row>
    <row r="85" spans="1:25">
      <c r="B85">
        <f t="shared" si="0"/>
        <v>2023</v>
      </c>
      <c r="C85" s="76">
        <v>7.5999999999999998E-2</v>
      </c>
      <c r="D85" s="137">
        <v>2.8299999999999999E-2</v>
      </c>
      <c r="S85" s="479">
        <v>45778</v>
      </c>
      <c r="T85" t="s">
        <v>1102</v>
      </c>
      <c r="U85" s="477">
        <v>2572.6999999999998</v>
      </c>
      <c r="X85" s="479">
        <v>45793</v>
      </c>
      <c r="Y85" s="477">
        <v>2572.6999999999998</v>
      </c>
    </row>
    <row r="86" spans="1:25">
      <c r="B86">
        <f t="shared" si="0"/>
        <v>2024</v>
      </c>
      <c r="C86" s="76">
        <v>9.1999999999999998E-2</v>
      </c>
      <c r="D86" s="137">
        <v>3.2000000000000001E-2</v>
      </c>
      <c r="S86" s="479">
        <v>45778</v>
      </c>
      <c r="T86" t="s">
        <v>1103</v>
      </c>
      <c r="U86" s="477">
        <v>2559.9</v>
      </c>
      <c r="X86" s="479">
        <v>45792</v>
      </c>
      <c r="Y86" s="477">
        <v>2559.9</v>
      </c>
    </row>
    <row r="87" spans="1:25">
      <c r="B87" s="190" t="s">
        <v>1217</v>
      </c>
      <c r="C87" s="76">
        <v>6.5000000000000002E-2</v>
      </c>
      <c r="D87" s="137">
        <v>0.03</v>
      </c>
      <c r="S87" s="479">
        <v>45778</v>
      </c>
      <c r="T87" t="s">
        <v>1104</v>
      </c>
      <c r="U87" s="477">
        <v>2554.6</v>
      </c>
      <c r="X87" s="479">
        <v>45791</v>
      </c>
      <c r="Y87" s="477">
        <v>2554.6</v>
      </c>
    </row>
    <row r="88" spans="1:25">
      <c r="S88" s="479">
        <v>45778</v>
      </c>
      <c r="T88" t="s">
        <v>1105</v>
      </c>
      <c r="U88" s="477">
        <v>2547.3000000000002</v>
      </c>
      <c r="X88" s="479">
        <v>45790</v>
      </c>
      <c r="Y88" s="477">
        <v>2547.3000000000002</v>
      </c>
    </row>
    <row r="89" spans="1:25">
      <c r="S89" s="479">
        <v>45778</v>
      </c>
      <c r="T89" s="478">
        <v>45996</v>
      </c>
      <c r="U89" s="477">
        <v>2500</v>
      </c>
      <c r="X89" s="479">
        <v>45789</v>
      </c>
      <c r="Y89" s="477">
        <v>2500</v>
      </c>
    </row>
    <row r="90" spans="1:25">
      <c r="A90" s="20" t="s">
        <v>1220</v>
      </c>
      <c r="D90" s="20" t="s">
        <v>21</v>
      </c>
      <c r="E90" s="20" t="s">
        <v>1228</v>
      </c>
      <c r="S90" s="479">
        <v>45778</v>
      </c>
      <c r="T90" s="478">
        <v>45905</v>
      </c>
      <c r="U90" s="477">
        <v>2408.1999999999998</v>
      </c>
      <c r="X90" s="479">
        <v>45786</v>
      </c>
      <c r="Y90" s="477">
        <v>2408.1999999999998</v>
      </c>
    </row>
    <row r="91" spans="1:25">
      <c r="C91" t="s">
        <v>1229</v>
      </c>
      <c r="D91" s="137">
        <v>7.8E-2</v>
      </c>
      <c r="E91" s="137">
        <v>7.6999999999999999E-2</v>
      </c>
      <c r="S91" s="479">
        <v>45778</v>
      </c>
      <c r="T91" s="478">
        <v>45874</v>
      </c>
      <c r="U91" s="477">
        <v>2439.5</v>
      </c>
      <c r="X91" s="479">
        <v>45785</v>
      </c>
      <c r="Y91" s="477">
        <v>2439.5</v>
      </c>
    </row>
    <row r="92" spans="1:25">
      <c r="C92" t="s">
        <v>1221</v>
      </c>
      <c r="D92" s="137">
        <v>7.5999999999999998E-2</v>
      </c>
      <c r="E92" s="137">
        <v>6.8000000000000005E-2</v>
      </c>
      <c r="S92" s="479">
        <v>45778</v>
      </c>
      <c r="T92" s="478">
        <v>45843</v>
      </c>
      <c r="U92" s="477">
        <v>2432.4</v>
      </c>
      <c r="X92" s="479">
        <v>45784</v>
      </c>
      <c r="Y92" s="477">
        <v>2432.4</v>
      </c>
    </row>
    <row r="93" spans="1:25">
      <c r="C93" t="s">
        <v>1222</v>
      </c>
      <c r="D93" s="137">
        <v>8.4000000000000005E-2</v>
      </c>
      <c r="E93" s="137">
        <v>6.6000000000000003E-2</v>
      </c>
      <c r="S93" s="479">
        <v>45778</v>
      </c>
      <c r="T93" s="478">
        <v>45813</v>
      </c>
      <c r="U93" s="477">
        <v>2368.6999999999998</v>
      </c>
      <c r="X93" s="479">
        <v>45783</v>
      </c>
      <c r="Y93" s="477">
        <v>2368.6999999999998</v>
      </c>
    </row>
    <row r="94" spans="1:25">
      <c r="C94" t="s">
        <v>1223</v>
      </c>
      <c r="D94" s="137">
        <v>7.8E-2</v>
      </c>
      <c r="E94" s="137">
        <v>6.7000000000000004E-2</v>
      </c>
      <c r="S94" s="479">
        <v>45778</v>
      </c>
      <c r="T94" s="478">
        <v>45782</v>
      </c>
      <c r="U94" s="477">
        <v>2415.4</v>
      </c>
      <c r="X94" s="479">
        <v>45782</v>
      </c>
      <c r="Y94" s="477">
        <v>2415.4</v>
      </c>
    </row>
    <row r="95" spans="1:25">
      <c r="C95" t="s">
        <v>1224</v>
      </c>
      <c r="D95" s="137">
        <v>6.7000000000000004E-2</v>
      </c>
      <c r="E95" s="137">
        <v>6.9000000000000006E-2</v>
      </c>
      <c r="S95" s="479">
        <v>45778</v>
      </c>
      <c r="T95" s="478">
        <v>45693</v>
      </c>
      <c r="U95" s="477">
        <v>2385.8000000000002</v>
      </c>
      <c r="X95" s="479">
        <v>45779</v>
      </c>
      <c r="Y95" s="477">
        <v>2385.8000000000002</v>
      </c>
    </row>
    <row r="96" spans="1:25">
      <c r="C96" t="s">
        <v>1225</v>
      </c>
      <c r="D96" s="137">
        <v>5.3999999999999999E-2</v>
      </c>
      <c r="E96" s="137">
        <v>6.5000000000000002E-2</v>
      </c>
      <c r="S96" s="479">
        <v>45748</v>
      </c>
      <c r="T96" t="s">
        <v>1106</v>
      </c>
      <c r="U96" s="477">
        <v>2465.3000000000002</v>
      </c>
      <c r="X96" s="479">
        <v>45777</v>
      </c>
      <c r="Y96" s="477">
        <v>2465.3000000000002</v>
      </c>
    </row>
    <row r="97" spans="3:25">
      <c r="C97" t="s">
        <v>1226</v>
      </c>
      <c r="D97" s="137">
        <v>6.2E-2</v>
      </c>
      <c r="E97" s="137">
        <v>6.3E-2</v>
      </c>
      <c r="S97" s="479">
        <v>45748</v>
      </c>
      <c r="T97" t="s">
        <v>1107</v>
      </c>
      <c r="U97" s="477">
        <v>2556.9</v>
      </c>
      <c r="X97" s="479">
        <v>45776</v>
      </c>
      <c r="Y97" s="477">
        <v>2556.9</v>
      </c>
    </row>
    <row r="98" spans="3:25">
      <c r="C98" t="s">
        <v>1227</v>
      </c>
      <c r="D98" s="137">
        <v>7.3999999999999996E-2</v>
      </c>
      <c r="E98" s="137">
        <v>6.7000000000000004E-2</v>
      </c>
      <c r="S98" s="479">
        <v>45748</v>
      </c>
      <c r="T98" t="s">
        <v>1108</v>
      </c>
      <c r="U98" s="477">
        <v>2560.4</v>
      </c>
      <c r="X98" s="479">
        <v>45775</v>
      </c>
      <c r="Y98" s="477">
        <v>2560.4</v>
      </c>
    </row>
    <row r="99" spans="3:25">
      <c r="S99" s="479">
        <v>45748</v>
      </c>
      <c r="T99" t="s">
        <v>1109</v>
      </c>
      <c r="U99" s="477">
        <v>2557.5</v>
      </c>
      <c r="X99" s="479">
        <v>45772</v>
      </c>
      <c r="Y99" s="477">
        <v>2557.5</v>
      </c>
    </row>
    <row r="100" spans="3:25">
      <c r="S100" s="479">
        <v>45748</v>
      </c>
      <c r="T100" t="s">
        <v>1110</v>
      </c>
      <c r="U100" s="477">
        <v>2599.1999999999998</v>
      </c>
      <c r="X100" s="479">
        <v>45771</v>
      </c>
      <c r="Y100" s="477">
        <v>2599.1999999999998</v>
      </c>
    </row>
    <row r="101" spans="3:25">
      <c r="S101" s="479">
        <v>45748</v>
      </c>
      <c r="T101" t="s">
        <v>1111</v>
      </c>
      <c r="U101" s="477">
        <v>2545.5</v>
      </c>
      <c r="X101" s="479">
        <v>45770</v>
      </c>
      <c r="Y101" s="477">
        <v>2545.5</v>
      </c>
    </row>
    <row r="102" spans="3:25">
      <c r="S102" s="479">
        <v>45748</v>
      </c>
      <c r="T102" t="s">
        <v>1112</v>
      </c>
      <c r="U102" s="477">
        <v>2579.5</v>
      </c>
      <c r="X102" s="479">
        <v>45769</v>
      </c>
      <c r="Y102" s="477">
        <v>2579.5</v>
      </c>
    </row>
    <row r="103" spans="3:25">
      <c r="S103" s="479">
        <v>45748</v>
      </c>
      <c r="T103" t="s">
        <v>1113</v>
      </c>
      <c r="U103" s="477">
        <v>2588.4</v>
      </c>
      <c r="X103" s="479">
        <v>45768</v>
      </c>
      <c r="Y103" s="477">
        <v>2588.4</v>
      </c>
    </row>
    <row r="104" spans="3:25">
      <c r="S104" s="479">
        <v>45748</v>
      </c>
      <c r="T104" t="s">
        <v>1114</v>
      </c>
      <c r="U104" s="477">
        <v>2581.6</v>
      </c>
      <c r="X104" s="479">
        <v>45764</v>
      </c>
      <c r="Y104" s="477">
        <v>2581.6</v>
      </c>
    </row>
    <row r="105" spans="3:25">
      <c r="S105" s="479">
        <v>45748</v>
      </c>
      <c r="T105" t="s">
        <v>1115</v>
      </c>
      <c r="U105" s="477">
        <v>2520</v>
      </c>
      <c r="X105" s="479">
        <v>45763</v>
      </c>
      <c r="Y105" s="477">
        <v>2520</v>
      </c>
    </row>
    <row r="106" spans="3:25">
      <c r="S106" s="479">
        <v>45748</v>
      </c>
      <c r="T106" t="s">
        <v>1116</v>
      </c>
      <c r="U106" s="477">
        <v>2426.1</v>
      </c>
      <c r="X106" s="479">
        <v>45762</v>
      </c>
      <c r="Y106" s="477">
        <v>2426.1</v>
      </c>
    </row>
    <row r="107" spans="3:25">
      <c r="S107" s="479">
        <v>45748</v>
      </c>
      <c r="T107" s="478">
        <v>45965</v>
      </c>
      <c r="U107" s="477">
        <v>2350.5</v>
      </c>
      <c r="X107" s="479">
        <v>45758</v>
      </c>
      <c r="Y107" s="477">
        <v>2350.5</v>
      </c>
    </row>
    <row r="108" spans="3:25">
      <c r="S108" s="479">
        <v>45748</v>
      </c>
      <c r="T108" s="478">
        <v>45904</v>
      </c>
      <c r="U108" s="477">
        <v>2313.9499999999998</v>
      </c>
      <c r="X108" s="479">
        <v>45756</v>
      </c>
      <c r="Y108" s="477">
        <v>2313.9499999999998</v>
      </c>
    </row>
    <row r="109" spans="3:25">
      <c r="S109" s="479">
        <v>45748</v>
      </c>
      <c r="T109" s="478">
        <v>45873</v>
      </c>
      <c r="U109" s="477">
        <v>2347.5</v>
      </c>
      <c r="X109" s="479">
        <v>45755</v>
      </c>
      <c r="Y109" s="477">
        <v>2347.5</v>
      </c>
    </row>
    <row r="110" spans="3:25">
      <c r="S110" s="479">
        <v>45748</v>
      </c>
      <c r="T110" s="478">
        <v>45842</v>
      </c>
      <c r="U110" s="477">
        <v>2383.4499999999998</v>
      </c>
      <c r="X110" s="479">
        <v>45754</v>
      </c>
      <c r="Y110" s="477">
        <v>2383.4499999999998</v>
      </c>
    </row>
    <row r="111" spans="3:25">
      <c r="S111" s="479">
        <v>45748</v>
      </c>
      <c r="T111" s="478">
        <v>45751</v>
      </c>
      <c r="U111" s="477">
        <v>2451.1999999999998</v>
      </c>
      <c r="X111" s="479">
        <v>45751</v>
      </c>
      <c r="Y111" s="477">
        <v>2451.1999999999998</v>
      </c>
    </row>
    <row r="112" spans="3:25">
      <c r="S112" s="479">
        <v>45748</v>
      </c>
      <c r="T112" s="478">
        <v>45720</v>
      </c>
      <c r="U112" s="477">
        <v>2427.6999999999998</v>
      </c>
      <c r="X112" s="479">
        <v>45750</v>
      </c>
      <c r="Y112" s="477">
        <v>2427.6999999999998</v>
      </c>
    </row>
    <row r="113" spans="9:25">
      <c r="S113" s="479">
        <v>45748</v>
      </c>
      <c r="T113" s="478">
        <v>45692</v>
      </c>
      <c r="U113" s="477">
        <v>2421.9</v>
      </c>
      <c r="X113" s="479">
        <v>45749</v>
      </c>
      <c r="Y113" s="477">
        <v>2421.9</v>
      </c>
    </row>
    <row r="114" spans="9:25">
      <c r="S114" s="479">
        <v>45748</v>
      </c>
      <c r="T114" s="478">
        <v>45661</v>
      </c>
      <c r="U114" s="477">
        <v>2458.1</v>
      </c>
      <c r="X114" s="479">
        <v>45748</v>
      </c>
      <c r="Y114" s="477">
        <v>2458.1</v>
      </c>
    </row>
    <row r="115" spans="9:25">
      <c r="S115" s="479">
        <v>45717</v>
      </c>
      <c r="T115" t="s">
        <v>1117</v>
      </c>
      <c r="U115" s="477">
        <v>2424.75</v>
      </c>
      <c r="X115" s="479">
        <v>45744</v>
      </c>
      <c r="Y115" s="477">
        <v>2424.75</v>
      </c>
    </row>
    <row r="116" spans="9:25">
      <c r="S116" s="479">
        <v>45717</v>
      </c>
      <c r="T116" t="s">
        <v>1118</v>
      </c>
      <c r="U116" s="477">
        <v>2452.15</v>
      </c>
      <c r="X116" s="479">
        <v>45743</v>
      </c>
      <c r="Y116" s="477">
        <v>2452.15</v>
      </c>
    </row>
    <row r="117" spans="9:25">
      <c r="S117" s="479">
        <v>45717</v>
      </c>
      <c r="T117" t="s">
        <v>1119</v>
      </c>
      <c r="U117" s="477">
        <v>2403.6999999999998</v>
      </c>
      <c r="X117" s="479">
        <v>45742</v>
      </c>
      <c r="Y117" s="477">
        <v>2403.6999999999998</v>
      </c>
    </row>
    <row r="118" spans="9:25">
      <c r="S118" s="479">
        <v>45717</v>
      </c>
      <c r="T118" t="s">
        <v>1120</v>
      </c>
      <c r="U118" s="477">
        <v>2398.0500000000002</v>
      </c>
      <c r="X118" s="479">
        <v>45741</v>
      </c>
      <c r="Y118" s="477">
        <v>2398.0500000000002</v>
      </c>
    </row>
    <row r="119" spans="9:25">
      <c r="S119" s="479">
        <v>45717</v>
      </c>
      <c r="T119" t="s">
        <v>1121</v>
      </c>
      <c r="U119" s="477">
        <v>2372.15</v>
      </c>
      <c r="X119" s="479">
        <v>45740</v>
      </c>
      <c r="Y119" s="477">
        <v>2372.15</v>
      </c>
    </row>
    <row r="120" spans="9:25">
      <c r="S120" s="479">
        <v>45717</v>
      </c>
      <c r="T120" t="s">
        <v>1122</v>
      </c>
      <c r="U120" s="477">
        <v>2415.0500000000002</v>
      </c>
      <c r="X120" s="479">
        <v>45737</v>
      </c>
      <c r="Y120" s="477">
        <v>2415.0500000000002</v>
      </c>
    </row>
    <row r="121" spans="9:25">
      <c r="S121" s="479">
        <v>45717</v>
      </c>
      <c r="T121" t="s">
        <v>1123</v>
      </c>
      <c r="U121" s="477">
        <v>2244.85</v>
      </c>
      <c r="X121" s="479">
        <v>45736</v>
      </c>
      <c r="Y121" s="477">
        <v>2244.85</v>
      </c>
    </row>
    <row r="122" spans="9:25">
      <c r="S122" s="479">
        <v>45717</v>
      </c>
      <c r="T122" t="s">
        <v>1124</v>
      </c>
      <c r="U122" s="477">
        <v>2161.6999999999998</v>
      </c>
      <c r="X122" s="479">
        <v>45735</v>
      </c>
      <c r="Y122" s="477">
        <v>2161.6999999999998</v>
      </c>
    </row>
    <row r="123" spans="9:25">
      <c r="J123" t="s">
        <v>1231</v>
      </c>
      <c r="S123" s="479">
        <v>45717</v>
      </c>
      <c r="T123" t="s">
        <v>1125</v>
      </c>
      <c r="U123" s="477">
        <v>2145.8000000000002</v>
      </c>
      <c r="X123" s="479">
        <v>45734</v>
      </c>
      <c r="Y123" s="477">
        <v>2145.8000000000002</v>
      </c>
    </row>
    <row r="124" spans="9:25">
      <c r="I124" s="485">
        <v>2018</v>
      </c>
      <c r="J124">
        <v>1.71</v>
      </c>
      <c r="S124" s="479">
        <v>45717</v>
      </c>
      <c r="T124" t="s">
        <v>1126</v>
      </c>
      <c r="U124" s="477">
        <v>2170.9499999999998</v>
      </c>
      <c r="X124" s="479">
        <v>45733</v>
      </c>
      <c r="Y124" s="477">
        <v>2170.9499999999998</v>
      </c>
    </row>
    <row r="125" spans="9:25">
      <c r="I125" s="485">
        <f>I124+1</f>
        <v>2019</v>
      </c>
      <c r="J125">
        <v>1.91</v>
      </c>
      <c r="S125" s="479">
        <v>45717</v>
      </c>
      <c r="T125" t="s">
        <v>1127</v>
      </c>
      <c r="U125" s="477">
        <v>2201.15</v>
      </c>
      <c r="X125" s="479">
        <v>45729</v>
      </c>
      <c r="Y125" s="477">
        <v>2201.15</v>
      </c>
    </row>
    <row r="126" spans="9:25">
      <c r="I126" s="485">
        <f t="shared" ref="I126:I135" si="1">I125+1</f>
        <v>2020</v>
      </c>
      <c r="J126">
        <v>2.13</v>
      </c>
      <c r="S126" s="479">
        <v>45717</v>
      </c>
      <c r="T126" s="478">
        <v>45994</v>
      </c>
      <c r="U126" s="477">
        <v>2166.4499999999998</v>
      </c>
      <c r="X126" s="479">
        <v>45728</v>
      </c>
      <c r="Y126" s="477">
        <v>2166.4499999999998</v>
      </c>
    </row>
    <row r="127" spans="9:25">
      <c r="I127" s="485">
        <f t="shared" si="1"/>
        <v>2021</v>
      </c>
      <c r="J127">
        <v>2.38</v>
      </c>
      <c r="S127" s="479">
        <v>45717</v>
      </c>
      <c r="T127" s="478">
        <v>45964</v>
      </c>
      <c r="U127" s="477">
        <v>2210.1999999999998</v>
      </c>
      <c r="X127" s="479">
        <v>45727</v>
      </c>
      <c r="Y127" s="477">
        <v>2210.1999999999998</v>
      </c>
    </row>
    <row r="128" spans="9:25">
      <c r="I128" s="485">
        <f t="shared" si="1"/>
        <v>2022</v>
      </c>
      <c r="J128">
        <v>2.67</v>
      </c>
      <c r="S128" s="479">
        <v>45717</v>
      </c>
      <c r="T128" s="478">
        <v>45933</v>
      </c>
      <c r="U128" s="477">
        <v>2259.3000000000002</v>
      </c>
      <c r="X128" s="479">
        <v>45726</v>
      </c>
      <c r="Y128" s="477">
        <v>2259.3000000000002</v>
      </c>
    </row>
    <row r="129" spans="9:25">
      <c r="I129" s="485">
        <f t="shared" si="1"/>
        <v>2023</v>
      </c>
      <c r="J129">
        <v>3.01</v>
      </c>
      <c r="S129" s="479">
        <v>45717</v>
      </c>
      <c r="T129" s="478">
        <v>45841</v>
      </c>
      <c r="U129" s="477">
        <v>2316.0500000000002</v>
      </c>
      <c r="X129" s="479">
        <v>45723</v>
      </c>
      <c r="Y129" s="477">
        <v>2316.0500000000002</v>
      </c>
    </row>
    <row r="130" spans="9:25">
      <c r="I130" s="485">
        <f t="shared" si="1"/>
        <v>2024</v>
      </c>
      <c r="J130">
        <v>3.41</v>
      </c>
      <c r="S130" s="479">
        <v>45717</v>
      </c>
      <c r="T130" s="478">
        <v>45811</v>
      </c>
      <c r="U130" s="477">
        <v>2274.3000000000002</v>
      </c>
      <c r="X130" s="479">
        <v>45722</v>
      </c>
      <c r="Y130" s="477">
        <v>2274.3000000000002</v>
      </c>
    </row>
    <row r="131" spans="9:25">
      <c r="I131" s="484">
        <f t="shared" si="1"/>
        <v>2025</v>
      </c>
      <c r="J131">
        <v>3.91</v>
      </c>
      <c r="S131" s="479">
        <v>45717</v>
      </c>
      <c r="T131" s="478">
        <v>45780</v>
      </c>
      <c r="U131" s="477">
        <v>2288.15</v>
      </c>
      <c r="X131" s="479">
        <v>45721</v>
      </c>
      <c r="Y131" s="477">
        <v>2288.15</v>
      </c>
    </row>
    <row r="132" spans="9:25">
      <c r="I132" s="484">
        <f t="shared" si="1"/>
        <v>2026</v>
      </c>
      <c r="J132">
        <v>4.47</v>
      </c>
      <c r="S132" s="479">
        <v>45717</v>
      </c>
      <c r="T132" s="478">
        <v>45750</v>
      </c>
      <c r="U132" s="477">
        <v>2284.1</v>
      </c>
      <c r="X132" s="479">
        <v>45720</v>
      </c>
      <c r="Y132" s="477">
        <v>2284.1</v>
      </c>
    </row>
    <row r="133" spans="9:25">
      <c r="I133" s="484">
        <f t="shared" si="1"/>
        <v>2027</v>
      </c>
      <c r="J133">
        <v>5.14</v>
      </c>
      <c r="S133" s="479">
        <v>45717</v>
      </c>
      <c r="T133" s="478">
        <v>45719</v>
      </c>
      <c r="U133" s="477">
        <v>2328.6999999999998</v>
      </c>
      <c r="X133" s="479">
        <v>45719</v>
      </c>
      <c r="Y133" s="477">
        <v>2328.6999999999998</v>
      </c>
    </row>
    <row r="134" spans="9:25">
      <c r="I134" s="484">
        <f t="shared" si="1"/>
        <v>2028</v>
      </c>
      <c r="J134">
        <v>5.96</v>
      </c>
      <c r="S134" s="479">
        <v>45689</v>
      </c>
      <c r="T134" t="s">
        <v>1128</v>
      </c>
      <c r="U134" s="477">
        <v>2290.6</v>
      </c>
      <c r="X134" s="479">
        <v>45716</v>
      </c>
      <c r="Y134" s="477">
        <v>2290.6</v>
      </c>
    </row>
    <row r="135" spans="9:25">
      <c r="I135" s="484">
        <f t="shared" si="1"/>
        <v>2029</v>
      </c>
      <c r="J135">
        <v>6.67</v>
      </c>
      <c r="S135" s="479">
        <v>45689</v>
      </c>
      <c r="T135" t="s">
        <v>1129</v>
      </c>
      <c r="U135" s="477">
        <v>2294.1999999999998</v>
      </c>
      <c r="X135" s="479">
        <v>45715</v>
      </c>
      <c r="Y135" s="477">
        <v>2294.1999999999998</v>
      </c>
    </row>
    <row r="136" spans="9:25">
      <c r="S136" s="479">
        <v>45689</v>
      </c>
      <c r="T136" t="s">
        <v>1130</v>
      </c>
      <c r="U136" s="477">
        <v>2342.1</v>
      </c>
      <c r="X136" s="479">
        <v>45713</v>
      </c>
      <c r="Y136" s="477">
        <v>2342.1</v>
      </c>
    </row>
    <row r="137" spans="9:25">
      <c r="S137" s="479">
        <v>45689</v>
      </c>
      <c r="T137" t="s">
        <v>1131</v>
      </c>
      <c r="U137" s="477">
        <v>2298.8000000000002</v>
      </c>
      <c r="X137" s="479">
        <v>45712</v>
      </c>
      <c r="Y137" s="477">
        <v>2298.8000000000002</v>
      </c>
    </row>
    <row r="138" spans="9:25">
      <c r="S138" s="479">
        <v>45689</v>
      </c>
      <c r="T138" t="s">
        <v>1132</v>
      </c>
      <c r="U138" s="477">
        <v>2327.75</v>
      </c>
      <c r="X138" s="479">
        <v>45709</v>
      </c>
      <c r="Y138" s="477">
        <v>2327.75</v>
      </c>
    </row>
    <row r="139" spans="9:25">
      <c r="S139" s="479">
        <v>45689</v>
      </c>
      <c r="T139" t="s">
        <v>1133</v>
      </c>
      <c r="U139" s="477">
        <v>2348.4499999999998</v>
      </c>
      <c r="X139" s="479">
        <v>45708</v>
      </c>
      <c r="Y139" s="477">
        <v>2348.4499999999998</v>
      </c>
    </row>
    <row r="140" spans="9:25">
      <c r="S140" s="479">
        <v>45689</v>
      </c>
      <c r="T140" t="s">
        <v>1134</v>
      </c>
      <c r="U140" s="477">
        <v>2364.5500000000002</v>
      </c>
      <c r="X140" s="479">
        <v>45707</v>
      </c>
      <c r="Y140" s="477">
        <v>2364.5500000000002</v>
      </c>
    </row>
    <row r="141" spans="9:25">
      <c r="S141" s="479">
        <v>45689</v>
      </c>
      <c r="T141" t="s">
        <v>1135</v>
      </c>
      <c r="U141" s="477">
        <v>2385</v>
      </c>
      <c r="X141" s="479">
        <v>45706</v>
      </c>
      <c r="Y141" s="477">
        <v>2385</v>
      </c>
    </row>
    <row r="142" spans="9:25">
      <c r="S142" s="479">
        <v>45689</v>
      </c>
      <c r="T142" t="s">
        <v>1136</v>
      </c>
      <c r="U142" s="477">
        <v>2345.9</v>
      </c>
      <c r="X142" s="479">
        <v>45705</v>
      </c>
      <c r="Y142" s="477">
        <v>2345.9</v>
      </c>
    </row>
    <row r="143" spans="9:25">
      <c r="S143" s="479">
        <v>45689</v>
      </c>
      <c r="T143" t="s">
        <v>1137</v>
      </c>
      <c r="U143" s="477">
        <v>2394.35</v>
      </c>
      <c r="X143" s="479">
        <v>45702</v>
      </c>
      <c r="Y143" s="477">
        <v>2394.35</v>
      </c>
    </row>
    <row r="144" spans="9:25">
      <c r="S144" s="479">
        <v>45689</v>
      </c>
      <c r="T144" t="s">
        <v>1138</v>
      </c>
      <c r="U144" s="477">
        <v>2501.15</v>
      </c>
      <c r="X144" s="479">
        <v>45701</v>
      </c>
      <c r="Y144" s="477">
        <v>2501.15</v>
      </c>
    </row>
    <row r="145" spans="7:25">
      <c r="S145" s="479">
        <v>45689</v>
      </c>
      <c r="T145" s="478">
        <v>45993</v>
      </c>
      <c r="U145" s="477">
        <v>2422.6</v>
      </c>
      <c r="X145" s="479">
        <v>45700</v>
      </c>
      <c r="Y145" s="477">
        <v>2422.6</v>
      </c>
    </row>
    <row r="146" spans="7:25">
      <c r="S146" s="479">
        <v>45689</v>
      </c>
      <c r="T146" s="478">
        <v>45963</v>
      </c>
      <c r="U146" s="477">
        <v>2450.3000000000002</v>
      </c>
      <c r="X146" s="479">
        <v>45699</v>
      </c>
      <c r="Y146" s="477">
        <v>2450.3000000000002</v>
      </c>
    </row>
    <row r="147" spans="7:25">
      <c r="S147" s="479">
        <v>45689</v>
      </c>
      <c r="T147" s="478">
        <v>45932</v>
      </c>
      <c r="U147" s="477">
        <v>2502.0500000000002</v>
      </c>
      <c r="X147" s="479">
        <v>45698</v>
      </c>
      <c r="Y147" s="477">
        <v>2502.0500000000002</v>
      </c>
    </row>
    <row r="148" spans="7:25">
      <c r="S148" s="479">
        <v>45689</v>
      </c>
      <c r="T148" s="478">
        <v>45840</v>
      </c>
      <c r="U148" s="477">
        <v>2518.6</v>
      </c>
      <c r="X148" s="479">
        <v>45695</v>
      </c>
      <c r="Y148" s="477">
        <v>2518.6</v>
      </c>
    </row>
    <row r="149" spans="7:25">
      <c r="S149" s="479">
        <v>45689</v>
      </c>
      <c r="T149" s="478">
        <v>45810</v>
      </c>
      <c r="U149" s="477">
        <v>2480.1</v>
      </c>
      <c r="X149" s="479">
        <v>45694</v>
      </c>
      <c r="Y149" s="477">
        <v>2480.1</v>
      </c>
    </row>
    <row r="150" spans="7:25">
      <c r="S150" s="479">
        <v>45689</v>
      </c>
      <c r="T150" s="478">
        <v>45779</v>
      </c>
      <c r="U150" s="477">
        <v>2483</v>
      </c>
      <c r="X150" s="479">
        <v>45693</v>
      </c>
      <c r="Y150" s="477">
        <v>2483</v>
      </c>
    </row>
    <row r="151" spans="7:25">
      <c r="S151" s="479">
        <v>45689</v>
      </c>
      <c r="T151" s="478">
        <v>45749</v>
      </c>
      <c r="U151" s="477">
        <v>2555.1</v>
      </c>
      <c r="X151" s="479">
        <v>45692</v>
      </c>
      <c r="Y151" s="477">
        <v>2555.1</v>
      </c>
    </row>
    <row r="152" spans="7:25">
      <c r="S152" s="479">
        <v>45689</v>
      </c>
      <c r="T152" s="478">
        <v>45718</v>
      </c>
      <c r="U152" s="477">
        <v>2581.8000000000002</v>
      </c>
      <c r="X152" s="479">
        <v>45691</v>
      </c>
      <c r="Y152" s="477">
        <v>2581.8000000000002</v>
      </c>
    </row>
    <row r="153" spans="7:25">
      <c r="S153" s="479">
        <v>45689</v>
      </c>
      <c r="T153" s="478">
        <v>45659</v>
      </c>
      <c r="U153" s="477">
        <v>2481.6</v>
      </c>
      <c r="X153" s="479">
        <v>45690</v>
      </c>
      <c r="Y153" s="477">
        <v>2481.6</v>
      </c>
    </row>
    <row r="154" spans="7:25">
      <c r="S154" s="479">
        <v>45658</v>
      </c>
      <c r="T154" t="s">
        <v>1139</v>
      </c>
      <c r="U154" s="477">
        <v>2435.4</v>
      </c>
      <c r="X154" s="479">
        <v>45688</v>
      </c>
      <c r="Y154" s="477">
        <v>2435.4</v>
      </c>
    </row>
    <row r="155" spans="7:25">
      <c r="S155" s="479">
        <v>45658</v>
      </c>
      <c r="T155" t="s">
        <v>1140</v>
      </c>
      <c r="U155" s="477">
        <v>2485.4</v>
      </c>
      <c r="X155" s="479">
        <v>45687</v>
      </c>
      <c r="Y155" s="477">
        <v>2485.4</v>
      </c>
    </row>
    <row r="156" spans="7:25">
      <c r="G156" s="20" t="s">
        <v>1233</v>
      </c>
      <c r="S156" s="479">
        <v>45658</v>
      </c>
      <c r="T156" t="s">
        <v>1141</v>
      </c>
      <c r="U156" s="477">
        <v>2477.4499999999998</v>
      </c>
      <c r="X156" s="479">
        <v>45686</v>
      </c>
      <c r="Y156" s="477">
        <v>2477.4499999999998</v>
      </c>
    </row>
    <row r="157" spans="7:25">
      <c r="H157" s="485">
        <v>2021</v>
      </c>
      <c r="I157" s="485">
        <v>2022</v>
      </c>
      <c r="J157" s="485">
        <v>2023</v>
      </c>
      <c r="K157" s="485">
        <v>2024</v>
      </c>
      <c r="L157" s="485">
        <v>2025</v>
      </c>
      <c r="M157" s="484">
        <v>2026</v>
      </c>
      <c r="N157" s="484">
        <v>2027</v>
      </c>
      <c r="S157" s="479">
        <v>45658</v>
      </c>
      <c r="T157" t="s">
        <v>1142</v>
      </c>
      <c r="U157" s="477">
        <v>2456.6999999999998</v>
      </c>
      <c r="X157" s="479">
        <v>45685</v>
      </c>
      <c r="Y157" s="477">
        <v>2456.6999999999998</v>
      </c>
    </row>
    <row r="158" spans="7:25">
      <c r="G158" t="s">
        <v>544</v>
      </c>
      <c r="H158" s="134">
        <v>307.6859</v>
      </c>
      <c r="I158" s="134">
        <v>2325.3680000000004</v>
      </c>
      <c r="J158" s="134">
        <v>826.02110000000005</v>
      </c>
      <c r="K158" s="134">
        <v>381.7041999999999</v>
      </c>
      <c r="L158" s="134">
        <v>519</v>
      </c>
      <c r="M158" s="134">
        <v>652.91502000000003</v>
      </c>
      <c r="N158" s="134">
        <v>717.08599830000003</v>
      </c>
      <c r="S158" s="479">
        <v>45658</v>
      </c>
      <c r="T158" t="s">
        <v>1143</v>
      </c>
      <c r="U158" s="477">
        <v>2453.9499999999998</v>
      </c>
      <c r="X158" s="479">
        <v>45684</v>
      </c>
      <c r="Y158" s="477">
        <v>2453.9499999999998</v>
      </c>
    </row>
    <row r="159" spans="7:25">
      <c r="S159" s="479">
        <v>45658</v>
      </c>
      <c r="T159" t="s">
        <v>1144</v>
      </c>
      <c r="U159" s="477">
        <v>2506.9</v>
      </c>
      <c r="X159" s="479">
        <v>45681</v>
      </c>
      <c r="Y159" s="477">
        <v>2506.9</v>
      </c>
    </row>
    <row r="160" spans="7:25">
      <c r="G160" t="s">
        <v>0</v>
      </c>
      <c r="H160" s="134">
        <v>6223.8981999999996</v>
      </c>
      <c r="I160" s="134">
        <v>7781.5551000000005</v>
      </c>
      <c r="J160" s="134">
        <v>8749.4330000000009</v>
      </c>
      <c r="K160" s="134">
        <v>10334.774599999999</v>
      </c>
      <c r="L160" s="134">
        <v>12207</v>
      </c>
      <c r="M160" s="134">
        <v>14404.259999999998</v>
      </c>
      <c r="N160" s="134">
        <v>16780.962899999999</v>
      </c>
      <c r="S160" s="479">
        <v>45658</v>
      </c>
      <c r="T160" t="s">
        <v>1145</v>
      </c>
      <c r="U160" s="477">
        <v>2635.05</v>
      </c>
      <c r="X160" s="479">
        <v>45680</v>
      </c>
      <c r="Y160" s="477">
        <v>2635.05</v>
      </c>
    </row>
    <row r="161" spans="7:25">
      <c r="G161" t="s">
        <v>1232</v>
      </c>
      <c r="H161" s="76">
        <f>H158/H160</f>
        <v>4.9436203824799067E-2</v>
      </c>
      <c r="I161" s="76">
        <f t="shared" ref="I161:N161" si="2">I158/I160</f>
        <v>0.29883075684961741</v>
      </c>
      <c r="J161" s="76">
        <f t="shared" si="2"/>
        <v>9.4408529101257188E-2</v>
      </c>
      <c r="K161" s="76">
        <f t="shared" si="2"/>
        <v>3.693396467495285E-2</v>
      </c>
      <c r="L161" s="76">
        <f t="shared" si="2"/>
        <v>4.2516588842467437E-2</v>
      </c>
      <c r="M161" s="76">
        <f t="shared" si="2"/>
        <v>4.5327911326232664E-2</v>
      </c>
      <c r="N161" s="76">
        <f t="shared" si="2"/>
        <v>4.2732112726379966E-2</v>
      </c>
      <c r="S161" s="479">
        <v>45658</v>
      </c>
      <c r="T161" t="s">
        <v>1146</v>
      </c>
      <c r="U161" s="477">
        <v>2516.4</v>
      </c>
      <c r="X161" s="479">
        <v>45679</v>
      </c>
      <c r="Y161" s="477">
        <v>2516.4</v>
      </c>
    </row>
    <row r="162" spans="7:25">
      <c r="S162" s="479">
        <v>45658</v>
      </c>
      <c r="T162" t="s">
        <v>1147</v>
      </c>
      <c r="U162" s="477">
        <v>2563.5500000000002</v>
      </c>
      <c r="X162" s="479">
        <v>45678</v>
      </c>
      <c r="Y162" s="477">
        <v>2563.5500000000002</v>
      </c>
    </row>
    <row r="163" spans="7:25">
      <c r="S163" s="479">
        <v>45658</v>
      </c>
      <c r="T163" t="s">
        <v>1148</v>
      </c>
      <c r="U163" s="477">
        <v>2704.7</v>
      </c>
      <c r="X163" s="479">
        <v>45677</v>
      </c>
      <c r="Y163" s="477">
        <v>2704.7</v>
      </c>
    </row>
    <row r="164" spans="7:25">
      <c r="S164" s="479">
        <v>45658</v>
      </c>
      <c r="T164" t="s">
        <v>1149</v>
      </c>
      <c r="U164" s="477">
        <v>2600.4</v>
      </c>
      <c r="X164" s="479">
        <v>45674</v>
      </c>
      <c r="Y164" s="477">
        <v>2600.4</v>
      </c>
    </row>
    <row r="165" spans="7:25">
      <c r="S165" s="479">
        <v>45658</v>
      </c>
      <c r="T165" t="s">
        <v>1150</v>
      </c>
      <c r="U165" s="477">
        <v>2545.25</v>
      </c>
      <c r="X165" s="479">
        <v>45673</v>
      </c>
      <c r="Y165" s="477">
        <v>2545.25</v>
      </c>
    </row>
    <row r="166" spans="7:25">
      <c r="S166" s="479">
        <v>45658</v>
      </c>
      <c r="T166" t="s">
        <v>1151</v>
      </c>
      <c r="U166" s="477">
        <v>2596</v>
      </c>
      <c r="X166" s="479">
        <v>45672</v>
      </c>
      <c r="Y166" s="477">
        <v>2596</v>
      </c>
    </row>
    <row r="167" spans="7:25">
      <c r="S167" s="479">
        <v>45658</v>
      </c>
      <c r="T167" t="s">
        <v>1152</v>
      </c>
      <c r="U167" s="477">
        <v>2665.85</v>
      </c>
      <c r="X167" s="479">
        <v>45671</v>
      </c>
      <c r="Y167" s="477">
        <v>2665.85</v>
      </c>
    </row>
    <row r="168" spans="7:25">
      <c r="S168" s="479">
        <v>45658</v>
      </c>
      <c r="T168" t="s">
        <v>1153</v>
      </c>
      <c r="U168" s="477">
        <v>2595.9499999999998</v>
      </c>
      <c r="X168" s="479">
        <v>45670</v>
      </c>
      <c r="Y168" s="477">
        <v>2595.9499999999998</v>
      </c>
    </row>
    <row r="169" spans="7:25">
      <c r="S169" s="479">
        <v>45658</v>
      </c>
      <c r="T169" s="478">
        <v>45931</v>
      </c>
      <c r="U169" s="477">
        <v>2739.95</v>
      </c>
      <c r="X169" s="479">
        <v>45667</v>
      </c>
      <c r="Y169" s="477">
        <v>2739.95</v>
      </c>
    </row>
    <row r="170" spans="7:25">
      <c r="S170" s="479">
        <v>45658</v>
      </c>
      <c r="T170" s="478">
        <v>45901</v>
      </c>
      <c r="U170" s="477">
        <v>2828.05</v>
      </c>
      <c r="X170" s="479">
        <v>45666</v>
      </c>
      <c r="Y170" s="477">
        <v>2828.05</v>
      </c>
    </row>
    <row r="171" spans="7:25">
      <c r="S171" s="479">
        <v>45658</v>
      </c>
      <c r="T171" s="478">
        <v>45870</v>
      </c>
      <c r="U171" s="477">
        <v>2879.55</v>
      </c>
      <c r="X171" s="479">
        <v>45665</v>
      </c>
      <c r="Y171" s="477">
        <v>2879.55</v>
      </c>
    </row>
    <row r="172" spans="7:25">
      <c r="S172" s="479">
        <v>45658</v>
      </c>
      <c r="T172" s="478">
        <v>45839</v>
      </c>
      <c r="U172" s="477">
        <v>2919.7</v>
      </c>
      <c r="X172" s="479">
        <v>45664</v>
      </c>
      <c r="Y172" s="477">
        <v>2919.7</v>
      </c>
    </row>
    <row r="173" spans="7:25">
      <c r="S173" s="479">
        <v>45658</v>
      </c>
      <c r="T173" s="478">
        <v>45809</v>
      </c>
      <c r="U173" s="477">
        <v>2884.55</v>
      </c>
      <c r="X173" s="479">
        <v>45663</v>
      </c>
      <c r="Y173" s="477">
        <v>2884.55</v>
      </c>
    </row>
    <row r="174" spans="7:25">
      <c r="S174" s="479">
        <v>45658</v>
      </c>
      <c r="T174" s="478">
        <v>45717</v>
      </c>
      <c r="U174" s="477">
        <v>2937.55</v>
      </c>
      <c r="X174" s="479">
        <v>45660</v>
      </c>
      <c r="Y174" s="477">
        <v>2937.55</v>
      </c>
    </row>
    <row r="175" spans="7:25">
      <c r="S175" s="479">
        <v>45658</v>
      </c>
      <c r="T175" s="478">
        <v>45689</v>
      </c>
      <c r="U175" s="477">
        <v>2901.9</v>
      </c>
      <c r="X175" s="479">
        <v>45659</v>
      </c>
      <c r="Y175" s="477">
        <v>2901.9</v>
      </c>
    </row>
    <row r="176" spans="7:25">
      <c r="S176" s="479">
        <v>45658</v>
      </c>
      <c r="T176" s="478">
        <v>45658</v>
      </c>
      <c r="U176" s="477">
        <v>2881.05</v>
      </c>
      <c r="X176" s="480">
        <v>45658</v>
      </c>
      <c r="Y176" s="481">
        <v>2881.05</v>
      </c>
    </row>
    <row r="177" spans="7:25">
      <c r="S177" s="479">
        <v>45627</v>
      </c>
      <c r="T177" t="s">
        <v>1154</v>
      </c>
      <c r="U177" s="477">
        <v>2880.4</v>
      </c>
      <c r="X177" s="479">
        <v>45657</v>
      </c>
      <c r="Y177" s="477">
        <v>2880.4</v>
      </c>
    </row>
    <row r="178" spans="7:25">
      <c r="S178" s="479">
        <v>45627</v>
      </c>
      <c r="T178" t="s">
        <v>1155</v>
      </c>
      <c r="U178" s="477">
        <v>2857.4</v>
      </c>
      <c r="X178" s="479">
        <v>45656</v>
      </c>
      <c r="Y178" s="477">
        <v>2857.4</v>
      </c>
    </row>
    <row r="179" spans="7:25">
      <c r="S179" s="479">
        <v>45627</v>
      </c>
      <c r="T179" t="s">
        <v>1156</v>
      </c>
      <c r="U179" s="477">
        <v>2871.75</v>
      </c>
      <c r="X179" s="479">
        <v>45653</v>
      </c>
      <c r="Y179" s="477">
        <v>2871.75</v>
      </c>
    </row>
    <row r="180" spans="7:25">
      <c r="S180" s="479">
        <v>45627</v>
      </c>
      <c r="T180" t="s">
        <v>1157</v>
      </c>
      <c r="U180" s="477">
        <v>2916.65</v>
      </c>
      <c r="X180" s="479">
        <v>45652</v>
      </c>
      <c r="Y180" s="477">
        <v>2916.65</v>
      </c>
    </row>
    <row r="181" spans="7:25">
      <c r="S181" s="479">
        <v>45627</v>
      </c>
      <c r="T181" t="s">
        <v>1158</v>
      </c>
      <c r="U181" s="477">
        <v>2910.6</v>
      </c>
      <c r="X181" s="479">
        <v>45650</v>
      </c>
      <c r="Y181" s="477">
        <v>2910.6</v>
      </c>
    </row>
    <row r="182" spans="7:25">
      <c r="S182" s="479">
        <v>45627</v>
      </c>
      <c r="T182" t="s">
        <v>1159</v>
      </c>
      <c r="U182" s="477">
        <v>2998.4</v>
      </c>
      <c r="X182" s="479">
        <v>45649</v>
      </c>
      <c r="Y182" s="477">
        <v>2998.4</v>
      </c>
    </row>
    <row r="183" spans="7:25">
      <c r="S183" s="479">
        <v>45627</v>
      </c>
      <c r="T183" t="s">
        <v>1160</v>
      </c>
      <c r="U183" s="477">
        <v>2805.2</v>
      </c>
      <c r="X183" s="479">
        <v>45646</v>
      </c>
      <c r="Y183" s="477">
        <v>2805.2</v>
      </c>
    </row>
    <row r="184" spans="7:25">
      <c r="S184" s="479">
        <v>45627</v>
      </c>
      <c r="T184" t="s">
        <v>1161</v>
      </c>
      <c r="U184" s="477">
        <v>2891.05</v>
      </c>
      <c r="X184" s="479">
        <v>45645</v>
      </c>
      <c r="Y184" s="477">
        <v>2891.05</v>
      </c>
    </row>
    <row r="185" spans="7:25">
      <c r="S185" s="479">
        <v>45627</v>
      </c>
      <c r="T185" t="s">
        <v>1162</v>
      </c>
      <c r="U185" s="477">
        <v>2805.95</v>
      </c>
      <c r="X185" s="479">
        <v>45644</v>
      </c>
      <c r="Y185" s="477">
        <v>2805.95</v>
      </c>
    </row>
    <row r="186" spans="7:25">
      <c r="S186" s="479">
        <v>45627</v>
      </c>
      <c r="T186" t="s">
        <v>1163</v>
      </c>
      <c r="U186" s="477">
        <v>2661.8</v>
      </c>
      <c r="X186" s="479">
        <v>45643</v>
      </c>
      <c r="Y186" s="477">
        <v>2661.8</v>
      </c>
    </row>
    <row r="187" spans="7:25">
      <c r="S187" s="479">
        <v>45627</v>
      </c>
      <c r="T187" t="s">
        <v>1164</v>
      </c>
      <c r="U187" s="477">
        <v>2690.75</v>
      </c>
      <c r="X187" s="479">
        <v>45642</v>
      </c>
      <c r="Y187" s="477">
        <v>2690.75</v>
      </c>
    </row>
    <row r="188" spans="7:25">
      <c r="S188" s="479">
        <v>45627</v>
      </c>
      <c r="T188" t="s">
        <v>1165</v>
      </c>
      <c r="U188" s="477">
        <v>2641.85</v>
      </c>
      <c r="X188" s="479">
        <v>45639</v>
      </c>
      <c r="Y188" s="477">
        <v>2641.85</v>
      </c>
    </row>
    <row r="189" spans="7:25">
      <c r="S189" s="479">
        <v>45627</v>
      </c>
      <c r="T189" s="478">
        <v>45638</v>
      </c>
      <c r="U189" s="477">
        <v>2650.45</v>
      </c>
      <c r="X189" s="479">
        <v>45638</v>
      </c>
      <c r="Y189" s="477">
        <v>2650.45</v>
      </c>
    </row>
    <row r="190" spans="7:25">
      <c r="S190" s="479">
        <v>45627</v>
      </c>
      <c r="T190" s="478">
        <v>45608</v>
      </c>
      <c r="U190" s="477">
        <v>2624.35</v>
      </c>
      <c r="X190" s="479">
        <v>45637</v>
      </c>
      <c r="Y190" s="477">
        <v>2624.35</v>
      </c>
    </row>
    <row r="191" spans="7:25">
      <c r="S191" s="479">
        <v>45627</v>
      </c>
      <c r="T191" s="478">
        <v>45577</v>
      </c>
      <c r="U191" s="477">
        <v>2666.4</v>
      </c>
      <c r="X191" s="479">
        <v>45636</v>
      </c>
      <c r="Y191" s="477">
        <v>2666.4</v>
      </c>
    </row>
    <row r="192" spans="7:25">
      <c r="G192" t="s">
        <v>1041</v>
      </c>
      <c r="H192" s="104">
        <v>0.13300000000000001</v>
      </c>
      <c r="S192" s="479">
        <v>45627</v>
      </c>
      <c r="T192" s="478">
        <v>45547</v>
      </c>
      <c r="U192" s="477">
        <v>2639.35</v>
      </c>
      <c r="X192" s="479">
        <v>45635</v>
      </c>
      <c r="Y192" s="477">
        <v>2639.35</v>
      </c>
    </row>
    <row r="193" spans="3:25">
      <c r="C193" t="s">
        <v>773</v>
      </c>
      <c r="D193" s="102">
        <v>0.83</v>
      </c>
      <c r="G193" t="s">
        <v>1042</v>
      </c>
      <c r="H193" s="104">
        <v>0.11700000000000001</v>
      </c>
      <c r="S193" s="479">
        <v>45627</v>
      </c>
      <c r="T193" s="478">
        <v>45455</v>
      </c>
      <c r="U193" s="477">
        <v>2586.4499999999998</v>
      </c>
      <c r="X193" s="479">
        <v>45632</v>
      </c>
      <c r="Y193" s="477">
        <v>2586.4499999999998</v>
      </c>
    </row>
    <row r="194" spans="3:25">
      <c r="C194" t="s">
        <v>402</v>
      </c>
      <c r="D194" s="102">
        <v>0.17</v>
      </c>
      <c r="G194" t="s">
        <v>1234</v>
      </c>
      <c r="H194" s="104">
        <v>5.7000000000000002E-2</v>
      </c>
      <c r="S194" s="479">
        <v>45627</v>
      </c>
      <c r="T194" s="478">
        <v>45424</v>
      </c>
      <c r="U194" s="477">
        <v>2615.5</v>
      </c>
      <c r="X194" s="479">
        <v>45631</v>
      </c>
      <c r="Y194" s="477">
        <v>2615.5</v>
      </c>
    </row>
    <row r="195" spans="3:25">
      <c r="G195" t="s">
        <v>1047</v>
      </c>
      <c r="H195" s="104">
        <v>6.0999999999999999E-2</v>
      </c>
      <c r="S195" s="479">
        <v>45627</v>
      </c>
      <c r="T195" s="478">
        <v>45394</v>
      </c>
      <c r="U195" s="477">
        <v>2596.15</v>
      </c>
      <c r="X195" s="479">
        <v>45630</v>
      </c>
      <c r="Y195" s="477">
        <v>2596.15</v>
      </c>
    </row>
    <row r="196" spans="3:25">
      <c r="G196" t="s">
        <v>1044</v>
      </c>
      <c r="H196" s="104">
        <v>6.7000000000000004E-2</v>
      </c>
      <c r="S196" s="479">
        <v>45627</v>
      </c>
      <c r="T196" s="478">
        <v>45363</v>
      </c>
      <c r="U196" s="477">
        <v>2559</v>
      </c>
      <c r="X196" s="479">
        <v>45629</v>
      </c>
      <c r="Y196" s="477">
        <v>2559</v>
      </c>
    </row>
    <row r="197" spans="3:25">
      <c r="G197" t="s">
        <v>1235</v>
      </c>
      <c r="H197" s="104">
        <v>4.9000000000000002E-2</v>
      </c>
      <c r="S197" s="479">
        <v>45627</v>
      </c>
      <c r="T197" s="478">
        <v>45334</v>
      </c>
      <c r="U197" s="477">
        <v>2616.4499999999998</v>
      </c>
      <c r="X197" s="479">
        <v>45628</v>
      </c>
      <c r="Y197" s="477">
        <v>2616.4499999999998</v>
      </c>
    </row>
    <row r="198" spans="3:25">
      <c r="G198" t="s">
        <v>1043</v>
      </c>
      <c r="H198" s="104">
        <v>9.6000000000000002E-2</v>
      </c>
      <c r="S198" s="479">
        <v>45597</v>
      </c>
      <c r="T198" t="s">
        <v>1166</v>
      </c>
      <c r="U198" s="477">
        <v>2561.1999999999998</v>
      </c>
      <c r="X198" s="479">
        <v>45597</v>
      </c>
      <c r="Y198" s="477">
        <v>2561.1999999999998</v>
      </c>
    </row>
    <row r="199" spans="3:25">
      <c r="G199" t="s">
        <v>1048</v>
      </c>
      <c r="H199" s="104">
        <v>5.5E-2</v>
      </c>
      <c r="S199" s="479">
        <v>45597</v>
      </c>
      <c r="T199" t="s">
        <v>1167</v>
      </c>
      <c r="U199" s="477">
        <v>2560.4</v>
      </c>
      <c r="X199" s="479">
        <v>45624</v>
      </c>
      <c r="Y199" s="477">
        <v>2560.4</v>
      </c>
    </row>
    <row r="200" spans="3:25">
      <c r="G200" t="s">
        <v>402</v>
      </c>
      <c r="H200" s="104">
        <f>1-SUM(H192:H199)</f>
        <v>0.36499999999999999</v>
      </c>
      <c r="S200" s="479">
        <v>45597</v>
      </c>
      <c r="T200" t="s">
        <v>1168</v>
      </c>
      <c r="U200" s="477">
        <v>2557</v>
      </c>
      <c r="X200" s="479">
        <v>45623</v>
      </c>
      <c r="Y200" s="477">
        <v>2557</v>
      </c>
    </row>
    <row r="201" spans="3:25">
      <c r="S201" s="479">
        <v>45597</v>
      </c>
      <c r="T201" t="s">
        <v>1169</v>
      </c>
      <c r="U201" s="477">
        <v>2580.6</v>
      </c>
      <c r="X201" s="479">
        <v>45622</v>
      </c>
      <c r="Y201" s="477">
        <v>2580.6</v>
      </c>
    </row>
    <row r="202" spans="3:25">
      <c r="S202" s="479">
        <v>45597</v>
      </c>
      <c r="T202" t="s">
        <v>1170</v>
      </c>
      <c r="U202" s="477">
        <v>2610.1</v>
      </c>
      <c r="X202" s="479">
        <v>45621</v>
      </c>
      <c r="Y202" s="477">
        <v>2610.1</v>
      </c>
    </row>
    <row r="203" spans="3:25">
      <c r="S203" s="479">
        <v>45597</v>
      </c>
      <c r="T203" t="s">
        <v>1171</v>
      </c>
      <c r="U203" s="477">
        <v>2551.6</v>
      </c>
      <c r="X203" s="479">
        <v>45620</v>
      </c>
      <c r="Y203" s="477">
        <v>2551.6</v>
      </c>
    </row>
    <row r="204" spans="3:25">
      <c r="S204" s="479">
        <v>45597</v>
      </c>
      <c r="T204" t="s">
        <v>1172</v>
      </c>
      <c r="U204" s="477">
        <v>2558.65</v>
      </c>
      <c r="X204" s="479">
        <v>45617</v>
      </c>
      <c r="Y204" s="477">
        <v>2558.65</v>
      </c>
    </row>
    <row r="205" spans="3:25">
      <c r="S205" s="479">
        <v>45597</v>
      </c>
      <c r="T205" t="s">
        <v>1173</v>
      </c>
      <c r="U205" s="477">
        <v>2574.4</v>
      </c>
      <c r="X205" s="479">
        <v>45615</v>
      </c>
      <c r="Y205" s="477">
        <v>2574.4</v>
      </c>
    </row>
    <row r="206" spans="3:25">
      <c r="S206" s="479">
        <v>45597</v>
      </c>
      <c r="T206" t="s">
        <v>1174</v>
      </c>
      <c r="U206" s="477">
        <v>2597.9</v>
      </c>
      <c r="X206" s="479">
        <v>45614</v>
      </c>
      <c r="Y206" s="477">
        <v>2597.9</v>
      </c>
    </row>
    <row r="207" spans="3:25">
      <c r="S207" s="479">
        <v>45597</v>
      </c>
      <c r="T207" t="s">
        <v>1175</v>
      </c>
      <c r="U207" s="477">
        <v>2597.65</v>
      </c>
      <c r="X207" s="479">
        <v>45610</v>
      </c>
      <c r="Y207" s="477">
        <v>2597.65</v>
      </c>
    </row>
    <row r="208" spans="3:25">
      <c r="S208" s="479">
        <v>45597</v>
      </c>
      <c r="T208" t="s">
        <v>1176</v>
      </c>
      <c r="U208" s="477">
        <v>2532.15</v>
      </c>
      <c r="X208" s="479">
        <v>45609</v>
      </c>
      <c r="Y208" s="477">
        <v>2532.15</v>
      </c>
    </row>
    <row r="209" spans="2:25">
      <c r="S209" s="479">
        <v>45597</v>
      </c>
      <c r="T209" s="478">
        <v>45637</v>
      </c>
      <c r="U209" s="477">
        <v>2622.1</v>
      </c>
      <c r="X209" s="479">
        <v>45608</v>
      </c>
      <c r="Y209" s="477">
        <v>2622.1</v>
      </c>
    </row>
    <row r="210" spans="2:25">
      <c r="S210" s="479">
        <v>45597</v>
      </c>
      <c r="T210" s="478">
        <v>45607</v>
      </c>
      <c r="U210" s="477">
        <v>2646.65</v>
      </c>
      <c r="X210" s="479">
        <v>45607</v>
      </c>
      <c r="Y210" s="477">
        <v>2646.65</v>
      </c>
    </row>
    <row r="211" spans="2:25">
      <c r="S211" s="479">
        <v>45597</v>
      </c>
      <c r="T211" s="478">
        <v>45515</v>
      </c>
      <c r="U211" s="477">
        <v>2659.5</v>
      </c>
      <c r="X211" s="479">
        <v>45604</v>
      </c>
      <c r="Y211" s="477">
        <v>2659.5</v>
      </c>
    </row>
    <row r="212" spans="2:25">
      <c r="C212" s="485">
        <v>2021</v>
      </c>
      <c r="D212" s="485">
        <v>2022</v>
      </c>
      <c r="E212" s="485">
        <v>2023</v>
      </c>
      <c r="F212" s="485">
        <v>2024</v>
      </c>
      <c r="G212" s="485">
        <v>2025</v>
      </c>
      <c r="H212" s="487">
        <v>2026</v>
      </c>
      <c r="I212" s="487">
        <v>2027</v>
      </c>
      <c r="J212" s="487">
        <v>2028</v>
      </c>
      <c r="K212" s="487">
        <v>2029</v>
      </c>
      <c r="L212" s="487">
        <v>2030</v>
      </c>
      <c r="S212" s="479">
        <v>45597</v>
      </c>
      <c r="T212" s="478">
        <v>45484</v>
      </c>
      <c r="U212" s="477">
        <v>2727</v>
      </c>
      <c r="X212" s="479">
        <v>45603</v>
      </c>
      <c r="Y212" s="477">
        <v>2727</v>
      </c>
    </row>
    <row r="213" spans="2:25">
      <c r="B213" t="s">
        <v>41</v>
      </c>
      <c r="C213" s="143">
        <v>6223.8981999999996</v>
      </c>
      <c r="D213" s="143">
        <v>7781.5551000000005</v>
      </c>
      <c r="E213" s="143">
        <v>8749.4330000000009</v>
      </c>
      <c r="F213" s="143">
        <v>10334.774599999999</v>
      </c>
      <c r="G213" s="143">
        <v>12207</v>
      </c>
      <c r="H213" s="143">
        <v>14404.259999999998</v>
      </c>
      <c r="I213" s="143">
        <v>16780.962899999999</v>
      </c>
      <c r="J213" s="143">
        <v>19298.107334999997</v>
      </c>
      <c r="K213" s="143">
        <v>21903.351825224996</v>
      </c>
      <c r="L213" s="143">
        <v>24531.754044251997</v>
      </c>
      <c r="S213" s="479">
        <v>45597</v>
      </c>
      <c r="T213" s="478">
        <v>45454</v>
      </c>
      <c r="U213" s="477">
        <v>2748.85</v>
      </c>
      <c r="X213" s="479">
        <v>45602</v>
      </c>
      <c r="Y213" s="477">
        <v>2748.85</v>
      </c>
    </row>
    <row r="214" spans="2:25">
      <c r="B214" t="s">
        <v>501</v>
      </c>
      <c r="D214" s="124">
        <f>D213/C213-1</f>
        <v>0.25027030487098911</v>
      </c>
      <c r="E214" s="124">
        <f t="shared" ref="E214:L214" si="3">E213/D213-1</f>
        <v>0.12438103792389787</v>
      </c>
      <c r="F214" s="124">
        <f t="shared" si="3"/>
        <v>0.18119363849063097</v>
      </c>
      <c r="G214" s="124">
        <f t="shared" si="3"/>
        <v>0.18115783579837341</v>
      </c>
      <c r="H214" s="124">
        <f t="shared" si="3"/>
        <v>0.17999999999999994</v>
      </c>
      <c r="I214" s="124">
        <f t="shared" si="3"/>
        <v>0.16500000000000004</v>
      </c>
      <c r="J214" s="124">
        <f t="shared" si="3"/>
        <v>0.14999999999999991</v>
      </c>
      <c r="K214" s="124">
        <f t="shared" si="3"/>
        <v>0.13500000000000001</v>
      </c>
      <c r="L214" s="124">
        <f t="shared" si="3"/>
        <v>0.12000000000000011</v>
      </c>
      <c r="S214" s="479">
        <v>45597</v>
      </c>
      <c r="T214" s="478">
        <v>45423</v>
      </c>
      <c r="U214" s="477">
        <v>2714.25</v>
      </c>
      <c r="X214" s="479">
        <v>45601</v>
      </c>
      <c r="Y214" s="477">
        <v>2714.25</v>
      </c>
    </row>
    <row r="215" spans="2:25">
      <c r="S215" s="479">
        <v>45597</v>
      </c>
      <c r="T215" s="478">
        <v>45393</v>
      </c>
      <c r="U215" s="477">
        <v>2731.2</v>
      </c>
      <c r="X215" s="479">
        <v>45600</v>
      </c>
      <c r="Y215" s="477">
        <v>2731.2</v>
      </c>
    </row>
    <row r="216" spans="2:25">
      <c r="S216" s="479">
        <v>45597</v>
      </c>
      <c r="T216" s="478">
        <v>45302</v>
      </c>
      <c r="U216" s="477">
        <v>2680.7</v>
      </c>
      <c r="X216" s="479">
        <v>45597</v>
      </c>
      <c r="Y216" s="477">
        <v>2680.7</v>
      </c>
    </row>
    <row r="217" spans="2:25">
      <c r="S217" s="479">
        <v>45566</v>
      </c>
      <c r="T217" t="s">
        <v>1177</v>
      </c>
      <c r="U217" s="477">
        <v>2667.35</v>
      </c>
      <c r="X217" s="479">
        <v>45596</v>
      </c>
      <c r="Y217" s="477">
        <v>2667.35</v>
      </c>
    </row>
    <row r="218" spans="2:25">
      <c r="D218" s="488">
        <v>2021</v>
      </c>
      <c r="E218" s="488">
        <v>2022</v>
      </c>
      <c r="F218" s="488">
        <v>2023</v>
      </c>
      <c r="G218" s="488">
        <v>2024</v>
      </c>
      <c r="H218" s="488">
        <v>2025</v>
      </c>
      <c r="I218" s="489">
        <v>2026</v>
      </c>
      <c r="J218" s="489">
        <v>2027</v>
      </c>
      <c r="K218" s="489">
        <v>2028</v>
      </c>
      <c r="L218" s="489">
        <v>2029</v>
      </c>
      <c r="M218" s="489">
        <v>2030</v>
      </c>
      <c r="S218" s="479">
        <v>45566</v>
      </c>
      <c r="T218" t="s">
        <v>1178</v>
      </c>
      <c r="U218" s="477">
        <v>2627.8</v>
      </c>
      <c r="X218" s="479">
        <v>45595</v>
      </c>
      <c r="Y218" s="477">
        <v>2627.8</v>
      </c>
    </row>
    <row r="219" spans="2:25">
      <c r="C219" t="s">
        <v>106</v>
      </c>
      <c r="D219" s="76">
        <v>0.71390772426194249</v>
      </c>
      <c r="E219" s="76">
        <v>0.68878606282695343</v>
      </c>
      <c r="F219" s="76">
        <v>0.66699076385864098</v>
      </c>
      <c r="G219" s="76">
        <v>0.68942758558082151</v>
      </c>
      <c r="H219" s="76">
        <v>0.68419431473744563</v>
      </c>
      <c r="I219" s="76">
        <v>0.66</v>
      </c>
      <c r="J219" s="76">
        <v>0.66600000000000004</v>
      </c>
      <c r="K219" s="76">
        <v>0.67200000000000015</v>
      </c>
      <c r="L219" s="76">
        <v>0.67800000000000005</v>
      </c>
      <c r="M219" s="76">
        <v>0.68400000000000016</v>
      </c>
      <c r="S219" s="479">
        <v>45566</v>
      </c>
      <c r="T219" t="s">
        <v>1179</v>
      </c>
      <c r="U219" s="477">
        <v>2528.6999999999998</v>
      </c>
      <c r="X219" s="479">
        <v>45594</v>
      </c>
      <c r="Y219" s="477">
        <v>2528.6999999999998</v>
      </c>
    </row>
    <row r="220" spans="2:25">
      <c r="S220" s="479">
        <v>45566</v>
      </c>
      <c r="T220" t="s">
        <v>1180</v>
      </c>
      <c r="U220" s="477">
        <v>2426.8000000000002</v>
      </c>
      <c r="X220" s="479">
        <v>45593</v>
      </c>
      <c r="Y220" s="477">
        <v>2426.8000000000002</v>
      </c>
    </row>
    <row r="221" spans="2:25">
      <c r="S221" s="479">
        <v>45566</v>
      </c>
      <c r="T221" t="s">
        <v>1181</v>
      </c>
      <c r="U221" s="477">
        <v>2455.9</v>
      </c>
      <c r="X221" s="479">
        <v>45590</v>
      </c>
      <c r="Y221" s="477">
        <v>2455.9</v>
      </c>
    </row>
    <row r="222" spans="2:25">
      <c r="C222" s="485">
        <v>2021</v>
      </c>
      <c r="D222" s="485">
        <f>C222+1</f>
        <v>2022</v>
      </c>
      <c r="E222" s="485">
        <f t="shared" ref="E222:I222" si="4">D222+1</f>
        <v>2023</v>
      </c>
      <c r="F222" s="485">
        <f t="shared" si="4"/>
        <v>2024</v>
      </c>
      <c r="G222" s="485">
        <f t="shared" si="4"/>
        <v>2025</v>
      </c>
      <c r="H222" s="484">
        <f t="shared" si="4"/>
        <v>2026</v>
      </c>
      <c r="I222" s="484">
        <f t="shared" si="4"/>
        <v>2027</v>
      </c>
      <c r="J222" s="484">
        <f t="shared" ref="J222" si="5">I222+1</f>
        <v>2028</v>
      </c>
      <c r="K222" s="484">
        <f t="shared" ref="K222" si="6">J222+1</f>
        <v>2029</v>
      </c>
      <c r="L222" s="484">
        <f t="shared" ref="L222" si="7">K222+1</f>
        <v>2030</v>
      </c>
      <c r="S222" s="479">
        <v>45566</v>
      </c>
      <c r="T222" t="s">
        <v>1182</v>
      </c>
      <c r="U222" s="477">
        <v>2504.25</v>
      </c>
      <c r="X222" s="479">
        <v>45589</v>
      </c>
      <c r="Y222" s="477">
        <v>2504.25</v>
      </c>
    </row>
    <row r="223" spans="2:25">
      <c r="B223" t="s">
        <v>1237</v>
      </c>
      <c r="C223" s="134">
        <f>SUM('3StatementModel'!D20:D24)</f>
        <v>2785.6961999999999</v>
      </c>
      <c r="D223" s="134">
        <f>SUM('3StatementModel'!E20:E24)</f>
        <v>3370.4605000000001</v>
      </c>
      <c r="E223" s="134">
        <f>SUM('3StatementModel'!F20:F24)</f>
        <v>3935.1329000000005</v>
      </c>
      <c r="F223" s="134">
        <f>SUM('3StatementModel'!G20:G24)</f>
        <v>4589.9753999999994</v>
      </c>
      <c r="G223" s="134">
        <f>SUM('3StatementModel'!H20:H24)</f>
        <v>5700.1</v>
      </c>
      <c r="H223" s="134">
        <f>SUM('3StatementModel'!I20:I24)</f>
        <v>6409.8957</v>
      </c>
      <c r="I223" s="134">
        <f>SUM('3StatementModel'!J20:J24)</f>
        <v>7467.5284905000008</v>
      </c>
      <c r="J223" s="134">
        <f>SUM('3StatementModel'!K20:K24)</f>
        <v>8587.6577640749983</v>
      </c>
      <c r="K223" s="134">
        <f>SUM('3StatementModel'!L20:L24)</f>
        <v>9746.9915622251228</v>
      </c>
      <c r="L223" s="134">
        <f>SUM('3StatementModel'!M20:M24)</f>
        <v>10916.63054969214</v>
      </c>
      <c r="S223" s="479">
        <v>45566</v>
      </c>
      <c r="T223" t="s">
        <v>1183</v>
      </c>
      <c r="U223" s="477">
        <v>2529.6</v>
      </c>
      <c r="X223" s="479">
        <v>45588</v>
      </c>
      <c r="Y223" s="477">
        <v>2529.6</v>
      </c>
    </row>
    <row r="224" spans="2:25">
      <c r="B224" t="s">
        <v>1238</v>
      </c>
      <c r="C224" s="76">
        <f>C223/'3StatementModel'!D13</f>
        <v>0.44758061756215745</v>
      </c>
      <c r="D224" s="76">
        <f>D223/'3StatementModel'!E13</f>
        <v>0.43313456715097987</v>
      </c>
      <c r="E224" s="76">
        <f>E223/'3StatementModel'!F13</f>
        <v>0.44975861864420247</v>
      </c>
      <c r="F224" s="76">
        <f>F223/'3StatementModel'!G13</f>
        <v>0.44412922174422653</v>
      </c>
      <c r="G224" s="76">
        <f>G223/'3StatementModel'!H13</f>
        <v>0.46695338740067177</v>
      </c>
      <c r="H224" s="76">
        <f>H223/'3StatementModel'!I13</f>
        <v>0.44500000000000006</v>
      </c>
      <c r="I224" s="76">
        <f>I223/'3StatementModel'!J13</f>
        <v>0.44500000000000006</v>
      </c>
      <c r="J224" s="76">
        <f>J223/'3StatementModel'!K13</f>
        <v>0.44500000000000001</v>
      </c>
      <c r="K224" s="76">
        <f>K223/'3StatementModel'!L13</f>
        <v>0.44500000000000001</v>
      </c>
      <c r="L224" s="76">
        <f>L223/'3StatementModel'!M13</f>
        <v>0.44500000000000006</v>
      </c>
      <c r="S224" s="479">
        <v>45566</v>
      </c>
      <c r="T224" t="s">
        <v>1184</v>
      </c>
      <c r="U224" s="477">
        <v>2565.9499999999998</v>
      </c>
      <c r="X224" s="479">
        <v>45587</v>
      </c>
      <c r="Y224" s="477">
        <v>2565.9499999999998</v>
      </c>
    </row>
    <row r="225" spans="19:25">
      <c r="S225" s="479">
        <v>45566</v>
      </c>
      <c r="T225" t="s">
        <v>1185</v>
      </c>
      <c r="U225" s="477">
        <v>2647</v>
      </c>
      <c r="X225" s="479">
        <v>45586</v>
      </c>
      <c r="Y225" s="477">
        <v>2647</v>
      </c>
    </row>
    <row r="226" spans="19:25">
      <c r="S226" s="479">
        <v>45566</v>
      </c>
      <c r="T226" t="s">
        <v>1186</v>
      </c>
      <c r="U226" s="477">
        <v>2647.2</v>
      </c>
      <c r="X226" s="479">
        <v>45583</v>
      </c>
      <c r="Y226" s="477">
        <v>2647.2</v>
      </c>
    </row>
    <row r="227" spans="19:25">
      <c r="S227" s="479">
        <v>45566</v>
      </c>
      <c r="T227" t="s">
        <v>1187</v>
      </c>
      <c r="U227" s="477">
        <v>2683.85</v>
      </c>
      <c r="X227" s="479">
        <v>45582</v>
      </c>
      <c r="Y227" s="477">
        <v>2683.85</v>
      </c>
    </row>
    <row r="228" spans="19:25">
      <c r="S228" s="479">
        <v>45566</v>
      </c>
      <c r="T228" t="s">
        <v>1188</v>
      </c>
      <c r="U228" s="477">
        <v>2711.4</v>
      </c>
      <c r="X228" s="479">
        <v>45581</v>
      </c>
      <c r="Y228" s="477">
        <v>2711.4</v>
      </c>
    </row>
    <row r="229" spans="19:25">
      <c r="S229" s="479">
        <v>45566</v>
      </c>
      <c r="T229" t="s">
        <v>1189</v>
      </c>
      <c r="U229" s="477">
        <v>2747.3</v>
      </c>
      <c r="X229" s="479">
        <v>45580</v>
      </c>
      <c r="Y229" s="477">
        <v>2747.3</v>
      </c>
    </row>
    <row r="230" spans="19:25">
      <c r="S230" s="479">
        <v>45566</v>
      </c>
      <c r="T230" t="s">
        <v>1190</v>
      </c>
      <c r="U230" s="477">
        <v>2759.6</v>
      </c>
      <c r="X230" s="479">
        <v>45579</v>
      </c>
      <c r="Y230" s="477">
        <v>2759.6</v>
      </c>
    </row>
    <row r="231" spans="19:25">
      <c r="S231" s="479">
        <v>45566</v>
      </c>
      <c r="T231" s="478">
        <v>45606</v>
      </c>
      <c r="U231" s="477">
        <v>2792.55</v>
      </c>
      <c r="X231" s="479">
        <v>45576</v>
      </c>
      <c r="Y231" s="477">
        <v>2792.55</v>
      </c>
    </row>
    <row r="232" spans="19:25">
      <c r="S232" s="479">
        <v>45566</v>
      </c>
      <c r="T232" s="478">
        <v>45575</v>
      </c>
      <c r="U232" s="477">
        <v>2684</v>
      </c>
      <c r="X232" s="479">
        <v>45575</v>
      </c>
      <c r="Y232" s="477">
        <v>2684</v>
      </c>
    </row>
    <row r="233" spans="19:25">
      <c r="S233" s="479">
        <v>45566</v>
      </c>
      <c r="T233" s="478">
        <v>45545</v>
      </c>
      <c r="U233" s="477">
        <v>2686.8</v>
      </c>
      <c r="X233" s="479">
        <v>45574</v>
      </c>
      <c r="Y233" s="477">
        <v>2686.8</v>
      </c>
    </row>
    <row r="234" spans="19:25">
      <c r="S234" s="479">
        <v>45566</v>
      </c>
      <c r="T234" s="478">
        <v>45514</v>
      </c>
      <c r="U234" s="477">
        <v>2603.5500000000002</v>
      </c>
      <c r="X234" s="479">
        <v>45573</v>
      </c>
      <c r="Y234" s="477">
        <v>2603.5500000000002</v>
      </c>
    </row>
    <row r="235" spans="19:25">
      <c r="S235" s="479">
        <v>45566</v>
      </c>
      <c r="T235" s="478">
        <v>45483</v>
      </c>
      <c r="U235" s="477">
        <v>2561.6999999999998</v>
      </c>
      <c r="X235" s="479">
        <v>45572</v>
      </c>
      <c r="Y235" s="477">
        <v>2561.6999999999998</v>
      </c>
    </row>
    <row r="236" spans="19:25">
      <c r="S236" s="479">
        <v>45566</v>
      </c>
      <c r="T236" s="478">
        <v>45392</v>
      </c>
      <c r="U236" s="477">
        <v>2611.65</v>
      </c>
      <c r="X236" s="479">
        <v>45569</v>
      </c>
      <c r="Y236" s="477">
        <v>2611.65</v>
      </c>
    </row>
    <row r="237" spans="19:25">
      <c r="S237" s="479">
        <v>45566</v>
      </c>
      <c r="T237" s="478">
        <v>45361</v>
      </c>
      <c r="U237" s="477">
        <v>2537.8000000000002</v>
      </c>
      <c r="X237" s="479">
        <v>45568</v>
      </c>
      <c r="Y237" s="477">
        <v>2537.8000000000002</v>
      </c>
    </row>
    <row r="238" spans="19:25">
      <c r="S238" s="479">
        <v>45566</v>
      </c>
      <c r="T238" s="478">
        <v>45301</v>
      </c>
      <c r="U238" s="477">
        <v>2578.9499999999998</v>
      </c>
      <c r="X238" s="479">
        <v>45566</v>
      </c>
      <c r="Y238" s="477">
        <v>2578.9499999999998</v>
      </c>
    </row>
    <row r="239" spans="19:25">
      <c r="S239" s="479">
        <v>45536</v>
      </c>
      <c r="T239" t="s">
        <v>1191</v>
      </c>
      <c r="U239" s="477">
        <v>2520.6999999999998</v>
      </c>
      <c r="X239" s="479">
        <v>45565</v>
      </c>
      <c r="Y239" s="477">
        <v>2520.6999999999998</v>
      </c>
    </row>
    <row r="240" spans="19:25">
      <c r="S240" s="479">
        <v>45536</v>
      </c>
      <c r="T240" t="s">
        <v>1192</v>
      </c>
      <c r="U240" s="477">
        <v>2592</v>
      </c>
      <c r="X240" s="479">
        <v>45562</v>
      </c>
      <c r="Y240" s="477">
        <v>2592</v>
      </c>
    </row>
    <row r="241" spans="2:25">
      <c r="C241" s="485">
        <v>2019</v>
      </c>
      <c r="D241" s="485">
        <f>C241+1</f>
        <v>2020</v>
      </c>
      <c r="E241" s="485">
        <f t="shared" ref="E241:I241" si="8">D241+1</f>
        <v>2021</v>
      </c>
      <c r="F241" s="485">
        <f t="shared" si="8"/>
        <v>2022</v>
      </c>
      <c r="G241" s="485">
        <f t="shared" si="8"/>
        <v>2023</v>
      </c>
      <c r="H241" s="485">
        <f t="shared" si="8"/>
        <v>2024</v>
      </c>
      <c r="I241" s="485">
        <f t="shared" si="8"/>
        <v>2025</v>
      </c>
      <c r="S241" s="479">
        <v>45536</v>
      </c>
      <c r="T241" t="s">
        <v>1193</v>
      </c>
      <c r="U241" s="477">
        <v>2685.15</v>
      </c>
      <c r="X241" s="479">
        <v>45561</v>
      </c>
      <c r="Y241" s="477">
        <v>2685.15</v>
      </c>
    </row>
    <row r="242" spans="2:25">
      <c r="B242" t="s">
        <v>9</v>
      </c>
      <c r="C242">
        <v>821</v>
      </c>
      <c r="D242">
        <v>899</v>
      </c>
      <c r="E242">
        <v>1184</v>
      </c>
      <c r="F242">
        <v>1760</v>
      </c>
      <c r="G242">
        <v>1498</v>
      </c>
      <c r="H242">
        <v>1553</v>
      </c>
      <c r="I242">
        <v>2093</v>
      </c>
      <c r="S242" s="479">
        <v>45536</v>
      </c>
      <c r="T242" t="s">
        <v>1194</v>
      </c>
      <c r="U242" s="477">
        <v>2701.3</v>
      </c>
      <c r="X242" s="479">
        <v>45560</v>
      </c>
      <c r="Y242" s="477">
        <v>2701.3</v>
      </c>
    </row>
    <row r="243" spans="2:25">
      <c r="B243" t="s">
        <v>54</v>
      </c>
      <c r="C243" s="134">
        <v>59.001004016064257</v>
      </c>
      <c r="D243" s="134">
        <v>53.457084468664846</v>
      </c>
      <c r="E243" s="134">
        <v>61.077683161953729</v>
      </c>
      <c r="F243" s="134">
        <v>69.041377537907991</v>
      </c>
      <c r="G243" s="134">
        <v>67.960338324379919</v>
      </c>
      <c r="H243" s="134">
        <v>53.875907111756163</v>
      </c>
      <c r="I243" s="134">
        <v>54.509297943802736</v>
      </c>
      <c r="S243" s="479">
        <v>45536</v>
      </c>
      <c r="T243" t="s">
        <v>1195</v>
      </c>
      <c r="U243" s="477">
        <v>2734.3</v>
      </c>
      <c r="X243" s="479">
        <v>45559</v>
      </c>
      <c r="Y243" s="477">
        <v>2734.3</v>
      </c>
    </row>
    <row r="244" spans="2:25">
      <c r="S244" s="479">
        <v>45536</v>
      </c>
      <c r="T244" t="s">
        <v>1196</v>
      </c>
      <c r="U244" s="477">
        <v>2650.25</v>
      </c>
      <c r="X244" s="479">
        <v>45558</v>
      </c>
      <c r="Y244" s="477">
        <v>2650.25</v>
      </c>
    </row>
    <row r="245" spans="2:25">
      <c r="S245" s="479">
        <v>45536</v>
      </c>
      <c r="T245" t="s">
        <v>1197</v>
      </c>
      <c r="U245" s="477">
        <v>2535.75</v>
      </c>
      <c r="X245" s="479">
        <v>45555</v>
      </c>
      <c r="Y245" s="477">
        <v>2535.75</v>
      </c>
    </row>
    <row r="246" spans="2:25">
      <c r="S246" s="479">
        <v>45536</v>
      </c>
      <c r="T246" t="s">
        <v>1198</v>
      </c>
      <c r="U246" s="477">
        <v>2426.0500000000002</v>
      </c>
      <c r="X246" s="479">
        <v>45554</v>
      </c>
      <c r="Y246" s="477">
        <v>2426.0500000000002</v>
      </c>
    </row>
    <row r="247" spans="2:25">
      <c r="S247" s="479">
        <v>45536</v>
      </c>
      <c r="T247" t="s">
        <v>1199</v>
      </c>
      <c r="U247" s="477">
        <v>2395.6</v>
      </c>
      <c r="X247" s="479">
        <v>45553</v>
      </c>
      <c r="Y247" s="477">
        <v>2395.6</v>
      </c>
    </row>
    <row r="248" spans="2:25">
      <c r="S248" s="479">
        <v>45536</v>
      </c>
      <c r="T248" t="s">
        <v>1200</v>
      </c>
      <c r="U248" s="477">
        <v>2455.4499999999998</v>
      </c>
      <c r="X248" s="479">
        <v>45552</v>
      </c>
      <c r="Y248" s="477">
        <v>2455.4499999999998</v>
      </c>
    </row>
    <row r="249" spans="2:25">
      <c r="S249" s="479">
        <v>45536</v>
      </c>
      <c r="T249" t="s">
        <v>1201</v>
      </c>
      <c r="U249" s="477">
        <v>2456.25</v>
      </c>
      <c r="X249" s="479">
        <v>45551</v>
      </c>
      <c r="Y249" s="477">
        <v>2456.25</v>
      </c>
    </row>
    <row r="250" spans="2:25">
      <c r="S250" s="479">
        <v>45536</v>
      </c>
      <c r="T250" t="s">
        <v>1202</v>
      </c>
      <c r="U250" s="477">
        <v>2498.8000000000002</v>
      </c>
      <c r="X250" s="479">
        <v>45548</v>
      </c>
      <c r="Y250" s="477">
        <v>2498.8000000000002</v>
      </c>
    </row>
    <row r="251" spans="2:25">
      <c r="C251" s="485">
        <v>2021</v>
      </c>
      <c r="D251" s="485">
        <v>2022</v>
      </c>
      <c r="E251" s="485">
        <v>2023</v>
      </c>
      <c r="F251" s="485">
        <v>2024</v>
      </c>
      <c r="G251" s="485">
        <v>2025</v>
      </c>
      <c r="H251" s="484">
        <f>G251+1</f>
        <v>2026</v>
      </c>
      <c r="I251" s="484">
        <f t="shared" ref="I251:L251" si="9">H251+1</f>
        <v>2027</v>
      </c>
      <c r="J251" s="484">
        <f t="shared" si="9"/>
        <v>2028</v>
      </c>
      <c r="K251" s="484">
        <f t="shared" si="9"/>
        <v>2029</v>
      </c>
      <c r="L251" s="484">
        <f t="shared" si="9"/>
        <v>2030</v>
      </c>
      <c r="S251" s="479">
        <v>45536</v>
      </c>
      <c r="T251" s="478">
        <v>45635</v>
      </c>
      <c r="U251" s="477">
        <v>2431.4</v>
      </c>
      <c r="X251" s="479">
        <v>45547</v>
      </c>
      <c r="Y251" s="477">
        <v>2431.4</v>
      </c>
    </row>
    <row r="252" spans="2:25">
      <c r="B252" t="s">
        <v>442</v>
      </c>
      <c r="C252">
        <v>331</v>
      </c>
      <c r="D252">
        <v>388</v>
      </c>
      <c r="E252">
        <v>576</v>
      </c>
      <c r="F252">
        <v>848</v>
      </c>
      <c r="G252">
        <v>1538</v>
      </c>
      <c r="H252" s="134">
        <v>940.18059535786006</v>
      </c>
      <c r="I252" s="134">
        <v>1095.3103935919071</v>
      </c>
      <c r="J252" s="134">
        <v>1259.6069526306931</v>
      </c>
      <c r="K252" s="134">
        <v>1429.6538912358365</v>
      </c>
      <c r="L252" s="134">
        <v>1601.2123581841367</v>
      </c>
      <c r="S252" s="479">
        <v>45536</v>
      </c>
      <c r="T252" s="478">
        <v>45605</v>
      </c>
      <c r="U252" s="477">
        <v>2432.75</v>
      </c>
      <c r="X252" s="479">
        <v>45546</v>
      </c>
      <c r="Y252" s="477">
        <v>2432.75</v>
      </c>
    </row>
    <row r="253" spans="2:25">
      <c r="B253" t="s">
        <v>446</v>
      </c>
      <c r="C253" s="134">
        <v>19.411150385604113</v>
      </c>
      <c r="D253" s="134">
        <v>18.198406579285528</v>
      </c>
      <c r="E253" s="134">
        <v>24.030174877128815</v>
      </c>
      <c r="F253" s="134">
        <v>29.948717948717949</v>
      </c>
      <c r="G253" s="134">
        <v>45.987548128123208</v>
      </c>
      <c r="H253">
        <v>24</v>
      </c>
      <c r="I253">
        <v>24</v>
      </c>
      <c r="J253">
        <v>25</v>
      </c>
      <c r="K253">
        <v>25</v>
      </c>
      <c r="L253">
        <v>25</v>
      </c>
      <c r="S253" s="479">
        <v>45536</v>
      </c>
      <c r="T253" s="478">
        <v>45574</v>
      </c>
      <c r="U253" s="477">
        <v>2448.15</v>
      </c>
      <c r="X253" s="479">
        <v>45545</v>
      </c>
      <c r="Y253" s="477">
        <v>2448.15</v>
      </c>
    </row>
    <row r="254" spans="2:25">
      <c r="S254" s="479">
        <v>45536</v>
      </c>
      <c r="T254" s="478">
        <v>45544</v>
      </c>
      <c r="U254" s="477">
        <v>2411.9499999999998</v>
      </c>
      <c r="X254" s="479">
        <v>45544</v>
      </c>
      <c r="Y254" s="477">
        <v>2411.9499999999998</v>
      </c>
    </row>
    <row r="255" spans="2:25">
      <c r="S255" s="479">
        <v>45536</v>
      </c>
      <c r="T255" s="478">
        <v>45452</v>
      </c>
      <c r="U255" s="477">
        <v>2423.35</v>
      </c>
      <c r="X255" s="479">
        <v>45541</v>
      </c>
      <c r="Y255" s="477">
        <v>2423.35</v>
      </c>
    </row>
    <row r="256" spans="2:25">
      <c r="S256" s="479">
        <v>45536</v>
      </c>
      <c r="T256" s="478">
        <v>45421</v>
      </c>
      <c r="U256" s="477">
        <v>2473.15</v>
      </c>
      <c r="X256" s="479">
        <v>45540</v>
      </c>
      <c r="Y256" s="477">
        <v>2473.15</v>
      </c>
    </row>
    <row r="257" spans="1:25">
      <c r="S257" s="479">
        <v>45536</v>
      </c>
      <c r="T257" s="478">
        <v>45391</v>
      </c>
      <c r="U257" s="477">
        <v>2413.6999999999998</v>
      </c>
      <c r="X257" s="479">
        <v>45539</v>
      </c>
      <c r="Y257" s="477">
        <v>2413.6999999999998</v>
      </c>
    </row>
    <row r="258" spans="1:25">
      <c r="S258" s="479">
        <v>45536</v>
      </c>
      <c r="T258" s="478">
        <v>45360</v>
      </c>
      <c r="U258" s="477">
        <v>2391.1</v>
      </c>
      <c r="X258" s="479">
        <v>45538</v>
      </c>
      <c r="Y258" s="477">
        <v>2391.1</v>
      </c>
    </row>
    <row r="259" spans="1:25">
      <c r="S259" s="479">
        <v>45536</v>
      </c>
      <c r="T259" s="478">
        <v>45331</v>
      </c>
      <c r="U259" s="477">
        <v>2391.15</v>
      </c>
      <c r="X259" s="479">
        <v>45537</v>
      </c>
      <c r="Y259" s="477">
        <v>2391.15</v>
      </c>
    </row>
    <row r="260" spans="1:25">
      <c r="S260" s="479">
        <v>45505</v>
      </c>
      <c r="T260" t="s">
        <v>1203</v>
      </c>
      <c r="U260" s="477">
        <v>2487.75</v>
      </c>
      <c r="X260" s="479">
        <v>45534</v>
      </c>
      <c r="Y260" s="477">
        <v>2487.75</v>
      </c>
    </row>
    <row r="261" spans="1:25">
      <c r="C261" s="485">
        <v>2021</v>
      </c>
      <c r="D261" s="485">
        <v>2022</v>
      </c>
      <c r="E261" s="485">
        <v>2023</v>
      </c>
      <c r="F261" s="485">
        <v>2024</v>
      </c>
      <c r="G261" s="485">
        <v>2025</v>
      </c>
      <c r="H261" s="484">
        <f>G261+1</f>
        <v>2026</v>
      </c>
      <c r="I261" s="484">
        <f t="shared" ref="I261:L261" si="10">H261+1</f>
        <v>2027</v>
      </c>
      <c r="J261" s="484">
        <f t="shared" si="10"/>
        <v>2028</v>
      </c>
      <c r="K261" s="484">
        <f t="shared" si="10"/>
        <v>2029</v>
      </c>
      <c r="L261" s="484">
        <f t="shared" si="10"/>
        <v>2030</v>
      </c>
      <c r="S261" s="479">
        <v>45505</v>
      </c>
      <c r="T261" t="s">
        <v>1204</v>
      </c>
      <c r="U261" s="477">
        <v>2425.9499999999998</v>
      </c>
      <c r="X261" s="479">
        <v>45533</v>
      </c>
      <c r="Y261" s="477">
        <v>2425.9499999999998</v>
      </c>
    </row>
    <row r="262" spans="1:25">
      <c r="B262" t="s">
        <v>216</v>
      </c>
      <c r="C262" s="134">
        <v>667.16750000000002</v>
      </c>
      <c r="D262" s="134">
        <v>1076.4388000000001</v>
      </c>
      <c r="E262" s="134">
        <v>1007.7633</v>
      </c>
      <c r="F262" s="134">
        <v>1102.9988000000001</v>
      </c>
      <c r="G262" s="134">
        <v>1133.4605000000001</v>
      </c>
      <c r="H262" s="134">
        <v>1610.1200219178081</v>
      </c>
      <c r="I262" s="134">
        <v>1842.6876521424654</v>
      </c>
      <c r="J262" s="134">
        <v>2081.0233005632867</v>
      </c>
      <c r="K262" s="134">
        <v>2318.7548343197091</v>
      </c>
      <c r="L262" s="134">
        <v>2548.6140092000974</v>
      </c>
      <c r="S262" s="479">
        <v>45505</v>
      </c>
      <c r="T262" t="s">
        <v>1205</v>
      </c>
      <c r="U262" s="477">
        <v>2428.5500000000002</v>
      </c>
      <c r="X262" s="479">
        <v>45532</v>
      </c>
      <c r="Y262" s="477">
        <v>2428.5500000000002</v>
      </c>
    </row>
    <row r="263" spans="1:25">
      <c r="B263" t="s">
        <v>1240</v>
      </c>
      <c r="C263" s="134">
        <v>0</v>
      </c>
      <c r="D263" s="134">
        <v>131.39712518959598</v>
      </c>
      <c r="E263" s="134">
        <v>130.54688367685532</v>
      </c>
      <c r="F263" s="134">
        <v>120.01575702233973</v>
      </c>
      <c r="G263" s="134">
        <v>105.87537930864534</v>
      </c>
      <c r="H263" s="134">
        <v>120</v>
      </c>
      <c r="I263" s="134">
        <v>120</v>
      </c>
      <c r="J263" s="134">
        <v>120</v>
      </c>
      <c r="K263" s="134">
        <v>120</v>
      </c>
      <c r="L263" s="134">
        <v>120</v>
      </c>
      <c r="S263" s="479">
        <v>45505</v>
      </c>
      <c r="T263" t="s">
        <v>1206</v>
      </c>
      <c r="U263" s="477">
        <v>2427.1</v>
      </c>
      <c r="X263" s="479">
        <v>45531</v>
      </c>
      <c r="Y263" s="477">
        <v>2427.1</v>
      </c>
    </row>
    <row r="264" spans="1:25">
      <c r="S264" s="479">
        <v>45505</v>
      </c>
      <c r="T264" t="s">
        <v>1207</v>
      </c>
      <c r="U264" s="477">
        <v>2352.9499999999998</v>
      </c>
      <c r="X264" s="479">
        <v>45530</v>
      </c>
      <c r="Y264" s="477">
        <v>2352.9499999999998</v>
      </c>
    </row>
    <row r="265" spans="1:25">
      <c r="S265" s="479">
        <v>45505</v>
      </c>
      <c r="T265" t="s">
        <v>1208</v>
      </c>
      <c r="U265" s="477">
        <v>2362.4499999999998</v>
      </c>
      <c r="X265" s="479">
        <v>45527</v>
      </c>
      <c r="Y265" s="477">
        <v>2362.4499999999998</v>
      </c>
    </row>
    <row r="266" spans="1:25">
      <c r="S266" s="479">
        <v>45505</v>
      </c>
      <c r="T266" t="s">
        <v>1209</v>
      </c>
      <c r="U266" s="477">
        <v>2319.6</v>
      </c>
      <c r="X266" s="479">
        <v>45526</v>
      </c>
      <c r="Y266" s="477">
        <v>2319.6</v>
      </c>
    </row>
    <row r="267" spans="1:25">
      <c r="U267" s="477"/>
    </row>
    <row r="268" spans="1:25">
      <c r="U268" s="477"/>
    </row>
    <row r="269" spans="1:25">
      <c r="B269">
        <v>2019</v>
      </c>
      <c r="C269">
        <v>2020</v>
      </c>
      <c r="D269">
        <v>2021</v>
      </c>
      <c r="E269">
        <v>2022</v>
      </c>
      <c r="F269">
        <v>2023</v>
      </c>
      <c r="G269">
        <v>2024</v>
      </c>
      <c r="H269">
        <v>2025</v>
      </c>
    </row>
    <row r="270" spans="1:25">
      <c r="A270" t="s">
        <v>610</v>
      </c>
      <c r="B270">
        <v>25.111900000000002</v>
      </c>
      <c r="C270">
        <v>58.192700000000002</v>
      </c>
      <c r="D270">
        <v>57.419899999999998</v>
      </c>
      <c r="E270">
        <v>49.193999999999996</v>
      </c>
      <c r="F270">
        <v>23.186499999999999</v>
      </c>
      <c r="G270">
        <v>24.867699999999999</v>
      </c>
      <c r="H270">
        <v>5526.19</v>
      </c>
    </row>
    <row r="271" spans="1:25">
      <c r="A271" t="s">
        <v>1241</v>
      </c>
      <c r="B271">
        <v>241.4641</v>
      </c>
      <c r="C271">
        <v>44.280200000000008</v>
      </c>
      <c r="D271">
        <v>158.60389999999998</v>
      </c>
      <c r="E271">
        <v>818.83320000000003</v>
      </c>
      <c r="F271">
        <v>139.48990000000001</v>
      </c>
      <c r="G271">
        <v>171.16810000000001</v>
      </c>
      <c r="H271">
        <v>2956.84</v>
      </c>
    </row>
    <row r="272" spans="1:25">
      <c r="A272" t="s">
        <v>1242</v>
      </c>
      <c r="B272">
        <f>SUM(B270:B271)</f>
        <v>266.57600000000002</v>
      </c>
      <c r="C272">
        <f t="shared" ref="C272:H272" si="11">SUM(C270:C271)</f>
        <v>102.47290000000001</v>
      </c>
      <c r="D272">
        <f t="shared" si="11"/>
        <v>216.02379999999999</v>
      </c>
      <c r="E272">
        <f t="shared" si="11"/>
        <v>868.02719999999999</v>
      </c>
      <c r="F272">
        <f t="shared" si="11"/>
        <v>162.6764</v>
      </c>
      <c r="G272">
        <f t="shared" si="11"/>
        <v>196.03579999999999</v>
      </c>
      <c r="H272">
        <f t="shared" si="11"/>
        <v>8483.0299999999988</v>
      </c>
    </row>
    <row r="273" spans="1:8">
      <c r="B273">
        <v>2019</v>
      </c>
      <c r="C273">
        <v>2020</v>
      </c>
      <c r="D273">
        <v>2021</v>
      </c>
      <c r="E273">
        <v>2022</v>
      </c>
      <c r="F273">
        <v>2023</v>
      </c>
      <c r="G273">
        <v>2024</v>
      </c>
      <c r="H273">
        <v>2025</v>
      </c>
    </row>
    <row r="274" spans="1:8">
      <c r="A274" t="s">
        <v>594</v>
      </c>
      <c r="B274" s="124">
        <f>B270/B272</f>
        <v>9.4201653562211149E-2</v>
      </c>
      <c r="C274" s="124">
        <f t="shared" ref="C274:H274" si="12">C270/C272</f>
        <v>0.56788380147336515</v>
      </c>
      <c r="D274" s="124">
        <f t="shared" si="12"/>
        <v>0.26580358275338178</v>
      </c>
      <c r="E274" s="124">
        <f t="shared" si="12"/>
        <v>5.6673339268631211E-2</v>
      </c>
      <c r="F274" s="124">
        <f t="shared" si="12"/>
        <v>0.14253143049637193</v>
      </c>
      <c r="G274" s="124">
        <f t="shared" si="12"/>
        <v>0.12685285034672239</v>
      </c>
      <c r="H274" s="124">
        <f t="shared" si="12"/>
        <v>0.65144058196186982</v>
      </c>
    </row>
    <row r="275" spans="1:8">
      <c r="A275" t="s">
        <v>595</v>
      </c>
      <c r="B275" s="124">
        <f>B271/B272</f>
        <v>0.90579834643778878</v>
      </c>
      <c r="C275" s="124">
        <f t="shared" ref="C275:H275" si="13">C271/C272</f>
        <v>0.43211619852663485</v>
      </c>
      <c r="D275" s="124">
        <f t="shared" si="13"/>
        <v>0.7341964172466181</v>
      </c>
      <c r="E275" s="124">
        <f t="shared" si="13"/>
        <v>0.94332666073136884</v>
      </c>
      <c r="F275" s="124">
        <f t="shared" si="13"/>
        <v>0.85746856950362804</v>
      </c>
      <c r="G275" s="124">
        <f t="shared" si="13"/>
        <v>0.87314714965327767</v>
      </c>
      <c r="H275" s="124">
        <f t="shared" si="13"/>
        <v>0.34855941803813029</v>
      </c>
    </row>
    <row r="299" spans="2:8" ht="30.6" customHeight="1"/>
    <row r="300" spans="2:8" ht="41.4">
      <c r="B300" s="108" t="s">
        <v>1245</v>
      </c>
      <c r="C300" s="521" t="s">
        <v>151</v>
      </c>
      <c r="D300" s="521" t="s">
        <v>1246</v>
      </c>
      <c r="E300" s="521" t="s">
        <v>1249</v>
      </c>
      <c r="F300" s="521" t="s">
        <v>1250</v>
      </c>
      <c r="G300" s="521" t="s">
        <v>1247</v>
      </c>
      <c r="H300" s="521" t="s">
        <v>1248</v>
      </c>
    </row>
    <row r="301" spans="2:8">
      <c r="B301" t="s">
        <v>1251</v>
      </c>
      <c r="C301" s="520">
        <f>'DCF Val'!C38</f>
        <v>53060.703031265264</v>
      </c>
      <c r="D301" s="520">
        <f ca="1">'DCF Val'!C47</f>
        <v>0</v>
      </c>
      <c r="E301" s="520">
        <f ca="1">D301/41.3</f>
        <v>0</v>
      </c>
      <c r="F301" s="520">
        <v>2530</v>
      </c>
      <c r="G301" s="520">
        <f ca="1">(E301-F301)*-1</f>
        <v>2530</v>
      </c>
      <c r="H301" s="151">
        <f ca="1">G301/F301</f>
        <v>1</v>
      </c>
    </row>
    <row r="302" spans="2:8">
      <c r="B302" t="s">
        <v>1252</v>
      </c>
      <c r="C302" s="520">
        <f>'DCF Val'!C57</f>
        <v>67957.693166040364</v>
      </c>
      <c r="D302" s="520" t="e">
        <f ca="1">'DCF Val'!C66</f>
        <v>#VALUE!</v>
      </c>
      <c r="E302" s="520" t="e">
        <f t="shared" ref="E302:E304" ca="1" si="14">D302/41.3</f>
        <v>#VALUE!</v>
      </c>
      <c r="F302" s="520">
        <v>2530</v>
      </c>
      <c r="G302" s="520" t="e">
        <f ca="1">(E302-F302)*-1</f>
        <v>#VALUE!</v>
      </c>
      <c r="H302" s="151" t="e">
        <f t="shared" ref="H302:H304" ca="1" si="15">G302/F302</f>
        <v>#VALUE!</v>
      </c>
    </row>
    <row r="303" spans="2:8">
      <c r="B303" t="s">
        <v>1253</v>
      </c>
      <c r="C303" s="520">
        <f>Relative_Val!D27</f>
        <v>45743.096863075181</v>
      </c>
      <c r="D303" s="520">
        <f ca="1">Relative_Val!D34</f>
        <v>37748.128265279054</v>
      </c>
      <c r="E303" s="520">
        <f t="shared" ca="1" si="14"/>
        <v>913.9982630818173</v>
      </c>
      <c r="F303" s="520">
        <v>2530</v>
      </c>
      <c r="G303" s="520">
        <f ca="1">(E303-F303)*-1</f>
        <v>1616.0017369181828</v>
      </c>
      <c r="H303" s="151">
        <f t="shared" ca="1" si="15"/>
        <v>0.63873586439453867</v>
      </c>
    </row>
    <row r="304" spans="2:8">
      <c r="B304" t="s">
        <v>1254</v>
      </c>
      <c r="C304" s="520">
        <f>Relative_Val!D27</f>
        <v>45743.096863075181</v>
      </c>
      <c r="D304" s="520">
        <f ca="1">Relative_Val!D34</f>
        <v>37748.128265279054</v>
      </c>
      <c r="E304" s="520">
        <f t="shared" ca="1" si="14"/>
        <v>913.9982630818173</v>
      </c>
      <c r="F304" s="520">
        <v>2530</v>
      </c>
      <c r="G304" s="520">
        <f ca="1">(E304-F304)*-1</f>
        <v>1616.0017369181828</v>
      </c>
      <c r="H304" s="151">
        <f t="shared" ca="1" si="15"/>
        <v>0.63873586439453867</v>
      </c>
    </row>
    <row r="310" spans="2:13">
      <c r="B310" s="232" t="s">
        <v>183</v>
      </c>
    </row>
    <row r="311" spans="2:13">
      <c r="B311" t="s">
        <v>500</v>
      </c>
      <c r="D311" s="66">
        <v>1620.2787999999998</v>
      </c>
      <c r="E311" s="66">
        <v>1652.4046000000003</v>
      </c>
      <c r="F311" s="66">
        <v>2409.4607000000005</v>
      </c>
      <c r="G311" s="66">
        <v>2812.5396000000014</v>
      </c>
      <c r="H311" s="66">
        <v>2740.6304999999998</v>
      </c>
      <c r="I311" s="66">
        <v>3216.7202667730057</v>
      </c>
      <c r="J311" s="66">
        <v>3712.1631369522615</v>
      </c>
      <c r="K311" s="66">
        <v>4363.6544847221412</v>
      </c>
      <c r="L311" s="66">
        <v>4987.4965740888183</v>
      </c>
      <c r="M311" s="66">
        <v>5559.1252217972369</v>
      </c>
    </row>
    <row r="312" spans="2:13">
      <c r="B312" t="s">
        <v>505</v>
      </c>
      <c r="D312" s="66">
        <v>0</v>
      </c>
      <c r="E312" s="66">
        <v>67.357100000000003</v>
      </c>
      <c r="F312" s="66">
        <v>114.3647</v>
      </c>
      <c r="G312" s="66">
        <v>119.06129999999999</v>
      </c>
      <c r="H312" s="66">
        <v>167.25</v>
      </c>
      <c r="I312" s="66">
        <v>158.94934754656737</v>
      </c>
      <c r="J312" s="66">
        <v>150.64869509313473</v>
      </c>
      <c r="K312" s="66">
        <v>142.3480426397021</v>
      </c>
      <c r="L312" s="66">
        <v>134.04739018626947</v>
      </c>
      <c r="M312" s="66">
        <v>125.74673773283685</v>
      </c>
    </row>
    <row r="313" spans="2:13">
      <c r="B313" t="s">
        <v>503</v>
      </c>
      <c r="D313" s="66">
        <v>371.61620000000005</v>
      </c>
      <c r="E313" s="66">
        <v>669.87339999999995</v>
      </c>
      <c r="F313" s="66">
        <v>493.19199999999995</v>
      </c>
      <c r="G313" s="66">
        <v>207.09389999999999</v>
      </c>
      <c r="H313" s="66">
        <v>306.13</v>
      </c>
      <c r="I313" s="65">
        <v>0</v>
      </c>
      <c r="J313" s="65">
        <v>0</v>
      </c>
      <c r="K313" s="65">
        <v>0</v>
      </c>
      <c r="L313" s="65">
        <v>0</v>
      </c>
      <c r="M313" s="65">
        <v>0</v>
      </c>
    </row>
    <row r="314" spans="2:13">
      <c r="B314" t="s">
        <v>13</v>
      </c>
      <c r="D314" s="66">
        <v>20.4422</v>
      </c>
      <c r="E314" s="66">
        <v>20.4422</v>
      </c>
      <c r="F314" s="66">
        <v>20.022500000000001</v>
      </c>
      <c r="G314" s="66">
        <v>20.022500000000001</v>
      </c>
      <c r="H314" s="66">
        <v>6492</v>
      </c>
      <c r="I314" s="66">
        <v>6492</v>
      </c>
      <c r="J314" s="66">
        <v>6492</v>
      </c>
      <c r="K314" s="66">
        <v>6492</v>
      </c>
      <c r="L314" s="66">
        <v>6492</v>
      </c>
      <c r="M314" s="66">
        <v>6492</v>
      </c>
    </row>
    <row r="315" spans="2:13">
      <c r="B315" t="s">
        <v>506</v>
      </c>
      <c r="D315" s="66">
        <v>18.428600000000003</v>
      </c>
      <c r="E315" s="66">
        <v>1842.6152</v>
      </c>
      <c r="F315" s="66">
        <v>1701.4632999999999</v>
      </c>
      <c r="G315" s="66">
        <v>1588.3397</v>
      </c>
      <c r="H315" s="66">
        <v>9604.66</v>
      </c>
      <c r="I315" s="66">
        <v>9127.9787169304273</v>
      </c>
      <c r="J315" s="66">
        <v>8651.2974338608547</v>
      </c>
      <c r="K315" s="66">
        <v>8174.6161507912811</v>
      </c>
      <c r="L315" s="66">
        <v>7697.9348677217076</v>
      </c>
      <c r="M315" s="66">
        <v>7221.2535846521341</v>
      </c>
    </row>
    <row r="316" spans="2:13">
      <c r="B316" t="s">
        <v>516</v>
      </c>
      <c r="D316" s="66">
        <v>68.019000000000005</v>
      </c>
      <c r="E316" s="66">
        <v>95.644600000000011</v>
      </c>
      <c r="F316" s="66">
        <v>205.0883</v>
      </c>
      <c r="G316" s="66">
        <v>155.33539999999999</v>
      </c>
      <c r="H316" s="66">
        <v>360.57000000000005</v>
      </c>
      <c r="I316" s="66">
        <v>360.57000000000005</v>
      </c>
      <c r="J316" s="66">
        <v>360.57000000000005</v>
      </c>
      <c r="K316" s="66">
        <v>360.57000000000005</v>
      </c>
      <c r="L316" s="66">
        <v>360.57000000000005</v>
      </c>
      <c r="M316" s="66">
        <v>360.57000000000005</v>
      </c>
    </row>
    <row r="317" spans="2:13">
      <c r="B317" t="s">
        <v>562</v>
      </c>
      <c r="D317" s="66">
        <v>96.676599999999993</v>
      </c>
      <c r="E317" s="66">
        <v>74.184300000000007</v>
      </c>
      <c r="F317" s="66">
        <v>73.355000000000004</v>
      </c>
      <c r="G317" s="66">
        <v>66.281099999999995</v>
      </c>
      <c r="H317" s="66">
        <v>92.26</v>
      </c>
      <c r="I317" s="66">
        <v>92.26</v>
      </c>
      <c r="J317" s="66">
        <v>92.26</v>
      </c>
      <c r="K317" s="66">
        <v>92.26</v>
      </c>
      <c r="L317" s="66">
        <v>92.26</v>
      </c>
      <c r="M317" s="66">
        <v>92.26</v>
      </c>
    </row>
    <row r="318" spans="2:13">
      <c r="B318" t="s">
        <v>517</v>
      </c>
      <c r="D318" s="66">
        <v>49.011000000000003</v>
      </c>
      <c r="E318" s="66">
        <v>39.286200000000001</v>
      </c>
      <c r="F318" s="66">
        <v>29.776900000000001</v>
      </c>
      <c r="G318" s="66">
        <v>80.397499999999994</v>
      </c>
      <c r="H318" s="66">
        <v>107.89</v>
      </c>
      <c r="I318" s="66">
        <v>107.89</v>
      </c>
      <c r="J318" s="66">
        <v>107.89</v>
      </c>
      <c r="K318" s="66">
        <v>107.89</v>
      </c>
      <c r="L318" s="66">
        <v>107.89</v>
      </c>
      <c r="M318" s="66">
        <v>107.89</v>
      </c>
    </row>
    <row r="319" spans="2:13">
      <c r="B319" t="s">
        <v>518</v>
      </c>
      <c r="D319" s="66">
        <v>55.605600000000003</v>
      </c>
      <c r="E319" s="66">
        <v>79.824200000000005</v>
      </c>
      <c r="F319" s="66">
        <v>102.51530000000001</v>
      </c>
      <c r="G319" s="66">
        <v>81.983899999999991</v>
      </c>
      <c r="H319" s="66">
        <v>189.49</v>
      </c>
      <c r="I319" s="66">
        <v>189.49</v>
      </c>
      <c r="J319" s="66">
        <v>189.49</v>
      </c>
      <c r="K319" s="66">
        <v>189.49</v>
      </c>
      <c r="L319" s="66">
        <v>189.49</v>
      </c>
      <c r="M319" s="66">
        <v>189.49</v>
      </c>
    </row>
    <row r="320" spans="2:13">
      <c r="B320" t="s">
        <v>522</v>
      </c>
      <c r="D320" s="66">
        <v>0.33360000000000001</v>
      </c>
      <c r="E320" s="66">
        <v>31.597899999999999</v>
      </c>
      <c r="F320" s="66">
        <v>56.953599999999994</v>
      </c>
      <c r="G320" s="66">
        <v>74.699200000000005</v>
      </c>
      <c r="H320" s="66">
        <v>519.54</v>
      </c>
      <c r="I320" s="66">
        <v>519.54</v>
      </c>
      <c r="J320" s="66">
        <v>519.54</v>
      </c>
      <c r="K320" s="66">
        <v>519.54</v>
      </c>
      <c r="L320" s="66">
        <v>519.54</v>
      </c>
      <c r="M320" s="66">
        <v>519.54</v>
      </c>
    </row>
    <row r="321" spans="2:13">
      <c r="B321" t="s">
        <v>523</v>
      </c>
      <c r="D321" s="66">
        <v>165.7868</v>
      </c>
      <c r="E321" s="66">
        <v>167.74279999999999</v>
      </c>
      <c r="F321" s="66">
        <v>181.41119999999998</v>
      </c>
      <c r="G321" s="66">
        <v>189.28139999999999</v>
      </c>
      <c r="H321" s="66">
        <v>190.9</v>
      </c>
      <c r="I321" s="66">
        <v>190.9</v>
      </c>
      <c r="J321" s="66">
        <v>190.9</v>
      </c>
      <c r="K321" s="66">
        <v>190.9</v>
      </c>
      <c r="L321" s="66">
        <v>190.9</v>
      </c>
      <c r="M321" s="66">
        <v>190.9</v>
      </c>
    </row>
    <row r="322" spans="2:13" ht="15" thickBot="1">
      <c r="B322" s="105" t="s">
        <v>519</v>
      </c>
      <c r="C322" s="105"/>
      <c r="D322" s="225">
        <v>2466.1983999999993</v>
      </c>
      <c r="E322" s="225">
        <v>4740.9724999999989</v>
      </c>
      <c r="F322" s="225">
        <v>5387.6035000000002</v>
      </c>
      <c r="G322" s="225">
        <v>5395.0355000000009</v>
      </c>
      <c r="H322" s="225">
        <v>20771.320500000002</v>
      </c>
      <c r="I322" s="225">
        <v>20456.29833125</v>
      </c>
      <c r="J322" s="225">
        <v>20466.75926590625</v>
      </c>
      <c r="K322" s="225">
        <v>20633.268678153127</v>
      </c>
      <c r="L322" s="225">
        <v>20772.128831996797</v>
      </c>
      <c r="M322" s="225">
        <v>20858.775544182208</v>
      </c>
    </row>
    <row r="323" spans="2:13">
      <c r="D323" s="65"/>
      <c r="E323" s="65"/>
      <c r="F323" s="65"/>
      <c r="G323" s="65"/>
      <c r="H323" s="65"/>
    </row>
    <row r="324" spans="2:13">
      <c r="B324" s="232" t="s">
        <v>94</v>
      </c>
      <c r="D324" s="113"/>
      <c r="E324" s="76"/>
      <c r="F324" s="76"/>
      <c r="G324" s="76"/>
      <c r="H324" s="76"/>
      <c r="I324" s="76"/>
      <c r="J324" s="76"/>
      <c r="K324" s="76"/>
      <c r="L324" s="76"/>
      <c r="M324" s="76"/>
    </row>
    <row r="325" spans="2:13">
      <c r="B325" s="2" t="s">
        <v>8</v>
      </c>
      <c r="C325" s="1"/>
      <c r="D325" s="66">
        <v>167.18200000000002</v>
      </c>
      <c r="E325" s="66">
        <v>302.53469999999999</v>
      </c>
      <c r="F325" s="66">
        <v>304.82069999999999</v>
      </c>
      <c r="G325" s="66">
        <v>382.00749999999999</v>
      </c>
      <c r="H325" s="66">
        <v>407.36</v>
      </c>
      <c r="I325" s="89">
        <v>1160.7377255758443</v>
      </c>
      <c r="J325" s="89">
        <v>3013.5062280800871</v>
      </c>
      <c r="K325" s="89">
        <v>5297.2913534595755</v>
      </c>
      <c r="L325" s="89">
        <v>8249.6811532634983</v>
      </c>
      <c r="M325" s="89">
        <v>11409.642577412043</v>
      </c>
    </row>
    <row r="326" spans="2:13">
      <c r="B326" s="72" t="s">
        <v>556</v>
      </c>
      <c r="C326" s="1"/>
      <c r="D326" s="66">
        <v>533.5598</v>
      </c>
      <c r="E326" s="66">
        <v>103.4068</v>
      </c>
      <c r="F326" s="66">
        <v>148.37790000000001</v>
      </c>
      <c r="G326" s="66">
        <v>815.9636999999999</v>
      </c>
      <c r="H326" s="66">
        <v>147.13999999999999</v>
      </c>
      <c r="I326" s="65">
        <v>147.13999999999999</v>
      </c>
      <c r="J326" s="65">
        <v>147.13999999999999</v>
      </c>
      <c r="K326" s="65">
        <v>147.13999999999999</v>
      </c>
      <c r="L326" s="65">
        <v>147.13999999999999</v>
      </c>
      <c r="M326" s="65">
        <v>147.13999999999999</v>
      </c>
    </row>
    <row r="327" spans="2:13">
      <c r="B327" s="2" t="s">
        <v>9</v>
      </c>
      <c r="C327" s="1"/>
      <c r="D327" s="66">
        <v>1183.5377000000001</v>
      </c>
      <c r="E327" s="66">
        <v>1760.2381</v>
      </c>
      <c r="F327" s="66">
        <v>1498.4582</v>
      </c>
      <c r="G327" s="66">
        <v>1553.4612</v>
      </c>
      <c r="H327" s="66">
        <v>2093.71</v>
      </c>
      <c r="I327" s="66">
        <v>2311.8153078642554</v>
      </c>
      <c r="J327" s="66">
        <v>2693.2648336618572</v>
      </c>
      <c r="K327" s="66">
        <v>2907.9339819863012</v>
      </c>
      <c r="L327" s="66">
        <v>3300.5050695544514</v>
      </c>
      <c r="M327" s="66">
        <v>3696.5656779009855</v>
      </c>
    </row>
    <row r="328" spans="2:13">
      <c r="B328" s="2" t="s">
        <v>451</v>
      </c>
      <c r="C328" s="1"/>
      <c r="D328" s="66">
        <v>330.61129999999997</v>
      </c>
      <c r="E328" s="66">
        <v>388.166</v>
      </c>
      <c r="F328" s="66">
        <v>576.42139999999995</v>
      </c>
      <c r="G328" s="66">
        <v>848.2811999999999</v>
      </c>
      <c r="H328" s="66">
        <v>1538.34</v>
      </c>
      <c r="I328" s="66">
        <v>940.18059535786006</v>
      </c>
      <c r="J328" s="66">
        <v>1095.3103935919071</v>
      </c>
      <c r="K328" s="66">
        <v>1321.788173630137</v>
      </c>
      <c r="L328" s="66">
        <v>1500.2295770702051</v>
      </c>
      <c r="M328" s="66">
        <v>1680.2571263186298</v>
      </c>
    </row>
    <row r="329" spans="2:13">
      <c r="B329" s="2" t="s">
        <v>191</v>
      </c>
      <c r="C329" s="1"/>
      <c r="D329" s="66">
        <v>1306.1741</v>
      </c>
      <c r="E329" s="66">
        <v>874.46179999999993</v>
      </c>
      <c r="F329" s="66">
        <v>1075.4741000000001</v>
      </c>
      <c r="G329" s="66">
        <v>2258.1124</v>
      </c>
      <c r="H329" s="66">
        <v>1690.84</v>
      </c>
      <c r="I329" s="66">
        <v>1995.1911999999998</v>
      </c>
      <c r="J329" s="66">
        <v>2324.3977479999999</v>
      </c>
      <c r="K329" s="66">
        <v>2673.0574101999996</v>
      </c>
      <c r="L329" s="66">
        <v>3033.9201605769995</v>
      </c>
      <c r="M329" s="66">
        <v>3397.9905798462396</v>
      </c>
    </row>
    <row r="330" spans="2:13">
      <c r="B330" s="223" t="s">
        <v>11</v>
      </c>
      <c r="C330" s="4"/>
      <c r="D330" s="66">
        <v>385.56990000000002</v>
      </c>
      <c r="E330" s="66">
        <v>978.01089999999999</v>
      </c>
      <c r="F330" s="66">
        <v>724.3196999999999</v>
      </c>
      <c r="G330" s="66">
        <v>710.4011999999999</v>
      </c>
      <c r="H330" s="66">
        <v>1110.8800000000001</v>
      </c>
      <c r="I330" s="66">
        <v>993.89393999999993</v>
      </c>
      <c r="J330" s="66">
        <v>1157.8864401000001</v>
      </c>
      <c r="K330" s="66">
        <v>1331.569406115</v>
      </c>
      <c r="L330" s="66">
        <v>1511.3312759405248</v>
      </c>
      <c r="M330" s="66">
        <v>1692.6910290533879</v>
      </c>
    </row>
    <row r="331" spans="2:13">
      <c r="B331" s="5" t="s">
        <v>12</v>
      </c>
      <c r="C331" s="6"/>
      <c r="D331" s="75">
        <v>3906.6348000000003</v>
      </c>
      <c r="E331" s="75">
        <v>4406.8182999999999</v>
      </c>
      <c r="F331" s="75">
        <v>4327.8720000000003</v>
      </c>
      <c r="G331" s="75">
        <v>6568.2271999999994</v>
      </c>
      <c r="H331" s="75">
        <v>6988.27</v>
      </c>
      <c r="I331" s="75">
        <v>7548.9587687979583</v>
      </c>
      <c r="J331" s="75">
        <v>10431.505643433851</v>
      </c>
      <c r="K331" s="75">
        <v>13678.780325391013</v>
      </c>
      <c r="L331" s="75">
        <v>17742.807236405679</v>
      </c>
      <c r="M331" s="75">
        <v>22024.286990531287</v>
      </c>
    </row>
    <row r="332" spans="2:13">
      <c r="B332" s="3"/>
      <c r="C332" s="490"/>
      <c r="D332" s="8"/>
      <c r="E332" s="8"/>
      <c r="F332" s="8"/>
      <c r="G332" s="8"/>
      <c r="H332" s="8"/>
      <c r="I332" s="8"/>
      <c r="J332" s="8"/>
      <c r="K332" s="8"/>
      <c r="L332" s="8"/>
      <c r="M332" s="8"/>
    </row>
    <row r="333" spans="2:13" ht="15" thickBot="1">
      <c r="B333" s="234" t="s">
        <v>14</v>
      </c>
      <c r="C333" s="234"/>
      <c r="D333" s="228">
        <v>6372.8331999999991</v>
      </c>
      <c r="E333" s="228">
        <v>9147.7907999999989</v>
      </c>
      <c r="F333" s="228">
        <v>9715.4755000000005</v>
      </c>
      <c r="G333" s="228">
        <v>11963.262699999999</v>
      </c>
      <c r="H333" s="228">
        <v>27759.590500000002</v>
      </c>
      <c r="I333" s="228">
        <v>28005.257100047958</v>
      </c>
      <c r="J333" s="228">
        <v>30898.264909340101</v>
      </c>
      <c r="K333" s="228">
        <v>34312.04900354414</v>
      </c>
      <c r="L333" s="228">
        <v>38514.936068402472</v>
      </c>
      <c r="M333" s="228">
        <v>42883.062534713492</v>
      </c>
    </row>
    <row r="334" spans="2:13">
      <c r="B334" s="1"/>
      <c r="C334" s="1"/>
      <c r="D334" s="7"/>
      <c r="E334" s="7"/>
      <c r="F334" s="7"/>
      <c r="G334" s="10"/>
      <c r="H334" s="10"/>
      <c r="I334" s="10"/>
      <c r="J334" s="10"/>
      <c r="K334" s="10"/>
      <c r="L334" s="10"/>
      <c r="M334" s="10"/>
    </row>
    <row r="335" spans="2:13">
      <c r="B335" s="232" t="s">
        <v>558</v>
      </c>
      <c r="C335" s="1"/>
      <c r="D335" s="7"/>
      <c r="E335" s="7"/>
      <c r="F335" s="7"/>
      <c r="G335" s="10"/>
      <c r="H335" s="10"/>
      <c r="I335" s="10"/>
      <c r="J335" s="10"/>
      <c r="K335" s="10"/>
      <c r="L335" s="10"/>
      <c r="M335" s="10"/>
    </row>
    <row r="336" spans="2:13">
      <c r="B336" t="s">
        <v>206</v>
      </c>
      <c r="C336" s="1"/>
      <c r="D336" s="66">
        <v>40.058799999999998</v>
      </c>
      <c r="E336" s="66">
        <v>40.058799999999998</v>
      </c>
      <c r="F336" s="66">
        <v>40.058799999999998</v>
      </c>
      <c r="G336" s="66">
        <v>40.058799999999998</v>
      </c>
      <c r="H336" s="66">
        <v>41.26</v>
      </c>
      <c r="I336" s="89">
        <v>41.26</v>
      </c>
      <c r="J336" s="89">
        <v>41.26</v>
      </c>
      <c r="K336" s="89">
        <v>41.26</v>
      </c>
      <c r="L336" s="89">
        <v>41.26</v>
      </c>
      <c r="M336" s="89">
        <v>41.26</v>
      </c>
    </row>
    <row r="337" spans="2:13">
      <c r="B337" t="s">
        <v>207</v>
      </c>
      <c r="C337" s="1"/>
      <c r="D337" s="66">
        <v>4681.9449999999997</v>
      </c>
      <c r="E337" s="66">
        <v>6115.1732999999995</v>
      </c>
      <c r="F337" s="66">
        <v>7395.5640000000003</v>
      </c>
      <c r="G337" s="66">
        <v>9323.0293000000001</v>
      </c>
      <c r="H337" s="66">
        <v>14291.13</v>
      </c>
      <c r="I337" s="66">
        <v>16020.454578130151</v>
      </c>
      <c r="J337" s="66">
        <v>18271.934637197635</v>
      </c>
      <c r="K337" s="66">
        <v>21016.894637480851</v>
      </c>
      <c r="L337" s="66">
        <v>24285.775793592016</v>
      </c>
      <c r="M337" s="66">
        <v>28109.550913436258</v>
      </c>
    </row>
    <row r="338" spans="2:13">
      <c r="B338" s="226" t="s">
        <v>559</v>
      </c>
      <c r="C338" s="75"/>
      <c r="D338" s="75">
        <v>4722.0037999999995</v>
      </c>
      <c r="E338" s="75">
        <v>6155.2320999999993</v>
      </c>
      <c r="F338" s="75">
        <v>7435.6228000000001</v>
      </c>
      <c r="G338" s="75">
        <v>9363.0881000000008</v>
      </c>
      <c r="H338" s="75">
        <v>14332.39</v>
      </c>
      <c r="I338" s="75">
        <v>16061.714578130151</v>
      </c>
      <c r="J338" s="75">
        <v>18313.194637197634</v>
      </c>
      <c r="K338" s="75">
        <v>21058.154637480849</v>
      </c>
      <c r="L338" s="75">
        <v>24327.035793592015</v>
      </c>
      <c r="M338" s="75">
        <v>28150.810913436257</v>
      </c>
    </row>
    <row r="339" spans="2:13">
      <c r="B339" s="1" t="s">
        <v>560</v>
      </c>
      <c r="C339" s="1"/>
      <c r="D339" s="66">
        <v>140.88739999999999</v>
      </c>
      <c r="E339" s="66">
        <v>161.07990000000001</v>
      </c>
      <c r="F339" s="66">
        <v>188.0701</v>
      </c>
      <c r="G339" s="66">
        <v>212.7</v>
      </c>
      <c r="H339" s="66">
        <v>235.79</v>
      </c>
      <c r="I339" s="89">
        <v>235.79</v>
      </c>
      <c r="J339" s="89">
        <v>235.79</v>
      </c>
      <c r="K339" s="89">
        <v>235.79</v>
      </c>
      <c r="L339" s="89">
        <v>235.79</v>
      </c>
      <c r="M339" s="89">
        <v>235.79</v>
      </c>
    </row>
    <row r="340" spans="2:13">
      <c r="B340" s="227" t="s">
        <v>102</v>
      </c>
      <c r="C340" s="227"/>
      <c r="D340" s="75">
        <v>4862.8911999999991</v>
      </c>
      <c r="E340" s="75">
        <v>6316.311999999999</v>
      </c>
      <c r="F340" s="75">
        <v>7623.6929</v>
      </c>
      <c r="G340" s="75">
        <v>9575.7881000000016</v>
      </c>
      <c r="H340" s="75">
        <v>14568.18</v>
      </c>
      <c r="I340" s="75">
        <v>16297.504578130152</v>
      </c>
      <c r="J340" s="75">
        <v>18548.984637197635</v>
      </c>
      <c r="K340" s="75">
        <v>21293.94463748085</v>
      </c>
      <c r="L340" s="75">
        <v>24562.825793592016</v>
      </c>
      <c r="M340" s="75">
        <v>28386.600913436258</v>
      </c>
    </row>
    <row r="341" spans="2:13">
      <c r="B341" s="1"/>
      <c r="C341" s="1"/>
      <c r="D341" s="7"/>
      <c r="E341" s="7"/>
      <c r="F341" s="7"/>
      <c r="G341" s="10"/>
      <c r="H341" s="10"/>
      <c r="I341" s="10"/>
      <c r="J341" s="10"/>
      <c r="K341" s="10"/>
      <c r="L341" s="10"/>
      <c r="M341" s="10"/>
    </row>
    <row r="342" spans="2:13">
      <c r="B342" s="518" t="s">
        <v>563</v>
      </c>
      <c r="C342" s="1"/>
      <c r="D342" s="7"/>
      <c r="E342" s="7"/>
      <c r="F342" s="7"/>
      <c r="G342" s="10"/>
      <c r="H342" s="10"/>
      <c r="I342" s="10"/>
      <c r="J342" s="10"/>
      <c r="K342" s="10"/>
      <c r="L342" s="10"/>
      <c r="M342" s="10"/>
    </row>
    <row r="343" spans="2:13">
      <c r="B343" s="122" t="s">
        <v>607</v>
      </c>
      <c r="C343" s="1"/>
      <c r="D343" s="66">
        <v>57.419899999999998</v>
      </c>
      <c r="E343" s="66">
        <v>49.193999999999996</v>
      </c>
      <c r="F343" s="66">
        <v>23.186499999999999</v>
      </c>
      <c r="G343" s="66">
        <v>24.867699999999999</v>
      </c>
      <c r="H343" s="66">
        <v>5526.19</v>
      </c>
      <c r="I343" s="66">
        <v>5802.4994999999999</v>
      </c>
      <c r="J343" s="66">
        <v>6092.6244750000005</v>
      </c>
      <c r="K343" s="66">
        <v>6397.2556987500011</v>
      </c>
      <c r="L343" s="66">
        <v>6525.200812725001</v>
      </c>
      <c r="M343" s="66">
        <v>6655.7048289795011</v>
      </c>
    </row>
    <row r="344" spans="2:13">
      <c r="B344" s="122" t="s">
        <v>211</v>
      </c>
      <c r="C344" s="1"/>
      <c r="D344" s="66">
        <v>5.5104999999999995</v>
      </c>
      <c r="E344" s="66">
        <v>2.99</v>
      </c>
      <c r="F344" s="66">
        <v>5.1779999999999999</v>
      </c>
      <c r="G344" s="66">
        <v>7.7138</v>
      </c>
      <c r="H344" s="66">
        <v>14.03</v>
      </c>
      <c r="I344" s="89">
        <v>14.03</v>
      </c>
      <c r="J344" s="89">
        <v>14.03</v>
      </c>
      <c r="K344" s="89">
        <v>14.03</v>
      </c>
      <c r="L344" s="89">
        <v>14.03</v>
      </c>
      <c r="M344" s="89">
        <v>14.03</v>
      </c>
    </row>
    <row r="345" spans="2:13">
      <c r="B345" s="122" t="s">
        <v>212</v>
      </c>
      <c r="C345" s="1"/>
      <c r="D345" s="66">
        <v>72.24430000000001</v>
      </c>
      <c r="E345" s="66">
        <v>80.004300000000001</v>
      </c>
      <c r="F345" s="66">
        <v>97.888799999999989</v>
      </c>
      <c r="G345" s="66">
        <v>123.12459999999999</v>
      </c>
      <c r="H345" s="66">
        <v>155.06</v>
      </c>
      <c r="I345" s="89">
        <v>155.06</v>
      </c>
      <c r="J345" s="89">
        <v>155.06</v>
      </c>
      <c r="K345" s="89">
        <v>155.06</v>
      </c>
      <c r="L345" s="89">
        <v>155.06</v>
      </c>
      <c r="M345" s="89">
        <v>155.06</v>
      </c>
    </row>
    <row r="346" spans="2:13">
      <c r="B346" s="122" t="s">
        <v>213</v>
      </c>
      <c r="C346" s="1"/>
      <c r="D346" s="66">
        <v>13.0319</v>
      </c>
      <c r="E346" s="66">
        <v>55.620600000000003</v>
      </c>
      <c r="F346" s="66">
        <v>77.312100000000001</v>
      </c>
      <c r="G346" s="66">
        <v>89.069199999999995</v>
      </c>
      <c r="H346" s="66">
        <v>1812.51</v>
      </c>
      <c r="I346" s="89">
        <v>1812.51</v>
      </c>
      <c r="J346" s="89">
        <v>1812.51</v>
      </c>
      <c r="K346" s="89">
        <v>1812.51</v>
      </c>
      <c r="L346" s="89">
        <v>1812.51</v>
      </c>
      <c r="M346" s="89">
        <v>1812.51</v>
      </c>
    </row>
    <row r="347" spans="2:13">
      <c r="B347" s="122" t="s">
        <v>214</v>
      </c>
      <c r="C347" s="1"/>
      <c r="D347" s="66">
        <v>7.8869000000000007</v>
      </c>
      <c r="E347" s="66">
        <v>20.154199999999999</v>
      </c>
      <c r="F347" s="66">
        <v>25.494600000000002</v>
      </c>
      <c r="G347" s="66">
        <v>22.961500000000001</v>
      </c>
      <c r="H347" s="66">
        <v>20</v>
      </c>
      <c r="I347" s="89">
        <v>20</v>
      </c>
      <c r="J347" s="89">
        <v>20</v>
      </c>
      <c r="K347" s="89">
        <v>20</v>
      </c>
      <c r="L347" s="89">
        <v>20</v>
      </c>
      <c r="M347" s="89">
        <v>20</v>
      </c>
    </row>
    <row r="348" spans="2:13">
      <c r="B348" s="227" t="s">
        <v>215</v>
      </c>
      <c r="C348" s="227"/>
      <c r="D348" s="75">
        <v>156.09350000000001</v>
      </c>
      <c r="E348" s="75">
        <v>207.9631</v>
      </c>
      <c r="F348" s="75">
        <v>229.06</v>
      </c>
      <c r="G348" s="75">
        <v>267.73680000000002</v>
      </c>
      <c r="H348" s="75">
        <v>7527.79</v>
      </c>
      <c r="I348" s="75">
        <v>7804.0995000000003</v>
      </c>
      <c r="J348" s="75">
        <v>8094.2244750000009</v>
      </c>
      <c r="K348" s="75">
        <v>8398.8556987500015</v>
      </c>
      <c r="L348" s="75">
        <v>8526.8008127250014</v>
      </c>
      <c r="M348" s="75">
        <v>8657.3048289795006</v>
      </c>
    </row>
    <row r="349" spans="2:13">
      <c r="B349" s="1"/>
      <c r="C349" s="1"/>
      <c r="D349" s="7"/>
      <c r="E349" s="7"/>
      <c r="F349" s="7"/>
      <c r="G349" s="10"/>
      <c r="H349" s="10"/>
      <c r="I349" s="10"/>
      <c r="J349" s="10"/>
      <c r="K349" s="10"/>
      <c r="L349" s="10"/>
      <c r="M349" s="10"/>
    </row>
    <row r="350" spans="2:13">
      <c r="B350" s="231" t="s">
        <v>95</v>
      </c>
      <c r="C350" s="1"/>
      <c r="D350" s="7"/>
      <c r="E350" s="7"/>
      <c r="F350" s="7"/>
      <c r="G350" s="10"/>
      <c r="H350" s="10"/>
      <c r="I350" s="10"/>
      <c r="J350" s="10"/>
      <c r="K350" s="10"/>
      <c r="L350" s="10"/>
      <c r="M350" s="10"/>
    </row>
    <row r="351" spans="2:13">
      <c r="B351" s="122" t="s">
        <v>216</v>
      </c>
      <c r="C351" s="1"/>
      <c r="D351" s="66">
        <v>667.16750000000002</v>
      </c>
      <c r="E351" s="66">
        <v>1076.4388000000001</v>
      </c>
      <c r="F351" s="66">
        <v>1007.7633</v>
      </c>
      <c r="G351" s="66">
        <v>1102.9988000000001</v>
      </c>
      <c r="H351" s="66">
        <v>1133.4605000000001</v>
      </c>
      <c r="I351" s="66">
        <v>1610.1200219178081</v>
      </c>
      <c r="J351" s="66">
        <v>1842.6876521424654</v>
      </c>
      <c r="K351" s="66">
        <v>2081.0233005632867</v>
      </c>
      <c r="L351" s="66">
        <v>2318.7548343197091</v>
      </c>
      <c r="M351" s="66">
        <v>2548.6140092000974</v>
      </c>
    </row>
    <row r="352" spans="2:13">
      <c r="B352" s="122" t="s">
        <v>612</v>
      </c>
      <c r="C352" s="1"/>
      <c r="D352" s="66">
        <v>158.60389999999998</v>
      </c>
      <c r="E352" s="66">
        <v>818.83320000000003</v>
      </c>
      <c r="F352" s="66">
        <v>139.48990000000001</v>
      </c>
      <c r="G352" s="66">
        <v>171.16810000000001</v>
      </c>
      <c r="H352" s="66">
        <v>2956.84</v>
      </c>
      <c r="I352" s="66">
        <v>720.21299999999997</v>
      </c>
      <c r="J352" s="66">
        <v>839.04814499999998</v>
      </c>
      <c r="K352" s="66">
        <v>964.90536674999987</v>
      </c>
      <c r="L352" s="66">
        <v>1533.2346277657498</v>
      </c>
      <c r="M352" s="66">
        <v>1717.2227830976399</v>
      </c>
    </row>
    <row r="353" spans="1:13">
      <c r="B353" s="122" t="s">
        <v>211</v>
      </c>
      <c r="C353" s="1"/>
      <c r="D353" s="66">
        <v>0</v>
      </c>
      <c r="E353" s="66">
        <v>2.0571999999999999</v>
      </c>
      <c r="F353" s="66">
        <v>2.5565000000000002</v>
      </c>
      <c r="G353" s="66">
        <v>3.4227999999999996</v>
      </c>
      <c r="H353" s="66">
        <v>14.39</v>
      </c>
      <c r="I353" s="89">
        <v>14.39</v>
      </c>
      <c r="J353" s="89">
        <v>14.39</v>
      </c>
      <c r="K353" s="89">
        <v>14.39</v>
      </c>
      <c r="L353" s="89">
        <v>14.39</v>
      </c>
      <c r="M353" s="89">
        <v>14.39</v>
      </c>
    </row>
    <row r="354" spans="1:13">
      <c r="B354" s="122" t="s">
        <v>217</v>
      </c>
      <c r="C354" s="1"/>
      <c r="D354" s="66">
        <v>183.58689999999999</v>
      </c>
      <c r="E354" s="66">
        <v>221.489</v>
      </c>
      <c r="F354" s="66">
        <v>236.49180000000001</v>
      </c>
      <c r="G354" s="66">
        <v>235.54910000000001</v>
      </c>
      <c r="H354" s="66">
        <v>674.16</v>
      </c>
      <c r="I354" s="89">
        <v>674.16</v>
      </c>
      <c r="J354" s="89">
        <v>674.16</v>
      </c>
      <c r="K354" s="89">
        <v>674.16</v>
      </c>
      <c r="L354" s="89">
        <v>674.16</v>
      </c>
      <c r="M354" s="89">
        <v>674.16</v>
      </c>
    </row>
    <row r="355" spans="1:13">
      <c r="B355" s="122" t="s">
        <v>212</v>
      </c>
      <c r="C355" s="1"/>
      <c r="D355" s="66">
        <v>234.21849999999998</v>
      </c>
      <c r="E355" s="66">
        <v>264.51260000000002</v>
      </c>
      <c r="F355" s="66">
        <v>307.63040000000001</v>
      </c>
      <c r="G355" s="66">
        <v>389.30720000000002</v>
      </c>
      <c r="H355" s="66">
        <v>663.87</v>
      </c>
      <c r="I355" s="89">
        <v>663.87</v>
      </c>
      <c r="J355" s="89">
        <v>663.87</v>
      </c>
      <c r="K355" s="89">
        <v>663.87</v>
      </c>
      <c r="L355" s="89">
        <v>663.87</v>
      </c>
      <c r="M355" s="89">
        <v>663.87</v>
      </c>
    </row>
    <row r="356" spans="1:13">
      <c r="B356" s="122" t="s">
        <v>218</v>
      </c>
      <c r="C356" s="1"/>
      <c r="D356" s="66">
        <v>11.0847</v>
      </c>
      <c r="E356" s="66">
        <v>15.089600000000001</v>
      </c>
      <c r="F356" s="66">
        <v>46.255500000000005</v>
      </c>
      <c r="G356" s="66">
        <v>46.378700000000002</v>
      </c>
      <c r="H356" s="66">
        <v>18.079999999999998</v>
      </c>
      <c r="I356" s="89">
        <v>18.079999999999998</v>
      </c>
      <c r="J356" s="89">
        <v>18.079999999999998</v>
      </c>
      <c r="K356" s="89">
        <v>18.079999999999998</v>
      </c>
      <c r="L356" s="89">
        <v>18.079999999999998</v>
      </c>
      <c r="M356" s="89">
        <v>18.079999999999998</v>
      </c>
    </row>
    <row r="357" spans="1:13">
      <c r="B357" s="122" t="s">
        <v>219</v>
      </c>
      <c r="C357" s="1"/>
      <c r="D357" s="66">
        <v>99.187000000000012</v>
      </c>
      <c r="E357" s="66">
        <v>225.09529999999998</v>
      </c>
      <c r="F357" s="66">
        <v>122.5352</v>
      </c>
      <c r="G357" s="66">
        <v>170.91310000000001</v>
      </c>
      <c r="H357" s="66">
        <v>202.82</v>
      </c>
      <c r="I357" s="89">
        <v>202.82</v>
      </c>
      <c r="J357" s="89">
        <v>202.82</v>
      </c>
      <c r="K357" s="89">
        <v>202.82</v>
      </c>
      <c r="L357" s="89">
        <v>202.82</v>
      </c>
      <c r="M357" s="89">
        <v>202.82</v>
      </c>
    </row>
    <row r="358" spans="1:13">
      <c r="B358" s="227" t="s">
        <v>564</v>
      </c>
      <c r="C358" s="227"/>
      <c r="D358" s="75">
        <v>1353.8485000000001</v>
      </c>
      <c r="E358" s="75">
        <v>2623.5156999999999</v>
      </c>
      <c r="F358" s="75">
        <v>1862.7225999999998</v>
      </c>
      <c r="G358" s="75">
        <v>2119.7378000000003</v>
      </c>
      <c r="H358" s="75">
        <v>5663.6205</v>
      </c>
      <c r="I358" s="75">
        <v>3903.6530219178076</v>
      </c>
      <c r="J358" s="75">
        <v>4255.0557971424651</v>
      </c>
      <c r="K358" s="75">
        <v>4619.2486673132862</v>
      </c>
      <c r="L358" s="75">
        <v>5425.3094620854581</v>
      </c>
      <c r="M358" s="75">
        <v>5839.1567922977374</v>
      </c>
    </row>
    <row r="359" spans="1:13">
      <c r="B359" s="1"/>
      <c r="C359" s="1"/>
      <c r="D359" s="7"/>
      <c r="E359" s="7"/>
      <c r="F359" s="7"/>
      <c r="G359" s="10"/>
      <c r="H359" s="10"/>
      <c r="I359" s="10"/>
      <c r="J359" s="10"/>
      <c r="K359" s="10"/>
      <c r="L359" s="10"/>
      <c r="M359" s="10"/>
    </row>
    <row r="360" spans="1:13">
      <c r="B360" s="227" t="s">
        <v>221</v>
      </c>
      <c r="C360" s="227"/>
      <c r="D360" s="75">
        <v>6372.8331999999991</v>
      </c>
      <c r="E360" s="75">
        <v>9147.7907999999989</v>
      </c>
      <c r="F360" s="75">
        <v>9715.4755000000005</v>
      </c>
      <c r="G360" s="75">
        <v>11963.262700000003</v>
      </c>
      <c r="H360" s="75">
        <v>27759.590499999998</v>
      </c>
      <c r="I360" s="75">
        <v>28005.257100047958</v>
      </c>
      <c r="J360" s="75">
        <v>30898.264909340101</v>
      </c>
      <c r="K360" s="75">
        <v>34312.04900354414</v>
      </c>
      <c r="L360" s="75">
        <v>38514.936068402472</v>
      </c>
      <c r="M360" s="75">
        <v>42883.062534713492</v>
      </c>
    </row>
    <row r="363" spans="1:13" ht="15.6">
      <c r="A363" t="s">
        <v>23</v>
      </c>
      <c r="B363" s="491" t="s">
        <v>74</v>
      </c>
      <c r="C363" s="492"/>
      <c r="D363" s="492"/>
      <c r="E363" s="492"/>
      <c r="F363" s="492"/>
      <c r="G363" s="492"/>
      <c r="H363" s="492"/>
      <c r="I363" s="492"/>
      <c r="J363" s="492"/>
      <c r="K363" s="492"/>
      <c r="L363" s="492"/>
      <c r="M363" s="492"/>
    </row>
    <row r="364" spans="1:13">
      <c r="B364" s="2" t="s">
        <v>41</v>
      </c>
      <c r="D364" s="310">
        <v>1</v>
      </c>
      <c r="E364" s="310">
        <v>1</v>
      </c>
      <c r="F364" s="310">
        <v>1</v>
      </c>
      <c r="G364" s="310">
        <v>1</v>
      </c>
      <c r="H364" s="310">
        <v>1</v>
      </c>
      <c r="I364" s="310">
        <v>1</v>
      </c>
      <c r="J364" s="310">
        <v>1</v>
      </c>
      <c r="K364" s="310">
        <v>1</v>
      </c>
      <c r="L364" s="310">
        <v>1</v>
      </c>
      <c r="M364" s="310">
        <v>1</v>
      </c>
    </row>
    <row r="365" spans="1:13">
      <c r="B365" s="11" t="s">
        <v>1</v>
      </c>
      <c r="D365" s="310">
        <v>0.28609227573805757</v>
      </c>
      <c r="E365" s="310">
        <v>0.31121393717304652</v>
      </c>
      <c r="F365" s="310">
        <v>0.33300923614135902</v>
      </c>
      <c r="G365" s="310">
        <v>0.31057241441917854</v>
      </c>
      <c r="H365" s="310">
        <v>0.31580568526255426</v>
      </c>
      <c r="I365" s="310">
        <v>0.33999999999999997</v>
      </c>
      <c r="J365" s="310">
        <v>0.33399999999999996</v>
      </c>
      <c r="K365" s="310">
        <v>0.32799999999999996</v>
      </c>
      <c r="L365" s="310">
        <v>0.32199999999999995</v>
      </c>
      <c r="M365" s="310">
        <v>0.31599999999999995</v>
      </c>
    </row>
    <row r="366" spans="1:13">
      <c r="B366" s="68" t="s">
        <v>2</v>
      </c>
      <c r="C366" s="19"/>
      <c r="D366" s="309">
        <v>0.71390772426194249</v>
      </c>
      <c r="E366" s="309">
        <v>0.68878606282695343</v>
      </c>
      <c r="F366" s="309">
        <v>0.66699076385864098</v>
      </c>
      <c r="G366" s="309">
        <v>0.68942758558082151</v>
      </c>
      <c r="H366" s="309">
        <v>0.68419431473744563</v>
      </c>
      <c r="I366" s="309">
        <v>0.66</v>
      </c>
      <c r="J366" s="309">
        <v>0.66600000000000004</v>
      </c>
      <c r="K366" s="309">
        <v>0.67200000000000015</v>
      </c>
      <c r="L366" s="309">
        <v>0.67800000000000005</v>
      </c>
      <c r="M366" s="309">
        <v>0.68400000000000016</v>
      </c>
    </row>
    <row r="367" spans="1:13">
      <c r="B367" s="5"/>
      <c r="D367" s="71"/>
      <c r="E367" s="71"/>
      <c r="F367" s="71"/>
      <c r="G367" s="71"/>
      <c r="H367" s="71"/>
      <c r="I367" s="71"/>
      <c r="J367" s="71"/>
      <c r="K367" s="71"/>
      <c r="L367" s="71"/>
      <c r="M367" s="71"/>
    </row>
    <row r="368" spans="1:13">
      <c r="B368" s="174" t="s">
        <v>106</v>
      </c>
      <c r="C368" s="18"/>
      <c r="D368" s="175">
        <v>0.71390772426194249</v>
      </c>
      <c r="E368" s="175">
        <v>0.68878606282695343</v>
      </c>
      <c r="F368" s="175">
        <v>0.66699076385864098</v>
      </c>
      <c r="G368" s="175">
        <v>0.68942758558082151</v>
      </c>
      <c r="H368" s="175">
        <v>0.68419431473744563</v>
      </c>
      <c r="I368" s="175">
        <v>0.66</v>
      </c>
      <c r="J368" s="175">
        <v>0.66600000000000004</v>
      </c>
      <c r="K368" s="175">
        <v>0.67200000000000015</v>
      </c>
      <c r="L368" s="175">
        <v>0.67800000000000005</v>
      </c>
      <c r="M368" s="175">
        <v>0.68400000000000016</v>
      </c>
    </row>
    <row r="369" spans="2:13">
      <c r="B369" s="3"/>
      <c r="D369" s="65"/>
      <c r="E369" s="65"/>
      <c r="F369" s="65"/>
      <c r="G369" s="65"/>
      <c r="H369" s="65"/>
      <c r="I369" s="65"/>
      <c r="J369" s="65"/>
      <c r="K369" s="65"/>
      <c r="L369" s="65"/>
      <c r="M369" s="65"/>
    </row>
    <row r="370" spans="2:13">
      <c r="B370" s="70" t="s">
        <v>62</v>
      </c>
      <c r="D370" s="310">
        <v>0.44758061756215739</v>
      </c>
      <c r="E370" s="310">
        <v>0.43313456715097987</v>
      </c>
      <c r="F370" s="310">
        <v>0.44975861864420241</v>
      </c>
      <c r="G370" s="310">
        <v>0.44412922174422659</v>
      </c>
      <c r="H370" s="310">
        <v>0.46695338740067172</v>
      </c>
      <c r="I370" s="310">
        <v>0.44500000000000001</v>
      </c>
      <c r="J370" s="310">
        <v>0.44500000000000001</v>
      </c>
      <c r="K370" s="310">
        <v>0.44500000000000001</v>
      </c>
      <c r="L370" s="310">
        <v>0.44499999999999995</v>
      </c>
      <c r="M370" s="310">
        <v>0.44500000000000001</v>
      </c>
    </row>
    <row r="371" spans="2:13">
      <c r="B371" s="67" t="s">
        <v>63</v>
      </c>
      <c r="C371" s="19"/>
      <c r="D371" s="309">
        <v>0.26632710669978504</v>
      </c>
      <c r="E371" s="309">
        <v>0.25565149567597362</v>
      </c>
      <c r="F371" s="309">
        <v>0.21723214521443851</v>
      </c>
      <c r="G371" s="309">
        <v>0.24529836383659495</v>
      </c>
      <c r="H371" s="309">
        <v>0.21724092733677389</v>
      </c>
      <c r="I371" s="309">
        <v>0.21499999999999997</v>
      </c>
      <c r="J371" s="309">
        <v>0.22099999999999992</v>
      </c>
      <c r="K371" s="309">
        <v>0.22700000000000012</v>
      </c>
      <c r="L371" s="309">
        <v>0.23300000000000007</v>
      </c>
      <c r="M371" s="309">
        <v>0.23900000000000007</v>
      </c>
    </row>
    <row r="372" spans="2:13">
      <c r="B372" s="70"/>
      <c r="D372" s="176"/>
      <c r="E372" s="176"/>
      <c r="F372" s="176"/>
      <c r="G372" s="176"/>
      <c r="H372" s="176"/>
      <c r="I372" s="176"/>
      <c r="J372" s="176"/>
      <c r="K372" s="176"/>
      <c r="L372" s="176"/>
      <c r="M372" s="176"/>
    </row>
    <row r="373" spans="2:13">
      <c r="B373" s="174" t="s">
        <v>108</v>
      </c>
      <c r="C373" s="18"/>
      <c r="D373" s="175">
        <v>0.26632710669978504</v>
      </c>
      <c r="E373" s="175">
        <v>0.25565149567597362</v>
      </c>
      <c r="F373" s="175">
        <v>0.21723214521443851</v>
      </c>
      <c r="G373" s="175">
        <v>0.24529836383659495</v>
      </c>
      <c r="H373" s="175">
        <v>0.21724092733677389</v>
      </c>
      <c r="I373" s="175">
        <v>0.21499999999999997</v>
      </c>
      <c r="J373" s="175">
        <v>0.22099999999999992</v>
      </c>
      <c r="K373" s="175">
        <v>0.22700000000000012</v>
      </c>
      <c r="L373" s="175">
        <v>0.23300000000000007</v>
      </c>
      <c r="M373" s="175">
        <v>0.23900000000000007</v>
      </c>
    </row>
    <row r="374" spans="2:13">
      <c r="B374" s="70"/>
      <c r="D374" s="71"/>
      <c r="E374" s="71"/>
      <c r="F374" s="71"/>
      <c r="G374" s="71"/>
      <c r="H374" s="71"/>
      <c r="I374" s="65"/>
      <c r="J374" s="65"/>
      <c r="K374" s="65"/>
      <c r="L374" s="65"/>
      <c r="M374" s="65"/>
    </row>
    <row r="375" spans="2:13">
      <c r="B375" s="70" t="s">
        <v>543</v>
      </c>
      <c r="D375" s="310">
        <v>1.9115078071167683E-2</v>
      </c>
      <c r="E375" s="310">
        <v>2.1412069677435037E-2</v>
      </c>
      <c r="F375" s="310">
        <v>3.7250356680255739E-2</v>
      </c>
      <c r="G375" s="310">
        <v>3.8535305840148665E-2</v>
      </c>
      <c r="H375" s="310">
        <v>5.0872450233472595E-2</v>
      </c>
      <c r="I375" s="310">
        <v>4.5945240418459543E-2</v>
      </c>
      <c r="J375" s="310">
        <v>4.2108731653518527E-2</v>
      </c>
      <c r="K375" s="310">
        <v>3.9632592742190019E-2</v>
      </c>
      <c r="L375" s="310">
        <v>3.7669134574616764E-2</v>
      </c>
      <c r="M375" s="310">
        <v>3.6110834441622108E-2</v>
      </c>
    </row>
    <row r="376" spans="2:13">
      <c r="B376" s="67" t="s">
        <v>64</v>
      </c>
      <c r="C376" s="74"/>
      <c r="D376" s="309">
        <v>0.24721202862861735</v>
      </c>
      <c r="E376" s="309">
        <v>0.23423942599853853</v>
      </c>
      <c r="F376" s="309">
        <v>0.17998178853418278</v>
      </c>
      <c r="G376" s="309">
        <v>0.20676305799644626</v>
      </c>
      <c r="H376" s="309">
        <v>0.16636847710330127</v>
      </c>
      <c r="I376" s="309">
        <v>0.16905475958154043</v>
      </c>
      <c r="J376" s="309">
        <v>0.17889126834648139</v>
      </c>
      <c r="K376" s="309">
        <v>0.18736740725781009</v>
      </c>
      <c r="L376" s="309">
        <v>0.1953308654253833</v>
      </c>
      <c r="M376" s="309">
        <v>0.20288916555837799</v>
      </c>
    </row>
    <row r="377" spans="2:13">
      <c r="B377" s="70"/>
      <c r="C377" s="72"/>
      <c r="D377" s="215"/>
      <c r="E377" s="215"/>
      <c r="F377" s="215"/>
      <c r="G377" s="215"/>
      <c r="H377" s="215"/>
      <c r="I377" s="215"/>
      <c r="J377" s="215"/>
      <c r="K377" s="215"/>
      <c r="L377" s="215"/>
      <c r="M377" s="215"/>
    </row>
    <row r="378" spans="2:13">
      <c r="B378" s="174" t="s">
        <v>107</v>
      </c>
      <c r="C378" s="18"/>
      <c r="D378" s="175">
        <v>0.24721202862861735</v>
      </c>
      <c r="E378" s="175">
        <v>0.23423942599853853</v>
      </c>
      <c r="F378" s="175">
        <v>0.17998178853418278</v>
      </c>
      <c r="G378" s="175">
        <v>0.20676305799644626</v>
      </c>
      <c r="H378" s="175">
        <v>0.16636847710330127</v>
      </c>
      <c r="I378" s="175">
        <v>0.16905475958154043</v>
      </c>
      <c r="J378" s="175">
        <v>0.17889126834648139</v>
      </c>
      <c r="K378" s="175">
        <v>0.18736740725781009</v>
      </c>
      <c r="L378" s="175">
        <v>0.1953308654253833</v>
      </c>
      <c r="M378" s="175">
        <v>0.20288916555837799</v>
      </c>
    </row>
    <row r="379" spans="2:13">
      <c r="B379" s="11"/>
      <c r="D379" s="66"/>
      <c r="E379" s="66"/>
      <c r="F379" s="66"/>
      <c r="G379" s="66"/>
      <c r="H379" s="66"/>
      <c r="I379" s="65"/>
      <c r="J379" s="65"/>
      <c r="K379" s="65"/>
      <c r="L379" s="65"/>
      <c r="M379" s="65"/>
    </row>
    <row r="380" spans="2:13">
      <c r="B380" s="2" t="s">
        <v>553</v>
      </c>
      <c r="D380" s="310">
        <v>-3.2371030747257406E-3</v>
      </c>
      <c r="E380" s="310">
        <v>-7.5319649153419216E-3</v>
      </c>
      <c r="F380" s="310">
        <v>-5.0825007746216231E-3</v>
      </c>
      <c r="G380" s="310">
        <v>-3.2445410081802851E-3</v>
      </c>
      <c r="H380" s="310">
        <v>-3.5176538051937413E-2</v>
      </c>
      <c r="I380" s="310">
        <v>-3.8979469065155974E-2</v>
      </c>
      <c r="J380" s="310">
        <v>-2.9999661829075965E-2</v>
      </c>
      <c r="K380" s="310">
        <v>-2.7714266485480282E-2</v>
      </c>
      <c r="L380" s="310">
        <v>-2.6342681200138583E-2</v>
      </c>
      <c r="M380" s="310">
        <v>-2.5061921845506117E-2</v>
      </c>
    </row>
    <row r="381" spans="2:13">
      <c r="B381" s="2" t="s">
        <v>177</v>
      </c>
      <c r="D381" s="310">
        <v>2.5945491846251601E-2</v>
      </c>
      <c r="E381" s="310">
        <v>2.5191571283739927E-2</v>
      </c>
      <c r="F381" s="310">
        <v>1.4694300762117956E-2</v>
      </c>
      <c r="G381" s="310">
        <v>2.7176006334961582E-2</v>
      </c>
      <c r="H381" s="310">
        <v>4.3973949373310395E-2</v>
      </c>
      <c r="I381" s="310">
        <v>0.03</v>
      </c>
      <c r="J381" s="310">
        <v>0.03</v>
      </c>
      <c r="K381" s="310">
        <v>3.0000000000000002E-2</v>
      </c>
      <c r="L381" s="310">
        <v>0.03</v>
      </c>
      <c r="M381" s="310">
        <v>0.03</v>
      </c>
    </row>
    <row r="382" spans="2:13">
      <c r="B382" t="s">
        <v>555</v>
      </c>
      <c r="D382" s="310">
        <v>-1.8761714322384003E-3</v>
      </c>
      <c r="E382" s="310">
        <v>-1.8566597311635046E-3</v>
      </c>
      <c r="F382" s="310">
        <v>-1.4200005874666392E-3</v>
      </c>
      <c r="G382" s="310">
        <v>-1.4720688731808434E-3</v>
      </c>
      <c r="H382" s="310">
        <v>-1.0027033669206193E-3</v>
      </c>
      <c r="I382" s="310">
        <v>0</v>
      </c>
      <c r="J382" s="310">
        <v>0</v>
      </c>
      <c r="K382" s="310">
        <v>0</v>
      </c>
      <c r="L382" s="310">
        <v>0</v>
      </c>
      <c r="M382" s="310">
        <v>0</v>
      </c>
    </row>
    <row r="383" spans="2:13">
      <c r="B383" s="67" t="s">
        <v>65</v>
      </c>
      <c r="C383" s="74"/>
      <c r="D383" s="309">
        <v>0.26804424596790477</v>
      </c>
      <c r="E383" s="309">
        <v>0.25004237263577306</v>
      </c>
      <c r="F383" s="309">
        <v>0.18817358793421249</v>
      </c>
      <c r="G383" s="309">
        <v>0.22922245445004674</v>
      </c>
      <c r="H383" s="309">
        <v>0.17416318505775366</v>
      </c>
      <c r="I383" s="309">
        <v>0.16007529051638444</v>
      </c>
      <c r="J383" s="309">
        <v>0.17889160651740543</v>
      </c>
      <c r="K383" s="309">
        <v>0.18965314077232981</v>
      </c>
      <c r="L383" s="309">
        <v>0.1989881842252447</v>
      </c>
      <c r="M383" s="309">
        <v>0.2078272437128719</v>
      </c>
    </row>
    <row r="384" spans="2:13">
      <c r="D384" s="66"/>
      <c r="E384" s="66"/>
      <c r="F384" s="66"/>
      <c r="G384" s="66"/>
      <c r="H384" s="66"/>
      <c r="I384" s="65"/>
      <c r="J384" s="65"/>
      <c r="K384" s="65"/>
      <c r="L384" s="65"/>
      <c r="M384" s="65"/>
    </row>
    <row r="385" spans="1:13">
      <c r="B385" s="223" t="s">
        <v>5</v>
      </c>
      <c r="D385" s="310">
        <v>-6.4040877146737396E-2</v>
      </c>
      <c r="E385" s="310">
        <v>-6.7035893635193813E-2</v>
      </c>
      <c r="F385" s="310">
        <v>-4.1324197808017958E-2</v>
      </c>
      <c r="G385" s="310">
        <v>-4.4276388959658596E-2</v>
      </c>
      <c r="H385" s="310">
        <v>-4.1758007700499714E-2</v>
      </c>
      <c r="I385" s="310">
        <v>-4.0018822629096111E-2</v>
      </c>
      <c r="J385" s="310">
        <v>-4.4722901629351358E-2</v>
      </c>
      <c r="K385" s="310">
        <v>-4.7413285193082445E-2</v>
      </c>
      <c r="L385" s="310">
        <v>-4.9747046056311188E-2</v>
      </c>
      <c r="M385" s="310">
        <v>-5.1956810928217974E-2</v>
      </c>
    </row>
    <row r="386" spans="1:13" ht="15" thickBot="1">
      <c r="B386" s="13" t="s">
        <v>6</v>
      </c>
      <c r="C386" s="69"/>
      <c r="D386" s="311">
        <v>0.2040033688211674</v>
      </c>
      <c r="E386" s="311">
        <v>0.18300647900057923</v>
      </c>
      <c r="F386" s="311">
        <v>0.14684939012619452</v>
      </c>
      <c r="G386" s="311">
        <v>0.18494606549038817</v>
      </c>
      <c r="H386" s="311">
        <v>0.13240517735725393</v>
      </c>
      <c r="I386" s="311">
        <v>0.12005646788728833</v>
      </c>
      <c r="J386" s="311">
        <v>0.13416870488805407</v>
      </c>
      <c r="K386" s="311">
        <v>0.14223985557924737</v>
      </c>
      <c r="L386" s="311">
        <v>0.14924113816893353</v>
      </c>
      <c r="M386" s="311">
        <v>0.15587043278465393</v>
      </c>
    </row>
    <row r="389" spans="1:13">
      <c r="A389" t="s">
        <v>23</v>
      </c>
      <c r="B389" s="232" t="s">
        <v>183</v>
      </c>
    </row>
    <row r="390" spans="1:13">
      <c r="B390" t="s">
        <v>500</v>
      </c>
      <c r="D390" s="310">
        <v>0.25424779672563846</v>
      </c>
      <c r="E390" s="310">
        <v>0.18063427948089941</v>
      </c>
      <c r="F390" s="310">
        <v>0.24800234430111018</v>
      </c>
      <c r="G390" s="310">
        <v>0.2350980389321386</v>
      </c>
      <c r="H390" s="310">
        <v>9.8727338935349199E-2</v>
      </c>
      <c r="I390" s="310">
        <v>0.11486130105077653</v>
      </c>
      <c r="J390" s="310">
        <v>0.12014147551146563</v>
      </c>
      <c r="K390" s="310">
        <v>0.12717557276370797</v>
      </c>
      <c r="L390" s="310">
        <v>0.12949512794805193</v>
      </c>
      <c r="M390" s="310">
        <v>0.12963451985961055</v>
      </c>
    </row>
    <row r="391" spans="1:13">
      <c r="B391" t="s">
        <v>505</v>
      </c>
      <c r="D391" s="310">
        <v>0</v>
      </c>
      <c r="E391" s="310">
        <v>7.3632094866008533E-3</v>
      </c>
      <c r="F391" s="310">
        <v>1.1771395028478019E-2</v>
      </c>
      <c r="G391" s="310">
        <v>9.9522432120461579E-3</v>
      </c>
      <c r="H391" s="310">
        <v>6.0249447843980257E-3</v>
      </c>
      <c r="I391" s="310">
        <v>5.6756967800268886E-3</v>
      </c>
      <c r="J391" s="310">
        <v>4.8756360764968323E-3</v>
      </c>
      <c r="K391" s="310">
        <v>4.1486313634315096E-3</v>
      </c>
      <c r="L391" s="310">
        <v>3.4804001737975495E-3</v>
      </c>
      <c r="M391" s="310">
        <v>2.9323171037760162E-3</v>
      </c>
    </row>
    <row r="392" spans="1:13">
      <c r="B392" t="s">
        <v>503</v>
      </c>
      <c r="D392" s="310">
        <v>5.8312557121375792E-2</v>
      </c>
      <c r="E392" s="310">
        <v>7.3227887983621148E-2</v>
      </c>
      <c r="F392" s="310">
        <v>5.0763547291123312E-2</v>
      </c>
      <c r="G392" s="310">
        <v>1.7310821068904556E-2</v>
      </c>
      <c r="H392" s="310">
        <v>1.1027900429583066E-2</v>
      </c>
      <c r="I392" s="310">
        <v>0</v>
      </c>
      <c r="J392" s="310">
        <v>0</v>
      </c>
      <c r="K392" s="310">
        <v>0</v>
      </c>
      <c r="L392" s="310">
        <v>0</v>
      </c>
      <c r="M392" s="310">
        <v>0</v>
      </c>
    </row>
    <row r="393" spans="1:13">
      <c r="B393" t="s">
        <v>13</v>
      </c>
      <c r="D393" s="310">
        <v>3.2077098769821878E-3</v>
      </c>
      <c r="E393" s="310">
        <v>2.2346597606932596E-3</v>
      </c>
      <c r="F393" s="310">
        <v>2.0608872926497525E-3</v>
      </c>
      <c r="G393" s="310">
        <v>1.6736654959520368E-3</v>
      </c>
      <c r="H393" s="310">
        <v>0.23386512131726148</v>
      </c>
      <c r="I393" s="310">
        <v>0.23181361902186867</v>
      </c>
      <c r="J393" s="310">
        <v>0.21010888537102165</v>
      </c>
      <c r="K393" s="310">
        <v>0.18920467265972463</v>
      </c>
      <c r="L393" s="310">
        <v>0.1685579845821428</v>
      </c>
      <c r="M393" s="310">
        <v>0.15138844140958399</v>
      </c>
    </row>
    <row r="394" spans="1:13">
      <c r="B394" t="s">
        <v>506</v>
      </c>
      <c r="D394" s="310">
        <v>2.8917436596332074E-3</v>
      </c>
      <c r="E394" s="310">
        <v>0.20142734352866926</v>
      </c>
      <c r="F394" s="310">
        <v>0.17512918436158886</v>
      </c>
      <c r="G394" s="310">
        <v>0.132768103470636</v>
      </c>
      <c r="H394" s="310">
        <v>0.34599429699800505</v>
      </c>
      <c r="I394" s="310">
        <v>0.32593804385801534</v>
      </c>
      <c r="J394" s="310">
        <v>0.27999298534221873</v>
      </c>
      <c r="K394" s="310">
        <v>0.2382433106791994</v>
      </c>
      <c r="L394" s="310">
        <v>0.19986882112565851</v>
      </c>
      <c r="M394" s="310">
        <v>0.16839407350644764</v>
      </c>
    </row>
    <row r="395" spans="1:13">
      <c r="B395" t="s">
        <v>516</v>
      </c>
      <c r="D395" s="310">
        <v>1.06732748002882E-2</v>
      </c>
      <c r="E395" s="310">
        <v>1.0455486148633834E-2</v>
      </c>
      <c r="F395" s="310">
        <v>2.1109445440935959E-2</v>
      </c>
      <c r="G395" s="310">
        <v>1.2984367550501086E-2</v>
      </c>
      <c r="H395" s="310">
        <v>1.2989024459852894E-2</v>
      </c>
      <c r="I395" s="310">
        <v>1.2875082657226616E-2</v>
      </c>
      <c r="J395" s="310">
        <v>1.1669587307182577E-2</v>
      </c>
      <c r="K395" s="310">
        <v>1.0508553422815299E-2</v>
      </c>
      <c r="L395" s="310">
        <v>9.3618226279703082E-3</v>
      </c>
      <c r="M395" s="310">
        <v>8.4082147749620622E-3</v>
      </c>
    </row>
    <row r="396" spans="1:13">
      <c r="B396" t="s">
        <v>562</v>
      </c>
      <c r="D396" s="310">
        <v>1.5170113035439246E-2</v>
      </c>
      <c r="E396" s="310">
        <v>8.1095317571101451E-3</v>
      </c>
      <c r="F396" s="310">
        <v>7.5503252517079584E-3</v>
      </c>
      <c r="G396" s="310">
        <v>5.5403865702957434E-3</v>
      </c>
      <c r="H396" s="310">
        <v>3.3235360586461099E-3</v>
      </c>
      <c r="I396" s="310">
        <v>3.2943814681080721E-3</v>
      </c>
      <c r="J396" s="310">
        <v>2.9859281830453572E-3</v>
      </c>
      <c r="K396" s="310">
        <v>2.6888513708543125E-3</v>
      </c>
      <c r="L396" s="310">
        <v>2.3954343280265709E-3</v>
      </c>
      <c r="M396" s="310">
        <v>2.1514321633469224E-3</v>
      </c>
    </row>
    <row r="397" spans="1:13">
      <c r="B397" t="s">
        <v>517</v>
      </c>
      <c r="D397" s="310">
        <v>7.690613964288287E-3</v>
      </c>
      <c r="E397" s="310">
        <v>4.2946106725571384E-3</v>
      </c>
      <c r="F397" s="310">
        <v>3.0648937357723766E-3</v>
      </c>
      <c r="G397" s="310">
        <v>6.7203656741567667E-3</v>
      </c>
      <c r="H397" s="310">
        <v>3.8865847102463559E-3</v>
      </c>
      <c r="I397" s="310">
        <v>3.8524909667697798E-3</v>
      </c>
      <c r="J397" s="310">
        <v>3.4917818303572897E-3</v>
      </c>
      <c r="K397" s="310">
        <v>3.1443764838659412E-3</v>
      </c>
      <c r="L397" s="310">
        <v>2.8012509175242436E-3</v>
      </c>
      <c r="M397" s="310">
        <v>2.5159117288478154E-3</v>
      </c>
    </row>
    <row r="398" spans="1:13">
      <c r="B398" t="s">
        <v>518</v>
      </c>
      <c r="D398" s="310">
        <v>8.7254127410709582E-3</v>
      </c>
      <c r="E398" s="310">
        <v>8.726063127722599E-3</v>
      </c>
      <c r="F398" s="310">
        <v>1.0551753231223732E-2</v>
      </c>
      <c r="G398" s="310">
        <v>6.8529716395845756E-3</v>
      </c>
      <c r="H398" s="310">
        <v>6.8261093404818054E-3</v>
      </c>
      <c r="I398" s="310">
        <v>6.7662296162128615E-3</v>
      </c>
      <c r="J398" s="310">
        <v>6.1327068220817767E-3</v>
      </c>
      <c r="K398" s="310">
        <v>5.5225498185907619E-3</v>
      </c>
      <c r="L398" s="310">
        <v>4.919909503769292E-3</v>
      </c>
      <c r="M398" s="310">
        <v>4.4187608999849155E-3</v>
      </c>
    </row>
    <row r="399" spans="1:13">
      <c r="B399" t="s">
        <v>522</v>
      </c>
      <c r="D399" s="310">
        <v>5.2347204066160094E-5</v>
      </c>
      <c r="E399" s="310">
        <v>3.4541563849492495E-3</v>
      </c>
      <c r="F399" s="310">
        <v>5.8621526038535113E-3</v>
      </c>
      <c r="G399" s="310">
        <v>6.2440491254948374E-3</v>
      </c>
      <c r="H399" s="310">
        <v>1.871569395088879E-2</v>
      </c>
      <c r="I399" s="310">
        <v>1.8551516886417381E-2</v>
      </c>
      <c r="J399" s="310">
        <v>1.6814536399516418E-2</v>
      </c>
      <c r="K399" s="310">
        <v>1.5141619783369274E-2</v>
      </c>
      <c r="L399" s="310">
        <v>1.3489312278158729E-2</v>
      </c>
      <c r="M399" s="310">
        <v>1.2115272774173638E-2</v>
      </c>
    </row>
    <row r="400" spans="1:13">
      <c r="B400" t="s">
        <v>523</v>
      </c>
      <c r="D400" s="310">
        <v>2.6014614661497813E-2</v>
      </c>
      <c r="E400" s="310">
        <v>1.833697377513268E-2</v>
      </c>
      <c r="F400" s="310">
        <v>1.8672395396396192E-2</v>
      </c>
      <c r="G400" s="310">
        <v>1.5821887786514961E-2</v>
      </c>
      <c r="H400" s="310">
        <v>6.8769025969601383E-3</v>
      </c>
      <c r="I400" s="310">
        <v>6.8165773061113263E-3</v>
      </c>
      <c r="J400" s="310">
        <v>6.1783404524534862E-3</v>
      </c>
      <c r="K400" s="310">
        <v>5.5636432548893154E-3</v>
      </c>
      <c r="L400" s="310">
        <v>4.9565186778698497E-3</v>
      </c>
      <c r="M400" s="310">
        <v>4.4516410143391229E-3</v>
      </c>
    </row>
    <row r="401" spans="2:13" ht="15" thickBot="1">
      <c r="B401" s="105" t="s">
        <v>519</v>
      </c>
      <c r="C401" s="105"/>
      <c r="D401" s="312">
        <v>0.38698618379028021</v>
      </c>
      <c r="E401" s="312">
        <v>0.51826420210658941</v>
      </c>
      <c r="F401" s="312">
        <v>0.55453832393483982</v>
      </c>
      <c r="G401" s="312">
        <v>0.45096690052622529</v>
      </c>
      <c r="H401" s="312">
        <v>0.74825745358167295</v>
      </c>
      <c r="I401" s="312">
        <v>0.73044493961153345</v>
      </c>
      <c r="J401" s="312">
        <v>0.66239186329583977</v>
      </c>
      <c r="K401" s="312">
        <v>0.60134178160044849</v>
      </c>
      <c r="L401" s="312">
        <v>0.5393265821629698</v>
      </c>
      <c r="M401" s="312">
        <v>0.48641058523507269</v>
      </c>
    </row>
    <row r="402" spans="2:13">
      <c r="D402" s="65"/>
      <c r="E402" s="65"/>
      <c r="F402" s="65"/>
      <c r="G402" s="65"/>
      <c r="H402" s="65"/>
    </row>
    <row r="403" spans="2:13">
      <c r="B403" s="232" t="s">
        <v>94</v>
      </c>
      <c r="D403" s="113"/>
      <c r="E403" s="76"/>
      <c r="F403" s="76"/>
      <c r="G403" s="76"/>
      <c r="H403" s="76"/>
      <c r="I403" s="76"/>
      <c r="J403" s="76"/>
      <c r="K403" s="76"/>
      <c r="L403" s="76"/>
      <c r="M403" s="76"/>
    </row>
    <row r="404" spans="2:13">
      <c r="B404" s="2" t="s">
        <v>8</v>
      </c>
      <c r="C404" s="1"/>
      <c r="D404" s="310">
        <v>2.6233543975386023E-2</v>
      </c>
      <c r="E404" s="310">
        <v>3.3071886602391479E-2</v>
      </c>
      <c r="F404" s="310">
        <v>3.1374758754731044E-2</v>
      </c>
      <c r="G404" s="310">
        <v>3.1931715417400308E-2</v>
      </c>
      <c r="H404" s="310">
        <v>1.4674568056038145E-2</v>
      </c>
      <c r="I404" s="310">
        <v>4.1447136922512187E-2</v>
      </c>
      <c r="J404" s="310">
        <v>9.7529949883015846E-2</v>
      </c>
      <c r="K404" s="310">
        <v>0.15438574807678815</v>
      </c>
      <c r="L404" s="310">
        <v>0.21419433589639292</v>
      </c>
      <c r="M404" s="310">
        <v>0.2660640799191063</v>
      </c>
    </row>
    <row r="405" spans="2:13">
      <c r="B405" s="72" t="s">
        <v>556</v>
      </c>
      <c r="C405" s="1"/>
      <c r="D405" s="310">
        <v>8.3724111906773285E-2</v>
      </c>
      <c r="E405" s="310">
        <v>1.1304018889456896E-2</v>
      </c>
      <c r="F405" s="310">
        <v>1.5272325065304319E-2</v>
      </c>
      <c r="G405" s="310">
        <v>6.8205783026063616E-2</v>
      </c>
      <c r="H405" s="310">
        <v>5.3005104668240686E-3</v>
      </c>
      <c r="I405" s="310">
        <v>5.254013540184497E-3</v>
      </c>
      <c r="J405" s="310">
        <v>4.7620796970875108E-3</v>
      </c>
      <c r="K405" s="310">
        <v>4.2882895155810048E-3</v>
      </c>
      <c r="L405" s="310">
        <v>3.8203360830894166E-3</v>
      </c>
      <c r="M405" s="310">
        <v>3.4311915078567754E-3</v>
      </c>
    </row>
    <row r="406" spans="2:13">
      <c r="B406" s="2" t="s">
        <v>9</v>
      </c>
      <c r="C406" s="1"/>
      <c r="D406" s="310">
        <v>0.18571609562917796</v>
      </c>
      <c r="E406" s="310">
        <v>0.1924222075563862</v>
      </c>
      <c r="F406" s="310">
        <v>0.15423415971765869</v>
      </c>
      <c r="G406" s="310">
        <v>0.12985263627120719</v>
      </c>
      <c r="H406" s="310">
        <v>7.5422942568263027E-2</v>
      </c>
      <c r="I406" s="310">
        <v>8.2549333491399951E-2</v>
      </c>
      <c r="J406" s="310">
        <v>8.7165568732233953E-2</v>
      </c>
      <c r="K406" s="310">
        <v>8.4749645283088065E-2</v>
      </c>
      <c r="L406" s="310">
        <v>8.5694159369569228E-2</v>
      </c>
      <c r="M406" s="310">
        <v>8.6201065395192927E-2</v>
      </c>
    </row>
    <row r="407" spans="2:13">
      <c r="B407" s="2" t="s">
        <v>451</v>
      </c>
      <c r="C407" s="1"/>
      <c r="D407" s="310">
        <v>5.1878228979851539E-2</v>
      </c>
      <c r="E407" s="310">
        <v>4.243275873777088E-2</v>
      </c>
      <c r="F407" s="310">
        <v>5.9330230414352848E-2</v>
      </c>
      <c r="G407" s="310">
        <v>7.0907178189775932E-2</v>
      </c>
      <c r="H407" s="310">
        <v>5.5416523525446092E-2</v>
      </c>
      <c r="I407" s="310">
        <v>3.3571575222433862E-2</v>
      </c>
      <c r="J407" s="310">
        <v>3.544892882515259E-2</v>
      </c>
      <c r="K407" s="310">
        <v>3.8522566037767304E-2</v>
      </c>
      <c r="L407" s="310">
        <v>3.8951890622531467E-2</v>
      </c>
      <c r="M407" s="310">
        <v>3.9182302452360422E-2</v>
      </c>
    </row>
    <row r="408" spans="2:13">
      <c r="B408" s="2" t="s">
        <v>191</v>
      </c>
      <c r="C408" s="1"/>
      <c r="D408" s="310">
        <v>0.20495971870093824</v>
      </c>
      <c r="E408" s="310">
        <v>9.5592675774789262E-2</v>
      </c>
      <c r="F408" s="310">
        <v>0.11069701117562389</v>
      </c>
      <c r="G408" s="310">
        <v>0.18875389236416251</v>
      </c>
      <c r="H408" s="310">
        <v>6.0910120414060138E-2</v>
      </c>
      <c r="I408" s="310">
        <v>7.1243452358685289E-2</v>
      </c>
      <c r="J408" s="310">
        <v>7.5227452247565135E-2</v>
      </c>
      <c r="K408" s="310">
        <v>7.7904336459880194E-2</v>
      </c>
      <c r="L408" s="310">
        <v>7.8772561252309012E-2</v>
      </c>
      <c r="M408" s="310">
        <v>7.9238523999903082E-2</v>
      </c>
    </row>
    <row r="409" spans="2:13">
      <c r="B409" s="223" t="s">
        <v>11</v>
      </c>
      <c r="C409" s="4"/>
      <c r="D409" s="310">
        <v>6.0502117017592755E-2</v>
      </c>
      <c r="E409" s="310">
        <v>0.10691225033261584</v>
      </c>
      <c r="F409" s="310">
        <v>7.4553190937489355E-2</v>
      </c>
      <c r="G409" s="310">
        <v>5.9381894205165278E-2</v>
      </c>
      <c r="H409" s="310">
        <v>4.0017881387695541E-2</v>
      </c>
      <c r="I409" s="310">
        <v>3.5489548853250764E-2</v>
      </c>
      <c r="J409" s="310">
        <v>3.7474157319105243E-2</v>
      </c>
      <c r="K409" s="310">
        <v>3.8807633026446783E-2</v>
      </c>
      <c r="L409" s="310">
        <v>3.9240134613138203E-2</v>
      </c>
      <c r="M409" s="310">
        <v>3.9472251490507891E-2</v>
      </c>
    </row>
    <row r="410" spans="2:13">
      <c r="B410" s="5" t="s">
        <v>12</v>
      </c>
      <c r="C410" s="6"/>
      <c r="D410" s="313">
        <v>0.61301381620971984</v>
      </c>
      <c r="E410" s="313">
        <v>0.48173579789341053</v>
      </c>
      <c r="F410" s="313">
        <v>0.44546167606516018</v>
      </c>
      <c r="G410" s="313">
        <v>0.54903309947377477</v>
      </c>
      <c r="H410" s="313">
        <v>0.25174254641832705</v>
      </c>
      <c r="I410" s="313">
        <v>0.26955506038846655</v>
      </c>
      <c r="J410" s="313">
        <v>0.33760813670416029</v>
      </c>
      <c r="K410" s="313">
        <v>0.39865821839955151</v>
      </c>
      <c r="L410" s="313">
        <v>0.46067341783703025</v>
      </c>
      <c r="M410" s="313">
        <v>0.51358941476492737</v>
      </c>
    </row>
    <row r="411" spans="2:13">
      <c r="B411" s="3"/>
      <c r="C411" s="1"/>
      <c r="D411" s="7"/>
      <c r="E411" s="7"/>
      <c r="F411" s="7"/>
      <c r="G411" s="8"/>
      <c r="H411" s="8"/>
      <c r="I411" s="8"/>
      <c r="J411" s="8"/>
      <c r="K411" s="8"/>
      <c r="L411" s="8"/>
      <c r="M411" s="8"/>
    </row>
    <row r="412" spans="2:13" ht="15" thickBot="1">
      <c r="B412" s="234" t="s">
        <v>14</v>
      </c>
      <c r="C412" s="234"/>
      <c r="D412" s="312">
        <v>1</v>
      </c>
      <c r="E412" s="312">
        <v>1</v>
      </c>
      <c r="F412" s="312">
        <v>1</v>
      </c>
      <c r="G412" s="312">
        <v>1</v>
      </c>
      <c r="H412" s="312">
        <v>1</v>
      </c>
      <c r="I412" s="312">
        <v>1</v>
      </c>
      <c r="J412" s="312">
        <v>1</v>
      </c>
      <c r="K412" s="312">
        <v>1</v>
      </c>
      <c r="L412" s="312">
        <v>1</v>
      </c>
      <c r="M412" s="312">
        <v>1</v>
      </c>
    </row>
    <row r="413" spans="2:13">
      <c r="B413" s="1"/>
      <c r="C413" s="1"/>
      <c r="D413" s="7"/>
      <c r="E413" s="7"/>
      <c r="F413" s="7"/>
      <c r="G413" s="10"/>
      <c r="H413" s="10"/>
      <c r="I413" s="10"/>
      <c r="J413" s="10"/>
      <c r="K413" s="10"/>
      <c r="L413" s="10"/>
      <c r="M413" s="10"/>
    </row>
    <row r="414" spans="2:13">
      <c r="B414" s="232" t="s">
        <v>558</v>
      </c>
      <c r="C414" s="1"/>
      <c r="D414" s="7"/>
      <c r="E414" s="7"/>
      <c r="F414" s="7"/>
      <c r="G414" s="10"/>
      <c r="H414" s="10"/>
      <c r="I414" s="10"/>
      <c r="J414" s="10"/>
      <c r="K414" s="10"/>
      <c r="L414" s="10"/>
      <c r="M414" s="10"/>
    </row>
    <row r="415" spans="2:13">
      <c r="B415" t="s">
        <v>206</v>
      </c>
      <c r="C415" s="1"/>
      <c r="D415" s="310">
        <v>6.285869838865389E-3</v>
      </c>
      <c r="E415" s="310">
        <v>4.3790682226795136E-3</v>
      </c>
      <c r="F415" s="310">
        <v>4.1231949995653838E-3</v>
      </c>
      <c r="G415" s="310">
        <v>3.348484523373376E-3</v>
      </c>
      <c r="H415" s="310">
        <v>1.4863331647489541E-3</v>
      </c>
      <c r="I415" s="310">
        <v>1.4732948122061461E-3</v>
      </c>
      <c r="J415" s="310">
        <v>1.3353500632175528E-3</v>
      </c>
      <c r="K415" s="310">
        <v>1.2024930366512998E-3</v>
      </c>
      <c r="L415" s="310">
        <v>1.0712727116234152E-3</v>
      </c>
      <c r="M415" s="310">
        <v>9.6215143138623463E-4</v>
      </c>
    </row>
    <row r="416" spans="2:13">
      <c r="B416" t="s">
        <v>207</v>
      </c>
      <c r="C416" s="1"/>
      <c r="D416" s="314">
        <v>0.734672453062164</v>
      </c>
      <c r="E416" s="314">
        <v>0.66848635191788608</v>
      </c>
      <c r="F416" s="314">
        <v>0.76121482679875008</v>
      </c>
      <c r="G416" s="314">
        <v>0.77930490484004822</v>
      </c>
      <c r="H416" s="314">
        <v>0.51481775280510711</v>
      </c>
      <c r="I416" s="314">
        <v>0.57205168732775946</v>
      </c>
      <c r="J416" s="314">
        <v>0.59135795135455294</v>
      </c>
      <c r="K416" s="314">
        <v>0.61252228438208356</v>
      </c>
      <c r="L416" s="314">
        <v>0.63055474765583186</v>
      </c>
      <c r="M416" s="314">
        <v>0.65549308402779782</v>
      </c>
    </row>
    <row r="417" spans="2:13">
      <c r="B417" s="226" t="s">
        <v>559</v>
      </c>
      <c r="C417" s="75"/>
      <c r="D417" s="313">
        <v>0.74095832290102936</v>
      </c>
      <c r="E417" s="313">
        <v>0.6728654201405655</v>
      </c>
      <c r="F417" s="313">
        <v>0.76533802179831545</v>
      </c>
      <c r="G417" s="313">
        <v>0.78265338936342166</v>
      </c>
      <c r="H417" s="313">
        <v>0.51630408596985611</v>
      </c>
      <c r="I417" s="313">
        <v>0.57352498213996561</v>
      </c>
      <c r="J417" s="313">
        <v>0.59269330141777044</v>
      </c>
      <c r="K417" s="313">
        <v>0.61372477741873488</v>
      </c>
      <c r="L417" s="313">
        <v>0.63162602036745519</v>
      </c>
      <c r="M417" s="313">
        <v>0.65645523545918394</v>
      </c>
    </row>
    <row r="418" spans="2:13">
      <c r="B418" s="1" t="s">
        <v>560</v>
      </c>
      <c r="C418" s="1"/>
      <c r="D418" s="310">
        <v>2.2107498435703605E-2</v>
      </c>
      <c r="E418" s="310">
        <v>1.7608612125235748E-2</v>
      </c>
      <c r="F418" s="310">
        <v>1.9357786451110911E-2</v>
      </c>
      <c r="G418" s="310">
        <v>1.7779430689923739E-2</v>
      </c>
      <c r="H418" s="310">
        <v>8.494001379451185E-3</v>
      </c>
      <c r="I418" s="310">
        <v>8.4194906391199028E-3</v>
      </c>
      <c r="J418" s="310">
        <v>7.6311728406705474E-3</v>
      </c>
      <c r="K418" s="310">
        <v>6.8719300317985942E-3</v>
      </c>
      <c r="L418" s="310">
        <v>6.1220405398372535E-3</v>
      </c>
      <c r="M418" s="310">
        <v>5.4984412507649121E-3</v>
      </c>
    </row>
    <row r="419" spans="2:13">
      <c r="B419" s="227" t="s">
        <v>102</v>
      </c>
      <c r="C419" s="227"/>
      <c r="D419" s="315">
        <v>0.76306582133673295</v>
      </c>
      <c r="E419" s="315">
        <v>0.69047403226580129</v>
      </c>
      <c r="F419" s="315">
        <v>0.78469580824942631</v>
      </c>
      <c r="G419" s="315">
        <v>0.80043282005334537</v>
      </c>
      <c r="H419" s="315">
        <v>0.52479808734930733</v>
      </c>
      <c r="I419" s="315">
        <v>0.58194447277908556</v>
      </c>
      <c r="J419" s="315">
        <v>0.60032447425844104</v>
      </c>
      <c r="K419" s="315">
        <v>0.62059670745053341</v>
      </c>
      <c r="L419" s="315">
        <v>0.63774806090729252</v>
      </c>
      <c r="M419" s="315">
        <v>0.66195367670994887</v>
      </c>
    </row>
    <row r="420" spans="2:13">
      <c r="B420" s="1"/>
      <c r="C420" s="1"/>
      <c r="D420" s="7"/>
      <c r="E420" s="7"/>
      <c r="F420" s="7"/>
      <c r="G420" s="10"/>
      <c r="H420" s="10"/>
      <c r="I420" s="10"/>
      <c r="J420" s="10"/>
      <c r="K420" s="10"/>
      <c r="L420" s="10"/>
      <c r="M420" s="10"/>
    </row>
    <row r="421" spans="2:13">
      <c r="B421" s="231" t="s">
        <v>563</v>
      </c>
      <c r="C421" s="1"/>
      <c r="D421" s="7"/>
      <c r="E421" s="7"/>
      <c r="F421" s="7"/>
      <c r="G421" s="10"/>
      <c r="H421" s="10"/>
      <c r="I421" s="10"/>
      <c r="J421" s="10"/>
      <c r="K421" s="10"/>
      <c r="L421" s="10"/>
      <c r="M421" s="10"/>
    </row>
    <row r="422" spans="2:13">
      <c r="B422" s="122" t="s">
        <v>607</v>
      </c>
      <c r="C422" s="1"/>
      <c r="D422" s="310">
        <v>9.0101055838084712E-3</v>
      </c>
      <c r="E422" s="310">
        <v>5.3776918466478269E-3</v>
      </c>
      <c r="F422" s="310">
        <v>2.3865532881020592E-3</v>
      </c>
      <c r="G422" s="310">
        <v>2.078672066609387E-3</v>
      </c>
      <c r="H422" s="310">
        <v>0.19907318157304948</v>
      </c>
      <c r="I422" s="310">
        <v>0.20719322373191365</v>
      </c>
      <c r="J422" s="310">
        <v>0.19718338530906593</v>
      </c>
      <c r="K422" s="310">
        <v>0.18644341811499568</v>
      </c>
      <c r="L422" s="310">
        <v>0.16942000893202194</v>
      </c>
      <c r="M422" s="310">
        <v>0.15520591197496125</v>
      </c>
    </row>
    <row r="423" spans="2:13">
      <c r="B423" s="122" t="s">
        <v>211</v>
      </c>
      <c r="C423" s="1"/>
      <c r="D423" s="310">
        <v>8.6468605517558506E-4</v>
      </c>
      <c r="E423" s="310">
        <v>3.268548729820101E-4</v>
      </c>
      <c r="F423" s="310">
        <v>5.3296413541467939E-4</v>
      </c>
      <c r="G423" s="310">
        <v>6.4479065564613895E-4</v>
      </c>
      <c r="H423" s="310">
        <v>5.0541091375249216E-4</v>
      </c>
      <c r="I423" s="310">
        <v>5.009773682804709E-4</v>
      </c>
      <c r="J423" s="310">
        <v>4.5407080433694296E-4</v>
      </c>
      <c r="K423" s="310">
        <v>4.088942633111424E-4</v>
      </c>
      <c r="L423" s="310">
        <v>3.6427426427718167E-4</v>
      </c>
      <c r="M423" s="310">
        <v>3.2716879743938132E-4</v>
      </c>
    </row>
    <row r="424" spans="2:13">
      <c r="B424" s="122" t="s">
        <v>212</v>
      </c>
      <c r="C424" s="1"/>
      <c r="D424" s="310">
        <v>1.1336292310302429E-2</v>
      </c>
      <c r="E424" s="310">
        <v>8.7457509413092407E-3</v>
      </c>
      <c r="F424" s="310">
        <v>1.0075554202159224E-2</v>
      </c>
      <c r="G424" s="310">
        <v>1.0291891358366639E-2</v>
      </c>
      <c r="H424" s="310">
        <v>5.5858172691704514E-3</v>
      </c>
      <c r="I424" s="310">
        <v>5.5368175855716201E-3</v>
      </c>
      <c r="J424" s="310">
        <v>5.0184047698137117E-3</v>
      </c>
      <c r="K424" s="310">
        <v>4.5191122215984137E-3</v>
      </c>
      <c r="L424" s="310">
        <v>4.0259705929308479E-3</v>
      </c>
      <c r="M424" s="310">
        <v>3.6158798097612591E-3</v>
      </c>
    </row>
    <row r="425" spans="2:13">
      <c r="B425" s="122" t="s">
        <v>213</v>
      </c>
      <c r="C425" s="1"/>
      <c r="D425" s="310">
        <v>2.0449146542859463E-3</v>
      </c>
      <c r="E425" s="310">
        <v>6.0802221231381912E-3</v>
      </c>
      <c r="F425" s="310">
        <v>7.9576238960203226E-3</v>
      </c>
      <c r="G425" s="310">
        <v>7.4452264598352394E-3</v>
      </c>
      <c r="H425" s="310">
        <v>6.5293110141520283E-2</v>
      </c>
      <c r="I425" s="310">
        <v>6.4720348523309795E-2</v>
      </c>
      <c r="J425" s="310">
        <v>5.8660575450374376E-2</v>
      </c>
      <c r="K425" s="310">
        <v>5.2824300869143179E-2</v>
      </c>
      <c r="L425" s="310">
        <v>4.7059924928370252E-2</v>
      </c>
      <c r="M425" s="310">
        <v>4.2266337636981684E-2</v>
      </c>
    </row>
    <row r="426" spans="2:13">
      <c r="B426" s="122" t="s">
        <v>214</v>
      </c>
      <c r="C426" s="1"/>
      <c r="D426" s="310">
        <v>1.2375814261073085E-3</v>
      </c>
      <c r="E426" s="310">
        <v>2.2031767495163971E-3</v>
      </c>
      <c r="F426" s="310">
        <v>2.6241227204988576E-3</v>
      </c>
      <c r="G426" s="310">
        <v>1.9193342632190125E-3</v>
      </c>
      <c r="H426" s="310">
        <v>7.2047172309692401E-4</v>
      </c>
      <c r="I426" s="310">
        <v>7.1415162976546113E-4</v>
      </c>
      <c r="J426" s="310">
        <v>6.4728553718737417E-4</v>
      </c>
      <c r="K426" s="310">
        <v>5.8288562125608325E-4</v>
      </c>
      <c r="L426" s="310">
        <v>5.1927906525613924E-4</v>
      </c>
      <c r="M426" s="310">
        <v>4.6638460076889711E-4</v>
      </c>
    </row>
    <row r="427" spans="2:13">
      <c r="B427" s="227" t="s">
        <v>215</v>
      </c>
      <c r="C427" s="227"/>
      <c r="D427" s="315">
        <v>2.4493580029679739E-2</v>
      </c>
      <c r="E427" s="315">
        <v>2.2733696533593667E-2</v>
      </c>
      <c r="F427" s="315">
        <v>2.3576818242195145E-2</v>
      </c>
      <c r="G427" s="315">
        <v>2.2379914803676421E-2</v>
      </c>
      <c r="H427" s="315">
        <v>0.27117799162058964</v>
      </c>
      <c r="I427" s="315">
        <v>0.278665518838841</v>
      </c>
      <c r="J427" s="315">
        <v>0.26196372187077838</v>
      </c>
      <c r="K427" s="315">
        <v>0.24477861109030452</v>
      </c>
      <c r="L427" s="315">
        <v>0.22138945778285637</v>
      </c>
      <c r="M427" s="315">
        <v>0.20188168281991245</v>
      </c>
    </row>
    <row r="428" spans="2:13">
      <c r="B428" s="1"/>
      <c r="C428" s="1"/>
      <c r="D428" s="7"/>
      <c r="E428" s="7"/>
      <c r="F428" s="7"/>
      <c r="G428" s="10"/>
      <c r="H428" s="10"/>
      <c r="I428" s="10"/>
      <c r="J428" s="10"/>
      <c r="K428" s="10"/>
      <c r="L428" s="10"/>
      <c r="M428" s="10"/>
    </row>
    <row r="429" spans="2:13">
      <c r="B429" s="231" t="s">
        <v>95</v>
      </c>
      <c r="C429" s="1"/>
      <c r="D429" s="7"/>
      <c r="E429" s="7"/>
      <c r="F429" s="7"/>
      <c r="G429" s="10"/>
      <c r="H429" s="10"/>
      <c r="I429" s="10"/>
      <c r="J429" s="10"/>
      <c r="K429" s="10"/>
      <c r="L429" s="10"/>
      <c r="M429" s="10"/>
    </row>
    <row r="430" spans="2:13">
      <c r="B430" s="122" t="s">
        <v>216</v>
      </c>
      <c r="C430" s="1"/>
      <c r="D430" s="310">
        <v>0.1046893083597418</v>
      </c>
      <c r="E430" s="310">
        <v>0.11767199573475164</v>
      </c>
      <c r="F430" s="310">
        <v>0.10372763535866052</v>
      </c>
      <c r="G430" s="310">
        <v>9.2198828000324681E-2</v>
      </c>
      <c r="H430" s="310">
        <v>4.0831311974865052E-2</v>
      </c>
      <c r="I430" s="310">
        <v>5.7493491888530132E-2</v>
      </c>
      <c r="J430" s="310">
        <v>5.9637253339278849E-2</v>
      </c>
      <c r="K430" s="310">
        <v>6.0649927969860816E-2</v>
      </c>
      <c r="L430" s="310">
        <v>6.0204042146184633E-2</v>
      </c>
      <c r="M430" s="310">
        <v>5.9431716359740282E-2</v>
      </c>
    </row>
    <row r="431" spans="2:13">
      <c r="B431" s="122" t="s">
        <v>612</v>
      </c>
      <c r="C431" s="1"/>
      <c r="D431" s="310">
        <v>2.4887502155242349E-2</v>
      </c>
      <c r="E431" s="310">
        <v>8.9511579123562834E-2</v>
      </c>
      <c r="F431" s="310">
        <v>1.4357495935222109E-2</v>
      </c>
      <c r="G431" s="310">
        <v>1.4307810861664015E-2</v>
      </c>
      <c r="H431" s="310">
        <v>0.10651598048609544</v>
      </c>
      <c r="I431" s="310">
        <v>2.57170643864136E-2</v>
      </c>
      <c r="J431" s="310">
        <v>2.7155186463119738E-2</v>
      </c>
      <c r="K431" s="310">
        <v>2.8121473207570129E-2</v>
      </c>
      <c r="L431" s="310">
        <v>3.9808832216227164E-2</v>
      </c>
      <c r="M431" s="310">
        <v>4.004431310631236E-2</v>
      </c>
    </row>
    <row r="432" spans="2:13">
      <c r="B432" s="122" t="s">
        <v>211</v>
      </c>
      <c r="C432" s="1"/>
      <c r="D432" s="310">
        <v>0</v>
      </c>
      <c r="E432" s="310">
        <v>2.2488489789250539E-4</v>
      </c>
      <c r="F432" s="310">
        <v>2.6313688918262415E-4</v>
      </c>
      <c r="G432" s="310">
        <v>2.8610924008213901E-4</v>
      </c>
      <c r="H432" s="310">
        <v>5.1837940476823685E-4</v>
      </c>
      <c r="I432" s="310">
        <v>5.1383209761624927E-4</v>
      </c>
      <c r="J432" s="310">
        <v>4.6572194400631571E-4</v>
      </c>
      <c r="K432" s="310">
        <v>4.1938620449375195E-4</v>
      </c>
      <c r="L432" s="310">
        <v>3.7362128745179222E-4</v>
      </c>
      <c r="M432" s="310">
        <v>3.3556372025322147E-4</v>
      </c>
    </row>
    <row r="433" spans="2:13">
      <c r="B433" s="122" t="s">
        <v>217</v>
      </c>
      <c r="C433" s="1"/>
      <c r="D433" s="310">
        <v>2.8807736565268964E-2</v>
      </c>
      <c r="E433" s="310">
        <v>2.4212293967194792E-2</v>
      </c>
      <c r="F433" s="310">
        <v>2.4341762788656098E-2</v>
      </c>
      <c r="G433" s="310">
        <v>1.9689369522914509E-2</v>
      </c>
      <c r="H433" s="310">
        <v>2.4285660842151113E-2</v>
      </c>
      <c r="I433" s="310">
        <v>2.4072623136134161E-2</v>
      </c>
      <c r="J433" s="310">
        <v>2.1818700887512008E-2</v>
      </c>
      <c r="K433" s="310">
        <v>1.9647908521300054E-2</v>
      </c>
      <c r="L433" s="310">
        <v>1.7503858731653943E-2</v>
      </c>
      <c r="M433" s="310">
        <v>1.5720892122717982E-2</v>
      </c>
    </row>
    <row r="434" spans="2:13">
      <c r="B434" s="122" t="s">
        <v>212</v>
      </c>
      <c r="C434" s="1"/>
      <c r="D434" s="310">
        <v>3.6752648727727572E-2</v>
      </c>
      <c r="E434" s="310">
        <v>2.8915462299378344E-2</v>
      </c>
      <c r="F434" s="310">
        <v>3.1663957157835453E-2</v>
      </c>
      <c r="G434" s="310">
        <v>3.2541891770043629E-2</v>
      </c>
      <c r="H434" s="310">
        <v>2.3914978140617747E-2</v>
      </c>
      <c r="I434" s="310">
        <v>2.3705192122619834E-2</v>
      </c>
      <c r="J434" s="310">
        <v>2.1485672478629102E-2</v>
      </c>
      <c r="K434" s="310">
        <v>1.9348013869163801E-2</v>
      </c>
      <c r="L434" s="310">
        <v>1.723668965257966E-2</v>
      </c>
      <c r="M434" s="310">
        <v>1.5480937245622385E-2</v>
      </c>
    </row>
    <row r="435" spans="2:13">
      <c r="B435" s="122" t="s">
        <v>218</v>
      </c>
      <c r="C435" s="1"/>
      <c r="D435" s="310">
        <v>1.7393676646048105E-3</v>
      </c>
      <c r="E435" s="310">
        <v>1.6495348800499464E-3</v>
      </c>
      <c r="F435" s="310">
        <v>4.7610124692301472E-3</v>
      </c>
      <c r="G435" s="310">
        <v>3.876760141696127E-3</v>
      </c>
      <c r="H435" s="310">
        <v>6.5130643767961915E-4</v>
      </c>
      <c r="I435" s="310">
        <v>6.4559307330797674E-4</v>
      </c>
      <c r="J435" s="310">
        <v>5.8514612561738621E-4</v>
      </c>
      <c r="K435" s="310">
        <v>5.2692860161549925E-4</v>
      </c>
      <c r="L435" s="310">
        <v>4.6942827499154985E-4</v>
      </c>
      <c r="M435" s="310">
        <v>4.2161167909508291E-4</v>
      </c>
    </row>
    <row r="436" spans="2:13">
      <c r="B436" s="122" t="s">
        <v>219</v>
      </c>
      <c r="C436" s="1"/>
      <c r="D436" s="310">
        <v>1.5564035161001865E-2</v>
      </c>
      <c r="E436" s="310">
        <v>2.4606520297775065E-2</v>
      </c>
      <c r="F436" s="310">
        <v>1.2612372909591506E-2</v>
      </c>
      <c r="G436" s="310">
        <v>1.4286495606252964E-2</v>
      </c>
      <c r="H436" s="310">
        <v>7.3063037439259054E-3</v>
      </c>
      <c r="I436" s="310">
        <v>7.2422116774515403E-3</v>
      </c>
      <c r="J436" s="310">
        <v>6.5641226326171613E-3</v>
      </c>
      <c r="K436" s="310">
        <v>5.911043085157941E-3</v>
      </c>
      <c r="L436" s="310">
        <v>5.2660090007625084E-3</v>
      </c>
      <c r="M436" s="310">
        <v>4.7296062363973851E-3</v>
      </c>
    </row>
    <row r="437" spans="2:13">
      <c r="B437" s="227" t="s">
        <v>564</v>
      </c>
      <c r="C437" s="227"/>
      <c r="D437" s="315">
        <v>0.21244059863358739</v>
      </c>
      <c r="E437" s="315">
        <v>0.28679227120060508</v>
      </c>
      <c r="F437" s="315">
        <v>0.19172737350837843</v>
      </c>
      <c r="G437" s="315">
        <v>0.17718726514297808</v>
      </c>
      <c r="H437" s="315">
        <v>0.20402392103010311</v>
      </c>
      <c r="I437" s="315">
        <v>0.13939000838207347</v>
      </c>
      <c r="J437" s="315">
        <v>0.13771180387078055</v>
      </c>
      <c r="K437" s="315">
        <v>0.13462468145916198</v>
      </c>
      <c r="L437" s="315">
        <v>0.14086248130985124</v>
      </c>
      <c r="M437" s="315">
        <v>0.13616464047013871</v>
      </c>
    </row>
    <row r="438" spans="2:13">
      <c r="B438" s="1"/>
      <c r="C438" s="1"/>
      <c r="D438" s="7"/>
      <c r="E438" s="7"/>
      <c r="F438" s="7"/>
      <c r="G438" s="10"/>
      <c r="H438" s="10"/>
      <c r="I438" s="10"/>
      <c r="J438" s="10"/>
      <c r="K438" s="10"/>
      <c r="L438" s="10"/>
      <c r="M438" s="10"/>
    </row>
    <row r="439" spans="2:13">
      <c r="B439" s="227" t="s">
        <v>221</v>
      </c>
      <c r="C439" s="227"/>
      <c r="D439" s="315">
        <v>1</v>
      </c>
      <c r="E439" s="315">
        <v>1</v>
      </c>
      <c r="F439" s="315">
        <v>1</v>
      </c>
      <c r="G439" s="315">
        <v>1</v>
      </c>
      <c r="H439" s="315">
        <v>1</v>
      </c>
      <c r="I439" s="315">
        <v>1</v>
      </c>
      <c r="J439" s="315">
        <v>1</v>
      </c>
      <c r="K439" s="315">
        <v>1</v>
      </c>
      <c r="L439" s="315">
        <v>1</v>
      </c>
      <c r="M439" s="315">
        <v>1</v>
      </c>
    </row>
    <row r="446" spans="2:13" ht="15.6">
      <c r="B446" s="491" t="s">
        <v>115</v>
      </c>
      <c r="C446" s="492"/>
      <c r="D446" s="492"/>
      <c r="E446" s="492"/>
      <c r="F446" s="492"/>
      <c r="G446" s="492"/>
      <c r="H446" s="492"/>
      <c r="I446" s="492"/>
      <c r="J446" s="492"/>
      <c r="K446" s="492"/>
      <c r="L446" s="492"/>
      <c r="M446" s="492"/>
    </row>
    <row r="447" spans="2:13">
      <c r="B447" t="s">
        <v>41</v>
      </c>
      <c r="D447" s="65">
        <v>6223.8981999999996</v>
      </c>
      <c r="E447" s="65">
        <v>7781.5551000000005</v>
      </c>
      <c r="F447" s="65">
        <v>8749.4330000000009</v>
      </c>
      <c r="G447" s="65">
        <v>10334.774599999999</v>
      </c>
      <c r="H447" s="65">
        <v>12207</v>
      </c>
      <c r="I447" s="65">
        <v>14404.259999999998</v>
      </c>
      <c r="J447" s="65">
        <v>16780.962899999999</v>
      </c>
      <c r="K447" s="65">
        <v>19298.107334999997</v>
      </c>
      <c r="L447" s="65">
        <v>21903.351825224996</v>
      </c>
      <c r="M447" s="65">
        <v>24531.754044251997</v>
      </c>
    </row>
    <row r="448" spans="2:13">
      <c r="B448" t="s">
        <v>14</v>
      </c>
      <c r="D448" s="65">
        <v>6372.8331999999991</v>
      </c>
      <c r="E448" s="65">
        <v>9147.7907999999989</v>
      </c>
      <c r="F448" s="65">
        <v>9715.4755000000005</v>
      </c>
      <c r="G448" s="65">
        <v>11963.262699999999</v>
      </c>
      <c r="H448" s="65">
        <v>27759.590500000002</v>
      </c>
      <c r="I448" s="65">
        <v>28005.257100047958</v>
      </c>
      <c r="J448" s="65">
        <v>30898.264909340101</v>
      </c>
      <c r="K448" s="65">
        <v>34312.04900354414</v>
      </c>
      <c r="L448" s="65">
        <v>38514.936068402472</v>
      </c>
      <c r="M448" s="65">
        <v>42883.062534713492</v>
      </c>
    </row>
    <row r="449" spans="2:13">
      <c r="B449" s="30" t="s">
        <v>116</v>
      </c>
      <c r="C449" s="30"/>
      <c r="D449" s="93">
        <v>0.97662970372424007</v>
      </c>
      <c r="E449" s="93">
        <v>0.85064856314816484</v>
      </c>
      <c r="F449" s="93">
        <v>0.9005666269242304</v>
      </c>
      <c r="G449" s="93">
        <v>0.86387592241036382</v>
      </c>
      <c r="H449" s="93">
        <v>0.43973991619220748</v>
      </c>
      <c r="I449" s="93">
        <v>0.51434128772827192</v>
      </c>
      <c r="J449" s="93">
        <v>0.54310372926239481</v>
      </c>
      <c r="K449" s="93">
        <v>0.5624294641514026</v>
      </c>
      <c r="L449" s="93">
        <v>0.56869760308895945</v>
      </c>
      <c r="M449" s="93">
        <v>0.57206161580446224</v>
      </c>
    </row>
    <row r="451" spans="2:13">
      <c r="B451" t="s">
        <v>52</v>
      </c>
      <c r="D451" s="66">
        <v>1780.6092000000001</v>
      </c>
      <c r="E451" s="66">
        <v>2421.7284</v>
      </c>
      <c r="F451" s="66">
        <v>2913.6419999999998</v>
      </c>
      <c r="G451" s="66">
        <v>3209.6958999999997</v>
      </c>
      <c r="H451" s="66">
        <v>3855.04</v>
      </c>
      <c r="I451" s="66">
        <v>4897.4483999999993</v>
      </c>
      <c r="J451" s="66">
        <v>5604.8416085999988</v>
      </c>
      <c r="K451" s="66">
        <v>6329.7792058799978</v>
      </c>
      <c r="L451" s="66">
        <v>7052.8792877224478</v>
      </c>
      <c r="M451" s="66">
        <v>7752.0342779836301</v>
      </c>
    </row>
    <row r="452" spans="2:13">
      <c r="B452" t="s">
        <v>9</v>
      </c>
      <c r="D452" s="65">
        <v>1183.5377000000001</v>
      </c>
      <c r="E452" s="65">
        <v>1760.2381</v>
      </c>
      <c r="F452" s="65">
        <v>1498.4582</v>
      </c>
      <c r="G452" s="65">
        <v>1553.4612</v>
      </c>
      <c r="H452" s="65">
        <v>2093.71</v>
      </c>
      <c r="I452" s="65">
        <v>2311.8153078642554</v>
      </c>
      <c r="J452" s="65">
        <v>2693.2648336618572</v>
      </c>
      <c r="K452" s="65">
        <v>2907.9339819863012</v>
      </c>
      <c r="L452" s="65">
        <v>3300.5050695544514</v>
      </c>
      <c r="M452" s="65">
        <v>3696.5656779009855</v>
      </c>
    </row>
    <row r="453" spans="2:13">
      <c r="B453" s="30" t="s">
        <v>117</v>
      </c>
      <c r="C453" s="30"/>
      <c r="D453" s="95">
        <v>1.5044803389025969</v>
      </c>
      <c r="E453" s="95">
        <v>1.3757959221539404</v>
      </c>
      <c r="F453" s="95">
        <v>1.9444266112995343</v>
      </c>
      <c r="G453" s="95">
        <v>2.0661577514777965</v>
      </c>
      <c r="H453" s="95">
        <v>1.8412483104154824</v>
      </c>
      <c r="I453" s="95">
        <v>2.1184427593934623</v>
      </c>
      <c r="J453" s="95">
        <v>2.0810584754041659</v>
      </c>
      <c r="K453" s="95">
        <v>2.176727272727272</v>
      </c>
      <c r="L453" s="95">
        <v>2.1369090909090906</v>
      </c>
      <c r="M453" s="95">
        <v>2.0970909090909089</v>
      </c>
    </row>
    <row r="456" spans="2:13" ht="15.6">
      <c r="B456" s="491" t="s">
        <v>121</v>
      </c>
      <c r="C456" s="492"/>
      <c r="D456" s="492"/>
      <c r="E456" s="492"/>
      <c r="F456" s="492"/>
      <c r="G456" s="492"/>
      <c r="H456" s="492"/>
      <c r="I456" s="492"/>
      <c r="J456" s="492"/>
      <c r="K456" s="492"/>
      <c r="L456" s="492"/>
      <c r="M456" s="492"/>
    </row>
    <row r="457" spans="2:13">
      <c r="B457" t="s">
        <v>64</v>
      </c>
      <c r="D457" s="65"/>
      <c r="E457" s="65">
        <v>1822.7470000000003</v>
      </c>
      <c r="F457" s="65">
        <v>1574.7386000000006</v>
      </c>
      <c r="G457" s="65">
        <v>2136.8495999999996</v>
      </c>
      <c r="H457" s="65">
        <v>2030.8599999999988</v>
      </c>
      <c r="I457" s="65">
        <v>2435.108711249999</v>
      </c>
      <c r="J457" s="65">
        <v>3001.9677372562483</v>
      </c>
      <c r="K457" s="65">
        <v>3615.8363363418766</v>
      </c>
      <c r="L457" s="65">
        <v>4278.4006677378475</v>
      </c>
      <c r="M457" s="65">
        <v>4977.2271077216519</v>
      </c>
    </row>
    <row r="458" spans="2:13">
      <c r="B458" t="s">
        <v>128</v>
      </c>
      <c r="D458" s="65"/>
      <c r="E458" s="65">
        <v>58.610399999999998</v>
      </c>
      <c r="F458" s="65">
        <v>44.468999999999994</v>
      </c>
      <c r="G458" s="65">
        <v>33.531599999999997</v>
      </c>
      <c r="H458" s="65">
        <v>429.4</v>
      </c>
      <c r="I458" s="65">
        <v>561.47040707646352</v>
      </c>
      <c r="J458" s="65">
        <v>503.42321216626988</v>
      </c>
      <c r="K458" s="65">
        <v>534.83288934759162</v>
      </c>
      <c r="L458" s="65">
        <v>576.99301434637562</v>
      </c>
      <c r="M458" s="65">
        <v>614.81290259022217</v>
      </c>
    </row>
    <row r="459" spans="2:13">
      <c r="B459" t="s">
        <v>124</v>
      </c>
      <c r="D459" s="65"/>
      <c r="E459" s="66">
        <v>-652.00340000000006</v>
      </c>
      <c r="F459" s="66">
        <v>705.35079999999994</v>
      </c>
      <c r="G459" s="66">
        <v>-33.359399999999994</v>
      </c>
      <c r="H459" s="66">
        <v>-8286.9941999999992</v>
      </c>
      <c r="I459" s="66">
        <v>1960.3174999999992</v>
      </c>
      <c r="J459" s="66">
        <v>-408.96012000000064</v>
      </c>
      <c r="K459" s="66">
        <v>-430.48844550000103</v>
      </c>
      <c r="L459" s="66">
        <v>-696.27437499074949</v>
      </c>
      <c r="M459" s="66">
        <v>-314.49217158639021</v>
      </c>
    </row>
    <row r="460" spans="2:13">
      <c r="B460" s="30" t="s">
        <v>125</v>
      </c>
      <c r="C460" s="30"/>
      <c r="D460" s="93"/>
      <c r="E460" s="95">
        <v>-3.071736606262629</v>
      </c>
      <c r="F460" s="95">
        <v>2.1001560641636838</v>
      </c>
      <c r="G460" s="95">
        <v>12409.114982578129</v>
      </c>
      <c r="H460" s="95">
        <v>-0.25845824412769991</v>
      </c>
      <c r="I460" s="95">
        <v>0.96562788028952362</v>
      </c>
      <c r="J460" s="95">
        <v>31.779266043634628</v>
      </c>
      <c r="K460" s="95">
        <v>34.652888098414735</v>
      </c>
      <c r="L460" s="95">
        <v>-35.868141045888095</v>
      </c>
      <c r="M460" s="95">
        <v>16.573038734572556</v>
      </c>
    </row>
    <row r="462" spans="2:13">
      <c r="B462" t="s">
        <v>64</v>
      </c>
      <c r="D462" s="65">
        <v>1538.6224999999999</v>
      </c>
      <c r="E462" s="65">
        <v>1822.7470000000003</v>
      </c>
      <c r="F462" s="65">
        <v>1574.7386000000006</v>
      </c>
      <c r="G462" s="65">
        <v>2136.8495999999996</v>
      </c>
      <c r="H462" s="65">
        <v>2030.8599999999988</v>
      </c>
      <c r="I462" s="65">
        <v>2435.108711249999</v>
      </c>
      <c r="J462" s="65">
        <v>3001.9677372562483</v>
      </c>
      <c r="K462" s="65">
        <v>3615.8363363418766</v>
      </c>
      <c r="L462" s="65">
        <v>4278.4006677378475</v>
      </c>
      <c r="M462" s="65">
        <v>4977.2271077216519</v>
      </c>
    </row>
    <row r="463" spans="2:13">
      <c r="B463" t="s">
        <v>126</v>
      </c>
      <c r="D463" s="66">
        <v>3.7015000000000002</v>
      </c>
      <c r="E463" s="66">
        <v>10.740900000000002</v>
      </c>
      <c r="F463" s="66">
        <v>4.226</v>
      </c>
      <c r="G463" s="66">
        <v>8.1553000000000004</v>
      </c>
      <c r="H463" s="66">
        <v>25.4</v>
      </c>
      <c r="I463" s="66">
        <v>561.47040707646352</v>
      </c>
      <c r="J463" s="66">
        <v>503.42321216626988</v>
      </c>
      <c r="K463" s="66">
        <v>534.83288934759162</v>
      </c>
      <c r="L463" s="66">
        <v>576.99301434637562</v>
      </c>
      <c r="M463" s="66">
        <v>614.81290259022217</v>
      </c>
    </row>
    <row r="464" spans="2:13">
      <c r="B464" s="30" t="s">
        <v>127</v>
      </c>
      <c r="C464" s="30"/>
      <c r="D464" s="95">
        <v>415.67540186410912</v>
      </c>
      <c r="E464" s="95">
        <v>169.70151477064306</v>
      </c>
      <c r="F464" s="95">
        <v>372.63099858021786</v>
      </c>
      <c r="G464" s="95">
        <v>262.01974176302519</v>
      </c>
      <c r="H464" s="95">
        <v>79.955118110236171</v>
      </c>
      <c r="I464" s="95">
        <v>4.3370205812438751</v>
      </c>
      <c r="J464" s="95">
        <v>5.9631094965576654</v>
      </c>
      <c r="K464" s="95">
        <v>6.7606843340404961</v>
      </c>
      <c r="L464" s="95">
        <v>7.4149956088887308</v>
      </c>
      <c r="M464" s="95">
        <v>8.0955150530388504</v>
      </c>
    </row>
  </sheetData>
  <sheetProtection sheet="1" objects="1" scenarios="1" selectLockedCells="1"/>
  <autoFilter ref="T15:U15" xr:uid="{00000000-0009-0000-0000-000013000000}"/>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916"/>
  <sheetViews>
    <sheetView showGridLines="0" zoomScale="85" zoomScaleNormal="85" workbookViewId="0"/>
  </sheetViews>
  <sheetFormatPr defaultRowHeight="14.4"/>
  <cols>
    <col min="1" max="1" width="1.88671875" customWidth="1"/>
    <col min="2" max="2" width="48" customWidth="1"/>
    <col min="3" max="3" width="13" customWidth="1"/>
    <col min="4" max="4" width="12.5546875" customWidth="1"/>
    <col min="5" max="5" width="12.77734375" customWidth="1"/>
    <col min="6" max="6" width="13.109375" customWidth="1"/>
    <col min="7" max="7" width="11.21875" customWidth="1"/>
    <col min="8" max="8" width="11.88671875" customWidth="1"/>
    <col min="9" max="9" width="13.109375" customWidth="1"/>
    <col min="10" max="11" width="12" customWidth="1"/>
    <col min="12" max="12" width="10.88671875" customWidth="1"/>
    <col min="13" max="13" width="11.21875" customWidth="1"/>
    <col min="14" max="14" width="10.5546875" bestFit="1" customWidth="1"/>
    <col min="16" max="16" width="11.5546875" customWidth="1"/>
    <col min="17" max="18" width="9.5546875" bestFit="1" customWidth="1"/>
    <col min="19" max="20" width="10" bestFit="1" customWidth="1"/>
    <col min="22" max="22" width="10.5546875" customWidth="1"/>
  </cols>
  <sheetData>
    <row r="1" spans="1:13">
      <c r="A1" s="544"/>
    </row>
    <row r="2" spans="1:13" ht="18">
      <c r="A2" s="20" t="s">
        <v>23</v>
      </c>
      <c r="B2" s="14" t="s">
        <v>271</v>
      </c>
    </row>
    <row r="4" spans="1:13">
      <c r="B4" s="20" t="s">
        <v>272</v>
      </c>
    </row>
    <row r="5" spans="1:13">
      <c r="K5" s="108" t="s">
        <v>274</v>
      </c>
      <c r="L5" s="108"/>
      <c r="M5" s="108"/>
    </row>
    <row r="6" spans="1:13">
      <c r="B6" s="108" t="str">
        <f>'Income Stmt'!B5</f>
        <v>Particulars</v>
      </c>
      <c r="C6" s="108">
        <f>'Income Stmt'!C5</f>
        <v>2019</v>
      </c>
      <c r="D6" s="108">
        <f>'Income Stmt'!D5</f>
        <v>2020</v>
      </c>
      <c r="E6" s="108">
        <f>'Income Stmt'!E5</f>
        <v>2021</v>
      </c>
      <c r="F6" s="108">
        <f>'Income Stmt'!F5</f>
        <v>2022</v>
      </c>
      <c r="G6" s="108">
        <f>'Income Stmt'!G5</f>
        <v>2023</v>
      </c>
      <c r="H6" s="108">
        <f>'Income Stmt'!H5</f>
        <v>2024</v>
      </c>
      <c r="I6" s="108">
        <f>'Income Stmt'!I5</f>
        <v>2025</v>
      </c>
      <c r="K6" s="108" t="s">
        <v>67</v>
      </c>
      <c r="L6" s="108" t="s">
        <v>66</v>
      </c>
      <c r="M6" s="108" t="s">
        <v>275</v>
      </c>
    </row>
    <row r="7" spans="1:13">
      <c r="B7" t="str">
        <f>'Income Stmt'!B7</f>
        <v>Revenue from Operations (Net)</v>
      </c>
      <c r="C7" s="113">
        <f>'Income Stmt'!C7</f>
        <v>4979.9760999999999</v>
      </c>
      <c r="D7" s="113">
        <f>'Income Stmt'!D7</f>
        <v>5871.8684999999996</v>
      </c>
      <c r="E7" s="113">
        <f>'Income Stmt'!E7</f>
        <v>6223.8981999999996</v>
      </c>
      <c r="F7" s="113">
        <f>'Income Stmt'!F7</f>
        <v>7781.5551000000005</v>
      </c>
      <c r="G7" s="113">
        <f>'Income Stmt'!G7</f>
        <v>8749.4330000000009</v>
      </c>
      <c r="H7" s="113">
        <f>'Income Stmt'!H7</f>
        <v>10334.774599999999</v>
      </c>
      <c r="I7" s="113">
        <f>'Income Stmt'!I7</f>
        <v>12207</v>
      </c>
      <c r="K7" s="44">
        <f>_xlfn.RRI(3,F7,I7)</f>
        <v>0.16193236576892134</v>
      </c>
      <c r="L7" s="44">
        <f>_xlfn.RRI(5,D7,I7)</f>
        <v>0.1576213415632377</v>
      </c>
      <c r="M7" s="44"/>
    </row>
    <row r="8" spans="1:13">
      <c r="B8" t="s">
        <v>273</v>
      </c>
      <c r="C8" s="102">
        <f>'Income Stmt'!C9</f>
        <v>0.14000091566706341</v>
      </c>
      <c r="D8" s="102">
        <f>'Income Stmt'!D9</f>
        <v>0.17909571895334997</v>
      </c>
      <c r="E8" s="102">
        <f>'Income Stmt'!E9</f>
        <v>5.9951904576882153E-2</v>
      </c>
      <c r="F8" s="102">
        <f>'Income Stmt'!F9</f>
        <v>0.25027030487098911</v>
      </c>
      <c r="G8" s="102">
        <f>'Income Stmt'!G9</f>
        <v>0.12438103792389787</v>
      </c>
      <c r="H8" s="102">
        <f>'Income Stmt'!H9</f>
        <v>0.18119363849063097</v>
      </c>
      <c r="I8" s="102">
        <f>'Income Stmt'!I9</f>
        <v>0.18115783579837341</v>
      </c>
    </row>
    <row r="10" spans="1:13">
      <c r="B10" s="20" t="s">
        <v>276</v>
      </c>
    </row>
    <row r="12" spans="1:13">
      <c r="B12" s="108" t="s">
        <v>277</v>
      </c>
      <c r="D12" s="126" t="s">
        <v>278</v>
      </c>
    </row>
    <row r="14" spans="1:13">
      <c r="B14" s="20" t="s">
        <v>279</v>
      </c>
      <c r="C14" s="125" t="s">
        <v>281</v>
      </c>
    </row>
    <row r="15" spans="1:13">
      <c r="B15" s="20" t="s">
        <v>280</v>
      </c>
      <c r="C15" s="125">
        <v>5.3100000000000001E-2</v>
      </c>
    </row>
    <row r="16" spans="1:13">
      <c r="C16" s="124"/>
    </row>
    <row r="19" spans="2:9">
      <c r="F19" s="20"/>
      <c r="G19" s="20"/>
    </row>
    <row r="30" spans="2:9">
      <c r="B30" s="108" t="s">
        <v>313</v>
      </c>
      <c r="D30" s="126" t="s">
        <v>314</v>
      </c>
    </row>
    <row r="31" spans="2:9">
      <c r="B31" s="185" t="s">
        <v>312</v>
      </c>
      <c r="I31" s="130">
        <v>9.5000000000000001E-2</v>
      </c>
    </row>
    <row r="34" spans="2:13">
      <c r="B34" s="108" t="s">
        <v>310</v>
      </c>
    </row>
    <row r="35" spans="2:13">
      <c r="B35" t="s">
        <v>311</v>
      </c>
      <c r="M35" s="131">
        <v>0.11</v>
      </c>
    </row>
    <row r="52" spans="2:10" ht="15.6">
      <c r="J52" s="483" t="s">
        <v>1230</v>
      </c>
    </row>
    <row r="55" spans="2:10">
      <c r="B55" s="108" t="s">
        <v>282</v>
      </c>
      <c r="D55" s="126" t="s">
        <v>288</v>
      </c>
    </row>
    <row r="57" spans="2:10">
      <c r="B57" t="s">
        <v>283</v>
      </c>
    </row>
    <row r="58" spans="2:10">
      <c r="B58" t="s">
        <v>284</v>
      </c>
    </row>
    <row r="61" spans="2:10">
      <c r="B61" s="108" t="s">
        <v>286</v>
      </c>
      <c r="D61" s="126" t="s">
        <v>287</v>
      </c>
    </row>
    <row r="62" spans="2:10">
      <c r="B62" s="127" t="s">
        <v>285</v>
      </c>
    </row>
    <row r="65" spans="2:16">
      <c r="B65" s="108" t="s">
        <v>290</v>
      </c>
      <c r="D65" s="126" t="s">
        <v>291</v>
      </c>
      <c r="P65" s="132">
        <v>6.8000000000000005E-2</v>
      </c>
    </row>
    <row r="66" spans="2:16" ht="72" customHeight="1">
      <c r="B66" s="128" t="s">
        <v>289</v>
      </c>
    </row>
    <row r="68" spans="2:16">
      <c r="B68" s="186" t="s">
        <v>292</v>
      </c>
    </row>
    <row r="70" spans="2:16" ht="82.8">
      <c r="B70" s="187" t="s">
        <v>457</v>
      </c>
    </row>
    <row r="71" spans="2:16">
      <c r="B71" s="187"/>
    </row>
    <row r="72" spans="2:16" ht="55.2">
      <c r="B72" s="187" t="s">
        <v>293</v>
      </c>
    </row>
    <row r="73" spans="2:16">
      <c r="B73" s="187"/>
    </row>
    <row r="74" spans="2:16" ht="124.2">
      <c r="B74" s="187" t="s">
        <v>458</v>
      </c>
    </row>
    <row r="76" spans="2:16">
      <c r="B76" s="108" t="s">
        <v>295</v>
      </c>
      <c r="D76" s="126" t="s">
        <v>296</v>
      </c>
    </row>
    <row r="77" spans="2:16">
      <c r="B77" t="s">
        <v>294</v>
      </c>
    </row>
    <row r="79" spans="2:16">
      <c r="B79" s="108" t="s">
        <v>303</v>
      </c>
      <c r="D79" s="126" t="s">
        <v>302</v>
      </c>
      <c r="J79" s="130">
        <v>9.4299999999999995E-2</v>
      </c>
    </row>
    <row r="80" spans="2:16">
      <c r="B80" t="s">
        <v>297</v>
      </c>
    </row>
    <row r="81" spans="2:4">
      <c r="B81" s="127" t="s">
        <v>298</v>
      </c>
    </row>
    <row r="82" spans="2:4">
      <c r="B82" s="127" t="s">
        <v>299</v>
      </c>
    </row>
    <row r="83" spans="2:4">
      <c r="B83" s="127" t="s">
        <v>301</v>
      </c>
    </row>
    <row r="84" spans="2:4">
      <c r="B84" s="127" t="s">
        <v>300</v>
      </c>
    </row>
    <row r="85" spans="2:4">
      <c r="B85" s="127"/>
      <c r="D85" s="126" t="s">
        <v>308</v>
      </c>
    </row>
    <row r="86" spans="2:4">
      <c r="B86" s="127" t="s">
        <v>304</v>
      </c>
    </row>
    <row r="87" spans="2:4">
      <c r="B87" s="127" t="s">
        <v>305</v>
      </c>
    </row>
    <row r="88" spans="2:4">
      <c r="B88" s="127" t="s">
        <v>306</v>
      </c>
    </row>
    <row r="89" spans="2:4">
      <c r="B89" s="127" t="s">
        <v>307</v>
      </c>
    </row>
    <row r="107" spans="2:2">
      <c r="B107" s="108" t="s">
        <v>309</v>
      </c>
    </row>
    <row r="109" spans="2:2" ht="15.6">
      <c r="B109" s="129" t="s">
        <v>315</v>
      </c>
    </row>
    <row r="111" spans="2:2">
      <c r="B111" t="s">
        <v>316</v>
      </c>
    </row>
    <row r="112" spans="2:2">
      <c r="B112" t="s">
        <v>317</v>
      </c>
    </row>
    <row r="121" spans="2:2" ht="15.6">
      <c r="B121" s="129" t="s">
        <v>318</v>
      </c>
    </row>
    <row r="138" spans="2:2" ht="15.6">
      <c r="B138" s="129" t="s">
        <v>319</v>
      </c>
    </row>
    <row r="155" spans="2:14">
      <c r="B155" s="108" t="s">
        <v>320</v>
      </c>
    </row>
    <row r="156" spans="2:14">
      <c r="K156" s="136"/>
      <c r="L156" s="136"/>
      <c r="M156" s="136"/>
      <c r="N156" s="136"/>
    </row>
    <row r="157" spans="2:14">
      <c r="K157" s="136"/>
      <c r="L157" s="139"/>
      <c r="M157" s="139"/>
      <c r="N157" s="139"/>
    </row>
    <row r="158" spans="2:14">
      <c r="K158" s="136"/>
      <c r="L158" s="139"/>
      <c r="M158" s="151"/>
      <c r="N158" s="151"/>
    </row>
    <row r="170" spans="1:12" ht="18">
      <c r="A170" t="s">
        <v>23</v>
      </c>
      <c r="B170" s="14" t="s">
        <v>106</v>
      </c>
    </row>
    <row r="172" spans="1:12">
      <c r="B172" s="20" t="s">
        <v>359</v>
      </c>
    </row>
    <row r="174" spans="1:12">
      <c r="B174" s="108" t="str">
        <f>'Income Stmt'!B5</f>
        <v>Particulars</v>
      </c>
      <c r="C174" s="108">
        <f>'Income Stmt'!C5</f>
        <v>2019</v>
      </c>
      <c r="D174" s="108">
        <f>'Income Stmt'!D5</f>
        <v>2020</v>
      </c>
      <c r="E174" s="108">
        <f>'Income Stmt'!E5</f>
        <v>2021</v>
      </c>
      <c r="F174" s="108">
        <f>'Income Stmt'!F5</f>
        <v>2022</v>
      </c>
      <c r="G174" s="108">
        <f>'Income Stmt'!G5</f>
        <v>2023</v>
      </c>
      <c r="H174" s="108">
        <f>'Income Stmt'!H5</f>
        <v>2024</v>
      </c>
      <c r="I174" s="108">
        <f>'Income Stmt'!I5</f>
        <v>2025</v>
      </c>
      <c r="K174" s="108" t="s">
        <v>357</v>
      </c>
      <c r="L174" s="108" t="s">
        <v>358</v>
      </c>
    </row>
    <row r="175" spans="1:12">
      <c r="B175" t="s">
        <v>352</v>
      </c>
      <c r="C175" s="159">
        <f>'Income Stmt'!C21</f>
        <v>0.65434820058674581</v>
      </c>
      <c r="D175" s="159">
        <f>'Income Stmt'!D21</f>
        <v>0.68015784072821117</v>
      </c>
      <c r="E175" s="159">
        <f>'Income Stmt'!E21</f>
        <v>0.71390772426194249</v>
      </c>
      <c r="F175" s="159">
        <f>'Income Stmt'!F21</f>
        <v>0.68878606282695354</v>
      </c>
      <c r="G175" s="159">
        <f>'Income Stmt'!G21</f>
        <v>0.66699076385864098</v>
      </c>
      <c r="H175" s="159">
        <f>'Income Stmt'!H21</f>
        <v>0.6894275855808214</v>
      </c>
      <c r="I175" s="159">
        <f>'Income Stmt'!I21</f>
        <v>0.68419431473744574</v>
      </c>
      <c r="K175" s="44">
        <f>MEDIAN(C175:I175)</f>
        <v>0.68419431473744574</v>
      </c>
      <c r="L175" s="44">
        <f>AVERAGE(C175:I175)</f>
        <v>0.68254464179725172</v>
      </c>
    </row>
    <row r="176" spans="1:12">
      <c r="C176" s="102"/>
      <c r="D176" s="102"/>
      <c r="E176" s="102"/>
      <c r="F176" s="102"/>
      <c r="G176" s="102"/>
      <c r="H176" s="102"/>
      <c r="I176" s="102"/>
    </row>
    <row r="178" spans="2:3">
      <c r="B178" s="20" t="s">
        <v>361</v>
      </c>
    </row>
    <row r="179" spans="2:3">
      <c r="B179" s="20"/>
    </row>
    <row r="180" spans="2:3">
      <c r="B180" s="108" t="s">
        <v>362</v>
      </c>
    </row>
    <row r="181" spans="2:3">
      <c r="B181" s="188" t="s">
        <v>360</v>
      </c>
      <c r="C181" s="189">
        <v>0.54876277186255118</v>
      </c>
    </row>
    <row r="183" spans="2:3">
      <c r="B183" s="108" t="s">
        <v>363</v>
      </c>
    </row>
    <row r="184" spans="2:3">
      <c r="B184" s="188" t="s">
        <v>360</v>
      </c>
      <c r="C184" s="189">
        <v>0.46989999999999998</v>
      </c>
    </row>
    <row r="186" spans="2:3">
      <c r="B186" s="108" t="s">
        <v>364</v>
      </c>
    </row>
    <row r="187" spans="2:3">
      <c r="B187" s="188" t="s">
        <v>360</v>
      </c>
      <c r="C187" s="189">
        <v>0.54689999999999994</v>
      </c>
    </row>
    <row r="190" spans="2:3">
      <c r="B190" s="20" t="s">
        <v>370</v>
      </c>
    </row>
    <row r="191" spans="2:3">
      <c r="C191" t="s">
        <v>1236</v>
      </c>
    </row>
    <row r="192" spans="2:3">
      <c r="B192" t="s">
        <v>365</v>
      </c>
    </row>
    <row r="194" spans="2:2">
      <c r="B194" t="s">
        <v>366</v>
      </c>
    </row>
    <row r="196" spans="2:2">
      <c r="B196" t="s">
        <v>367</v>
      </c>
    </row>
    <row r="199" spans="2:2">
      <c r="B199" s="18" t="s">
        <v>368</v>
      </c>
    </row>
    <row r="209" spans="2:10">
      <c r="J209" t="s">
        <v>31</v>
      </c>
    </row>
    <row r="210" spans="2:10">
      <c r="B210" s="18" t="s">
        <v>369</v>
      </c>
    </row>
    <row r="253" spans="2:6">
      <c r="B253" s="126" t="s">
        <v>371</v>
      </c>
      <c r="F253" s="126" t="s">
        <v>377</v>
      </c>
    </row>
    <row r="268" spans="2:2">
      <c r="B268" s="126" t="s">
        <v>372</v>
      </c>
    </row>
    <row r="269" spans="2:2">
      <c r="B269" s="126" t="s">
        <v>373</v>
      </c>
    </row>
    <row r="271" spans="2:2">
      <c r="B271" s="18" t="s">
        <v>374</v>
      </c>
    </row>
    <row r="273" spans="2:17">
      <c r="B273" s="20" t="s">
        <v>378</v>
      </c>
      <c r="C273" s="136" t="s">
        <v>375</v>
      </c>
      <c r="D273" s="136" t="s">
        <v>376</v>
      </c>
    </row>
    <row r="274" spans="2:17">
      <c r="B274" t="s">
        <v>0</v>
      </c>
      <c r="C274" s="190">
        <v>14850</v>
      </c>
      <c r="D274" s="190">
        <v>16793</v>
      </c>
    </row>
    <row r="275" spans="2:17">
      <c r="B275" t="s">
        <v>380</v>
      </c>
      <c r="C275">
        <v>4232</v>
      </c>
      <c r="D275">
        <v>4752</v>
      </c>
    </row>
    <row r="276" spans="2:17">
      <c r="B276" t="s">
        <v>106</v>
      </c>
      <c r="C276" s="76">
        <v>0.71499999999999997</v>
      </c>
      <c r="D276" s="76">
        <v>0.71700000000000008</v>
      </c>
      <c r="F276" s="124"/>
    </row>
    <row r="278" spans="2:17">
      <c r="B278" s="20" t="s">
        <v>379</v>
      </c>
      <c r="C278" s="136" t="s">
        <v>375</v>
      </c>
      <c r="D278" s="136" t="s">
        <v>376</v>
      </c>
    </row>
    <row r="279" spans="2:17">
      <c r="B279" t="s">
        <v>0</v>
      </c>
      <c r="C279" s="190">
        <v>15351</v>
      </c>
      <c r="D279" s="190">
        <v>17255</v>
      </c>
      <c r="J279" s="134"/>
      <c r="K279" s="134"/>
    </row>
    <row r="280" spans="2:17">
      <c r="B280" t="s">
        <v>380</v>
      </c>
      <c r="C280">
        <v>4529</v>
      </c>
      <c r="D280">
        <v>5090</v>
      </c>
      <c r="F280" s="76"/>
      <c r="G280" s="76"/>
      <c r="H280" s="76"/>
      <c r="I280" s="76"/>
    </row>
    <row r="281" spans="2:17">
      <c r="B281" t="s">
        <v>106</v>
      </c>
      <c r="C281" s="76">
        <v>0.70499999999999996</v>
      </c>
      <c r="D281" s="76">
        <v>0.70499999999999996</v>
      </c>
      <c r="G281" s="103"/>
      <c r="H281" s="103"/>
      <c r="J281" s="104"/>
    </row>
    <row r="282" spans="2:17">
      <c r="K282" s="76"/>
      <c r="L282" s="76"/>
      <c r="M282" s="76"/>
      <c r="N282" s="76"/>
      <c r="O282" s="76"/>
      <c r="P282" s="76"/>
      <c r="Q282" s="76"/>
    </row>
    <row r="283" spans="2:17">
      <c r="B283" s="20" t="s">
        <v>381</v>
      </c>
      <c r="C283" s="136" t="s">
        <v>375</v>
      </c>
      <c r="D283" s="136" t="s">
        <v>376</v>
      </c>
    </row>
    <row r="284" spans="2:17">
      <c r="B284" t="s">
        <v>0</v>
      </c>
      <c r="C284" s="190">
        <v>14991</v>
      </c>
      <c r="D284" s="190">
        <v>17069</v>
      </c>
    </row>
    <row r="285" spans="2:17">
      <c r="B285" t="s">
        <v>380</v>
      </c>
      <c r="C285">
        <v>4363</v>
      </c>
      <c r="D285">
        <v>5017.9999999999991</v>
      </c>
    </row>
    <row r="286" spans="2:17">
      <c r="B286" t="s">
        <v>106</v>
      </c>
      <c r="C286" s="76">
        <v>0.70895870855846843</v>
      </c>
      <c r="D286" s="76">
        <v>0.70601675552170606</v>
      </c>
    </row>
    <row r="288" spans="2:17">
      <c r="B288" s="20" t="s">
        <v>382</v>
      </c>
      <c r="C288" s="160">
        <f>MEDIAN(C286,C281,C276)</f>
        <v>0.70895870855846843</v>
      </c>
      <c r="D288" s="160">
        <f t="shared" ref="D288" si="0">MEDIAN(D286,D281,D276)</f>
        <v>0.70601675552170606</v>
      </c>
    </row>
    <row r="306" spans="1:13" ht="18">
      <c r="A306" t="s">
        <v>386</v>
      </c>
      <c r="B306" s="14" t="s">
        <v>387</v>
      </c>
    </row>
    <row r="307" spans="1:13">
      <c r="K307" s="108" t="s">
        <v>274</v>
      </c>
      <c r="L307" s="108"/>
      <c r="M307" s="108"/>
    </row>
    <row r="308" spans="1:13">
      <c r="B308" s="108" t="s">
        <v>161</v>
      </c>
      <c r="C308" s="108">
        <v>2019</v>
      </c>
      <c r="D308" s="108">
        <v>2020</v>
      </c>
      <c r="E308" s="108">
        <v>2021</v>
      </c>
      <c r="F308" s="108">
        <v>2022</v>
      </c>
      <c r="G308" s="108">
        <v>2023</v>
      </c>
      <c r="H308" s="108">
        <v>2024</v>
      </c>
      <c r="I308" s="108">
        <v>2025</v>
      </c>
      <c r="K308" s="108" t="s">
        <v>67</v>
      </c>
      <c r="L308" s="108" t="s">
        <v>66</v>
      </c>
      <c r="M308" s="108" t="s">
        <v>275</v>
      </c>
    </row>
    <row r="309" spans="1:13">
      <c r="B309" s="109" t="s">
        <v>162</v>
      </c>
      <c r="C309" s="113">
        <v>4979.9760999999999</v>
      </c>
      <c r="D309" s="113">
        <v>5871.8684999999996</v>
      </c>
      <c r="E309" s="113">
        <v>6223.8981999999996</v>
      </c>
      <c r="F309" s="113">
        <v>7781.5551000000005</v>
      </c>
      <c r="G309" s="113">
        <v>8749.4330000000009</v>
      </c>
      <c r="H309" s="113">
        <v>10334.774599999999</v>
      </c>
      <c r="I309" s="113">
        <v>12207</v>
      </c>
      <c r="K309" s="164">
        <f>_xlfn.RRI(3,F309,I309)</f>
        <v>0.16193236576892134</v>
      </c>
      <c r="L309" s="164">
        <f>_xlfn.RRI(5,D309,I309)</f>
        <v>0.1576213415632377</v>
      </c>
      <c r="M309" s="44"/>
    </row>
    <row r="310" spans="1:13">
      <c r="B310" s="111" t="s">
        <v>389</v>
      </c>
      <c r="C310" s="159">
        <f>C8</f>
        <v>0.14000091566706341</v>
      </c>
      <c r="D310" s="159">
        <f t="shared" ref="D310:I310" si="1">D8</f>
        <v>0.17909571895334997</v>
      </c>
      <c r="E310" s="159">
        <f t="shared" si="1"/>
        <v>5.9951904576882153E-2</v>
      </c>
      <c r="F310" s="159">
        <f t="shared" si="1"/>
        <v>0.25027030487098911</v>
      </c>
      <c r="G310" s="159">
        <f t="shared" si="1"/>
        <v>0.12438103792389787</v>
      </c>
      <c r="H310" s="159">
        <f t="shared" si="1"/>
        <v>0.18119363849063097</v>
      </c>
      <c r="I310" s="159">
        <f t="shared" si="1"/>
        <v>0.18115783579837341</v>
      </c>
    </row>
    <row r="312" spans="1:13">
      <c r="B312" t="s">
        <v>388</v>
      </c>
      <c r="C312" s="113">
        <f>'Income Stmt'!C33*-1</f>
        <v>2334.1770999999999</v>
      </c>
      <c r="D312" s="113">
        <f>'Income Stmt'!D33*-1</f>
        <v>2459.7718000000004</v>
      </c>
      <c r="E312" s="113">
        <f>'Income Stmt'!E33*-1</f>
        <v>2785.7192999999997</v>
      </c>
      <c r="F312" s="113">
        <f>'Income Stmt'!F33*-1</f>
        <v>3370.4737999999998</v>
      </c>
      <c r="G312" s="113">
        <f>'Income Stmt'!G33*-1</f>
        <v>3935.1543999999999</v>
      </c>
      <c r="H312" s="113">
        <f>'Income Stmt'!H33*-1</f>
        <v>4590.0066000000006</v>
      </c>
      <c r="I312" s="113">
        <f>'Income Stmt'!I33*-1</f>
        <v>5700.4699999999993</v>
      </c>
      <c r="K312" s="164">
        <f>_xlfn.RRI(3,F312,I312)</f>
        <v>0.19144290745129267</v>
      </c>
      <c r="L312" s="164">
        <f>_xlfn.RRI(5,D312,I312)</f>
        <v>0.18305018893733771</v>
      </c>
      <c r="M312" s="44"/>
    </row>
    <row r="313" spans="1:13">
      <c r="B313" s="111" t="s">
        <v>389</v>
      </c>
      <c r="D313" s="76">
        <f>D312/C312-1</f>
        <v>5.3806842677019073E-2</v>
      </c>
      <c r="E313" s="76">
        <f t="shared" ref="E313:I313" si="2">E312/D312-1</f>
        <v>0.13251127604601343</v>
      </c>
      <c r="F313" s="76">
        <f t="shared" si="2"/>
        <v>0.20991149395418263</v>
      </c>
      <c r="G313" s="76">
        <f t="shared" si="2"/>
        <v>0.16753745422972877</v>
      </c>
      <c r="H313" s="76">
        <f t="shared" si="2"/>
        <v>0.16641080207678782</v>
      </c>
      <c r="I313" s="76">
        <f t="shared" si="2"/>
        <v>0.24193067609096652</v>
      </c>
    </row>
    <row r="315" spans="1:13">
      <c r="B315" s="20" t="s">
        <v>390</v>
      </c>
    </row>
    <row r="317" spans="1:13">
      <c r="B317" s="108" t="s">
        <v>403</v>
      </c>
      <c r="C317" s="108">
        <v>2019</v>
      </c>
      <c r="D317" s="108">
        <v>2020</v>
      </c>
      <c r="E317" s="108">
        <v>2021</v>
      </c>
      <c r="F317" s="108">
        <v>2022</v>
      </c>
      <c r="G317" s="108">
        <v>2023</v>
      </c>
      <c r="H317" s="108">
        <v>2024</v>
      </c>
      <c r="I317" s="108">
        <v>2025</v>
      </c>
    </row>
    <row r="318" spans="1:13">
      <c r="B318" t="s">
        <v>41</v>
      </c>
      <c r="C318" s="110">
        <v>4979.9760999999999</v>
      </c>
      <c r="D318" s="110">
        <v>5871.8684999999996</v>
      </c>
      <c r="E318" s="110">
        <v>6223.8981999999996</v>
      </c>
      <c r="F318" s="110">
        <v>7781.5551000000005</v>
      </c>
      <c r="G318" s="110">
        <v>8749.4330000000009</v>
      </c>
      <c r="H318" s="110">
        <v>10334.774599999999</v>
      </c>
      <c r="I318" s="110">
        <v>12207</v>
      </c>
    </row>
    <row r="320" spans="1:13" s="20" customFormat="1">
      <c r="B320" s="20" t="s">
        <v>391</v>
      </c>
      <c r="C320" s="110">
        <v>1094.7700000000002</v>
      </c>
      <c r="D320" s="110">
        <v>1335.5099999999998</v>
      </c>
      <c r="E320" s="110">
        <v>1415.76</v>
      </c>
      <c r="F320" s="110">
        <v>1620.5800000000002</v>
      </c>
      <c r="G320" s="110">
        <v>1918.45</v>
      </c>
      <c r="H320" s="110">
        <v>2274.6999999999994</v>
      </c>
      <c r="I320" s="110">
        <v>2692</v>
      </c>
    </row>
    <row r="321" spans="2:12">
      <c r="B321" s="72" t="s">
        <v>392</v>
      </c>
      <c r="C321" s="113">
        <v>36.200000000000003</v>
      </c>
      <c r="D321" s="113">
        <v>45.29</v>
      </c>
      <c r="E321" s="113">
        <v>44.37</v>
      </c>
      <c r="F321" s="113">
        <v>48.27</v>
      </c>
      <c r="G321" s="113">
        <v>48.685100000000006</v>
      </c>
      <c r="H321" s="113">
        <v>58.854199999999999</v>
      </c>
      <c r="I321" s="113">
        <v>76</v>
      </c>
    </row>
    <row r="322" spans="2:12">
      <c r="B322" s="72" t="s">
        <v>393</v>
      </c>
      <c r="C322" s="113">
        <v>64.150000000000006</v>
      </c>
      <c r="D322" s="113">
        <v>79.959999999999994</v>
      </c>
      <c r="E322" s="113">
        <v>82.52</v>
      </c>
      <c r="F322" s="113">
        <v>103.13</v>
      </c>
      <c r="G322" s="113">
        <v>108.9603</v>
      </c>
      <c r="H322" s="113">
        <v>129.3022</v>
      </c>
      <c r="I322" s="113">
        <v>149</v>
      </c>
    </row>
    <row r="323" spans="2:12">
      <c r="B323" s="72" t="s">
        <v>4</v>
      </c>
      <c r="C323" s="113">
        <v>18.760000000000002</v>
      </c>
      <c r="D323" s="113">
        <v>17.350000000000001</v>
      </c>
      <c r="E323" s="113">
        <v>17.93</v>
      </c>
      <c r="F323" s="113">
        <v>21.25</v>
      </c>
      <c r="G323" s="113">
        <v>20.426099999999998</v>
      </c>
      <c r="H323" s="113">
        <v>23.212399999999999</v>
      </c>
      <c r="I323" s="113">
        <v>25</v>
      </c>
    </row>
    <row r="324" spans="2:12">
      <c r="B324" s="72" t="s">
        <v>394</v>
      </c>
      <c r="C324" s="113">
        <v>30.259999999999998</v>
      </c>
      <c r="D324" s="113">
        <v>43.79</v>
      </c>
      <c r="E324" s="113">
        <v>48.8</v>
      </c>
      <c r="F324" s="113">
        <v>66.150000000000006</v>
      </c>
      <c r="G324" s="113">
        <v>89.498999999999995</v>
      </c>
      <c r="H324" s="113">
        <v>111.02679999999999</v>
      </c>
      <c r="I324" s="113">
        <v>169</v>
      </c>
    </row>
    <row r="325" spans="2:12">
      <c r="B325" s="72" t="s">
        <v>395</v>
      </c>
      <c r="C325" s="113">
        <v>7.12</v>
      </c>
      <c r="D325" s="113">
        <v>8.3699999999999992</v>
      </c>
      <c r="E325" s="113">
        <v>10.39</v>
      </c>
      <c r="F325" s="113">
        <v>13.84</v>
      </c>
      <c r="G325" s="113">
        <v>15.438599999999999</v>
      </c>
      <c r="H325" s="113">
        <v>18.8293</v>
      </c>
      <c r="I325" s="113">
        <v>26</v>
      </c>
    </row>
    <row r="326" spans="2:12">
      <c r="B326" s="72" t="s">
        <v>396</v>
      </c>
      <c r="C326" s="113">
        <v>41.38</v>
      </c>
      <c r="D326" s="113">
        <v>43.57</v>
      </c>
      <c r="E326" s="113">
        <v>40.630000000000003</v>
      </c>
      <c r="F326" s="113">
        <v>62.68</v>
      </c>
      <c r="G326" s="113">
        <v>111.5318</v>
      </c>
      <c r="H326" s="113">
        <v>67.483500000000006</v>
      </c>
      <c r="I326" s="113">
        <v>107</v>
      </c>
    </row>
    <row r="327" spans="2:12">
      <c r="B327" s="72" t="s">
        <v>397</v>
      </c>
      <c r="C327" s="113">
        <v>13.15</v>
      </c>
      <c r="D327" s="113">
        <v>11.2</v>
      </c>
      <c r="E327" s="113">
        <v>13.7</v>
      </c>
      <c r="F327" s="113">
        <v>20.84</v>
      </c>
      <c r="G327" s="113">
        <v>24.081799999999998</v>
      </c>
      <c r="H327" s="113">
        <v>30.280900000000003</v>
      </c>
      <c r="I327" s="113">
        <v>38</v>
      </c>
    </row>
    <row r="328" spans="2:12" s="20" customFormat="1">
      <c r="B328" s="109" t="s">
        <v>398</v>
      </c>
      <c r="C328" s="110">
        <v>297.26</v>
      </c>
      <c r="D328" s="110">
        <v>269.52</v>
      </c>
      <c r="E328" s="110">
        <v>270.39999999999998</v>
      </c>
      <c r="F328" s="110">
        <v>358.11</v>
      </c>
      <c r="G328" s="110">
        <v>496.04690000000005</v>
      </c>
      <c r="H328" s="110">
        <v>378.40019999999998</v>
      </c>
      <c r="I328" s="110">
        <v>461</v>
      </c>
    </row>
    <row r="329" spans="2:12">
      <c r="B329" s="72" t="s">
        <v>399</v>
      </c>
      <c r="C329" s="113">
        <v>5.13</v>
      </c>
      <c r="D329" s="113">
        <v>4.34</v>
      </c>
      <c r="E329" s="113">
        <v>5.25</v>
      </c>
      <c r="F329" s="113">
        <v>7.01</v>
      </c>
      <c r="G329" s="113">
        <v>10.423299999999999</v>
      </c>
      <c r="H329" s="113">
        <v>9.7393000000000001</v>
      </c>
      <c r="I329" s="113">
        <v>11</v>
      </c>
    </row>
    <row r="330" spans="2:12" s="20" customFormat="1">
      <c r="B330" s="109" t="s">
        <v>402</v>
      </c>
      <c r="C330" s="110">
        <v>326.45</v>
      </c>
      <c r="D330" s="110">
        <v>297.96999999999997</v>
      </c>
      <c r="E330" s="110">
        <v>369.96</v>
      </c>
      <c r="F330" s="110">
        <v>510.97</v>
      </c>
      <c r="G330" s="110">
        <v>619.18450000000007</v>
      </c>
      <c r="H330" s="110">
        <v>803.90940000000023</v>
      </c>
      <c r="I330" s="110">
        <v>1073</v>
      </c>
    </row>
    <row r="331" spans="2:12" s="20" customFormat="1">
      <c r="B331" s="109" t="s">
        <v>400</v>
      </c>
      <c r="C331" s="110">
        <v>357.36</v>
      </c>
      <c r="D331" s="110">
        <v>255.32</v>
      </c>
      <c r="E331" s="110">
        <v>385.74</v>
      </c>
      <c r="F331" s="110">
        <v>451.56</v>
      </c>
      <c r="G331" s="110">
        <v>373.66559999999998</v>
      </c>
      <c r="H331" s="110">
        <v>603.8922</v>
      </c>
      <c r="I331" s="110">
        <v>755</v>
      </c>
    </row>
    <row r="332" spans="2:12">
      <c r="B332" s="72" t="s">
        <v>401</v>
      </c>
      <c r="C332" s="113">
        <v>36.590000000000003</v>
      </c>
      <c r="D332" s="113">
        <v>40.64</v>
      </c>
      <c r="E332" s="113">
        <v>50.58</v>
      </c>
      <c r="F332" s="113">
        <v>69.209999999999994</v>
      </c>
      <c r="G332" s="113">
        <v>87.115400000000008</v>
      </c>
      <c r="H332" s="113">
        <v>69.389200000000002</v>
      </c>
      <c r="I332" s="113">
        <v>96</v>
      </c>
    </row>
    <row r="333" spans="2:12" ht="15" thickBot="1">
      <c r="B333" s="100" t="s">
        <v>173</v>
      </c>
      <c r="C333" s="114">
        <v>2328.5800000000008</v>
      </c>
      <c r="D333" s="114">
        <v>2452.8299999999995</v>
      </c>
      <c r="E333" s="114">
        <v>2756.0299999999997</v>
      </c>
      <c r="F333" s="114">
        <v>3353.6</v>
      </c>
      <c r="G333" s="114">
        <v>3923.5083999999997</v>
      </c>
      <c r="H333" s="114">
        <v>4579.0195999999996</v>
      </c>
      <c r="I333" s="114">
        <v>5678</v>
      </c>
      <c r="K333" s="24">
        <f>MEDIAN(C333:I333)</f>
        <v>3353.6</v>
      </c>
      <c r="L333" s="24">
        <f>AVERAGE(C333:I333)</f>
        <v>3581.6525714285713</v>
      </c>
    </row>
    <row r="334" spans="2:12">
      <c r="C334" s="113"/>
      <c r="D334" s="113"/>
      <c r="E334" s="113"/>
      <c r="F334" s="113"/>
      <c r="G334" s="113"/>
      <c r="H334" s="113"/>
      <c r="I334" s="113"/>
    </row>
    <row r="335" spans="2:12">
      <c r="B335" s="108" t="s">
        <v>403</v>
      </c>
      <c r="C335" s="108">
        <v>2019</v>
      </c>
      <c r="D335" s="108">
        <v>2020</v>
      </c>
      <c r="E335" s="108">
        <v>2021</v>
      </c>
      <c r="F335" s="108">
        <v>2022</v>
      </c>
      <c r="G335" s="108">
        <v>2023</v>
      </c>
      <c r="H335" s="108">
        <v>2024</v>
      </c>
      <c r="I335" s="108">
        <v>2025</v>
      </c>
      <c r="K335" s="108" t="s">
        <v>357</v>
      </c>
      <c r="L335" s="108" t="s">
        <v>358</v>
      </c>
    </row>
    <row r="336" spans="2:12">
      <c r="B336" s="18" t="s">
        <v>391</v>
      </c>
      <c r="C336" s="166">
        <f>C320/C$333</f>
        <v>0.47014489517216496</v>
      </c>
      <c r="D336" s="166">
        <f t="shared" ref="D336:I336" si="3">D320/D$333</f>
        <v>0.5444771957290151</v>
      </c>
      <c r="E336" s="166">
        <f t="shared" si="3"/>
        <v>0.51369542421526626</v>
      </c>
      <c r="F336" s="166">
        <f t="shared" si="3"/>
        <v>0.48323592557251915</v>
      </c>
      <c r="G336" s="166">
        <f t="shared" si="3"/>
        <v>0.48896288841894675</v>
      </c>
      <c r="H336" s="166">
        <f t="shared" si="3"/>
        <v>0.49676572688179793</v>
      </c>
      <c r="I336" s="166">
        <f t="shared" si="3"/>
        <v>0.47411060232476226</v>
      </c>
      <c r="K336" s="191">
        <f>MEDIAN(C336:I336)</f>
        <v>0.48896288841894675</v>
      </c>
      <c r="L336" s="191">
        <f>AVERAGE(C336:I336)</f>
        <v>0.49591323690206746</v>
      </c>
    </row>
    <row r="337" spans="2:12">
      <c r="B337" s="72" t="s">
        <v>392</v>
      </c>
      <c r="C337" s="159">
        <f t="shared" ref="C337:I337" si="4">C321/C$333</f>
        <v>1.5545955045564245E-2</v>
      </c>
      <c r="D337" s="159">
        <f t="shared" si="4"/>
        <v>1.8464386035722008E-2</v>
      </c>
      <c r="E337" s="159">
        <f t="shared" si="4"/>
        <v>1.6099244202711874E-2</v>
      </c>
      <c r="F337" s="159">
        <f t="shared" si="4"/>
        <v>1.4393487595419849E-2</v>
      </c>
      <c r="G337" s="159">
        <f t="shared" si="4"/>
        <v>1.2408562703727106E-2</v>
      </c>
      <c r="H337" s="159">
        <f t="shared" si="4"/>
        <v>1.285301333936199E-2</v>
      </c>
      <c r="I337" s="159">
        <f t="shared" si="4"/>
        <v>1.3384994716449454E-2</v>
      </c>
      <c r="K337" s="104">
        <f t="shared" ref="K337:K348" si="5">MEDIAN(C337:I337)</f>
        <v>1.4393487595419849E-2</v>
      </c>
      <c r="L337" s="104">
        <f t="shared" ref="L337:L348" si="6">AVERAGE(C337:I337)</f>
        <v>1.473566337699379E-2</v>
      </c>
    </row>
    <row r="338" spans="2:12">
      <c r="B338" s="72" t="s">
        <v>393</v>
      </c>
      <c r="C338" s="159">
        <f t="shared" ref="C338:I338" si="7">C322/C$333</f>
        <v>2.754897834731896E-2</v>
      </c>
      <c r="D338" s="159">
        <f t="shared" si="7"/>
        <v>3.2599079430698424E-2</v>
      </c>
      <c r="E338" s="159">
        <f t="shared" si="7"/>
        <v>2.9941618922870943E-2</v>
      </c>
      <c r="F338" s="159">
        <f t="shared" si="7"/>
        <v>3.0752027671755725E-2</v>
      </c>
      <c r="G338" s="159">
        <f t="shared" si="7"/>
        <v>2.7771139727902714E-2</v>
      </c>
      <c r="H338" s="159">
        <f t="shared" si="7"/>
        <v>2.8237966048452818E-2</v>
      </c>
      <c r="I338" s="159">
        <f t="shared" si="7"/>
        <v>2.6241634378302219E-2</v>
      </c>
      <c r="K338" s="104">
        <f t="shared" si="5"/>
        <v>2.8237966048452818E-2</v>
      </c>
      <c r="L338" s="104">
        <f t="shared" si="6"/>
        <v>2.9013206361043115E-2</v>
      </c>
    </row>
    <row r="339" spans="2:12">
      <c r="B339" s="72" t="s">
        <v>4</v>
      </c>
      <c r="C339" s="159">
        <f t="shared" ref="C339:I339" si="8">C323/C$333</f>
        <v>8.0564120622868846E-3</v>
      </c>
      <c r="D339" s="159">
        <f t="shared" si="8"/>
        <v>7.0734620825740084E-3</v>
      </c>
      <c r="E339" s="159">
        <f t="shared" si="8"/>
        <v>6.5057346980983517E-3</v>
      </c>
      <c r="F339" s="159">
        <f t="shared" si="8"/>
        <v>6.3364742366412213E-3</v>
      </c>
      <c r="G339" s="159">
        <f t="shared" si="8"/>
        <v>5.2060803540015356E-3</v>
      </c>
      <c r="H339" s="159">
        <f t="shared" si="8"/>
        <v>5.0692947459757545E-3</v>
      </c>
      <c r="I339" s="159">
        <f t="shared" si="8"/>
        <v>4.4029587883057412E-3</v>
      </c>
      <c r="K339" s="104">
        <f t="shared" si="5"/>
        <v>6.3364742366412213E-3</v>
      </c>
      <c r="L339" s="104">
        <f t="shared" si="6"/>
        <v>6.092916709697643E-3</v>
      </c>
    </row>
    <row r="340" spans="2:12">
      <c r="B340" s="72" t="s">
        <v>394</v>
      </c>
      <c r="C340" s="159">
        <f t="shared" ref="C340:I340" si="9">C324/C$333</f>
        <v>1.2995044190021381E-2</v>
      </c>
      <c r="D340" s="159">
        <f t="shared" si="9"/>
        <v>1.785284752714212E-2</v>
      </c>
      <c r="E340" s="159">
        <f t="shared" si="9"/>
        <v>1.7706628737713306E-2</v>
      </c>
      <c r="F340" s="159">
        <f t="shared" si="9"/>
        <v>1.97250715648855E-2</v>
      </c>
      <c r="G340" s="159">
        <f t="shared" si="9"/>
        <v>2.2810961740262873E-2</v>
      </c>
      <c r="H340" s="159">
        <f t="shared" si="9"/>
        <v>2.4246849696821567E-2</v>
      </c>
      <c r="I340" s="159">
        <f t="shared" si="9"/>
        <v>2.9764001408946812E-2</v>
      </c>
      <c r="K340" s="104">
        <f t="shared" si="5"/>
        <v>1.97250715648855E-2</v>
      </c>
      <c r="L340" s="104">
        <f t="shared" si="6"/>
        <v>2.0728772123684791E-2</v>
      </c>
    </row>
    <row r="341" spans="2:12">
      <c r="B341" s="72" t="s">
        <v>395</v>
      </c>
      <c r="C341" s="159">
        <f t="shared" ref="C341:I341" si="10">C325/C$333</f>
        <v>3.0576574564756191E-3</v>
      </c>
      <c r="D341" s="159">
        <f t="shared" si="10"/>
        <v>3.4123848778757604E-3</v>
      </c>
      <c r="E341" s="159">
        <f t="shared" si="10"/>
        <v>3.7699154218205177E-3</v>
      </c>
      <c r="F341" s="159">
        <f t="shared" si="10"/>
        <v>4.1269083969465653E-3</v>
      </c>
      <c r="G341" s="159">
        <f t="shared" si="10"/>
        <v>3.9348966348587405E-3</v>
      </c>
      <c r="H341" s="159">
        <f t="shared" si="10"/>
        <v>4.1120811101136153E-3</v>
      </c>
      <c r="I341" s="159">
        <f t="shared" si="10"/>
        <v>4.579077139837971E-3</v>
      </c>
      <c r="K341" s="104">
        <f t="shared" si="5"/>
        <v>3.9348966348587405E-3</v>
      </c>
      <c r="L341" s="104">
        <f t="shared" si="6"/>
        <v>3.8561315768469704E-3</v>
      </c>
    </row>
    <row r="342" spans="2:12">
      <c r="B342" s="72" t="s">
        <v>396</v>
      </c>
      <c r="C342" s="159">
        <f t="shared" ref="C342:I342" si="11">C326/C$333</f>
        <v>1.7770486734404654E-2</v>
      </c>
      <c r="D342" s="159">
        <f t="shared" si="11"/>
        <v>1.7763155212550404E-2</v>
      </c>
      <c r="E342" s="159">
        <f t="shared" si="11"/>
        <v>1.4742219787157616E-2</v>
      </c>
      <c r="F342" s="159">
        <f t="shared" si="11"/>
        <v>1.8690362595419847E-2</v>
      </c>
      <c r="G342" s="159">
        <f t="shared" si="11"/>
        <v>2.8426548035426664E-2</v>
      </c>
      <c r="H342" s="159">
        <f t="shared" si="11"/>
        <v>1.473754338155705E-2</v>
      </c>
      <c r="I342" s="159">
        <f t="shared" si="11"/>
        <v>1.8844663613948574E-2</v>
      </c>
      <c r="K342" s="104">
        <f t="shared" si="5"/>
        <v>1.7770486734404654E-2</v>
      </c>
      <c r="L342" s="104">
        <f t="shared" si="6"/>
        <v>1.8710711337209258E-2</v>
      </c>
    </row>
    <row r="343" spans="2:12">
      <c r="B343" s="72" t="s">
        <v>397</v>
      </c>
      <c r="C343" s="159">
        <f t="shared" ref="C343:I343" si="12">C327/C$333</f>
        <v>5.6472184764964038E-3</v>
      </c>
      <c r="D343" s="159">
        <f t="shared" si="12"/>
        <v>4.566154197396477E-3</v>
      </c>
      <c r="E343" s="159">
        <f t="shared" si="12"/>
        <v>4.9709183136613178E-3</v>
      </c>
      <c r="F343" s="159">
        <f t="shared" si="12"/>
        <v>6.2142175572519089E-3</v>
      </c>
      <c r="G343" s="159">
        <f t="shared" si="12"/>
        <v>6.1378229749680154E-3</v>
      </c>
      <c r="H343" s="159">
        <f t="shared" si="12"/>
        <v>6.6129657973073548E-3</v>
      </c>
      <c r="I343" s="159">
        <f t="shared" si="12"/>
        <v>6.6924973582247272E-3</v>
      </c>
      <c r="K343" s="104">
        <f t="shared" si="5"/>
        <v>6.1378229749680154E-3</v>
      </c>
      <c r="L343" s="104">
        <f t="shared" si="6"/>
        <v>5.8345420964723152E-3</v>
      </c>
    </row>
    <row r="344" spans="2:12">
      <c r="B344" s="157" t="s">
        <v>398</v>
      </c>
      <c r="C344" s="166">
        <f t="shared" ref="C344:I344" si="13">C328/C$333</f>
        <v>0.12765719880785709</v>
      </c>
      <c r="D344" s="166">
        <f t="shared" si="13"/>
        <v>0.1098812392216338</v>
      </c>
      <c r="E344" s="166">
        <f t="shared" si="13"/>
        <v>9.8112139563067163E-2</v>
      </c>
      <c r="F344" s="166">
        <f t="shared" si="13"/>
        <v>0.10678375477099238</v>
      </c>
      <c r="G344" s="166">
        <f t="shared" si="13"/>
        <v>0.12642942219774528</v>
      </c>
      <c r="H344" s="166">
        <f t="shared" si="13"/>
        <v>8.2637820550058361E-2</v>
      </c>
      <c r="I344" s="166">
        <f t="shared" si="13"/>
        <v>8.1190560056357872E-2</v>
      </c>
      <c r="K344" s="191">
        <f t="shared" si="5"/>
        <v>0.10678375477099238</v>
      </c>
      <c r="L344" s="191">
        <f t="shared" si="6"/>
        <v>0.10467030502395883</v>
      </c>
    </row>
    <row r="345" spans="2:12">
      <c r="B345" s="72" t="s">
        <v>399</v>
      </c>
      <c r="C345" s="159">
        <f t="shared" ref="C345:I345" si="14">C329/C$333</f>
        <v>2.2030593752415625E-3</v>
      </c>
      <c r="D345" s="159">
        <f t="shared" si="14"/>
        <v>1.7693847514911351E-3</v>
      </c>
      <c r="E345" s="159">
        <f t="shared" si="14"/>
        <v>1.9049139523154685E-3</v>
      </c>
      <c r="F345" s="159">
        <f t="shared" si="14"/>
        <v>2.0902910305343513E-3</v>
      </c>
      <c r="G345" s="159">
        <f t="shared" si="14"/>
        <v>2.6566274204994694E-3</v>
      </c>
      <c r="H345" s="159">
        <f t="shared" si="14"/>
        <v>2.1269400113509015E-3</v>
      </c>
      <c r="I345" s="159">
        <f t="shared" si="14"/>
        <v>1.9373018668545263E-3</v>
      </c>
      <c r="K345" s="104">
        <f t="shared" si="5"/>
        <v>2.0902910305343513E-3</v>
      </c>
      <c r="L345" s="104">
        <f t="shared" si="6"/>
        <v>2.098359772612488E-3</v>
      </c>
    </row>
    <row r="346" spans="2:12">
      <c r="B346" s="157" t="s">
        <v>402</v>
      </c>
      <c r="C346" s="166">
        <f t="shared" ref="C346:I346" si="15">C330/C$333</f>
        <v>0.14019273548686317</v>
      </c>
      <c r="D346" s="166">
        <f t="shared" si="15"/>
        <v>0.12148008626769896</v>
      </c>
      <c r="E346" s="166">
        <f t="shared" si="15"/>
        <v>0.13423656491402489</v>
      </c>
      <c r="F346" s="166">
        <f t="shared" si="15"/>
        <v>0.15236462309160306</v>
      </c>
      <c r="G346" s="166">
        <f t="shared" si="15"/>
        <v>0.15781398607430028</v>
      </c>
      <c r="H346" s="166">
        <f t="shared" si="15"/>
        <v>0.17556365122350651</v>
      </c>
      <c r="I346" s="166">
        <f t="shared" si="15"/>
        <v>0.18897499119408243</v>
      </c>
      <c r="K346" s="191">
        <f t="shared" si="5"/>
        <v>0.15236462309160306</v>
      </c>
      <c r="L346" s="191">
        <f t="shared" si="6"/>
        <v>0.15294666260743989</v>
      </c>
    </row>
    <row r="347" spans="2:12">
      <c r="B347" s="157" t="s">
        <v>400</v>
      </c>
      <c r="C347" s="166">
        <f t="shared" ref="C347:I347" si="16">C331/C$333</f>
        <v>0.15346691975366958</v>
      </c>
      <c r="D347" s="166">
        <f t="shared" si="16"/>
        <v>0.10409200800707756</v>
      </c>
      <c r="E347" s="166">
        <f t="shared" si="16"/>
        <v>0.13996219199355597</v>
      </c>
      <c r="F347" s="166">
        <f t="shared" si="16"/>
        <v>0.13464933206106872</v>
      </c>
      <c r="G347" s="166">
        <f t="shared" si="16"/>
        <v>9.5237619473428431E-2</v>
      </c>
      <c r="H347" s="166">
        <f t="shared" si="16"/>
        <v>0.13188242304094966</v>
      </c>
      <c r="I347" s="166">
        <f t="shared" si="16"/>
        <v>0.13296935540683338</v>
      </c>
      <c r="K347" s="191">
        <f t="shared" si="5"/>
        <v>0.13296935540683338</v>
      </c>
      <c r="L347" s="191">
        <f t="shared" si="6"/>
        <v>0.12746569281951189</v>
      </c>
    </row>
    <row r="348" spans="2:12">
      <c r="B348" s="72" t="s">
        <v>401</v>
      </c>
      <c r="C348" s="159">
        <f t="shared" ref="C348:I348" si="17">C332/C$333</f>
        <v>1.571343909163524E-2</v>
      </c>
      <c r="D348" s="159">
        <f t="shared" si="17"/>
        <v>1.6568616659124361E-2</v>
      </c>
      <c r="E348" s="159">
        <f t="shared" si="17"/>
        <v>1.8352485277736454E-2</v>
      </c>
      <c r="F348" s="159">
        <f t="shared" si="17"/>
        <v>2.0637523854961832E-2</v>
      </c>
      <c r="G348" s="159">
        <f t="shared" si="17"/>
        <v>2.2203444243932297E-2</v>
      </c>
      <c r="H348" s="159">
        <f t="shared" si="17"/>
        <v>1.51537241727465E-2</v>
      </c>
      <c r="I348" s="159">
        <f t="shared" si="17"/>
        <v>1.6907361747094046E-2</v>
      </c>
      <c r="K348" s="104">
        <f t="shared" si="5"/>
        <v>1.6907361747094046E-2</v>
      </c>
      <c r="L348" s="104">
        <f t="shared" si="6"/>
        <v>1.7933799292461531E-2</v>
      </c>
    </row>
    <row r="349" spans="2:12" ht="15" thickBot="1">
      <c r="B349" s="100" t="s">
        <v>173</v>
      </c>
      <c r="C349" s="165">
        <f t="shared" ref="C349:I349" si="18">C333/C$333</f>
        <v>1</v>
      </c>
      <c r="D349" s="165">
        <f t="shared" si="18"/>
        <v>1</v>
      </c>
      <c r="E349" s="165">
        <f t="shared" si="18"/>
        <v>1</v>
      </c>
      <c r="F349" s="165">
        <f t="shared" si="18"/>
        <v>1</v>
      </c>
      <c r="G349" s="165">
        <f t="shared" si="18"/>
        <v>1</v>
      </c>
      <c r="H349" s="165">
        <f t="shared" si="18"/>
        <v>1</v>
      </c>
      <c r="I349" s="165">
        <f t="shared" si="18"/>
        <v>1</v>
      </c>
    </row>
    <row r="351" spans="2:12">
      <c r="B351" s="108" t="s">
        <v>403</v>
      </c>
      <c r="C351" s="108">
        <v>2019</v>
      </c>
      <c r="D351" s="108">
        <v>2020</v>
      </c>
      <c r="E351" s="108">
        <v>2021</v>
      </c>
      <c r="F351" s="108">
        <v>2022</v>
      </c>
      <c r="G351" s="108">
        <v>2023</v>
      </c>
      <c r="H351" s="108">
        <v>2024</v>
      </c>
      <c r="I351" s="108">
        <v>2025</v>
      </c>
      <c r="K351" s="108" t="s">
        <v>357</v>
      </c>
      <c r="L351" s="108" t="s">
        <v>358</v>
      </c>
    </row>
    <row r="352" spans="2:12">
      <c r="B352" s="20" t="s">
        <v>41</v>
      </c>
      <c r="C352" s="110">
        <v>4979.9760999999999</v>
      </c>
      <c r="D352" s="110">
        <v>5871.8684999999996</v>
      </c>
      <c r="E352" s="110">
        <v>6223.8981999999996</v>
      </c>
      <c r="F352" s="110">
        <v>7781.5551000000005</v>
      </c>
      <c r="G352" s="110">
        <v>8749.4330000000009</v>
      </c>
      <c r="H352" s="110">
        <v>10334.774599999999</v>
      </c>
      <c r="I352" s="110">
        <v>12207</v>
      </c>
    </row>
    <row r="354" spans="2:12">
      <c r="B354" t="s">
        <v>391</v>
      </c>
      <c r="C354" s="113">
        <f>C320</f>
        <v>1094.7700000000002</v>
      </c>
      <c r="D354" s="113">
        <f t="shared" ref="D354:I354" si="19">D320</f>
        <v>1335.5099999999998</v>
      </c>
      <c r="E354" s="113">
        <f t="shared" si="19"/>
        <v>1415.76</v>
      </c>
      <c r="F354" s="113">
        <f t="shared" si="19"/>
        <v>1620.5800000000002</v>
      </c>
      <c r="G354" s="113">
        <f t="shared" si="19"/>
        <v>1918.45</v>
      </c>
      <c r="H354" s="113">
        <f t="shared" si="19"/>
        <v>2274.6999999999994</v>
      </c>
      <c r="I354" s="113">
        <f t="shared" si="19"/>
        <v>2692</v>
      </c>
      <c r="K354" s="113">
        <f t="shared" ref="K354:K355" si="20">MEDIAN(C354:I354)</f>
        <v>1620.5800000000002</v>
      </c>
      <c r="L354" s="113">
        <f t="shared" ref="L354:L355" si="21">AVERAGE(C354:I354)</f>
        <v>1764.5385714285712</v>
      </c>
    </row>
    <row r="355" spans="2:12">
      <c r="B355" s="167" t="s">
        <v>404</v>
      </c>
      <c r="C355" s="168">
        <f>C354/C352</f>
        <v>0.2198343883618237</v>
      </c>
      <c r="D355" s="168">
        <f t="shared" ref="D355:I355" si="22">D354/D352</f>
        <v>0.2274420825330131</v>
      </c>
      <c r="E355" s="168">
        <f t="shared" si="22"/>
        <v>0.22747158685853827</v>
      </c>
      <c r="F355" s="168">
        <f t="shared" si="22"/>
        <v>0.20825914347120669</v>
      </c>
      <c r="G355" s="168">
        <f t="shared" si="22"/>
        <v>0.21926563698470516</v>
      </c>
      <c r="H355" s="168">
        <f t="shared" si="22"/>
        <v>0.22010155886708935</v>
      </c>
      <c r="I355" s="168">
        <f t="shared" si="22"/>
        <v>0.22052920455476366</v>
      </c>
      <c r="K355" s="168">
        <f t="shared" si="20"/>
        <v>0.22010155886708935</v>
      </c>
      <c r="L355" s="168">
        <f t="shared" si="21"/>
        <v>0.22041480023301999</v>
      </c>
    </row>
    <row r="356" spans="2:12">
      <c r="C356" s="159"/>
      <c r="D356" s="159"/>
      <c r="E356" s="159"/>
      <c r="F356" s="159"/>
      <c r="G356" s="159"/>
      <c r="H356" s="159"/>
      <c r="I356" s="159"/>
    </row>
    <row r="357" spans="2:12">
      <c r="B357" s="72" t="s">
        <v>400</v>
      </c>
      <c r="C357" s="113">
        <f>C331</f>
        <v>357.36</v>
      </c>
      <c r="D357" s="113">
        <f t="shared" ref="D357:I357" si="23">D331</f>
        <v>255.32</v>
      </c>
      <c r="E357" s="113">
        <f t="shared" si="23"/>
        <v>385.74</v>
      </c>
      <c r="F357" s="113">
        <f t="shared" si="23"/>
        <v>451.56</v>
      </c>
      <c r="G357" s="113">
        <f t="shared" si="23"/>
        <v>373.66559999999998</v>
      </c>
      <c r="H357" s="113">
        <f t="shared" si="23"/>
        <v>603.8922</v>
      </c>
      <c r="I357" s="113">
        <f t="shared" si="23"/>
        <v>755</v>
      </c>
      <c r="K357" s="113">
        <f t="shared" ref="K357:K358" si="24">MEDIAN(C357:I357)</f>
        <v>385.74</v>
      </c>
      <c r="L357" s="113">
        <f t="shared" ref="L357:L358" si="25">AVERAGE(C357:I357)</f>
        <v>454.64825714285718</v>
      </c>
    </row>
    <row r="358" spans="2:12">
      <c r="B358" s="167" t="s">
        <v>405</v>
      </c>
      <c r="C358" s="168">
        <f>C357/C352</f>
        <v>7.1759380531966815E-2</v>
      </c>
      <c r="D358" s="168">
        <f t="shared" ref="D358:I358" si="26">D357/D352</f>
        <v>4.3481900182199246E-2</v>
      </c>
      <c r="E358" s="168">
        <f t="shared" si="26"/>
        <v>6.1977234781892807E-2</v>
      </c>
      <c r="F358" s="168">
        <f t="shared" si="26"/>
        <v>5.8029531911943918E-2</v>
      </c>
      <c r="G358" s="168">
        <f t="shared" si="26"/>
        <v>4.2707407440002107E-2</v>
      </c>
      <c r="H358" s="168">
        <f t="shared" si="26"/>
        <v>5.8433030556854143E-2</v>
      </c>
      <c r="I358" s="168">
        <f t="shared" si="26"/>
        <v>6.1849758335381338E-2</v>
      </c>
      <c r="K358" s="168">
        <f t="shared" si="24"/>
        <v>5.8433030556854143E-2</v>
      </c>
      <c r="L358" s="168">
        <f t="shared" si="25"/>
        <v>5.6891177677177204E-2</v>
      </c>
    </row>
    <row r="359" spans="2:12">
      <c r="B359" s="167"/>
      <c r="C359" s="168"/>
      <c r="D359" s="168"/>
      <c r="E359" s="168"/>
      <c r="F359" s="168"/>
      <c r="G359" s="168"/>
      <c r="H359" s="168"/>
      <c r="I359" s="168"/>
    </row>
    <row r="360" spans="2:12">
      <c r="B360" s="72" t="s">
        <v>398</v>
      </c>
      <c r="C360" s="113">
        <f>C328</f>
        <v>297.26</v>
      </c>
      <c r="D360" s="113">
        <f t="shared" ref="D360:I360" si="27">D328</f>
        <v>269.52</v>
      </c>
      <c r="E360" s="113">
        <f t="shared" si="27"/>
        <v>270.39999999999998</v>
      </c>
      <c r="F360" s="113">
        <f t="shared" si="27"/>
        <v>358.11</v>
      </c>
      <c r="G360" s="113">
        <f t="shared" si="27"/>
        <v>496.04690000000005</v>
      </c>
      <c r="H360" s="113">
        <f t="shared" si="27"/>
        <v>378.40019999999998</v>
      </c>
      <c r="I360" s="113">
        <f t="shared" si="27"/>
        <v>461</v>
      </c>
      <c r="K360" s="113">
        <f t="shared" ref="K360:K361" si="28">MEDIAN(C360:I360)</f>
        <v>358.11</v>
      </c>
      <c r="L360" s="113">
        <f t="shared" ref="L360:L361" si="29">AVERAGE(C360:I360)</f>
        <v>361.53387142857139</v>
      </c>
    </row>
    <row r="361" spans="2:12">
      <c r="B361" s="167" t="s">
        <v>406</v>
      </c>
      <c r="C361" s="168">
        <f>C360/C352</f>
        <v>5.9691049521301921E-2</v>
      </c>
      <c r="D361" s="168">
        <f t="shared" ref="D361:I361" si="30">D360/D352</f>
        <v>4.5900210469631601E-2</v>
      </c>
      <c r="E361" s="168">
        <f t="shared" si="30"/>
        <v>4.3445440672535418E-2</v>
      </c>
      <c r="F361" s="168">
        <f t="shared" si="30"/>
        <v>4.6020364232851094E-2</v>
      </c>
      <c r="G361" s="168">
        <f t="shared" si="30"/>
        <v>5.6694748105391518E-2</v>
      </c>
      <c r="H361" s="168">
        <f t="shared" si="30"/>
        <v>3.6614267330029628E-2</v>
      </c>
      <c r="I361" s="168">
        <f t="shared" si="30"/>
        <v>3.7765216678954695E-2</v>
      </c>
      <c r="K361" s="168">
        <f t="shared" si="28"/>
        <v>4.5900210469631601E-2</v>
      </c>
      <c r="L361" s="168">
        <f t="shared" si="29"/>
        <v>4.6590185287242278E-2</v>
      </c>
    </row>
    <row r="362" spans="2:12">
      <c r="B362" s="167"/>
      <c r="C362" s="168"/>
      <c r="D362" s="168"/>
      <c r="E362" s="168"/>
      <c r="F362" s="168"/>
      <c r="G362" s="168"/>
      <c r="H362" s="168"/>
      <c r="I362" s="168"/>
    </row>
    <row r="363" spans="2:12">
      <c r="B363" s="72" t="s">
        <v>407</v>
      </c>
      <c r="C363" s="113">
        <f>C330</f>
        <v>326.45</v>
      </c>
      <c r="D363" s="113">
        <f t="shared" ref="D363:I363" si="31">D330</f>
        <v>297.96999999999997</v>
      </c>
      <c r="E363" s="113">
        <f t="shared" si="31"/>
        <v>369.96</v>
      </c>
      <c r="F363" s="113">
        <f t="shared" si="31"/>
        <v>510.97</v>
      </c>
      <c r="G363" s="113">
        <f t="shared" si="31"/>
        <v>619.18450000000007</v>
      </c>
      <c r="H363" s="113">
        <f t="shared" si="31"/>
        <v>803.90940000000023</v>
      </c>
      <c r="I363" s="113">
        <f t="shared" si="31"/>
        <v>1073</v>
      </c>
      <c r="K363" s="113">
        <f t="shared" ref="K363:K364" si="32">MEDIAN(C363:I363)</f>
        <v>510.97</v>
      </c>
      <c r="L363" s="113">
        <f t="shared" ref="L363:L364" si="33">AVERAGE(C363:I363)</f>
        <v>571.63484285714287</v>
      </c>
    </row>
    <row r="364" spans="2:12">
      <c r="B364" s="167" t="s">
        <v>408</v>
      </c>
      <c r="C364" s="168">
        <f>C363/C352</f>
        <v>6.5552523434801224E-2</v>
      </c>
      <c r="D364" s="168">
        <f t="shared" ref="D364:I364" si="34">D363/D352</f>
        <v>5.0745346221564736E-2</v>
      </c>
      <c r="E364" s="168">
        <f t="shared" si="34"/>
        <v>5.9441846269272208E-2</v>
      </c>
      <c r="F364" s="168">
        <f t="shared" si="34"/>
        <v>6.5664252637625098E-2</v>
      </c>
      <c r="G364" s="168">
        <f t="shared" si="34"/>
        <v>7.0768528657799881E-2</v>
      </c>
      <c r="H364" s="168">
        <f t="shared" si="34"/>
        <v>7.77868343640509E-2</v>
      </c>
      <c r="I364" s="168">
        <f t="shared" si="34"/>
        <v>8.7900385024985664E-2</v>
      </c>
      <c r="K364" s="168">
        <f t="shared" si="32"/>
        <v>6.5664252637625098E-2</v>
      </c>
      <c r="L364" s="168">
        <f t="shared" si="33"/>
        <v>6.8265673801442814E-2</v>
      </c>
    </row>
    <row r="365" spans="2:12">
      <c r="B365" s="167"/>
      <c r="C365" s="168"/>
      <c r="D365" s="168"/>
      <c r="E365" s="168"/>
      <c r="F365" s="168"/>
      <c r="G365" s="168"/>
      <c r="H365" s="168"/>
      <c r="I365" s="168"/>
    </row>
    <row r="366" spans="2:12">
      <c r="B366" s="72" t="s">
        <v>409</v>
      </c>
      <c r="C366" s="113">
        <f t="shared" ref="C366:D366" si="35">SUM(C321:C327,C329,C332)</f>
        <v>252.74</v>
      </c>
      <c r="D366" s="113">
        <f t="shared" si="35"/>
        <v>294.51</v>
      </c>
      <c r="E366" s="113">
        <f>(SUM(E321:E327,E329,E332))+29.6661999999999</f>
        <v>343.83619999999985</v>
      </c>
      <c r="F366" s="113">
        <f>(SUM(F321:F327,F329,F332))+16.8605</f>
        <v>429.24049999999994</v>
      </c>
      <c r="G366" s="113">
        <f>(SUM(G321:G327,G329,G332))+11.6244999999999</f>
        <v>527.78589999999986</v>
      </c>
      <c r="H366" s="113">
        <f>(SUM(H321:H327,H329,H332))+10.9557999999997</f>
        <v>529.07359999999971</v>
      </c>
      <c r="I366" s="113">
        <f>(SUM(I321:I327,I329,I332))+22.0999999999999</f>
        <v>719.09999999999991</v>
      </c>
      <c r="K366" s="113">
        <f t="shared" ref="K366:K367" si="36">MEDIAN(C366:I366)</f>
        <v>429.24049999999994</v>
      </c>
      <c r="L366" s="113">
        <f t="shared" ref="L366:L367" si="37">AVERAGE(C366:I366)</f>
        <v>442.32659999999987</v>
      </c>
    </row>
    <row r="367" spans="2:12">
      <c r="B367" s="167" t="s">
        <v>410</v>
      </c>
      <c r="C367" s="168">
        <f>C366/C352</f>
        <v>5.0751247581288593E-2</v>
      </c>
      <c r="D367" s="168">
        <f t="shared" ref="D367:I367" si="38">D366/D352</f>
        <v>5.0156095968429813E-2</v>
      </c>
      <c r="E367" s="168">
        <f t="shared" si="38"/>
        <v>5.5244508979918706E-2</v>
      </c>
      <c r="F367" s="168">
        <f t="shared" si="38"/>
        <v>5.5161274897353091E-2</v>
      </c>
      <c r="G367" s="168">
        <f t="shared" si="38"/>
        <v>6.0322297456303714E-2</v>
      </c>
      <c r="H367" s="168">
        <f t="shared" si="38"/>
        <v>5.1193530626202507E-2</v>
      </c>
      <c r="I367" s="168">
        <f t="shared" si="38"/>
        <v>5.8908822806586381E-2</v>
      </c>
      <c r="K367" s="168">
        <f t="shared" si="36"/>
        <v>5.5161274897353091E-2</v>
      </c>
      <c r="L367" s="168">
        <f t="shared" si="37"/>
        <v>5.453396833086898E-2</v>
      </c>
    </row>
    <row r="368" spans="2:12">
      <c r="B368" s="72"/>
      <c r="C368" s="113"/>
      <c r="D368" s="113"/>
      <c r="E368" s="113"/>
      <c r="F368" s="113"/>
      <c r="G368" s="113"/>
      <c r="H368" s="113"/>
      <c r="I368" s="113"/>
    </row>
    <row r="369" spans="1:19">
      <c r="A369" s="20"/>
      <c r="B369" s="20" t="s">
        <v>33</v>
      </c>
      <c r="C369" s="162">
        <f>C367+C364+C361+C358+C355</f>
        <v>0.46758858943118226</v>
      </c>
      <c r="D369" s="162">
        <f t="shared" ref="D369:I369" si="39">D367+D364+D361+D358+D355</f>
        <v>0.41772563537483853</v>
      </c>
      <c r="E369" s="162">
        <f t="shared" si="39"/>
        <v>0.44758061756215739</v>
      </c>
      <c r="F369" s="162">
        <f t="shared" si="39"/>
        <v>0.43313456715097987</v>
      </c>
      <c r="G369" s="162">
        <f t="shared" si="39"/>
        <v>0.44975861864420241</v>
      </c>
      <c r="H369" s="162">
        <f t="shared" si="39"/>
        <v>0.44412922174422653</v>
      </c>
      <c r="I369" s="162">
        <f t="shared" si="39"/>
        <v>0.46695338740067172</v>
      </c>
      <c r="J369" s="20"/>
      <c r="K369" s="169">
        <f t="shared" ref="K369" si="40">MEDIAN(C369:I369)</f>
        <v>0.44758061756215739</v>
      </c>
      <c r="L369" s="169">
        <f t="shared" ref="L369" si="41">AVERAGE(C369:I369)</f>
        <v>0.44669580532975128</v>
      </c>
      <c r="O369">
        <v>29.66619999999989</v>
      </c>
      <c r="P369">
        <v>16.860500000000002</v>
      </c>
      <c r="Q369">
        <v>11.624499999999898</v>
      </c>
      <c r="R369">
        <v>10.955799999999726</v>
      </c>
      <c r="S369">
        <v>22.099999999999909</v>
      </c>
    </row>
    <row r="371" spans="1:19">
      <c r="O371">
        <v>-1</v>
      </c>
    </row>
    <row r="382" spans="1:19" ht="18">
      <c r="A382" t="s">
        <v>386</v>
      </c>
      <c r="B382" s="14" t="s">
        <v>94</v>
      </c>
    </row>
    <row r="383" spans="1:19" ht="18">
      <c r="B383" s="14"/>
      <c r="O383" s="536" t="s">
        <v>274</v>
      </c>
      <c r="P383" s="536"/>
      <c r="Q383" s="536"/>
    </row>
    <row r="384" spans="1:19" s="20" customFormat="1">
      <c r="B384" s="108" t="s">
        <v>94</v>
      </c>
      <c r="C384" s="108">
        <v>2015</v>
      </c>
      <c r="D384" s="108">
        <f>C384+1</f>
        <v>2016</v>
      </c>
      <c r="E384" s="108">
        <f t="shared" ref="E384:M384" si="42">D384+1</f>
        <v>2017</v>
      </c>
      <c r="F384" s="108">
        <f t="shared" si="42"/>
        <v>2018</v>
      </c>
      <c r="G384" s="108">
        <f t="shared" si="42"/>
        <v>2019</v>
      </c>
      <c r="H384" s="108">
        <f t="shared" si="42"/>
        <v>2020</v>
      </c>
      <c r="I384" s="108">
        <f t="shared" si="42"/>
        <v>2021</v>
      </c>
      <c r="J384" s="108">
        <f t="shared" si="42"/>
        <v>2022</v>
      </c>
      <c r="K384" s="108">
        <f t="shared" si="42"/>
        <v>2023</v>
      </c>
      <c r="L384" s="108">
        <f t="shared" si="42"/>
        <v>2024</v>
      </c>
      <c r="M384" s="108">
        <f t="shared" si="42"/>
        <v>2025</v>
      </c>
      <c r="N384"/>
      <c r="O384" s="108" t="s">
        <v>67</v>
      </c>
      <c r="P384" s="108" t="s">
        <v>66</v>
      </c>
      <c r="Q384" s="108" t="s">
        <v>275</v>
      </c>
    </row>
    <row r="385" spans="2:17">
      <c r="B385" t="s">
        <v>422</v>
      </c>
      <c r="C385" s="113">
        <v>737</v>
      </c>
      <c r="D385" s="113">
        <v>655</v>
      </c>
      <c r="E385" s="113">
        <v>848</v>
      </c>
      <c r="F385" s="113">
        <v>650</v>
      </c>
      <c r="G385" s="113">
        <v>543</v>
      </c>
      <c r="H385" s="113">
        <v>665</v>
      </c>
      <c r="I385" s="113">
        <v>1306</v>
      </c>
      <c r="J385" s="113">
        <v>874</v>
      </c>
      <c r="K385" s="113">
        <v>1075</v>
      </c>
      <c r="L385" s="113">
        <v>2258</v>
      </c>
      <c r="M385" s="113">
        <v>1690</v>
      </c>
      <c r="O385" s="107">
        <f>_xlfn.RRI(3,J385,M385)</f>
        <v>0.24582896549728739</v>
      </c>
      <c r="P385" s="107">
        <f>_xlfn.RRI(5,H385,M385)</f>
        <v>0.20507204489774478</v>
      </c>
      <c r="Q385" s="107">
        <f>_xlfn.RRI(7,F385,M385)</f>
        <v>0.14625675190851717</v>
      </c>
    </row>
    <row r="386" spans="2:17">
      <c r="B386" t="s">
        <v>198</v>
      </c>
      <c r="C386" s="113">
        <v>596</v>
      </c>
      <c r="D386" s="113">
        <v>619</v>
      </c>
      <c r="E386" s="113">
        <v>789</v>
      </c>
      <c r="F386" s="113">
        <v>789</v>
      </c>
      <c r="G386" s="113">
        <v>821</v>
      </c>
      <c r="H386" s="113">
        <v>899</v>
      </c>
      <c r="I386" s="113">
        <v>1184</v>
      </c>
      <c r="J386" s="113">
        <v>1760</v>
      </c>
      <c r="K386" s="113">
        <v>1498</v>
      </c>
      <c r="L386" s="113">
        <v>1553</v>
      </c>
      <c r="M386" s="113">
        <v>2093</v>
      </c>
      <c r="O386" s="107">
        <f t="shared" ref="O386:O390" si="43">_xlfn.RRI(3,J386,M386)</f>
        <v>5.9462331289687143E-2</v>
      </c>
      <c r="P386" s="107">
        <f t="shared" ref="P386:P390" si="44">_xlfn.RRI(5,H386,M386)</f>
        <v>0.18413687965311443</v>
      </c>
      <c r="Q386" s="107">
        <f t="shared" ref="Q386:Q390" si="45">_xlfn.RRI(7,F386,M386)</f>
        <v>0.14954892787523244</v>
      </c>
    </row>
    <row r="387" spans="2:17">
      <c r="B387" t="s">
        <v>238</v>
      </c>
      <c r="C387" s="113">
        <v>197</v>
      </c>
      <c r="D387" s="113">
        <v>193</v>
      </c>
      <c r="E387" s="113">
        <v>166</v>
      </c>
      <c r="F387" s="113">
        <v>297</v>
      </c>
      <c r="G387" s="113">
        <v>220</v>
      </c>
      <c r="H387" s="113">
        <v>531</v>
      </c>
      <c r="I387" s="113">
        <v>331</v>
      </c>
      <c r="J387" s="113">
        <v>388</v>
      </c>
      <c r="K387" s="113">
        <v>576</v>
      </c>
      <c r="L387" s="113">
        <v>848</v>
      </c>
      <c r="M387" s="113">
        <v>1538</v>
      </c>
      <c r="O387" s="107">
        <f t="shared" si="43"/>
        <v>0.58261351433459896</v>
      </c>
      <c r="P387" s="107">
        <f t="shared" si="44"/>
        <v>0.23700758574562641</v>
      </c>
      <c r="Q387" s="107">
        <f>_xlfn.RRI(7,F387,M387)</f>
        <v>0.26481950749889971</v>
      </c>
    </row>
    <row r="388" spans="2:17">
      <c r="B388" t="s">
        <v>11</v>
      </c>
      <c r="C388" s="113">
        <v>62</v>
      </c>
      <c r="D388" s="113">
        <v>86</v>
      </c>
      <c r="E388" s="113">
        <v>31</v>
      </c>
      <c r="F388" s="113">
        <v>469</v>
      </c>
      <c r="G388" s="113">
        <v>8.5</v>
      </c>
      <c r="H388" s="113">
        <v>10</v>
      </c>
      <c r="I388" s="113">
        <v>83</v>
      </c>
      <c r="J388" s="113">
        <v>171</v>
      </c>
      <c r="K388" s="113">
        <v>64</v>
      </c>
      <c r="L388" s="113">
        <v>104</v>
      </c>
      <c r="M388" s="113">
        <v>802</v>
      </c>
      <c r="O388" s="107">
        <f t="shared" si="43"/>
        <v>0.67388680524764699</v>
      </c>
      <c r="P388" s="107">
        <f t="shared" si="44"/>
        <v>1.4034487930709498</v>
      </c>
      <c r="Q388" s="107">
        <f t="shared" si="45"/>
        <v>7.9657316604516915E-2</v>
      </c>
    </row>
    <row r="389" spans="2:17">
      <c r="B389" t="s">
        <v>423</v>
      </c>
      <c r="C389" s="113">
        <v>39</v>
      </c>
      <c r="D389" s="113">
        <v>90</v>
      </c>
      <c r="E389" s="113">
        <v>146</v>
      </c>
      <c r="F389" s="113">
        <v>139</v>
      </c>
      <c r="G389" s="113">
        <v>141</v>
      </c>
      <c r="H389" s="113">
        <v>420</v>
      </c>
      <c r="I389" s="113">
        <v>701</v>
      </c>
      <c r="J389" s="113">
        <v>406</v>
      </c>
      <c r="K389" s="113">
        <v>453</v>
      </c>
      <c r="L389" s="113">
        <v>1198</v>
      </c>
      <c r="M389" s="113">
        <v>407</v>
      </c>
      <c r="O389" s="107">
        <f t="shared" si="43"/>
        <v>8.2034491260030151E-4</v>
      </c>
      <c r="P389" s="107">
        <f>_xlfn.RRI(5,H389,M389)</f>
        <v>-6.2685751538045231E-3</v>
      </c>
      <c r="Q389" s="107">
        <f t="shared" si="45"/>
        <v>0.16588101357505325</v>
      </c>
    </row>
    <row r="390" spans="2:17" s="20" customFormat="1" ht="15" thickBot="1">
      <c r="B390" s="105" t="s">
        <v>12</v>
      </c>
      <c r="C390" s="114">
        <f>SUM(C385:C389)</f>
        <v>1631</v>
      </c>
      <c r="D390" s="114">
        <f t="shared" ref="D390:M390" si="46">SUM(D385:D389)</f>
        <v>1643</v>
      </c>
      <c r="E390" s="114">
        <f t="shared" si="46"/>
        <v>1980</v>
      </c>
      <c r="F390" s="114">
        <f t="shared" si="46"/>
        <v>2344</v>
      </c>
      <c r="G390" s="114">
        <f t="shared" si="46"/>
        <v>1733.5</v>
      </c>
      <c r="H390" s="114">
        <f t="shared" si="46"/>
        <v>2525</v>
      </c>
      <c r="I390" s="114">
        <f t="shared" si="46"/>
        <v>3605</v>
      </c>
      <c r="J390" s="114">
        <f t="shared" si="46"/>
        <v>3599</v>
      </c>
      <c r="K390" s="114">
        <f t="shared" si="46"/>
        <v>3666</v>
      </c>
      <c r="L390" s="114">
        <f t="shared" si="46"/>
        <v>5961</v>
      </c>
      <c r="M390" s="114">
        <f t="shared" si="46"/>
        <v>6530</v>
      </c>
      <c r="O390" s="107">
        <f t="shared" si="43"/>
        <v>0.21967403432307808</v>
      </c>
      <c r="P390" s="107">
        <f t="shared" si="44"/>
        <v>0.20928971652307538</v>
      </c>
      <c r="Q390" s="107">
        <f t="shared" si="45"/>
        <v>0.15761749597088515</v>
      </c>
    </row>
    <row r="392" spans="2:17">
      <c r="B392" s="20" t="s">
        <v>424</v>
      </c>
      <c r="C392" s="110">
        <v>2532</v>
      </c>
      <c r="D392" s="110">
        <v>2848</v>
      </c>
      <c r="E392" s="110">
        <v>3741</v>
      </c>
      <c r="F392" s="110">
        <v>4360</v>
      </c>
      <c r="G392" s="110">
        <v>4112.4238000000005</v>
      </c>
      <c r="H392" s="110">
        <v>5073.2734</v>
      </c>
      <c r="I392" s="110">
        <v>6372.6250999999993</v>
      </c>
      <c r="J392" s="110">
        <v>9147.7491999999984</v>
      </c>
      <c r="K392" s="110">
        <v>9715.4491000000016</v>
      </c>
      <c r="L392" s="110">
        <v>11963.253699999999</v>
      </c>
      <c r="M392" s="110">
        <v>27568.63</v>
      </c>
      <c r="O392" s="107">
        <f t="shared" ref="O392" si="47">_xlfn.RRI(3,J392,M392)</f>
        <v>0.44444267826316142</v>
      </c>
      <c r="P392" s="107">
        <f t="shared" ref="P392" si="48">_xlfn.RRI(5,H392,M392)</f>
        <v>0.40289569818264903</v>
      </c>
      <c r="Q392" s="107">
        <f t="shared" ref="Q392" si="49">_xlfn.RRI(7,F392,M392)</f>
        <v>0.30142272230678557</v>
      </c>
    </row>
    <row r="394" spans="2:17">
      <c r="B394" s="20" t="s">
        <v>425</v>
      </c>
      <c r="C394" s="160">
        <f>C390/C392</f>
        <v>0.64415481832543442</v>
      </c>
      <c r="D394" s="160">
        <f t="shared" ref="D394:M394" si="50">D390/D392</f>
        <v>0.5768960674157303</v>
      </c>
      <c r="E394" s="160">
        <f t="shared" si="50"/>
        <v>0.52927024859663196</v>
      </c>
      <c r="F394" s="160">
        <f t="shared" si="50"/>
        <v>0.53761467889908254</v>
      </c>
      <c r="G394" s="160">
        <f t="shared" si="50"/>
        <v>0.42152756727066887</v>
      </c>
      <c r="H394" s="160">
        <f t="shared" si="50"/>
        <v>0.49770627382312965</v>
      </c>
      <c r="I394" s="160">
        <f t="shared" si="50"/>
        <v>0.56570093853473358</v>
      </c>
      <c r="J394" s="160">
        <f t="shared" si="50"/>
        <v>0.39343011284130969</v>
      </c>
      <c r="K394" s="160">
        <f t="shared" si="50"/>
        <v>0.37733716293156222</v>
      </c>
      <c r="L394" s="160">
        <f t="shared" si="50"/>
        <v>0.49827581605161481</v>
      </c>
      <c r="M394" s="160">
        <f t="shared" si="50"/>
        <v>0.2368634204891574</v>
      </c>
      <c r="O394" s="107">
        <f>_xlfn.RRI(3,J394,M394)</f>
        <v>-0.15560925145908289</v>
      </c>
      <c r="P394" s="107">
        <f t="shared" ref="P394" si="51">_xlfn.RRI(5,H394,M394)</f>
        <v>-0.13800454439369669</v>
      </c>
      <c r="Q394" s="107">
        <f t="shared" ref="Q394" si="52">_xlfn.RRI(7,F394,M394)</f>
        <v>-0.11049847514649513</v>
      </c>
    </row>
    <row r="396" spans="2:17">
      <c r="B396" s="108" t="s">
        <v>94</v>
      </c>
      <c r="C396" s="108">
        <v>2015</v>
      </c>
      <c r="D396" s="108">
        <f>C396+1</f>
        <v>2016</v>
      </c>
      <c r="E396" s="108">
        <f t="shared" ref="E396" si="53">D396+1</f>
        <v>2017</v>
      </c>
      <c r="F396" s="108">
        <f t="shared" ref="F396" si="54">E396+1</f>
        <v>2018</v>
      </c>
      <c r="G396" s="108">
        <f t="shared" ref="G396" si="55">F396+1</f>
        <v>2019</v>
      </c>
      <c r="H396" s="108">
        <f t="shared" ref="H396" si="56">G396+1</f>
        <v>2020</v>
      </c>
      <c r="I396" s="108">
        <f t="shared" ref="I396" si="57">H396+1</f>
        <v>2021</v>
      </c>
      <c r="J396" s="108">
        <f t="shared" ref="J396" si="58">I396+1</f>
        <v>2022</v>
      </c>
      <c r="K396" s="108">
        <f t="shared" ref="K396" si="59">J396+1</f>
        <v>2023</v>
      </c>
      <c r="L396" s="108">
        <f t="shared" ref="L396" si="60">K396+1</f>
        <v>2024</v>
      </c>
      <c r="M396" s="108">
        <f t="shared" ref="M396" si="61">L396+1</f>
        <v>2025</v>
      </c>
    </row>
    <row r="397" spans="2:17">
      <c r="B397" t="s">
        <v>422</v>
      </c>
      <c r="C397" s="159">
        <f>C385/C$390</f>
        <v>0.45187001839362356</v>
      </c>
      <c r="D397" s="159">
        <f t="shared" ref="D397:M397" si="62">D385/D$390</f>
        <v>0.3986609860012173</v>
      </c>
      <c r="E397" s="159">
        <f t="shared" si="62"/>
        <v>0.42828282828282827</v>
      </c>
      <c r="F397" s="159">
        <f t="shared" si="62"/>
        <v>0.27730375426621162</v>
      </c>
      <c r="G397" s="159">
        <f t="shared" si="62"/>
        <v>0.31323911162388229</v>
      </c>
      <c r="H397" s="159">
        <f t="shared" si="62"/>
        <v>0.26336633663366338</v>
      </c>
      <c r="I397" s="159">
        <f t="shared" si="62"/>
        <v>0.36227461858529819</v>
      </c>
      <c r="J397" s="159">
        <f t="shared" si="62"/>
        <v>0.24284523478744097</v>
      </c>
      <c r="K397" s="159">
        <f t="shared" si="62"/>
        <v>0.29323513366066556</v>
      </c>
      <c r="L397" s="159">
        <f t="shared" si="62"/>
        <v>0.37879550411004864</v>
      </c>
      <c r="M397" s="159">
        <f t="shared" si="62"/>
        <v>0.25880551301684535</v>
      </c>
    </row>
    <row r="398" spans="2:17">
      <c r="B398" t="s">
        <v>198</v>
      </c>
      <c r="C398" s="159">
        <f t="shared" ref="C398:M398" si="63">C386/C$390</f>
        <v>0.36541998773758433</v>
      </c>
      <c r="D398" s="159">
        <f t="shared" si="63"/>
        <v>0.37674984783931831</v>
      </c>
      <c r="E398" s="159">
        <f t="shared" si="63"/>
        <v>0.3984848484848485</v>
      </c>
      <c r="F398" s="159">
        <f t="shared" si="63"/>
        <v>0.33660409556313992</v>
      </c>
      <c r="G398" s="159">
        <f t="shared" si="63"/>
        <v>0.47360830689356792</v>
      </c>
      <c r="H398" s="159">
        <f t="shared" si="63"/>
        <v>0.35603960396039602</v>
      </c>
      <c r="I398" s="159">
        <f t="shared" si="63"/>
        <v>0.32843273231622744</v>
      </c>
      <c r="J398" s="159">
        <f t="shared" si="63"/>
        <v>0.48902472909141426</v>
      </c>
      <c r="K398" s="159">
        <f t="shared" si="63"/>
        <v>0.40861974904528098</v>
      </c>
      <c r="L398" s="159">
        <f t="shared" si="63"/>
        <v>0.26052675725549407</v>
      </c>
      <c r="M398" s="159">
        <f t="shared" si="63"/>
        <v>0.32052067381317001</v>
      </c>
    </row>
    <row r="399" spans="2:17">
      <c r="B399" t="s">
        <v>238</v>
      </c>
      <c r="C399" s="159">
        <f t="shared" ref="C399:M399" si="64">C387/C$390</f>
        <v>0.12078479460453709</v>
      </c>
      <c r="D399" s="159">
        <f t="shared" si="64"/>
        <v>0.11746804625684723</v>
      </c>
      <c r="E399" s="159">
        <f t="shared" si="64"/>
        <v>8.3838383838383837E-2</v>
      </c>
      <c r="F399" s="159">
        <f t="shared" si="64"/>
        <v>0.12670648464163822</v>
      </c>
      <c r="G399" s="159">
        <f t="shared" si="64"/>
        <v>0.12691087395442746</v>
      </c>
      <c r="H399" s="159">
        <f t="shared" si="64"/>
        <v>0.21029702970297029</v>
      </c>
      <c r="I399" s="159">
        <f t="shared" si="64"/>
        <v>9.1816920943134539E-2</v>
      </c>
      <c r="J399" s="159">
        <f t="shared" si="64"/>
        <v>0.10780772436787997</v>
      </c>
      <c r="K399" s="159">
        <f t="shared" si="64"/>
        <v>0.15711947626841244</v>
      </c>
      <c r="L399" s="159">
        <f t="shared" si="64"/>
        <v>0.14225801040093944</v>
      </c>
      <c r="M399" s="159">
        <f t="shared" si="64"/>
        <v>0.23552833078101071</v>
      </c>
    </row>
    <row r="400" spans="2:17">
      <c r="B400" t="s">
        <v>11</v>
      </c>
      <c r="C400" s="159">
        <f t="shared" ref="C400:M400" si="65">C388/C$390</f>
        <v>3.8013488657265483E-2</v>
      </c>
      <c r="D400" s="159">
        <f t="shared" si="65"/>
        <v>5.2343274497869748E-2</v>
      </c>
      <c r="E400" s="159">
        <f t="shared" si="65"/>
        <v>1.5656565656565657E-2</v>
      </c>
      <c r="F400" s="159">
        <f t="shared" si="65"/>
        <v>0.20008532423208192</v>
      </c>
      <c r="G400" s="159">
        <f t="shared" si="65"/>
        <v>4.9033746755119704E-3</v>
      </c>
      <c r="H400" s="159">
        <f t="shared" si="65"/>
        <v>3.9603960396039604E-3</v>
      </c>
      <c r="I400" s="159">
        <f t="shared" si="65"/>
        <v>2.302357836338419E-2</v>
      </c>
      <c r="J400" s="159">
        <f t="shared" si="65"/>
        <v>4.7513198110586276E-2</v>
      </c>
      <c r="K400" s="159">
        <f t="shared" si="65"/>
        <v>1.7457719585379158E-2</v>
      </c>
      <c r="L400" s="159">
        <f t="shared" si="65"/>
        <v>1.7446737124643515E-2</v>
      </c>
      <c r="M400" s="159">
        <f t="shared" si="65"/>
        <v>0.1228177641653905</v>
      </c>
    </row>
    <row r="401" spans="1:16">
      <c r="B401" t="s">
        <v>423</v>
      </c>
      <c r="C401" s="159">
        <f t="shared" ref="C401:M401" si="66">C389/C$390</f>
        <v>2.3911710606989576E-2</v>
      </c>
      <c r="D401" s="159">
        <f t="shared" si="66"/>
        <v>5.4777845404747415E-2</v>
      </c>
      <c r="E401" s="159">
        <f t="shared" si="66"/>
        <v>7.373737373737374E-2</v>
      </c>
      <c r="F401" s="159">
        <f t="shared" si="66"/>
        <v>5.9300341296928329E-2</v>
      </c>
      <c r="G401" s="159">
        <f t="shared" si="66"/>
        <v>8.1338332852610329E-2</v>
      </c>
      <c r="H401" s="159">
        <f t="shared" si="66"/>
        <v>0.16633663366336635</v>
      </c>
      <c r="I401" s="159">
        <f t="shared" si="66"/>
        <v>0.19445214979195563</v>
      </c>
      <c r="J401" s="159">
        <f t="shared" si="66"/>
        <v>0.11280911364267852</v>
      </c>
      <c r="K401" s="159">
        <f t="shared" si="66"/>
        <v>0.12356792144026187</v>
      </c>
      <c r="L401" s="159">
        <f t="shared" si="66"/>
        <v>0.20097299110887434</v>
      </c>
      <c r="M401" s="159">
        <f t="shared" si="66"/>
        <v>6.2327718223583461E-2</v>
      </c>
    </row>
    <row r="402" spans="1:16" ht="15" thickBot="1">
      <c r="B402" s="105" t="s">
        <v>12</v>
      </c>
      <c r="C402" s="177">
        <f t="shared" ref="C402:M402" si="67">C390/C$390</f>
        <v>1</v>
      </c>
      <c r="D402" s="177">
        <f t="shared" si="67"/>
        <v>1</v>
      </c>
      <c r="E402" s="177">
        <f t="shared" si="67"/>
        <v>1</v>
      </c>
      <c r="F402" s="177">
        <f t="shared" si="67"/>
        <v>1</v>
      </c>
      <c r="G402" s="177">
        <f t="shared" si="67"/>
        <v>1</v>
      </c>
      <c r="H402" s="177">
        <f t="shared" si="67"/>
        <v>1</v>
      </c>
      <c r="I402" s="177">
        <f t="shared" si="67"/>
        <v>1</v>
      </c>
      <c r="J402" s="177">
        <f t="shared" si="67"/>
        <v>1</v>
      </c>
      <c r="K402" s="177">
        <f t="shared" si="67"/>
        <v>1</v>
      </c>
      <c r="L402" s="177">
        <f t="shared" si="67"/>
        <v>1</v>
      </c>
      <c r="M402" s="177">
        <f t="shared" si="67"/>
        <v>1</v>
      </c>
    </row>
    <row r="404" spans="1:16" ht="18">
      <c r="A404" t="s">
        <v>23</v>
      </c>
      <c r="B404" s="14" t="s">
        <v>9</v>
      </c>
    </row>
    <row r="406" spans="1:16">
      <c r="B406" s="108" t="s">
        <v>94</v>
      </c>
      <c r="C406" s="108">
        <v>2015</v>
      </c>
      <c r="D406" s="108">
        <f>C406+1</f>
        <v>2016</v>
      </c>
      <c r="E406" s="108">
        <f t="shared" ref="E406" si="68">D406+1</f>
        <v>2017</v>
      </c>
      <c r="F406" s="108">
        <f t="shared" ref="F406" si="69">E406+1</f>
        <v>2018</v>
      </c>
      <c r="G406" s="108">
        <f t="shared" ref="G406" si="70">F406+1</f>
        <v>2019</v>
      </c>
      <c r="H406" s="108">
        <f t="shared" ref="H406" si="71">G406+1</f>
        <v>2020</v>
      </c>
      <c r="I406" s="108">
        <f t="shared" ref="I406" si="72">H406+1</f>
        <v>2021</v>
      </c>
      <c r="J406" s="108">
        <f t="shared" ref="J406" si="73">I406+1</f>
        <v>2022</v>
      </c>
      <c r="K406" s="108">
        <f t="shared" ref="K406" si="74">J406+1</f>
        <v>2023</v>
      </c>
      <c r="L406" s="108">
        <f t="shared" ref="L406" si="75">K406+1</f>
        <v>2024</v>
      </c>
      <c r="M406" s="108">
        <f t="shared" ref="M406" si="76">L406+1</f>
        <v>2025</v>
      </c>
      <c r="O406" s="184" t="s">
        <v>357</v>
      </c>
      <c r="P406" s="184" t="s">
        <v>358</v>
      </c>
    </row>
    <row r="407" spans="1:16">
      <c r="B407" s="20" t="s">
        <v>41</v>
      </c>
      <c r="C407" s="110">
        <v>3323</v>
      </c>
      <c r="D407" s="110">
        <v>3944</v>
      </c>
      <c r="E407" s="110">
        <v>4382</v>
      </c>
      <c r="F407" s="110">
        <v>4921</v>
      </c>
      <c r="G407" s="110">
        <v>4980</v>
      </c>
      <c r="H407" s="110">
        <v>5872</v>
      </c>
      <c r="I407" s="110">
        <v>6224</v>
      </c>
      <c r="J407" s="110">
        <v>7782</v>
      </c>
      <c r="K407" s="110">
        <v>8749</v>
      </c>
      <c r="L407" s="110">
        <v>10335</v>
      </c>
      <c r="M407" s="110">
        <v>12207</v>
      </c>
      <c r="O407" s="110"/>
      <c r="P407" s="110"/>
    </row>
    <row r="408" spans="1:16">
      <c r="B408" s="167" t="s">
        <v>163</v>
      </c>
      <c r="D408" s="178">
        <f>D407/C407-1</f>
        <v>0.18687932591032208</v>
      </c>
      <c r="E408" s="178">
        <f t="shared" ref="E408:M408" si="77">E407/D407-1</f>
        <v>0.11105476673427983</v>
      </c>
      <c r="F408" s="178">
        <f t="shared" si="77"/>
        <v>0.1230031948881789</v>
      </c>
      <c r="G408" s="178">
        <f t="shared" si="77"/>
        <v>1.1989433042064679E-2</v>
      </c>
      <c r="H408" s="178">
        <f t="shared" si="77"/>
        <v>0.17911646586345387</v>
      </c>
      <c r="I408" s="178">
        <f t="shared" si="77"/>
        <v>5.9945504087193457E-2</v>
      </c>
      <c r="J408" s="178">
        <f t="shared" si="77"/>
        <v>0.25032133676092538</v>
      </c>
      <c r="K408" s="178">
        <f t="shared" si="77"/>
        <v>0.12426111539450013</v>
      </c>
      <c r="L408" s="178">
        <f t="shared" si="77"/>
        <v>0.18127786032689452</v>
      </c>
      <c r="M408" s="178">
        <f t="shared" si="77"/>
        <v>0.18113207547169807</v>
      </c>
      <c r="O408" s="104">
        <f>MEDIAN(D408:M408)</f>
        <v>0.151688790628977</v>
      </c>
      <c r="P408" s="104">
        <f>AVERAGE(D408:M408)</f>
        <v>0.14089810784795109</v>
      </c>
    </row>
    <row r="410" spans="1:16">
      <c r="B410" s="20" t="str">
        <f>B386</f>
        <v>Inventories</v>
      </c>
      <c r="C410" s="20">
        <f t="shared" ref="C410:M410" si="78">C386</f>
        <v>596</v>
      </c>
      <c r="D410" s="20">
        <f t="shared" si="78"/>
        <v>619</v>
      </c>
      <c r="E410" s="20">
        <f t="shared" si="78"/>
        <v>789</v>
      </c>
      <c r="F410" s="20">
        <f t="shared" si="78"/>
        <v>789</v>
      </c>
      <c r="G410" s="20">
        <f t="shared" si="78"/>
        <v>821</v>
      </c>
      <c r="H410" s="20">
        <f t="shared" si="78"/>
        <v>899</v>
      </c>
      <c r="I410" s="20">
        <f t="shared" si="78"/>
        <v>1184</v>
      </c>
      <c r="J410" s="20">
        <f t="shared" si="78"/>
        <v>1760</v>
      </c>
      <c r="K410" s="20">
        <f t="shared" si="78"/>
        <v>1498</v>
      </c>
      <c r="L410" s="20">
        <f t="shared" si="78"/>
        <v>1553</v>
      </c>
      <c r="M410" s="20">
        <f t="shared" si="78"/>
        <v>2093</v>
      </c>
    </row>
    <row r="411" spans="1:16">
      <c r="B411" s="167" t="s">
        <v>426</v>
      </c>
      <c r="D411" s="178">
        <f>D410/C410-1</f>
        <v>3.8590604026845554E-2</v>
      </c>
      <c r="E411" s="178">
        <f t="shared" ref="E411:M411" si="79">E410/D410-1</f>
        <v>0.27463651050080773</v>
      </c>
      <c r="F411" s="178">
        <f t="shared" si="79"/>
        <v>0</v>
      </c>
      <c r="G411" s="178">
        <f t="shared" si="79"/>
        <v>4.0557667934093766E-2</v>
      </c>
      <c r="H411" s="178">
        <f t="shared" si="79"/>
        <v>9.5006090133982868E-2</v>
      </c>
      <c r="I411" s="178">
        <f t="shared" si="79"/>
        <v>0.31701890989988879</v>
      </c>
      <c r="J411" s="178">
        <f t="shared" si="79"/>
        <v>0.4864864864864864</v>
      </c>
      <c r="K411" s="178">
        <f t="shared" si="79"/>
        <v>-0.14886363636363631</v>
      </c>
      <c r="L411" s="178">
        <f t="shared" si="79"/>
        <v>3.6715620827770357E-2</v>
      </c>
      <c r="M411" s="178">
        <f t="shared" si="79"/>
        <v>0.34771410173857054</v>
      </c>
      <c r="O411" s="104">
        <f>MEDIAN(D411:M411)</f>
        <v>6.7781879034038317E-2</v>
      </c>
      <c r="P411" s="104">
        <f>AVERAGE(D411:M411)</f>
        <v>0.14878623551848097</v>
      </c>
    </row>
    <row r="412" spans="1:16">
      <c r="B412" s="167"/>
      <c r="D412" s="178"/>
      <c r="E412" s="178"/>
      <c r="F412" s="178"/>
      <c r="G412" s="178"/>
      <c r="H412" s="178"/>
      <c r="I412" s="178"/>
      <c r="J412" s="178"/>
      <c r="K412" s="178"/>
      <c r="L412" s="178"/>
      <c r="M412" s="178"/>
    </row>
    <row r="413" spans="1:16">
      <c r="B413" s="20" t="s">
        <v>427</v>
      </c>
      <c r="D413" s="134">
        <f>AVERAGE(C410:D410)</f>
        <v>607.5</v>
      </c>
      <c r="E413" s="134">
        <f t="shared" ref="E413:M413" si="80">AVERAGE(D410:E410)</f>
        <v>704</v>
      </c>
      <c r="F413" s="134">
        <f t="shared" si="80"/>
        <v>789</v>
      </c>
      <c r="G413" s="134">
        <f t="shared" si="80"/>
        <v>805</v>
      </c>
      <c r="H413" s="134">
        <f t="shared" si="80"/>
        <v>860</v>
      </c>
      <c r="I413" s="134">
        <f t="shared" si="80"/>
        <v>1041.5</v>
      </c>
      <c r="J413" s="134">
        <f t="shared" si="80"/>
        <v>1472</v>
      </c>
      <c r="K413" s="134">
        <f t="shared" si="80"/>
        <v>1629</v>
      </c>
      <c r="L413" s="134">
        <f t="shared" si="80"/>
        <v>1525.5</v>
      </c>
      <c r="M413" s="134">
        <f t="shared" si="80"/>
        <v>1823</v>
      </c>
      <c r="O413" s="134"/>
      <c r="P413" s="134"/>
    </row>
    <row r="414" spans="1:16">
      <c r="B414" s="20"/>
    </row>
    <row r="415" spans="1:16">
      <c r="B415" s="20" t="s">
        <v>433</v>
      </c>
      <c r="D415" s="76">
        <f>D413/D407</f>
        <v>0.1540314401622718</v>
      </c>
      <c r="E415" s="76">
        <f t="shared" ref="E415:M415" si="81">E413/E407</f>
        <v>0.16065723413966226</v>
      </c>
      <c r="F415" s="76">
        <f t="shared" si="81"/>
        <v>0.1603332655964235</v>
      </c>
      <c r="G415" s="76">
        <f t="shared" si="81"/>
        <v>0.16164658634538154</v>
      </c>
      <c r="H415" s="76">
        <f t="shared" si="81"/>
        <v>0.14645776566757493</v>
      </c>
      <c r="I415" s="76">
        <f t="shared" si="81"/>
        <v>0.16733611825192801</v>
      </c>
      <c r="J415" s="76">
        <f t="shared" si="81"/>
        <v>0.1891544590079671</v>
      </c>
      <c r="K415" s="76">
        <f t="shared" si="81"/>
        <v>0.18619270773802721</v>
      </c>
      <c r="L415" s="76">
        <f t="shared" si="81"/>
        <v>0.14760522496371553</v>
      </c>
      <c r="M415" s="76">
        <f t="shared" si="81"/>
        <v>0.14934054231178831</v>
      </c>
      <c r="O415" s="104">
        <f>MEDIAN(D415:M415)</f>
        <v>0.16049524986804287</v>
      </c>
      <c r="P415" s="104">
        <f>AVERAGE(D415:M415)</f>
        <v>0.162275534418474</v>
      </c>
    </row>
    <row r="417" spans="2:16">
      <c r="B417" s="20" t="s">
        <v>52</v>
      </c>
      <c r="C417" s="20">
        <v>1393</v>
      </c>
      <c r="D417" s="20">
        <v>1551</v>
      </c>
      <c r="E417" s="20">
        <v>1586</v>
      </c>
      <c r="F417" s="20">
        <v>1671</v>
      </c>
      <c r="G417" s="20">
        <v>1721</v>
      </c>
      <c r="H417" s="20">
        <v>1878</v>
      </c>
      <c r="I417" s="20">
        <v>1781</v>
      </c>
      <c r="J417" s="20">
        <v>2422</v>
      </c>
      <c r="K417" s="20">
        <v>2914</v>
      </c>
      <c r="L417" s="20">
        <v>3210</v>
      </c>
      <c r="M417" s="20">
        <v>3855</v>
      </c>
      <c r="O417" s="20"/>
      <c r="P417" s="20"/>
    </row>
    <row r="419" spans="2:16">
      <c r="B419" t="s">
        <v>438</v>
      </c>
      <c r="D419" s="106">
        <f>D417/D413</f>
        <v>2.5530864197530865</v>
      </c>
      <c r="E419" s="106">
        <f t="shared" ref="E419:M419" si="82">E417/E413</f>
        <v>2.2528409090909092</v>
      </c>
      <c r="F419" s="106">
        <f t="shared" si="82"/>
        <v>2.1178707224334601</v>
      </c>
      <c r="G419" s="106">
        <f t="shared" si="82"/>
        <v>2.1378881987577638</v>
      </c>
      <c r="H419" s="106">
        <f t="shared" si="82"/>
        <v>2.1837209302325582</v>
      </c>
      <c r="I419" s="106">
        <f t="shared" si="82"/>
        <v>1.7100336053768603</v>
      </c>
      <c r="J419" s="106">
        <f t="shared" si="82"/>
        <v>1.6453804347826086</v>
      </c>
      <c r="K419" s="106">
        <f t="shared" si="82"/>
        <v>1.788827501534684</v>
      </c>
      <c r="L419" s="106">
        <f t="shared" si="82"/>
        <v>2.1042281219272372</v>
      </c>
      <c r="M419" s="106">
        <f t="shared" si="82"/>
        <v>2.1146461876028524</v>
      </c>
      <c r="O419" s="106">
        <f>MEDIAN(D419:M419)</f>
        <v>2.1162584550181562</v>
      </c>
      <c r="P419" s="106">
        <f>AVERAGE(D419:M419)</f>
        <v>2.0608523031492019</v>
      </c>
    </row>
    <row r="420" spans="2:16">
      <c r="B420" t="s">
        <v>437</v>
      </c>
      <c r="D420" s="106">
        <f>D407/D413</f>
        <v>6.492181069958848</v>
      </c>
      <c r="E420" s="106">
        <f t="shared" ref="E420:M420" si="83">E407/E413</f>
        <v>6.2244318181818183</v>
      </c>
      <c r="F420" s="106">
        <f t="shared" si="83"/>
        <v>6.2370088719898602</v>
      </c>
      <c r="G420" s="106">
        <f t="shared" si="83"/>
        <v>6.1863354037267078</v>
      </c>
      <c r="H420" s="106">
        <f t="shared" si="83"/>
        <v>6.8279069767441865</v>
      </c>
      <c r="I420" s="106">
        <f t="shared" si="83"/>
        <v>5.9759961593855015</v>
      </c>
      <c r="J420" s="106">
        <f t="shared" si="83"/>
        <v>5.2866847826086953</v>
      </c>
      <c r="K420" s="106">
        <f t="shared" si="83"/>
        <v>5.3707796193984043</v>
      </c>
      <c r="L420" s="106">
        <f t="shared" si="83"/>
        <v>6.7748279252704036</v>
      </c>
      <c r="M420" s="106">
        <f t="shared" si="83"/>
        <v>6.6961053208996164</v>
      </c>
      <c r="O420" s="106">
        <f>MEDIAN(D420:M420)</f>
        <v>6.2307203450858388</v>
      </c>
      <c r="P420" s="106">
        <f>AVERAGE(D420:M420)</f>
        <v>6.207225794816404</v>
      </c>
    </row>
    <row r="422" spans="2:16">
      <c r="B422" t="s">
        <v>439</v>
      </c>
      <c r="D422" s="134">
        <f t="shared" ref="D422:M422" si="84">$B$424/D419</f>
        <v>142.96421663442939</v>
      </c>
      <c r="E422" s="134">
        <f t="shared" si="84"/>
        <v>162.01765447667086</v>
      </c>
      <c r="F422" s="134">
        <f t="shared" si="84"/>
        <v>172.34290843806104</v>
      </c>
      <c r="G422" s="134">
        <f t="shared" si="84"/>
        <v>170.72922719349216</v>
      </c>
      <c r="H422" s="134">
        <f t="shared" si="84"/>
        <v>167.14589989350372</v>
      </c>
      <c r="I422" s="134">
        <f t="shared" si="84"/>
        <v>213.44609769792251</v>
      </c>
      <c r="J422" s="134">
        <f t="shared" si="84"/>
        <v>221.83319570602808</v>
      </c>
      <c r="K422" s="134">
        <f t="shared" si="84"/>
        <v>204.04426904598489</v>
      </c>
      <c r="L422" s="134">
        <f t="shared" si="84"/>
        <v>173.46028037383175</v>
      </c>
      <c r="M422" s="134">
        <f t="shared" si="84"/>
        <v>172.60570687418937</v>
      </c>
      <c r="O422" s="134">
        <f>MEDIAN(D422:M422)</f>
        <v>172.47430765612521</v>
      </c>
      <c r="P422" s="134">
        <f>AVERAGE(D422:M422)</f>
        <v>180.05894563341138</v>
      </c>
    </row>
    <row r="423" spans="2:16">
      <c r="B423" t="s">
        <v>440</v>
      </c>
      <c r="D423" s="134">
        <f t="shared" ref="D423:M423" si="85">$B$424/D420</f>
        <v>56.221475659229206</v>
      </c>
      <c r="E423" s="134">
        <f t="shared" si="85"/>
        <v>58.639890460976723</v>
      </c>
      <c r="F423" s="134">
        <f t="shared" si="85"/>
        <v>58.521641942694579</v>
      </c>
      <c r="G423" s="134">
        <f t="shared" si="85"/>
        <v>59.001004016064257</v>
      </c>
      <c r="H423" s="134">
        <f t="shared" si="85"/>
        <v>53.457084468664846</v>
      </c>
      <c r="I423" s="134">
        <f t="shared" si="85"/>
        <v>61.077683161953729</v>
      </c>
      <c r="J423" s="134">
        <f t="shared" si="85"/>
        <v>69.041377537907991</v>
      </c>
      <c r="K423" s="134">
        <f t="shared" si="85"/>
        <v>67.960338324379919</v>
      </c>
      <c r="L423" s="134">
        <f t="shared" si="85"/>
        <v>53.875907111756163</v>
      </c>
      <c r="M423" s="134">
        <f t="shared" si="85"/>
        <v>54.509297943802736</v>
      </c>
      <c r="O423" s="277">
        <f t="shared" ref="O423" si="86">MEDIAN(D423:M423)</f>
        <v>58.580766201835651</v>
      </c>
      <c r="P423" s="134">
        <f t="shared" ref="P423" si="87">AVERAGE(D423:M423)</f>
        <v>59.230570062743006</v>
      </c>
    </row>
    <row r="424" spans="2:16">
      <c r="B424" s="180">
        <v>365</v>
      </c>
    </row>
    <row r="426" spans="2:16">
      <c r="B426" s="108" t="s">
        <v>428</v>
      </c>
      <c r="C426" s="108">
        <v>2015</v>
      </c>
      <c r="D426" s="108">
        <f>C426+1</f>
        <v>2016</v>
      </c>
      <c r="E426" s="108">
        <f t="shared" ref="E426" si="88">D426+1</f>
        <v>2017</v>
      </c>
      <c r="F426" s="108">
        <f t="shared" ref="F426" si="89">E426+1</f>
        <v>2018</v>
      </c>
      <c r="G426" s="108">
        <f t="shared" ref="G426" si="90">F426+1</f>
        <v>2019</v>
      </c>
      <c r="H426" s="108">
        <f t="shared" ref="H426" si="91">G426+1</f>
        <v>2020</v>
      </c>
      <c r="I426" s="108">
        <f t="shared" ref="I426" si="92">H426+1</f>
        <v>2021</v>
      </c>
      <c r="J426" s="108">
        <f t="shared" ref="J426" si="93">I426+1</f>
        <v>2022</v>
      </c>
      <c r="K426" s="108">
        <f t="shared" ref="K426" si="94">J426+1</f>
        <v>2023</v>
      </c>
      <c r="L426" s="108">
        <f t="shared" ref="L426" si="95">K426+1</f>
        <v>2024</v>
      </c>
      <c r="M426" s="108">
        <f t="shared" ref="M426" si="96">L426+1</f>
        <v>2025</v>
      </c>
    </row>
    <row r="427" spans="2:16">
      <c r="B427" s="23" t="s">
        <v>429</v>
      </c>
      <c r="C427" s="23"/>
      <c r="D427" s="192">
        <f t="shared" ref="D427:M427" si="97">D422</f>
        <v>142.96421663442939</v>
      </c>
      <c r="E427" s="192">
        <f t="shared" si="97"/>
        <v>162.01765447667086</v>
      </c>
      <c r="F427" s="192">
        <f t="shared" si="97"/>
        <v>172.34290843806104</v>
      </c>
      <c r="G427" s="192">
        <f t="shared" si="97"/>
        <v>170.72922719349216</v>
      </c>
      <c r="H427" s="192">
        <f t="shared" si="97"/>
        <v>167.14589989350372</v>
      </c>
      <c r="I427" s="192">
        <f t="shared" si="97"/>
        <v>213.44609769792251</v>
      </c>
      <c r="J427" s="192">
        <f t="shared" si="97"/>
        <v>221.83319570602808</v>
      </c>
      <c r="K427" s="192">
        <f t="shared" si="97"/>
        <v>204.04426904598489</v>
      </c>
      <c r="L427" s="192">
        <f t="shared" si="97"/>
        <v>173.46028037383175</v>
      </c>
      <c r="M427" s="192">
        <f t="shared" si="97"/>
        <v>172.60570687418937</v>
      </c>
    </row>
    <row r="428" spans="2:16">
      <c r="B428" s="23" t="s">
        <v>430</v>
      </c>
      <c r="C428" s="193">
        <v>248</v>
      </c>
      <c r="D428" s="193">
        <v>248</v>
      </c>
      <c r="E428" s="193">
        <v>282</v>
      </c>
      <c r="F428" s="193">
        <v>263</v>
      </c>
      <c r="G428" s="193">
        <v>273</v>
      </c>
      <c r="H428" s="193">
        <v>230</v>
      </c>
      <c r="I428" s="193">
        <v>273</v>
      </c>
      <c r="J428" s="193">
        <v>250</v>
      </c>
      <c r="K428" s="193">
        <v>232</v>
      </c>
      <c r="L428" s="193">
        <v>283</v>
      </c>
      <c r="M428" s="193">
        <v>260</v>
      </c>
    </row>
    <row r="429" spans="2:16">
      <c r="B429" s="23" t="s">
        <v>431</v>
      </c>
      <c r="C429" s="193">
        <v>329</v>
      </c>
      <c r="D429" s="193">
        <v>273</v>
      </c>
      <c r="E429" s="193">
        <v>239</v>
      </c>
      <c r="F429" s="193">
        <v>271</v>
      </c>
      <c r="G429" s="193">
        <v>250</v>
      </c>
      <c r="H429" s="193">
        <v>267</v>
      </c>
      <c r="I429" s="193">
        <v>232</v>
      </c>
      <c r="J429" s="193">
        <v>230</v>
      </c>
      <c r="K429" s="193">
        <v>228</v>
      </c>
      <c r="L429" s="193">
        <v>217</v>
      </c>
      <c r="M429" s="193">
        <v>231</v>
      </c>
    </row>
    <row r="430" spans="2:16">
      <c r="B430" s="23" t="s">
        <v>432</v>
      </c>
      <c r="C430" s="193">
        <v>307</v>
      </c>
      <c r="D430" s="193">
        <v>370</v>
      </c>
      <c r="E430" s="193">
        <v>307</v>
      </c>
      <c r="F430" s="193">
        <v>338</v>
      </c>
      <c r="G430" s="193">
        <v>366</v>
      </c>
      <c r="H430" s="193">
        <v>311</v>
      </c>
      <c r="I430" s="193">
        <v>378</v>
      </c>
      <c r="J430" s="193">
        <v>315</v>
      </c>
      <c r="K430" s="193">
        <v>360</v>
      </c>
      <c r="L430" s="193">
        <v>338</v>
      </c>
      <c r="M430" s="193">
        <v>348</v>
      </c>
    </row>
    <row r="431" spans="2:16">
      <c r="B431" s="20"/>
    </row>
    <row r="432" spans="2:16">
      <c r="B432" s="24" t="s">
        <v>357</v>
      </c>
      <c r="C432" s="179">
        <f>MEDIAN(C428:C430)</f>
        <v>307</v>
      </c>
      <c r="D432" s="179">
        <f t="shared" ref="D432:M432" si="98">MEDIAN(D428:D430)</f>
        <v>273</v>
      </c>
      <c r="E432" s="179">
        <f t="shared" si="98"/>
        <v>282</v>
      </c>
      <c r="F432" s="179">
        <f t="shared" si="98"/>
        <v>271</v>
      </c>
      <c r="G432" s="179">
        <f t="shared" si="98"/>
        <v>273</v>
      </c>
      <c r="H432" s="179">
        <f t="shared" si="98"/>
        <v>267</v>
      </c>
      <c r="I432" s="179">
        <f t="shared" si="98"/>
        <v>273</v>
      </c>
      <c r="J432" s="179">
        <f t="shared" si="98"/>
        <v>250</v>
      </c>
      <c r="K432" s="179">
        <f t="shared" si="98"/>
        <v>232</v>
      </c>
      <c r="L432" s="179">
        <f t="shared" si="98"/>
        <v>283</v>
      </c>
      <c r="M432" s="179">
        <f t="shared" si="98"/>
        <v>260</v>
      </c>
    </row>
    <row r="433" spans="2:13">
      <c r="B433" s="24" t="s">
        <v>358</v>
      </c>
      <c r="C433" s="179">
        <f>AVERAGE(C428:C430)</f>
        <v>294.66666666666669</v>
      </c>
      <c r="D433" s="179">
        <f t="shared" ref="D433:M433" si="99">AVERAGE(D428:D430)</f>
        <v>297</v>
      </c>
      <c r="E433" s="179">
        <f t="shared" si="99"/>
        <v>276</v>
      </c>
      <c r="F433" s="179">
        <f t="shared" si="99"/>
        <v>290.66666666666669</v>
      </c>
      <c r="G433" s="179">
        <f t="shared" si="99"/>
        <v>296.33333333333331</v>
      </c>
      <c r="H433" s="179">
        <f t="shared" si="99"/>
        <v>269.33333333333331</v>
      </c>
      <c r="I433" s="179">
        <f t="shared" si="99"/>
        <v>294.33333333333331</v>
      </c>
      <c r="J433" s="179">
        <f t="shared" si="99"/>
        <v>265</v>
      </c>
      <c r="K433" s="179">
        <f t="shared" si="99"/>
        <v>273.33333333333331</v>
      </c>
      <c r="L433" s="179">
        <f t="shared" si="99"/>
        <v>279.33333333333331</v>
      </c>
      <c r="M433" s="179">
        <f t="shared" si="99"/>
        <v>279.66666666666669</v>
      </c>
    </row>
    <row r="435" spans="2:13">
      <c r="B435" s="108" t="s">
        <v>374</v>
      </c>
      <c r="C435" s="108">
        <v>2026</v>
      </c>
      <c r="D435" s="108">
        <v>2027</v>
      </c>
    </row>
    <row r="436" spans="2:13">
      <c r="B436" t="s">
        <v>435</v>
      </c>
      <c r="C436" s="134">
        <v>183</v>
      </c>
      <c r="D436" s="134">
        <v>184</v>
      </c>
    </row>
    <row r="437" spans="2:13">
      <c r="B437" t="s">
        <v>434</v>
      </c>
      <c r="C437">
        <v>59</v>
      </c>
      <c r="D437">
        <v>61</v>
      </c>
      <c r="F437" t="s">
        <v>436</v>
      </c>
    </row>
    <row r="458" spans="1:16" ht="18">
      <c r="A458" t="s">
        <v>23</v>
      </c>
      <c r="B458" s="14" t="s">
        <v>10</v>
      </c>
    </row>
    <row r="460" spans="1:16">
      <c r="B460" s="108" t="s">
        <v>161</v>
      </c>
      <c r="C460" s="108">
        <v>2015</v>
      </c>
      <c r="D460" s="108">
        <f>C460+1</f>
        <v>2016</v>
      </c>
      <c r="E460" s="108">
        <f t="shared" ref="E460" si="100">D460+1</f>
        <v>2017</v>
      </c>
      <c r="F460" s="108">
        <f t="shared" ref="F460" si="101">E460+1</f>
        <v>2018</v>
      </c>
      <c r="G460" s="108">
        <f t="shared" ref="G460" si="102">F460+1</f>
        <v>2019</v>
      </c>
      <c r="H460" s="108">
        <f t="shared" ref="H460" si="103">G460+1</f>
        <v>2020</v>
      </c>
      <c r="I460" s="108">
        <f t="shared" ref="I460" si="104">H460+1</f>
        <v>2021</v>
      </c>
      <c r="J460" s="108">
        <f t="shared" ref="J460" si="105">I460+1</f>
        <v>2022</v>
      </c>
      <c r="K460" s="108">
        <f t="shared" ref="K460" si="106">J460+1</f>
        <v>2023</v>
      </c>
      <c r="L460" s="108">
        <f t="shared" ref="L460" si="107">K460+1</f>
        <v>2024</v>
      </c>
      <c r="M460" s="108">
        <f t="shared" ref="M460" si="108">L460+1</f>
        <v>2025</v>
      </c>
      <c r="O460" s="184" t="s">
        <v>357</v>
      </c>
      <c r="P460" s="184" t="s">
        <v>358</v>
      </c>
    </row>
    <row r="461" spans="1:16">
      <c r="B461" s="20" t="s">
        <v>41</v>
      </c>
      <c r="C461" s="110">
        <v>3323</v>
      </c>
      <c r="D461" s="110">
        <v>3944</v>
      </c>
      <c r="E461" s="110">
        <v>4382</v>
      </c>
      <c r="F461" s="110">
        <v>4921</v>
      </c>
      <c r="G461" s="110">
        <v>4980</v>
      </c>
      <c r="H461" s="110">
        <v>5872</v>
      </c>
      <c r="I461" s="110">
        <v>6224</v>
      </c>
      <c r="J461" s="110">
        <v>7782</v>
      </c>
      <c r="K461" s="110">
        <v>8749</v>
      </c>
      <c r="L461" s="110">
        <v>10335</v>
      </c>
      <c r="M461" s="110">
        <v>12207</v>
      </c>
      <c r="O461" s="110"/>
      <c r="P461" s="110"/>
    </row>
    <row r="462" spans="1:16">
      <c r="B462" s="167" t="s">
        <v>163</v>
      </c>
      <c r="D462" s="178">
        <f>D461/C461-1</f>
        <v>0.18687932591032208</v>
      </c>
      <c r="E462" s="178">
        <f t="shared" ref="E462" si="109">E461/D461-1</f>
        <v>0.11105476673427983</v>
      </c>
      <c r="F462" s="178">
        <f t="shared" ref="F462" si="110">F461/E461-1</f>
        <v>0.1230031948881789</v>
      </c>
      <c r="G462" s="178">
        <f t="shared" ref="G462" si="111">G461/F461-1</f>
        <v>1.1989433042064679E-2</v>
      </c>
      <c r="H462" s="178">
        <f t="shared" ref="H462" si="112">H461/G461-1</f>
        <v>0.17911646586345387</v>
      </c>
      <c r="I462" s="178">
        <f t="shared" ref="I462" si="113">I461/H461-1</f>
        <v>5.9945504087193457E-2</v>
      </c>
      <c r="J462" s="178">
        <f t="shared" ref="J462" si="114">J461/I461-1</f>
        <v>0.25032133676092538</v>
      </c>
      <c r="K462" s="178">
        <f t="shared" ref="K462" si="115">K461/J461-1</f>
        <v>0.12426111539450013</v>
      </c>
      <c r="L462" s="178">
        <f t="shared" ref="L462" si="116">L461/K461-1</f>
        <v>0.18127786032689452</v>
      </c>
      <c r="M462" s="178">
        <f t="shared" ref="M462" si="117">M461/L461-1</f>
        <v>0.18113207547169807</v>
      </c>
      <c r="O462" s="104">
        <f>MEDIAN(D462:M462)</f>
        <v>0.151688790628977</v>
      </c>
      <c r="P462" s="104">
        <f>AVERAGE(D462:M462)</f>
        <v>0.14089810784795109</v>
      </c>
    </row>
    <row r="464" spans="1:16">
      <c r="B464" s="20" t="s">
        <v>442</v>
      </c>
      <c r="C464" s="110">
        <v>197</v>
      </c>
      <c r="D464" s="110">
        <v>193</v>
      </c>
      <c r="E464" s="110">
        <v>166</v>
      </c>
      <c r="F464" s="110">
        <v>297</v>
      </c>
      <c r="G464" s="110">
        <v>220</v>
      </c>
      <c r="H464" s="110">
        <v>531</v>
      </c>
      <c r="I464" s="110">
        <v>331</v>
      </c>
      <c r="J464" s="110">
        <v>388</v>
      </c>
      <c r="K464" s="110">
        <v>576</v>
      </c>
      <c r="L464" s="110">
        <v>848</v>
      </c>
      <c r="M464" s="110">
        <v>1538</v>
      </c>
    </row>
    <row r="465" spans="2:17">
      <c r="B465" s="167" t="s">
        <v>443</v>
      </c>
      <c r="D465" s="178">
        <f>D464/C464-1</f>
        <v>-2.0304568527918732E-2</v>
      </c>
      <c r="E465" s="178">
        <f t="shared" ref="E465" si="118">E464/D464-1</f>
        <v>-0.13989637305699487</v>
      </c>
      <c r="F465" s="178">
        <f t="shared" ref="F465" si="119">F464/E464-1</f>
        <v>0.78915662650602414</v>
      </c>
      <c r="G465" s="178">
        <f t="shared" ref="G465" si="120">G464/F464-1</f>
        <v>-0.2592592592592593</v>
      </c>
      <c r="H465" s="178">
        <f t="shared" ref="H465" si="121">H464/G464-1</f>
        <v>1.4136363636363636</v>
      </c>
      <c r="I465" s="178">
        <f t="shared" ref="I465" si="122">I464/H464-1</f>
        <v>-0.37664783427495296</v>
      </c>
      <c r="J465" s="178">
        <f t="shared" ref="J465" si="123">J464/I464-1</f>
        <v>0.17220543806646527</v>
      </c>
      <c r="K465" s="178">
        <f t="shared" ref="K465" si="124">K464/J464-1</f>
        <v>0.48453608247422686</v>
      </c>
      <c r="L465" s="178">
        <f t="shared" ref="L465" si="125">L464/K464-1</f>
        <v>0.47222222222222232</v>
      </c>
      <c r="M465" s="178">
        <f t="shared" ref="M465" si="126">M464/L464-1</f>
        <v>0.81367924528301883</v>
      </c>
      <c r="O465" s="104">
        <f>MEDIAN(D465:M465)</f>
        <v>0.32221383014434379</v>
      </c>
      <c r="P465" s="104">
        <f>AVERAGE(D465:M465)</f>
        <v>0.33493279430691952</v>
      </c>
    </row>
    <row r="467" spans="2:17">
      <c r="B467" s="20" t="s">
        <v>444</v>
      </c>
      <c r="D467" s="134">
        <f>AVERAGE(C464:D464)</f>
        <v>195</v>
      </c>
      <c r="E467" s="134">
        <f t="shared" ref="E467:M467" si="127">AVERAGE(D464:E464)</f>
        <v>179.5</v>
      </c>
      <c r="F467" s="134">
        <f t="shared" si="127"/>
        <v>231.5</v>
      </c>
      <c r="G467" s="134">
        <f t="shared" si="127"/>
        <v>258.5</v>
      </c>
      <c r="H467" s="134">
        <f t="shared" si="127"/>
        <v>375.5</v>
      </c>
      <c r="I467" s="134">
        <f t="shared" si="127"/>
        <v>431</v>
      </c>
      <c r="J467" s="134">
        <f t="shared" si="127"/>
        <v>359.5</v>
      </c>
      <c r="K467" s="134">
        <f t="shared" si="127"/>
        <v>482</v>
      </c>
      <c r="L467" s="134">
        <f t="shared" si="127"/>
        <v>712</v>
      </c>
      <c r="M467" s="134">
        <f t="shared" si="127"/>
        <v>1193</v>
      </c>
    </row>
    <row r="468" spans="2:17">
      <c r="B468" s="20"/>
    </row>
    <row r="469" spans="2:17">
      <c r="B469" s="20" t="s">
        <v>445</v>
      </c>
      <c r="D469" s="76">
        <f>D467/D461</f>
        <v>4.9442190669371194E-2</v>
      </c>
      <c r="E469" s="76">
        <f t="shared" ref="E469:M469" si="128">E467/E461</f>
        <v>4.0963030579643997E-2</v>
      </c>
      <c r="F469" s="76">
        <f t="shared" si="128"/>
        <v>4.7043283885389149E-2</v>
      </c>
      <c r="G469" s="76">
        <f t="shared" si="128"/>
        <v>5.1907630522088355E-2</v>
      </c>
      <c r="H469" s="76">
        <f t="shared" si="128"/>
        <v>6.3947547683923703E-2</v>
      </c>
      <c r="I469" s="76">
        <f t="shared" si="128"/>
        <v>6.9248071979434445E-2</v>
      </c>
      <c r="J469" s="76">
        <f t="shared" si="128"/>
        <v>4.6196350552557185E-2</v>
      </c>
      <c r="K469" s="76">
        <f t="shared" si="128"/>
        <v>5.5092010515487483E-2</v>
      </c>
      <c r="L469" s="76">
        <f t="shared" si="128"/>
        <v>6.8892114175133037E-2</v>
      </c>
      <c r="M469" s="76">
        <f t="shared" si="128"/>
        <v>9.7730810190874082E-2</v>
      </c>
      <c r="O469" s="104">
        <f>MEDIAN(D469:M469)</f>
        <v>5.3499820518787919E-2</v>
      </c>
      <c r="P469" s="104">
        <f>AVERAGE(D469:M469)</f>
        <v>5.9046304075390264E-2</v>
      </c>
    </row>
    <row r="470" spans="2:17">
      <c r="B470" s="20"/>
      <c r="D470" s="76"/>
      <c r="E470" s="76"/>
      <c r="F470" s="76"/>
      <c r="G470" s="76"/>
      <c r="H470" s="76"/>
      <c r="I470" s="76"/>
      <c r="J470" s="76"/>
      <c r="K470" s="76"/>
      <c r="L470" s="76"/>
      <c r="M470" s="76"/>
    </row>
    <row r="471" spans="2:17">
      <c r="B471" s="20" t="s">
        <v>447</v>
      </c>
      <c r="C471" s="183">
        <f>C461/C464</f>
        <v>16.868020304568528</v>
      </c>
      <c r="D471" s="183">
        <f t="shared" ref="D471:M471" si="129">D461/D464</f>
        <v>20.435233160621763</v>
      </c>
      <c r="E471" s="183">
        <f t="shared" si="129"/>
        <v>26.397590361445783</v>
      </c>
      <c r="F471" s="183">
        <f t="shared" si="129"/>
        <v>16.569023569023567</v>
      </c>
      <c r="G471" s="183">
        <f t="shared" si="129"/>
        <v>22.636363636363637</v>
      </c>
      <c r="H471" s="183">
        <f t="shared" si="129"/>
        <v>11.058380414312618</v>
      </c>
      <c r="I471" s="183">
        <f t="shared" si="129"/>
        <v>18.803625377643506</v>
      </c>
      <c r="J471" s="183">
        <f t="shared" si="129"/>
        <v>20.056701030927837</v>
      </c>
      <c r="K471" s="183">
        <f t="shared" si="129"/>
        <v>15.189236111111111</v>
      </c>
      <c r="L471" s="183">
        <f t="shared" si="129"/>
        <v>12.1875</v>
      </c>
      <c r="M471" s="183">
        <f t="shared" si="129"/>
        <v>7.9369310793237968</v>
      </c>
      <c r="O471" s="183">
        <f>MEDIAN(D471:M471)</f>
        <v>17.686324473333535</v>
      </c>
      <c r="P471" s="183">
        <f>AVERAGE(D471:M471)</f>
        <v>17.127058474077362</v>
      </c>
    </row>
    <row r="473" spans="2:17">
      <c r="B473" s="20" t="s">
        <v>446</v>
      </c>
      <c r="C473" s="134">
        <f>$B$474/C471</f>
        <v>21.638579596749924</v>
      </c>
      <c r="D473" s="134">
        <f t="shared" ref="D473:M473" si="130">$B$474/D471</f>
        <v>17.861308316430019</v>
      </c>
      <c r="E473" s="134">
        <f t="shared" si="130"/>
        <v>13.82701962574167</v>
      </c>
      <c r="F473" s="134">
        <f t="shared" si="130"/>
        <v>22.029059134322296</v>
      </c>
      <c r="G473" s="134">
        <f t="shared" si="130"/>
        <v>16.124497991967871</v>
      </c>
      <c r="H473" s="134">
        <f t="shared" si="130"/>
        <v>33.006641689373296</v>
      </c>
      <c r="I473" s="134">
        <f t="shared" si="130"/>
        <v>19.411150385604113</v>
      </c>
      <c r="J473" s="134">
        <f t="shared" si="130"/>
        <v>18.198406579285528</v>
      </c>
      <c r="K473" s="134">
        <f t="shared" si="130"/>
        <v>24.030174877128815</v>
      </c>
      <c r="L473" s="134">
        <f t="shared" si="130"/>
        <v>29.948717948717949</v>
      </c>
      <c r="M473" s="134">
        <f t="shared" si="130"/>
        <v>45.987548128123208</v>
      </c>
      <c r="O473" s="134">
        <f>MEDIAN(D473:M473)</f>
        <v>20.720104759963206</v>
      </c>
      <c r="P473" s="134">
        <f>AVERAGE(D473:M473)</f>
        <v>24.042452467669477</v>
      </c>
    </row>
    <row r="474" spans="2:17">
      <c r="B474" s="180">
        <v>365</v>
      </c>
    </row>
    <row r="476" spans="2:17">
      <c r="B476" s="108" t="s">
        <v>448</v>
      </c>
      <c r="C476" s="108">
        <v>2015</v>
      </c>
      <c r="D476" s="108">
        <f>C476+1</f>
        <v>2016</v>
      </c>
      <c r="E476" s="108">
        <f t="shared" ref="E476" si="131">D476+1</f>
        <v>2017</v>
      </c>
      <c r="F476" s="108">
        <f t="shared" ref="F476" si="132">E476+1</f>
        <v>2018</v>
      </c>
      <c r="G476" s="108">
        <f t="shared" ref="G476" si="133">F476+1</f>
        <v>2019</v>
      </c>
      <c r="H476" s="108">
        <f t="shared" ref="H476" si="134">G476+1</f>
        <v>2020</v>
      </c>
      <c r="I476" s="108">
        <f t="shared" ref="I476" si="135">H476+1</f>
        <v>2021</v>
      </c>
      <c r="J476" s="108">
        <f t="shared" ref="J476" si="136">I476+1</f>
        <v>2022</v>
      </c>
      <c r="K476" s="108">
        <f t="shared" ref="K476" si="137">J476+1</f>
        <v>2023</v>
      </c>
      <c r="L476" s="108">
        <f t="shared" ref="L476" si="138">K476+1</f>
        <v>2024</v>
      </c>
      <c r="M476" s="108">
        <f t="shared" ref="M476" si="139">L476+1</f>
        <v>2025</v>
      </c>
    </row>
    <row r="477" spans="2:17">
      <c r="B477" s="23" t="s">
        <v>429</v>
      </c>
      <c r="C477" s="134">
        <f>C473</f>
        <v>21.638579596749924</v>
      </c>
      <c r="D477" s="134">
        <f t="shared" ref="D477:M477" si="140">D473</f>
        <v>17.861308316430019</v>
      </c>
      <c r="E477" s="134">
        <f t="shared" si="140"/>
        <v>13.82701962574167</v>
      </c>
      <c r="F477" s="134">
        <f t="shared" si="140"/>
        <v>22.029059134322296</v>
      </c>
      <c r="G477" s="134">
        <f t="shared" si="140"/>
        <v>16.124497991967871</v>
      </c>
      <c r="H477" s="134">
        <f t="shared" si="140"/>
        <v>33.006641689373296</v>
      </c>
      <c r="I477" s="134">
        <f t="shared" si="140"/>
        <v>19.411150385604113</v>
      </c>
      <c r="J477" s="134">
        <f t="shared" si="140"/>
        <v>18.198406579285528</v>
      </c>
      <c r="K477" s="134">
        <f t="shared" si="140"/>
        <v>24.030174877128815</v>
      </c>
      <c r="L477" s="134">
        <f t="shared" si="140"/>
        <v>29.948717948717949</v>
      </c>
      <c r="M477" s="134">
        <f t="shared" si="140"/>
        <v>45.987548128123208</v>
      </c>
      <c r="O477" s="134">
        <f>MEDIAN(C477:M477)</f>
        <v>21.638579596749924</v>
      </c>
      <c r="P477" s="134">
        <f>AVERAGE(C477:M477)</f>
        <v>23.823918570313154</v>
      </c>
      <c r="Q477">
        <v>25</v>
      </c>
    </row>
    <row r="478" spans="2:17">
      <c r="B478" s="23" t="s">
        <v>430</v>
      </c>
      <c r="C478" s="193">
        <v>100</v>
      </c>
      <c r="D478" s="193">
        <v>97</v>
      </c>
      <c r="E478" s="193">
        <v>98</v>
      </c>
      <c r="F478" s="193">
        <v>104</v>
      </c>
      <c r="G478" s="193">
        <v>94</v>
      </c>
      <c r="H478" s="193">
        <v>105</v>
      </c>
      <c r="I478" s="193">
        <v>95</v>
      </c>
      <c r="J478" s="193">
        <v>113</v>
      </c>
      <c r="K478" s="193">
        <v>107</v>
      </c>
      <c r="L478" s="193">
        <v>105</v>
      </c>
      <c r="M478" s="193">
        <v>101</v>
      </c>
    </row>
    <row r="479" spans="2:17">
      <c r="B479" s="23" t="s">
        <v>431</v>
      </c>
      <c r="C479" s="193">
        <v>64</v>
      </c>
      <c r="D479" s="193">
        <v>62</v>
      </c>
      <c r="E479" s="193">
        <v>65</v>
      </c>
      <c r="F479" s="193">
        <v>75</v>
      </c>
      <c r="G479" s="193">
        <v>93</v>
      </c>
      <c r="H479" s="193">
        <v>83</v>
      </c>
      <c r="I479" s="193">
        <v>66</v>
      </c>
      <c r="J479" s="193">
        <v>57</v>
      </c>
      <c r="K479" s="193">
        <v>65</v>
      </c>
      <c r="L479" s="193">
        <v>68</v>
      </c>
      <c r="M479">
        <v>73</v>
      </c>
    </row>
    <row r="480" spans="2:17">
      <c r="B480" s="23" t="s">
        <v>432</v>
      </c>
      <c r="C480" s="23">
        <v>68</v>
      </c>
      <c r="D480" s="23">
        <v>87</v>
      </c>
      <c r="E480" s="23">
        <v>83</v>
      </c>
      <c r="F480" s="23">
        <v>108</v>
      </c>
      <c r="G480" s="23">
        <v>112</v>
      </c>
      <c r="H480" s="23">
        <v>105</v>
      </c>
      <c r="I480" s="23">
        <v>99</v>
      </c>
      <c r="J480" s="23">
        <v>99</v>
      </c>
      <c r="K480" s="23">
        <v>95</v>
      </c>
      <c r="L480" s="23">
        <v>85</v>
      </c>
      <c r="M480" s="23">
        <v>91</v>
      </c>
    </row>
    <row r="481" spans="2:13">
      <c r="B481" s="20"/>
    </row>
    <row r="482" spans="2:13">
      <c r="B482" s="24" t="s">
        <v>357</v>
      </c>
      <c r="C482" s="179">
        <f>MEDIAN(C478:C480)</f>
        <v>68</v>
      </c>
      <c r="D482" s="179">
        <f t="shared" ref="D482:M482" si="141">MEDIAN(D478:D480)</f>
        <v>87</v>
      </c>
      <c r="E482" s="179">
        <f t="shared" si="141"/>
        <v>83</v>
      </c>
      <c r="F482" s="179">
        <f t="shared" si="141"/>
        <v>104</v>
      </c>
      <c r="G482" s="179">
        <f t="shared" si="141"/>
        <v>94</v>
      </c>
      <c r="H482" s="179">
        <f t="shared" si="141"/>
        <v>105</v>
      </c>
      <c r="I482" s="179">
        <f t="shared" si="141"/>
        <v>95</v>
      </c>
      <c r="J482" s="179">
        <f t="shared" si="141"/>
        <v>99</v>
      </c>
      <c r="K482" s="179">
        <f t="shared" si="141"/>
        <v>95</v>
      </c>
      <c r="L482" s="179">
        <f t="shared" si="141"/>
        <v>85</v>
      </c>
      <c r="M482" s="179">
        <f t="shared" si="141"/>
        <v>91</v>
      </c>
    </row>
    <row r="483" spans="2:13">
      <c r="B483" s="24" t="s">
        <v>358</v>
      </c>
      <c r="C483" s="179">
        <f>AVERAGE(C478:C480)</f>
        <v>77.333333333333329</v>
      </c>
      <c r="D483" s="179">
        <f t="shared" ref="D483:M483" si="142">AVERAGE(D478:D480)</f>
        <v>82</v>
      </c>
      <c r="E483" s="179">
        <f t="shared" si="142"/>
        <v>82</v>
      </c>
      <c r="F483" s="179">
        <f t="shared" si="142"/>
        <v>95.666666666666671</v>
      </c>
      <c r="G483" s="179">
        <f t="shared" si="142"/>
        <v>99.666666666666671</v>
      </c>
      <c r="H483" s="179">
        <f t="shared" si="142"/>
        <v>97.666666666666671</v>
      </c>
      <c r="I483" s="179">
        <f t="shared" si="142"/>
        <v>86.666666666666671</v>
      </c>
      <c r="J483" s="179">
        <f t="shared" si="142"/>
        <v>89.666666666666671</v>
      </c>
      <c r="K483" s="179">
        <f t="shared" si="142"/>
        <v>89</v>
      </c>
      <c r="L483" s="179">
        <f t="shared" si="142"/>
        <v>86</v>
      </c>
      <c r="M483" s="179">
        <f t="shared" si="142"/>
        <v>88.333333333333329</v>
      </c>
    </row>
    <row r="485" spans="2:13">
      <c r="B485" s="108" t="s">
        <v>374</v>
      </c>
      <c r="C485" s="108">
        <v>2026</v>
      </c>
      <c r="D485" s="108">
        <v>2027</v>
      </c>
    </row>
    <row r="486" spans="2:13">
      <c r="B486" t="s">
        <v>435</v>
      </c>
      <c r="C486" s="134">
        <v>41</v>
      </c>
      <c r="D486" s="134">
        <v>42</v>
      </c>
    </row>
    <row r="487" spans="2:13">
      <c r="B487" t="s">
        <v>434</v>
      </c>
      <c r="C487">
        <v>43</v>
      </c>
      <c r="D487">
        <v>41</v>
      </c>
    </row>
    <row r="490" spans="2:13">
      <c r="B490" s="108" t="s">
        <v>450</v>
      </c>
    </row>
    <row r="506" spans="2:9">
      <c r="C506">
        <v>1129</v>
      </c>
      <c r="D506" s="139">
        <v>400</v>
      </c>
      <c r="E506" s="139">
        <v>22</v>
      </c>
      <c r="F506" s="139">
        <v>16</v>
      </c>
      <c r="G506" s="72">
        <v>9</v>
      </c>
      <c r="H506" s="72">
        <v>20</v>
      </c>
      <c r="I506" s="139">
        <f>SUM(C506:H506)</f>
        <v>1596</v>
      </c>
    </row>
    <row r="507" spans="2:9">
      <c r="C507" s="76">
        <f>C506/$I$506</f>
        <v>0.70739348370927313</v>
      </c>
      <c r="D507" s="76">
        <f t="shared" ref="D507:I507" si="143">D506/$I$506</f>
        <v>0.25062656641604009</v>
      </c>
      <c r="E507" s="76">
        <f t="shared" si="143"/>
        <v>1.3784461152882205E-2</v>
      </c>
      <c r="F507" s="76">
        <f t="shared" si="143"/>
        <v>1.0025062656641603E-2</v>
      </c>
      <c r="G507" s="76">
        <f t="shared" si="143"/>
        <v>5.6390977443609019E-3</v>
      </c>
      <c r="H507" s="76">
        <f t="shared" si="143"/>
        <v>1.2531328320802004E-2</v>
      </c>
      <c r="I507" s="76">
        <f t="shared" si="143"/>
        <v>1</v>
      </c>
    </row>
    <row r="509" spans="2:9">
      <c r="B509" t="s">
        <v>449</v>
      </c>
    </row>
    <row r="515" spans="1:16" ht="15" customHeight="1">
      <c r="B515" s="363" t="s">
        <v>1239</v>
      </c>
    </row>
    <row r="516" spans="1:16" ht="18">
      <c r="A516" t="s">
        <v>23</v>
      </c>
      <c r="B516" s="14" t="s">
        <v>94</v>
      </c>
    </row>
    <row r="518" spans="1:16">
      <c r="B518" s="108" t="s">
        <v>94</v>
      </c>
      <c r="C518" s="108">
        <v>2015</v>
      </c>
      <c r="D518" s="108">
        <f>C518+1</f>
        <v>2016</v>
      </c>
      <c r="E518" s="108">
        <f t="shared" ref="E518" si="144">D518+1</f>
        <v>2017</v>
      </c>
      <c r="F518" s="108">
        <f t="shared" ref="F518" si="145">E518+1</f>
        <v>2018</v>
      </c>
      <c r="G518" s="108">
        <f t="shared" ref="G518" si="146">F518+1</f>
        <v>2019</v>
      </c>
      <c r="H518" s="108">
        <f t="shared" ref="H518" si="147">G518+1</f>
        <v>2020</v>
      </c>
      <c r="I518" s="108">
        <f t="shared" ref="I518" si="148">H518+1</f>
        <v>2021</v>
      </c>
      <c r="J518" s="108">
        <f t="shared" ref="J518" si="149">I518+1</f>
        <v>2022</v>
      </c>
      <c r="K518" s="108">
        <f t="shared" ref="K518" si="150">J518+1</f>
        <v>2023</v>
      </c>
      <c r="L518" s="108">
        <f t="shared" ref="L518" si="151">K518+1</f>
        <v>2024</v>
      </c>
      <c r="M518" s="108">
        <f t="shared" ref="M518" si="152">L518+1</f>
        <v>2025</v>
      </c>
      <c r="O518" s="184" t="s">
        <v>357</v>
      </c>
      <c r="P518" s="184" t="s">
        <v>358</v>
      </c>
    </row>
    <row r="519" spans="1:16" s="20" customFormat="1">
      <c r="B519" s="20" t="s">
        <v>41</v>
      </c>
      <c r="C519" s="110">
        <f>C461</f>
        <v>3323</v>
      </c>
      <c r="D519" s="110">
        <f t="shared" ref="D519:M519" si="153">D461</f>
        <v>3944</v>
      </c>
      <c r="E519" s="110">
        <f t="shared" si="153"/>
        <v>4382</v>
      </c>
      <c r="F519" s="110">
        <f t="shared" si="153"/>
        <v>4921</v>
      </c>
      <c r="G519" s="110">
        <f t="shared" si="153"/>
        <v>4980</v>
      </c>
      <c r="H519" s="110">
        <f t="shared" si="153"/>
        <v>5872</v>
      </c>
      <c r="I519" s="110">
        <f t="shared" si="153"/>
        <v>6224</v>
      </c>
      <c r="J519" s="110">
        <f t="shared" si="153"/>
        <v>7782</v>
      </c>
      <c r="K519" s="110">
        <f t="shared" si="153"/>
        <v>8749</v>
      </c>
      <c r="L519" s="110">
        <f t="shared" si="153"/>
        <v>10335</v>
      </c>
      <c r="M519" s="110">
        <f t="shared" si="153"/>
        <v>12207</v>
      </c>
      <c r="O519" s="110"/>
      <c r="P519" s="110"/>
    </row>
    <row r="521" spans="1:16">
      <c r="B521" t="s">
        <v>11</v>
      </c>
      <c r="G521" s="134">
        <f>'Balance Sheet'!C28</f>
        <v>272.63290000000001</v>
      </c>
      <c r="H521" s="134">
        <f>'Balance Sheet'!D28</f>
        <v>307.07629999999995</v>
      </c>
      <c r="I521" s="134">
        <f>'Balance Sheet'!E28</f>
        <v>385.56990000000002</v>
      </c>
      <c r="J521" s="134">
        <f>'Balance Sheet'!F28</f>
        <v>978.01089999999999</v>
      </c>
      <c r="K521" s="134">
        <f>'Balance Sheet'!G28</f>
        <v>724.3196999999999</v>
      </c>
      <c r="L521" s="134">
        <f>'Balance Sheet'!H28</f>
        <v>710.4011999999999</v>
      </c>
      <c r="M521" s="134">
        <f>'Balance Sheet'!I28</f>
        <v>1110.8800000000001</v>
      </c>
    </row>
    <row r="522" spans="1:16">
      <c r="B522" s="167" t="s">
        <v>452</v>
      </c>
      <c r="G522" s="103">
        <f>G521/G519</f>
        <v>5.4745562248995988E-2</v>
      </c>
      <c r="H522" s="103">
        <f t="shared" ref="H522:M522" si="154">H521/H519</f>
        <v>5.2295010217983641E-2</v>
      </c>
      <c r="I522" s="103">
        <f t="shared" si="154"/>
        <v>6.1948891388174811E-2</v>
      </c>
      <c r="J522" s="103">
        <f t="shared" si="154"/>
        <v>0.12567603443844769</v>
      </c>
      <c r="K522" s="103">
        <f t="shared" si="154"/>
        <v>8.2788855869242187E-2</v>
      </c>
      <c r="L522" s="103">
        <f t="shared" si="154"/>
        <v>6.8737416545718424E-2</v>
      </c>
      <c r="M522" s="103">
        <f t="shared" si="154"/>
        <v>9.1003522569017781E-2</v>
      </c>
      <c r="O522" s="104">
        <f>MEDIAN(G522:M522)</f>
        <v>6.8737416545718424E-2</v>
      </c>
      <c r="P522" s="104">
        <f>AVERAGE(G522:M522)</f>
        <v>7.6742184753940082E-2</v>
      </c>
    </row>
    <row r="524" spans="1:16">
      <c r="B524" s="167" t="s">
        <v>453</v>
      </c>
    </row>
    <row r="526" spans="1:16" ht="18">
      <c r="A526" t="s">
        <v>23</v>
      </c>
      <c r="B526" s="14" t="s">
        <v>184</v>
      </c>
    </row>
    <row r="527" spans="1:16" ht="18.600000000000001" thickBot="1">
      <c r="B527" s="14"/>
      <c r="D527" s="196"/>
      <c r="E527" s="196"/>
      <c r="F527" s="197"/>
      <c r="G527" s="197"/>
      <c r="H527" s="197"/>
      <c r="I527" s="197"/>
      <c r="J527" s="197"/>
      <c r="K527" s="197"/>
      <c r="L527" s="197"/>
    </row>
    <row r="528" spans="1:16">
      <c r="B528" s="108" t="s">
        <v>184</v>
      </c>
      <c r="C528" s="108">
        <v>2015</v>
      </c>
      <c r="D528" s="108">
        <f>C528+1</f>
        <v>2016</v>
      </c>
      <c r="E528" s="108">
        <f t="shared" ref="E528" si="155">D528+1</f>
        <v>2017</v>
      </c>
      <c r="F528" s="108">
        <f t="shared" ref="F528" si="156">E528+1</f>
        <v>2018</v>
      </c>
      <c r="G528" s="108">
        <f t="shared" ref="G528" si="157">F528+1</f>
        <v>2019</v>
      </c>
      <c r="H528" s="108">
        <f t="shared" ref="H528" si="158">G528+1</f>
        <v>2020</v>
      </c>
      <c r="I528" s="108">
        <f t="shared" ref="I528" si="159">H528+1</f>
        <v>2021</v>
      </c>
      <c r="J528" s="108">
        <f t="shared" ref="J528" si="160">I528+1</f>
        <v>2022</v>
      </c>
      <c r="K528" s="108">
        <f t="shared" ref="K528" si="161">J528+1</f>
        <v>2023</v>
      </c>
      <c r="L528" s="108">
        <f t="shared" ref="L528" si="162">K528+1</f>
        <v>2024</v>
      </c>
      <c r="M528" s="108">
        <f t="shared" ref="M528" si="163">L528+1</f>
        <v>2025</v>
      </c>
      <c r="O528" s="184" t="s">
        <v>357</v>
      </c>
      <c r="P528" s="184" t="s">
        <v>358</v>
      </c>
    </row>
    <row r="529" spans="2:16">
      <c r="B529" s="20" t="s">
        <v>454</v>
      </c>
      <c r="C529" s="110">
        <v>442</v>
      </c>
      <c r="D529" s="110">
        <v>489</v>
      </c>
      <c r="E529" s="110">
        <v>915</v>
      </c>
      <c r="F529" s="110">
        <v>1230</v>
      </c>
      <c r="G529" s="110">
        <v>1681</v>
      </c>
      <c r="H529" s="110">
        <v>1993</v>
      </c>
      <c r="I529" s="110">
        <v>2166</v>
      </c>
      <c r="J529" s="110">
        <v>4252</v>
      </c>
      <c r="K529" s="110">
        <v>5239</v>
      </c>
      <c r="L529" s="110">
        <v>5910</v>
      </c>
      <c r="M529" s="110">
        <v>20917</v>
      </c>
    </row>
    <row r="530" spans="2:16">
      <c r="B530" t="s">
        <v>474</v>
      </c>
      <c r="C530" s="110"/>
      <c r="D530" s="110"/>
      <c r="E530" s="110"/>
      <c r="F530" s="110"/>
      <c r="G530" s="110"/>
      <c r="H530" s="110"/>
      <c r="I530" s="110"/>
      <c r="J530" s="110"/>
      <c r="K530" s="110"/>
      <c r="L530" s="110"/>
      <c r="M530" s="110"/>
    </row>
    <row r="531" spans="2:16">
      <c r="B531" t="s">
        <v>455</v>
      </c>
      <c r="C531" s="113">
        <v>126</v>
      </c>
      <c r="D531" s="113">
        <v>42</v>
      </c>
      <c r="E531" s="113">
        <v>122</v>
      </c>
      <c r="F531" s="113">
        <v>216</v>
      </c>
      <c r="G531" s="113">
        <v>282</v>
      </c>
      <c r="H531" s="113">
        <v>394</v>
      </c>
      <c r="I531" s="113">
        <v>501</v>
      </c>
      <c r="J531" s="113">
        <v>664</v>
      </c>
      <c r="K531" s="113">
        <v>988</v>
      </c>
      <c r="L531" s="113">
        <v>1370</v>
      </c>
      <c r="M531" s="113">
        <v>1912</v>
      </c>
    </row>
    <row r="532" spans="2:16" ht="15" thickBot="1">
      <c r="B532" s="105" t="s">
        <v>456</v>
      </c>
      <c r="C532" s="114">
        <f t="shared" ref="C532:M532" si="164">C529-C531</f>
        <v>316</v>
      </c>
      <c r="D532" s="114">
        <f t="shared" si="164"/>
        <v>447</v>
      </c>
      <c r="E532" s="114">
        <f t="shared" si="164"/>
        <v>793</v>
      </c>
      <c r="F532" s="114">
        <f t="shared" si="164"/>
        <v>1014</v>
      </c>
      <c r="G532" s="114">
        <f t="shared" si="164"/>
        <v>1399</v>
      </c>
      <c r="H532" s="114">
        <f t="shared" si="164"/>
        <v>1599</v>
      </c>
      <c r="I532" s="114">
        <f t="shared" si="164"/>
        <v>1665</v>
      </c>
      <c r="J532" s="114">
        <f t="shared" si="164"/>
        <v>3588</v>
      </c>
      <c r="K532" s="114">
        <f t="shared" si="164"/>
        <v>4251</v>
      </c>
      <c r="L532" s="114">
        <f t="shared" si="164"/>
        <v>4540</v>
      </c>
      <c r="M532" s="114">
        <f t="shared" si="164"/>
        <v>19005</v>
      </c>
    </row>
    <row r="533" spans="2:16">
      <c r="B533" s="20"/>
      <c r="C533" s="110"/>
      <c r="D533" s="110"/>
      <c r="E533" s="110"/>
      <c r="F533" s="110"/>
      <c r="G533" s="110"/>
      <c r="H533" s="110"/>
      <c r="I533" s="110"/>
      <c r="J533" s="110"/>
      <c r="K533" s="110"/>
      <c r="L533" s="110"/>
      <c r="M533" s="110"/>
    </row>
    <row r="534" spans="2:16">
      <c r="B534" s="20" t="s">
        <v>476</v>
      </c>
      <c r="C534" s="110"/>
      <c r="D534" s="110">
        <f>D529-C529</f>
        <v>47</v>
      </c>
      <c r="E534" s="110">
        <f t="shared" ref="E534:M534" si="165">E529-D529</f>
        <v>426</v>
      </c>
      <c r="F534" s="110">
        <f t="shared" si="165"/>
        <v>315</v>
      </c>
      <c r="G534" s="110">
        <f t="shared" si="165"/>
        <v>451</v>
      </c>
      <c r="H534" s="110">
        <f t="shared" si="165"/>
        <v>312</v>
      </c>
      <c r="I534" s="110">
        <f t="shared" si="165"/>
        <v>173</v>
      </c>
      <c r="J534" s="110">
        <f t="shared" si="165"/>
        <v>2086</v>
      </c>
      <c r="K534" s="110">
        <f t="shared" si="165"/>
        <v>987</v>
      </c>
      <c r="L534" s="110">
        <f t="shared" si="165"/>
        <v>671</v>
      </c>
      <c r="M534" s="110">
        <f t="shared" si="165"/>
        <v>15007</v>
      </c>
    </row>
    <row r="536" spans="2:16">
      <c r="B536" s="20" t="s">
        <v>424</v>
      </c>
      <c r="C536" s="110">
        <v>2532</v>
      </c>
      <c r="D536" s="110">
        <v>2848</v>
      </c>
      <c r="E536" s="110">
        <v>3741</v>
      </c>
      <c r="F536" s="110">
        <v>4360</v>
      </c>
      <c r="G536" s="110">
        <v>4112.4238000000005</v>
      </c>
      <c r="H536" s="110">
        <v>5073.2734</v>
      </c>
      <c r="I536" s="110">
        <v>6372.6250999999993</v>
      </c>
      <c r="J536" s="110">
        <v>9147.7491999999984</v>
      </c>
      <c r="K536" s="110">
        <v>9715.4491000000016</v>
      </c>
      <c r="L536" s="110">
        <v>11963.253699999999</v>
      </c>
      <c r="M536" s="110">
        <v>27568.63</v>
      </c>
    </row>
    <row r="538" spans="2:16">
      <c r="B538" s="194" t="s">
        <v>459</v>
      </c>
      <c r="C538" s="195">
        <f>C532/C536</f>
        <v>0.12480252764612954</v>
      </c>
      <c r="D538" s="195">
        <f t="shared" ref="D538:M538" si="166">D532/D536</f>
        <v>0.15695224719101122</v>
      </c>
      <c r="E538" s="195">
        <f t="shared" si="166"/>
        <v>0.21197540764501471</v>
      </c>
      <c r="F538" s="195">
        <f t="shared" si="166"/>
        <v>0.23256880733944954</v>
      </c>
      <c r="G538" s="195">
        <f t="shared" si="166"/>
        <v>0.34018867413421733</v>
      </c>
      <c r="H538" s="195">
        <f t="shared" si="166"/>
        <v>0.31518112152205319</v>
      </c>
      <c r="I538" s="195">
        <f t="shared" si="166"/>
        <v>0.26127380378927362</v>
      </c>
      <c r="J538" s="195">
        <f t="shared" si="166"/>
        <v>0.39222763125163079</v>
      </c>
      <c r="K538" s="195">
        <f t="shared" si="166"/>
        <v>0.43755053999510934</v>
      </c>
      <c r="L538" s="195">
        <f t="shared" si="166"/>
        <v>0.37949542104920841</v>
      </c>
      <c r="M538" s="195">
        <f t="shared" si="166"/>
        <v>0.68937049102548797</v>
      </c>
      <c r="O538" s="195">
        <f>MEDIAN(C538:M538)</f>
        <v>0.31518112152205319</v>
      </c>
      <c r="P538" s="195">
        <f>AVERAGE(C538:M538)</f>
        <v>0.32196242478078052</v>
      </c>
    </row>
    <row r="540" spans="2:16">
      <c r="B540" s="20" t="s">
        <v>460</v>
      </c>
      <c r="C540" s="110">
        <v>3323</v>
      </c>
      <c r="D540" s="110">
        <v>3944</v>
      </c>
      <c r="E540" s="110">
        <v>4382</v>
      </c>
      <c r="F540" s="110">
        <v>4921</v>
      </c>
      <c r="G540" s="110">
        <v>4980</v>
      </c>
      <c r="H540" s="110">
        <v>5872</v>
      </c>
      <c r="I540" s="110">
        <v>6224</v>
      </c>
      <c r="J540" s="110">
        <v>7782</v>
      </c>
      <c r="K540" s="110">
        <v>8749</v>
      </c>
      <c r="L540" s="110">
        <v>10335</v>
      </c>
      <c r="M540" s="110">
        <v>12207</v>
      </c>
    </row>
    <row r="541" spans="2:16">
      <c r="B541" t="s">
        <v>118</v>
      </c>
      <c r="C541" s="113"/>
      <c r="D541" s="113">
        <f>D540-C540</f>
        <v>621</v>
      </c>
      <c r="E541" s="113">
        <f t="shared" ref="E541:M541" si="167">E540-D540</f>
        <v>438</v>
      </c>
      <c r="F541" s="113">
        <f t="shared" si="167"/>
        <v>539</v>
      </c>
      <c r="G541" s="113">
        <f t="shared" si="167"/>
        <v>59</v>
      </c>
      <c r="H541" s="113">
        <f t="shared" si="167"/>
        <v>892</v>
      </c>
      <c r="I541" s="113">
        <f t="shared" si="167"/>
        <v>352</v>
      </c>
      <c r="J541" s="113">
        <f t="shared" si="167"/>
        <v>1558</v>
      </c>
      <c r="K541" s="113">
        <f t="shared" si="167"/>
        <v>967</v>
      </c>
      <c r="L541" s="113">
        <f t="shared" si="167"/>
        <v>1586</v>
      </c>
      <c r="M541" s="113">
        <f t="shared" si="167"/>
        <v>1872</v>
      </c>
    </row>
    <row r="543" spans="2:16">
      <c r="B543" s="194" t="s">
        <v>461</v>
      </c>
      <c r="C543" s="195">
        <f t="shared" ref="C543:M543" si="168">C532/C540</f>
        <v>9.5094793860969001E-2</v>
      </c>
      <c r="D543" s="195">
        <f t="shared" si="168"/>
        <v>0.11333671399594321</v>
      </c>
      <c r="E543" s="195">
        <f t="shared" si="168"/>
        <v>0.18096759470561388</v>
      </c>
      <c r="F543" s="195">
        <f t="shared" si="168"/>
        <v>0.20605567973989028</v>
      </c>
      <c r="G543" s="195">
        <f t="shared" si="168"/>
        <v>0.28092369477911644</v>
      </c>
      <c r="H543" s="195">
        <f t="shared" si="168"/>
        <v>0.2723092643051771</v>
      </c>
      <c r="I543" s="195">
        <f t="shared" si="168"/>
        <v>0.26751285347043702</v>
      </c>
      <c r="J543" s="195">
        <f t="shared" si="168"/>
        <v>0.46106399383191982</v>
      </c>
      <c r="K543" s="195">
        <f t="shared" si="168"/>
        <v>0.48588410104011887</v>
      </c>
      <c r="L543" s="195">
        <f t="shared" si="168"/>
        <v>0.43928398645379779</v>
      </c>
      <c r="M543" s="195">
        <f t="shared" si="168"/>
        <v>1.5568935856475792</v>
      </c>
      <c r="O543" s="195">
        <f>MEDIAN(C543:M543)</f>
        <v>0.2723092643051771</v>
      </c>
      <c r="P543" s="195">
        <f>AVERAGE(C543:M543)</f>
        <v>0.39630238743914209</v>
      </c>
    </row>
    <row r="545" spans="2:16">
      <c r="B545" s="194" t="s">
        <v>481</v>
      </c>
      <c r="C545" s="195"/>
      <c r="D545" s="195">
        <f>D529/C529-1</f>
        <v>0.10633484162895934</v>
      </c>
      <c r="E545" s="195">
        <f t="shared" ref="E545:M545" si="169">E529/D529-1</f>
        <v>0.87116564417177922</v>
      </c>
      <c r="F545" s="195">
        <f t="shared" si="169"/>
        <v>0.34426229508196715</v>
      </c>
      <c r="G545" s="195">
        <f t="shared" si="169"/>
        <v>0.3666666666666667</v>
      </c>
      <c r="H545" s="195">
        <f t="shared" si="169"/>
        <v>0.18560380725758474</v>
      </c>
      <c r="I545" s="195">
        <f t="shared" si="169"/>
        <v>8.6803813346713499E-2</v>
      </c>
      <c r="J545" s="195">
        <f t="shared" si="169"/>
        <v>0.96306555863342558</v>
      </c>
      <c r="K545" s="195">
        <f t="shared" si="169"/>
        <v>0.23212605832549382</v>
      </c>
      <c r="L545" s="195">
        <f t="shared" si="169"/>
        <v>0.12807787745752996</v>
      </c>
      <c r="M545" s="195">
        <f t="shared" si="169"/>
        <v>2.5392554991539762</v>
      </c>
      <c r="O545" s="195">
        <f>MEDIAN(D545:M545)</f>
        <v>0.28819417670373049</v>
      </c>
      <c r="P545" s="195">
        <f>AVERAGE(D545:M545)</f>
        <v>0.58233620617240955</v>
      </c>
    </row>
    <row r="547" spans="2:16">
      <c r="B547" s="173" t="s">
        <v>476</v>
      </c>
      <c r="C547" s="200"/>
      <c r="D547" s="110">
        <v>47</v>
      </c>
      <c r="E547" s="110">
        <v>426</v>
      </c>
      <c r="F547" s="110">
        <v>315</v>
      </c>
      <c r="G547" s="110">
        <v>451</v>
      </c>
      <c r="H547" s="110">
        <v>312</v>
      </c>
      <c r="I547" s="110">
        <v>173</v>
      </c>
      <c r="J547" s="110">
        <v>2086</v>
      </c>
      <c r="K547" s="110">
        <v>987</v>
      </c>
      <c r="L547" s="110">
        <v>671</v>
      </c>
      <c r="M547" s="110">
        <v>15007</v>
      </c>
      <c r="O547" s="198"/>
      <c r="P547" s="198"/>
    </row>
    <row r="548" spans="2:16">
      <c r="B548" s="173" t="s">
        <v>118</v>
      </c>
      <c r="C548" s="200"/>
      <c r="D548" s="110">
        <v>621</v>
      </c>
      <c r="E548" s="110">
        <v>438</v>
      </c>
      <c r="F548" s="110">
        <v>539</v>
      </c>
      <c r="G548" s="110">
        <v>59</v>
      </c>
      <c r="H548" s="110">
        <v>892</v>
      </c>
      <c r="I548" s="110">
        <v>352</v>
      </c>
      <c r="J548" s="110">
        <v>1558</v>
      </c>
      <c r="K548" s="110">
        <v>967</v>
      </c>
      <c r="L548" s="110">
        <v>1586</v>
      </c>
      <c r="M548" s="110">
        <v>1872</v>
      </c>
      <c r="O548" s="198"/>
      <c r="P548" s="198"/>
    </row>
    <row r="549" spans="2:16">
      <c r="B549" s="167"/>
      <c r="C549" s="198"/>
      <c r="D549" s="113"/>
      <c r="E549" s="113"/>
      <c r="F549" s="113"/>
      <c r="G549" s="113"/>
      <c r="H549" s="113"/>
      <c r="I549" s="113"/>
      <c r="J549" s="113"/>
      <c r="K549" s="113"/>
      <c r="L549" s="113"/>
      <c r="M549" s="113"/>
      <c r="O549" s="198"/>
      <c r="P549" s="198"/>
    </row>
    <row r="550" spans="2:16">
      <c r="B550" s="194" t="s">
        <v>477</v>
      </c>
      <c r="C550" s="195"/>
      <c r="D550" s="201">
        <f>D548/D547</f>
        <v>13.212765957446809</v>
      </c>
      <c r="E550" s="201">
        <f t="shared" ref="E550:M550" si="170">E548/E547</f>
        <v>1.028169014084507</v>
      </c>
      <c r="F550" s="201">
        <f t="shared" si="170"/>
        <v>1.711111111111111</v>
      </c>
      <c r="G550" s="201">
        <f t="shared" si="170"/>
        <v>0.13082039911308205</v>
      </c>
      <c r="H550" s="201">
        <f t="shared" si="170"/>
        <v>2.858974358974359</v>
      </c>
      <c r="I550" s="201">
        <f t="shared" si="170"/>
        <v>2.0346820809248554</v>
      </c>
      <c r="J550" s="201">
        <f t="shared" si="170"/>
        <v>0.7468839884947267</v>
      </c>
      <c r="K550" s="201">
        <f t="shared" si="170"/>
        <v>0.97973657548125637</v>
      </c>
      <c r="L550" s="201">
        <f t="shared" si="170"/>
        <v>2.3636363636363638</v>
      </c>
      <c r="M550" s="201">
        <f t="shared" si="170"/>
        <v>0.1247417871659892</v>
      </c>
      <c r="N550" s="199"/>
      <c r="O550" s="202">
        <f>MEDIAN(D550:M550)</f>
        <v>1.3696400625978091</v>
      </c>
      <c r="P550" s="202">
        <f>AVERAGE(D550:M550)</f>
        <v>2.5191521636433056</v>
      </c>
    </row>
    <row r="551" spans="2:16">
      <c r="B551" s="194" t="s">
        <v>482</v>
      </c>
      <c r="C551" s="202">
        <f t="shared" ref="C551:M551" si="171">C540/C536</f>
        <v>1.3124012638230649</v>
      </c>
      <c r="D551" s="202">
        <f t="shared" si="171"/>
        <v>1.3848314606741574</v>
      </c>
      <c r="E551" s="202">
        <f t="shared" si="171"/>
        <v>1.1713445602780006</v>
      </c>
      <c r="F551" s="202">
        <f t="shared" si="171"/>
        <v>1.1286697247706421</v>
      </c>
      <c r="G551" s="202">
        <f t="shared" si="171"/>
        <v>1.2109646870538973</v>
      </c>
      <c r="H551" s="202">
        <f t="shared" si="171"/>
        <v>1.15743811480769</v>
      </c>
      <c r="I551" s="202">
        <f t="shared" si="171"/>
        <v>0.97667757044110448</v>
      </c>
      <c r="J551" s="202">
        <f t="shared" si="171"/>
        <v>0.85070106644375443</v>
      </c>
      <c r="K551" s="202">
        <f t="shared" si="171"/>
        <v>0.90052450586149424</v>
      </c>
      <c r="L551" s="202">
        <f t="shared" si="171"/>
        <v>0.86389541333558784</v>
      </c>
      <c r="M551" s="202">
        <f t="shared" si="171"/>
        <v>0.44278587655607116</v>
      </c>
      <c r="N551" s="199"/>
      <c r="O551" s="202">
        <f>MEDIAN(D551:M551)</f>
        <v>1.0526736476058733</v>
      </c>
      <c r="P551" s="202">
        <f>AVERAGE(D551:M551)</f>
        <v>1.0087832980222398</v>
      </c>
    </row>
    <row r="553" spans="2:16">
      <c r="B553" s="108" t="s">
        <v>475</v>
      </c>
      <c r="C553" s="108">
        <v>2015</v>
      </c>
      <c r="D553" s="108">
        <f>C553+1</f>
        <v>2016</v>
      </c>
      <c r="E553" s="108">
        <f t="shared" ref="E553" si="172">D553+1</f>
        <v>2017</v>
      </c>
      <c r="F553" s="108">
        <f t="shared" ref="F553" si="173">E553+1</f>
        <v>2018</v>
      </c>
      <c r="G553" s="108">
        <f t="shared" ref="G553" si="174">F553+1</f>
        <v>2019</v>
      </c>
      <c r="H553" s="108">
        <f t="shared" ref="H553" si="175">G553+1</f>
        <v>2020</v>
      </c>
      <c r="I553" s="108">
        <f t="shared" ref="I553" si="176">H553+1</f>
        <v>2021</v>
      </c>
      <c r="J553" s="108">
        <f t="shared" ref="J553" si="177">I553+1</f>
        <v>2022</v>
      </c>
      <c r="K553" s="108">
        <f t="shared" ref="K553" si="178">J553+1</f>
        <v>2023</v>
      </c>
      <c r="L553" s="108">
        <f t="shared" ref="L553" si="179">K553+1</f>
        <v>2024</v>
      </c>
      <c r="M553" s="108">
        <f t="shared" ref="M553" si="180">L553+1</f>
        <v>2025</v>
      </c>
    </row>
    <row r="554" spans="2:16">
      <c r="B554" t="s">
        <v>462</v>
      </c>
      <c r="C554" s="113">
        <v>0</v>
      </c>
      <c r="D554" s="113">
        <v>0</v>
      </c>
      <c r="E554" s="113">
        <v>0</v>
      </c>
      <c r="F554" s="113">
        <v>0</v>
      </c>
      <c r="G554" s="113">
        <v>0</v>
      </c>
      <c r="H554" s="113">
        <v>291</v>
      </c>
      <c r="I554" s="113">
        <v>291</v>
      </c>
      <c r="J554" s="113">
        <v>308</v>
      </c>
      <c r="K554" s="113">
        <v>463</v>
      </c>
      <c r="L554" s="113">
        <v>465</v>
      </c>
      <c r="M554" s="113">
        <v>525</v>
      </c>
    </row>
    <row r="555" spans="2:16">
      <c r="B555" t="s">
        <v>463</v>
      </c>
      <c r="C555" s="113">
        <v>0</v>
      </c>
      <c r="D555" s="113">
        <v>0</v>
      </c>
      <c r="E555" s="113">
        <v>0</v>
      </c>
      <c r="F555" s="113">
        <v>0</v>
      </c>
      <c r="G555" s="113">
        <v>0</v>
      </c>
      <c r="H555" s="113">
        <v>565</v>
      </c>
      <c r="I555" s="113">
        <v>589</v>
      </c>
      <c r="J555" s="113">
        <v>601</v>
      </c>
      <c r="K555" s="113">
        <v>1069</v>
      </c>
      <c r="L555" s="113">
        <v>1279</v>
      </c>
      <c r="M555" s="113">
        <v>1086</v>
      </c>
    </row>
    <row r="556" spans="2:16">
      <c r="B556" t="s">
        <v>464</v>
      </c>
      <c r="C556" s="113">
        <v>0</v>
      </c>
      <c r="D556" s="113">
        <v>0</v>
      </c>
      <c r="E556" s="113">
        <v>0</v>
      </c>
      <c r="F556" s="113">
        <v>0</v>
      </c>
      <c r="G556" s="113">
        <v>0</v>
      </c>
      <c r="H556" s="113">
        <v>869</v>
      </c>
      <c r="I556" s="113">
        <v>979</v>
      </c>
      <c r="J556" s="113">
        <v>1136</v>
      </c>
      <c r="K556" s="113">
        <v>1349</v>
      </c>
      <c r="L556" s="113">
        <v>1696</v>
      </c>
      <c r="M556" s="113">
        <v>1987</v>
      </c>
    </row>
    <row r="557" spans="2:16">
      <c r="B557" t="s">
        <v>465</v>
      </c>
      <c r="C557" s="113">
        <v>0</v>
      </c>
      <c r="D557" s="113">
        <v>0</v>
      </c>
      <c r="E557" s="113">
        <v>0</v>
      </c>
      <c r="F557" s="113">
        <v>0</v>
      </c>
      <c r="G557" s="113">
        <v>0</v>
      </c>
      <c r="H557" s="113">
        <v>20</v>
      </c>
      <c r="I557" s="113">
        <v>34</v>
      </c>
      <c r="J557" s="113">
        <v>63</v>
      </c>
      <c r="K557" s="113">
        <v>95</v>
      </c>
      <c r="L557" s="113">
        <v>110</v>
      </c>
      <c r="M557" s="113">
        <v>113</v>
      </c>
    </row>
    <row r="558" spans="2:16">
      <c r="B558" t="s">
        <v>466</v>
      </c>
      <c r="C558" s="113">
        <v>0</v>
      </c>
      <c r="D558" s="113">
        <v>0</v>
      </c>
      <c r="E558" s="113">
        <v>0</v>
      </c>
      <c r="F558" s="113">
        <v>0</v>
      </c>
      <c r="G558" s="113">
        <v>0</v>
      </c>
      <c r="H558" s="113">
        <v>25</v>
      </c>
      <c r="I558" s="113">
        <v>27</v>
      </c>
      <c r="J558" s="113">
        <v>32</v>
      </c>
      <c r="K558" s="113">
        <v>57</v>
      </c>
      <c r="L558" s="113">
        <v>72</v>
      </c>
      <c r="M558" s="113">
        <v>89</v>
      </c>
    </row>
    <row r="559" spans="2:16">
      <c r="B559" t="s">
        <v>467</v>
      </c>
      <c r="C559" s="113">
        <v>0</v>
      </c>
      <c r="D559" s="113">
        <v>0</v>
      </c>
      <c r="E559" s="113">
        <v>0</v>
      </c>
      <c r="F559" s="113">
        <v>0</v>
      </c>
      <c r="G559" s="113">
        <v>0</v>
      </c>
      <c r="H559" s="113">
        <v>101</v>
      </c>
      <c r="I559" s="113">
        <v>111</v>
      </c>
      <c r="J559" s="113">
        <v>119</v>
      </c>
      <c r="K559" s="113">
        <v>163</v>
      </c>
      <c r="L559" s="113">
        <v>191</v>
      </c>
      <c r="M559" s="113">
        <v>181</v>
      </c>
    </row>
    <row r="560" spans="2:16">
      <c r="B560" t="s">
        <v>468</v>
      </c>
      <c r="C560" s="113">
        <v>0</v>
      </c>
      <c r="D560" s="113">
        <v>0</v>
      </c>
      <c r="E560" s="113">
        <v>0</v>
      </c>
      <c r="F560" s="113">
        <v>0</v>
      </c>
      <c r="G560" s="113">
        <v>0</v>
      </c>
      <c r="H560" s="113">
        <v>32</v>
      </c>
      <c r="I560" s="113">
        <v>34</v>
      </c>
      <c r="J560" s="113">
        <v>42</v>
      </c>
      <c r="K560" s="113">
        <v>71</v>
      </c>
      <c r="L560" s="113">
        <v>82</v>
      </c>
      <c r="M560" s="113">
        <v>91</v>
      </c>
    </row>
    <row r="561" spans="2:15">
      <c r="B561" t="s">
        <v>469</v>
      </c>
      <c r="C561" s="113">
        <v>0</v>
      </c>
      <c r="D561" s="113">
        <v>0</v>
      </c>
      <c r="E561" s="113">
        <v>0</v>
      </c>
      <c r="F561" s="113">
        <v>0</v>
      </c>
      <c r="G561" s="113">
        <v>0</v>
      </c>
      <c r="H561" s="113">
        <v>68</v>
      </c>
      <c r="I561" s="113">
        <v>68</v>
      </c>
      <c r="J561" s="113">
        <v>1861</v>
      </c>
      <c r="K561" s="113">
        <v>1871</v>
      </c>
      <c r="L561" s="113">
        <v>1871</v>
      </c>
      <c r="M561" s="113">
        <v>15987</v>
      </c>
    </row>
    <row r="562" spans="2:15">
      <c r="B562" t="s">
        <v>470</v>
      </c>
      <c r="C562" s="113">
        <v>0</v>
      </c>
      <c r="D562" s="113">
        <v>0</v>
      </c>
      <c r="E562" s="113">
        <v>0</v>
      </c>
      <c r="F562" s="113">
        <v>0</v>
      </c>
      <c r="G562" s="113">
        <v>0</v>
      </c>
      <c r="H562" s="113">
        <v>23</v>
      </c>
      <c r="I562" s="113">
        <v>33</v>
      </c>
      <c r="J562" s="113">
        <v>89</v>
      </c>
      <c r="K562" s="113">
        <v>100</v>
      </c>
      <c r="L562" s="113">
        <v>150</v>
      </c>
      <c r="M562" s="113">
        <v>857</v>
      </c>
    </row>
    <row r="563" spans="2:15" s="20" customFormat="1" ht="15" thickBot="1">
      <c r="B563" s="105" t="s">
        <v>471</v>
      </c>
      <c r="C563" s="114">
        <v>0</v>
      </c>
      <c r="D563" s="114">
        <v>0</v>
      </c>
      <c r="E563" s="114">
        <v>0</v>
      </c>
      <c r="F563" s="114">
        <v>0</v>
      </c>
      <c r="G563" s="114">
        <v>0</v>
      </c>
      <c r="H563" s="114">
        <f t="shared" ref="H563:M563" si="181">SUM(H554:H562)</f>
        <v>1994</v>
      </c>
      <c r="I563" s="114">
        <f t="shared" si="181"/>
        <v>2166</v>
      </c>
      <c r="J563" s="114">
        <f t="shared" si="181"/>
        <v>4251</v>
      </c>
      <c r="K563" s="114">
        <f t="shared" si="181"/>
        <v>5238</v>
      </c>
      <c r="L563" s="114">
        <f t="shared" si="181"/>
        <v>5916</v>
      </c>
      <c r="M563" s="114">
        <f t="shared" si="181"/>
        <v>20916</v>
      </c>
    </row>
    <row r="565" spans="2:15">
      <c r="B565" s="108" t="s">
        <v>472</v>
      </c>
      <c r="C565" s="108">
        <v>2015</v>
      </c>
      <c r="D565" s="108">
        <f>C565+1</f>
        <v>2016</v>
      </c>
      <c r="E565" s="108">
        <f t="shared" ref="E565" si="182">D565+1</f>
        <v>2017</v>
      </c>
      <c r="F565" s="108">
        <f t="shared" ref="F565" si="183">E565+1</f>
        <v>2018</v>
      </c>
      <c r="G565" s="108">
        <f t="shared" ref="G565" si="184">F565+1</f>
        <v>2019</v>
      </c>
      <c r="H565" s="108">
        <f t="shared" ref="H565" si="185">G565+1</f>
        <v>2020</v>
      </c>
      <c r="I565" s="108">
        <f t="shared" ref="I565" si="186">H565+1</f>
        <v>2021</v>
      </c>
      <c r="J565" s="108">
        <f t="shared" ref="J565" si="187">I565+1</f>
        <v>2022</v>
      </c>
      <c r="K565" s="108">
        <f t="shared" ref="K565" si="188">J565+1</f>
        <v>2023</v>
      </c>
      <c r="L565" s="108">
        <f t="shared" ref="L565" si="189">K565+1</f>
        <v>2024</v>
      </c>
      <c r="M565" s="108">
        <f t="shared" ref="M565" si="190">L565+1</f>
        <v>2025</v>
      </c>
    </row>
    <row r="566" spans="2:15">
      <c r="B566" s="20" t="s">
        <v>462</v>
      </c>
      <c r="C566" s="113">
        <v>0</v>
      </c>
      <c r="D566" s="113">
        <v>0</v>
      </c>
      <c r="E566" s="113">
        <v>0</v>
      </c>
      <c r="F566" s="113">
        <v>0</v>
      </c>
      <c r="G566" s="113">
        <v>0</v>
      </c>
      <c r="H566" s="160">
        <f t="shared" ref="H566:M566" si="191">H554/H$563</f>
        <v>0.14593781344032097</v>
      </c>
      <c r="I566" s="160">
        <f t="shared" si="191"/>
        <v>0.13434903047091412</v>
      </c>
      <c r="J566" s="160">
        <f t="shared" si="191"/>
        <v>7.24535403434486E-2</v>
      </c>
      <c r="K566" s="160">
        <f t="shared" si="191"/>
        <v>8.8392516227567774E-2</v>
      </c>
      <c r="L566" s="160">
        <f t="shared" si="191"/>
        <v>7.860040567951318E-2</v>
      </c>
      <c r="M566" s="160">
        <f t="shared" si="191"/>
        <v>2.5100401606425703E-2</v>
      </c>
      <c r="O566" t="s">
        <v>473</v>
      </c>
    </row>
    <row r="567" spans="2:15">
      <c r="B567" s="20" t="s">
        <v>463</v>
      </c>
      <c r="C567" s="113">
        <v>0</v>
      </c>
      <c r="D567" s="113">
        <v>0</v>
      </c>
      <c r="E567" s="113">
        <v>0</v>
      </c>
      <c r="F567" s="113">
        <v>0</v>
      </c>
      <c r="G567" s="113">
        <v>0</v>
      </c>
      <c r="H567" s="160">
        <f t="shared" ref="H567:M575" si="192">H555/H$563</f>
        <v>0.28335005015045134</v>
      </c>
      <c r="I567" s="160">
        <f t="shared" si="192"/>
        <v>0.27192982456140352</v>
      </c>
      <c r="J567" s="160">
        <f t="shared" si="192"/>
        <v>0.14137849917666431</v>
      </c>
      <c r="K567" s="160">
        <f t="shared" si="192"/>
        <v>0.20408552882779687</v>
      </c>
      <c r="L567" s="160">
        <f t="shared" si="192"/>
        <v>0.21619337390128465</v>
      </c>
      <c r="M567" s="160">
        <f t="shared" si="192"/>
        <v>5.1921973608720598E-2</v>
      </c>
    </row>
    <row r="568" spans="2:15">
      <c r="B568" s="20" t="s">
        <v>464</v>
      </c>
      <c r="C568" s="113">
        <v>0</v>
      </c>
      <c r="D568" s="113">
        <v>0</v>
      </c>
      <c r="E568" s="113">
        <v>0</v>
      </c>
      <c r="F568" s="113">
        <v>0</v>
      </c>
      <c r="G568" s="113">
        <v>0</v>
      </c>
      <c r="H568" s="160">
        <f t="shared" si="192"/>
        <v>0.43580742226680041</v>
      </c>
      <c r="I568" s="160">
        <f t="shared" si="192"/>
        <v>0.45198522622345338</v>
      </c>
      <c r="J568" s="160">
        <f t="shared" si="192"/>
        <v>0.26723123970830392</v>
      </c>
      <c r="K568" s="160">
        <f t="shared" si="192"/>
        <v>0.25754104620084001</v>
      </c>
      <c r="L568" s="160">
        <f t="shared" si="192"/>
        <v>0.28668018931710615</v>
      </c>
      <c r="M568" s="160">
        <f t="shared" si="192"/>
        <v>9.4999043794224511E-2</v>
      </c>
    </row>
    <row r="569" spans="2:15">
      <c r="B569" t="s">
        <v>465</v>
      </c>
      <c r="C569" s="113">
        <v>0</v>
      </c>
      <c r="D569" s="113">
        <v>0</v>
      </c>
      <c r="E569" s="113">
        <v>0</v>
      </c>
      <c r="F569" s="113">
        <v>0</v>
      </c>
      <c r="G569" s="113">
        <v>0</v>
      </c>
      <c r="H569" s="76">
        <f t="shared" si="192"/>
        <v>1.0030090270812437E-2</v>
      </c>
      <c r="I569" s="76">
        <f t="shared" si="192"/>
        <v>1.569713758079409E-2</v>
      </c>
      <c r="J569" s="76">
        <f t="shared" si="192"/>
        <v>1.4820042342978124E-2</v>
      </c>
      <c r="K569" s="76">
        <f t="shared" si="192"/>
        <v>1.8136693394425352E-2</v>
      </c>
      <c r="L569" s="76">
        <f t="shared" si="192"/>
        <v>1.8593644354293441E-2</v>
      </c>
      <c r="M569" s="76">
        <f t="shared" si="192"/>
        <v>5.4025626314782938E-3</v>
      </c>
    </row>
    <row r="570" spans="2:15">
      <c r="B570" t="s">
        <v>466</v>
      </c>
      <c r="C570" s="113">
        <v>0</v>
      </c>
      <c r="D570" s="113">
        <v>0</v>
      </c>
      <c r="E570" s="113">
        <v>0</v>
      </c>
      <c r="F570" s="113">
        <v>0</v>
      </c>
      <c r="G570" s="113">
        <v>0</v>
      </c>
      <c r="H570" s="76">
        <f t="shared" si="192"/>
        <v>1.2537612838515547E-2</v>
      </c>
      <c r="I570" s="76">
        <f t="shared" si="192"/>
        <v>1.2465373961218837E-2</v>
      </c>
      <c r="J570" s="76">
        <f t="shared" si="192"/>
        <v>7.5276405551634911E-3</v>
      </c>
      <c r="K570" s="76">
        <f t="shared" si="192"/>
        <v>1.0882016036655211E-2</v>
      </c>
      <c r="L570" s="76">
        <f t="shared" si="192"/>
        <v>1.2170385395537525E-2</v>
      </c>
      <c r="M570" s="76">
        <f t="shared" si="192"/>
        <v>4.2551157008988332E-3</v>
      </c>
    </row>
    <row r="571" spans="2:15">
      <c r="B571" t="s">
        <v>467</v>
      </c>
      <c r="C571" s="113">
        <v>0</v>
      </c>
      <c r="D571" s="113">
        <v>0</v>
      </c>
      <c r="E571" s="113">
        <v>0</v>
      </c>
      <c r="F571" s="113">
        <v>0</v>
      </c>
      <c r="G571" s="113">
        <v>0</v>
      </c>
      <c r="H571" s="76">
        <f t="shared" si="192"/>
        <v>5.0651955867602808E-2</v>
      </c>
      <c r="I571" s="76">
        <f t="shared" si="192"/>
        <v>5.1246537396121887E-2</v>
      </c>
      <c r="J571" s="76">
        <f t="shared" si="192"/>
        <v>2.7993413314514232E-2</v>
      </c>
      <c r="K571" s="76">
        <f t="shared" si="192"/>
        <v>3.1118747613592974E-2</v>
      </c>
      <c r="L571" s="76">
        <f t="shared" si="192"/>
        <v>3.2285327924273161E-2</v>
      </c>
      <c r="M571" s="76">
        <f t="shared" si="192"/>
        <v>8.6536622681201002E-3</v>
      </c>
    </row>
    <row r="572" spans="2:15">
      <c r="B572" t="s">
        <v>468</v>
      </c>
      <c r="C572" s="113">
        <v>0</v>
      </c>
      <c r="D572" s="113">
        <v>0</v>
      </c>
      <c r="E572" s="113">
        <v>0</v>
      </c>
      <c r="F572" s="113">
        <v>0</v>
      </c>
      <c r="G572" s="113">
        <v>0</v>
      </c>
      <c r="H572" s="76">
        <f t="shared" si="192"/>
        <v>1.60481444332999E-2</v>
      </c>
      <c r="I572" s="76">
        <f t="shared" si="192"/>
        <v>1.569713758079409E-2</v>
      </c>
      <c r="J572" s="76">
        <f t="shared" si="192"/>
        <v>9.8800282286520824E-3</v>
      </c>
      <c r="K572" s="76">
        <f t="shared" si="192"/>
        <v>1.3554791905307369E-2</v>
      </c>
      <c r="L572" s="76">
        <f t="shared" si="192"/>
        <v>1.3860716700473293E-2</v>
      </c>
      <c r="M572" s="76">
        <f t="shared" si="192"/>
        <v>4.3507362784471221E-3</v>
      </c>
    </row>
    <row r="573" spans="2:15">
      <c r="B573" s="20" t="s">
        <v>469</v>
      </c>
      <c r="C573" s="113">
        <v>0</v>
      </c>
      <c r="D573" s="113">
        <v>0</v>
      </c>
      <c r="E573" s="113">
        <v>0</v>
      </c>
      <c r="F573" s="113">
        <v>0</v>
      </c>
      <c r="G573" s="113">
        <v>0</v>
      </c>
      <c r="H573" s="160">
        <f t="shared" si="192"/>
        <v>3.4102306920762285E-2</v>
      </c>
      <c r="I573" s="160">
        <f t="shared" si="192"/>
        <v>3.139427516158818E-2</v>
      </c>
      <c r="J573" s="160">
        <f t="shared" si="192"/>
        <v>0.43777934603622676</v>
      </c>
      <c r="K573" s="160">
        <f t="shared" si="192"/>
        <v>0.35719740358915619</v>
      </c>
      <c r="L573" s="160">
        <f t="shared" si="192"/>
        <v>0.31626098715348211</v>
      </c>
      <c r="M573" s="160">
        <f t="shared" si="192"/>
        <v>0.76434308663224326</v>
      </c>
    </row>
    <row r="574" spans="2:15">
      <c r="B574" t="s">
        <v>470</v>
      </c>
      <c r="C574" s="113">
        <v>0</v>
      </c>
      <c r="D574" s="113">
        <v>0</v>
      </c>
      <c r="E574" s="113">
        <v>0</v>
      </c>
      <c r="F574" s="113">
        <v>0</v>
      </c>
      <c r="G574" s="113">
        <v>0</v>
      </c>
      <c r="H574" s="76">
        <f t="shared" si="192"/>
        <v>1.1534603811434303E-2</v>
      </c>
      <c r="I574" s="76">
        <f t="shared" si="192"/>
        <v>1.5235457063711912E-2</v>
      </c>
      <c r="J574" s="76">
        <f t="shared" si="192"/>
        <v>2.0936250294048459E-2</v>
      </c>
      <c r="K574" s="76">
        <f t="shared" si="192"/>
        <v>1.9091256204658267E-2</v>
      </c>
      <c r="L574" s="76">
        <f t="shared" si="192"/>
        <v>2.5354969574036511E-2</v>
      </c>
      <c r="M574" s="76">
        <f t="shared" si="192"/>
        <v>4.0973417479441575E-2</v>
      </c>
    </row>
    <row r="575" spans="2:15" ht="15" thickBot="1">
      <c r="B575" s="105" t="s">
        <v>471</v>
      </c>
      <c r="C575" s="105">
        <v>0</v>
      </c>
      <c r="D575" s="105">
        <v>0</v>
      </c>
      <c r="E575" s="105">
        <v>0</v>
      </c>
      <c r="F575" s="105">
        <v>0</v>
      </c>
      <c r="G575" s="105">
        <v>0</v>
      </c>
      <c r="H575" s="177">
        <f t="shared" si="192"/>
        <v>1</v>
      </c>
      <c r="I575" s="177">
        <f t="shared" si="192"/>
        <v>1</v>
      </c>
      <c r="J575" s="177">
        <f t="shared" si="192"/>
        <v>1</v>
      </c>
      <c r="K575" s="177">
        <f t="shared" si="192"/>
        <v>1</v>
      </c>
      <c r="L575" s="177">
        <f t="shared" si="192"/>
        <v>1</v>
      </c>
      <c r="M575" s="177">
        <f t="shared" si="192"/>
        <v>1</v>
      </c>
    </row>
    <row r="577" spans="1:13">
      <c r="B577" s="108" t="s">
        <v>161</v>
      </c>
      <c r="C577" s="108">
        <v>2015</v>
      </c>
      <c r="D577" s="108">
        <f>C577+1</f>
        <v>2016</v>
      </c>
      <c r="E577" s="108">
        <f t="shared" ref="E577" si="193">D577+1</f>
        <v>2017</v>
      </c>
      <c r="F577" s="108">
        <f t="shared" ref="F577" si="194">E577+1</f>
        <v>2018</v>
      </c>
      <c r="G577" s="108">
        <f t="shared" ref="G577" si="195">F577+1</f>
        <v>2019</v>
      </c>
      <c r="H577" s="108">
        <f t="shared" ref="H577" si="196">G577+1</f>
        <v>2020</v>
      </c>
      <c r="I577" s="108">
        <f t="shared" ref="I577" si="197">H577+1</f>
        <v>2021</v>
      </c>
      <c r="J577" s="108">
        <f t="shared" ref="J577" si="198">I577+1</f>
        <v>2022</v>
      </c>
      <c r="K577" s="108">
        <f t="shared" ref="K577" si="199">J577+1</f>
        <v>2023</v>
      </c>
      <c r="L577" s="108">
        <f t="shared" ref="L577" si="200">K577+1</f>
        <v>2024</v>
      </c>
      <c r="M577" s="108">
        <f t="shared" ref="M577" si="201">L577+1</f>
        <v>2025</v>
      </c>
    </row>
    <row r="579" spans="1:13">
      <c r="B579" t="str">
        <f t="shared" ref="B579:M579" si="202">B547</f>
        <v xml:space="preserve">Change in Gross Block </v>
      </c>
      <c r="C579" s="113">
        <f t="shared" si="202"/>
        <v>0</v>
      </c>
      <c r="D579" s="113">
        <f t="shared" si="202"/>
        <v>47</v>
      </c>
      <c r="E579" s="113">
        <f t="shared" si="202"/>
        <v>426</v>
      </c>
      <c r="F579" s="113">
        <f t="shared" si="202"/>
        <v>315</v>
      </c>
      <c r="G579" s="113">
        <f t="shared" si="202"/>
        <v>451</v>
      </c>
      <c r="H579" s="113">
        <f t="shared" si="202"/>
        <v>312</v>
      </c>
      <c r="I579" s="113">
        <f t="shared" si="202"/>
        <v>173</v>
      </c>
      <c r="J579" s="113">
        <f t="shared" si="202"/>
        <v>2086</v>
      </c>
      <c r="K579" s="113">
        <f t="shared" si="202"/>
        <v>987</v>
      </c>
      <c r="L579" s="113">
        <f t="shared" si="202"/>
        <v>671</v>
      </c>
      <c r="M579" s="113">
        <f t="shared" si="202"/>
        <v>15007</v>
      </c>
    </row>
    <row r="580" spans="1:13">
      <c r="B580" t="s">
        <v>478</v>
      </c>
      <c r="C580">
        <v>585</v>
      </c>
      <c r="D580">
        <v>759</v>
      </c>
      <c r="E580">
        <v>851</v>
      </c>
      <c r="F580">
        <v>994</v>
      </c>
      <c r="G580">
        <v>925</v>
      </c>
      <c r="H580">
        <v>1445</v>
      </c>
      <c r="I580">
        <v>1649</v>
      </c>
      <c r="J580">
        <v>1991</v>
      </c>
      <c r="K580">
        <v>1902</v>
      </c>
      <c r="L580">
        <v>2537</v>
      </c>
      <c r="M580">
        <v>2651</v>
      </c>
    </row>
    <row r="582" spans="1:13">
      <c r="B582" s="19" t="s">
        <v>479</v>
      </c>
      <c r="C582" s="19">
        <f>C580</f>
        <v>585</v>
      </c>
      <c r="D582" s="19">
        <f t="shared" ref="D582:M582" si="203">D580</f>
        <v>759</v>
      </c>
      <c r="E582" s="19">
        <f t="shared" si="203"/>
        <v>851</v>
      </c>
      <c r="F582" s="19">
        <f t="shared" si="203"/>
        <v>994</v>
      </c>
      <c r="G582" s="19">
        <f t="shared" si="203"/>
        <v>925</v>
      </c>
      <c r="H582" s="19">
        <f t="shared" si="203"/>
        <v>1445</v>
      </c>
      <c r="I582" s="19">
        <f t="shared" si="203"/>
        <v>1649</v>
      </c>
      <c r="J582" s="19">
        <f t="shared" si="203"/>
        <v>1991</v>
      </c>
      <c r="K582" s="19">
        <f t="shared" si="203"/>
        <v>1902</v>
      </c>
      <c r="L582" s="19">
        <f t="shared" si="203"/>
        <v>2537</v>
      </c>
      <c r="M582" s="19">
        <f t="shared" si="203"/>
        <v>2651</v>
      </c>
    </row>
    <row r="583" spans="1:13">
      <c r="B583" t="s">
        <v>480</v>
      </c>
      <c r="C583">
        <f>IF(C580&gt;C579,0,C579-C580)</f>
        <v>0</v>
      </c>
      <c r="D583">
        <f t="shared" ref="D583:M583" si="204">IF(D580&gt;D579,0,D579-D580)</f>
        <v>0</v>
      </c>
      <c r="E583">
        <f t="shared" si="204"/>
        <v>0</v>
      </c>
      <c r="F583">
        <f t="shared" si="204"/>
        <v>0</v>
      </c>
      <c r="G583">
        <f t="shared" si="204"/>
        <v>0</v>
      </c>
      <c r="H583">
        <f t="shared" si="204"/>
        <v>0</v>
      </c>
      <c r="I583">
        <f t="shared" si="204"/>
        <v>0</v>
      </c>
      <c r="J583">
        <f>IF(J580&gt;J579,0,J579-J580)</f>
        <v>95</v>
      </c>
      <c r="K583">
        <f t="shared" si="204"/>
        <v>0</v>
      </c>
      <c r="L583">
        <f t="shared" si="204"/>
        <v>0</v>
      </c>
      <c r="M583">
        <f t="shared" si="204"/>
        <v>12356</v>
      </c>
    </row>
    <row r="585" spans="1:13">
      <c r="A585" t="s">
        <v>23</v>
      </c>
      <c r="B585" s="108" t="s">
        <v>370</v>
      </c>
      <c r="C585" s="108">
        <v>2015</v>
      </c>
      <c r="D585" s="108">
        <f>C585+1</f>
        <v>2016</v>
      </c>
      <c r="E585" s="108">
        <f t="shared" ref="E585" si="205">D585+1</f>
        <v>2017</v>
      </c>
      <c r="F585" s="108">
        <f t="shared" ref="F585" si="206">E585+1</f>
        <v>2018</v>
      </c>
      <c r="G585" s="108">
        <f t="shared" ref="G585" si="207">F585+1</f>
        <v>2019</v>
      </c>
      <c r="H585" s="108">
        <f t="shared" ref="H585" si="208">G585+1</f>
        <v>2020</v>
      </c>
      <c r="I585" s="108">
        <f t="shared" ref="I585" si="209">H585+1</f>
        <v>2021</v>
      </c>
      <c r="J585" s="108">
        <f t="shared" ref="J585" si="210">I585+1</f>
        <v>2022</v>
      </c>
      <c r="K585" s="108">
        <f t="shared" ref="K585" si="211">J585+1</f>
        <v>2023</v>
      </c>
      <c r="L585" s="108">
        <f t="shared" ref="L585" si="212">K585+1</f>
        <v>2024</v>
      </c>
      <c r="M585" s="108">
        <f t="shared" ref="M585" si="213">L585+1</f>
        <v>2025</v>
      </c>
    </row>
    <row r="587" spans="1:13">
      <c r="B587" s="24" t="s">
        <v>484</v>
      </c>
    </row>
    <row r="597" spans="2:2">
      <c r="B597" s="24" t="s">
        <v>483</v>
      </c>
    </row>
    <row r="625" spans="2:7">
      <c r="B625" s="24" t="s">
        <v>485</v>
      </c>
    </row>
    <row r="631" spans="2:7">
      <c r="B631" s="24" t="s">
        <v>486</v>
      </c>
    </row>
    <row r="640" spans="2:7">
      <c r="G640" s="20" t="s">
        <v>489</v>
      </c>
    </row>
    <row r="641" spans="7:7">
      <c r="G641" s="20" t="s">
        <v>490</v>
      </c>
    </row>
    <row r="643" spans="7:7">
      <c r="G643" s="20" t="s">
        <v>492</v>
      </c>
    </row>
    <row r="645" spans="7:7">
      <c r="G645" s="20" t="s">
        <v>491</v>
      </c>
    </row>
    <row r="648" spans="7:7">
      <c r="G648" s="20" t="s">
        <v>487</v>
      </c>
    </row>
    <row r="649" spans="7:7">
      <c r="G649" s="20" t="s">
        <v>488</v>
      </c>
    </row>
    <row r="665" spans="2:2">
      <c r="B665" s="24" t="s">
        <v>494</v>
      </c>
    </row>
    <row r="667" spans="2:2">
      <c r="B667" t="s">
        <v>493</v>
      </c>
    </row>
    <row r="677" spans="2:11">
      <c r="B677" s="108" t="s">
        <v>184</v>
      </c>
      <c r="C677" s="108">
        <v>2019</v>
      </c>
      <c r="D677" s="108">
        <f>C677+1</f>
        <v>2020</v>
      </c>
      <c r="E677" s="108">
        <f t="shared" ref="E677" si="214">D677+1</f>
        <v>2021</v>
      </c>
      <c r="F677" s="108">
        <f t="shared" ref="F677" si="215">E677+1</f>
        <v>2022</v>
      </c>
      <c r="G677" s="108">
        <f t="shared" ref="G677" si="216">F677+1</f>
        <v>2023</v>
      </c>
      <c r="H677" s="108">
        <f>G677+1</f>
        <v>2024</v>
      </c>
      <c r="I677" s="108">
        <f t="shared" ref="I677" si="217">H677+1</f>
        <v>2025</v>
      </c>
      <c r="J677" s="108">
        <f t="shared" ref="J677" si="218">I677+1</f>
        <v>2026</v>
      </c>
      <c r="K677" s="108">
        <f t="shared" ref="K677" si="219">J677+1</f>
        <v>2027</v>
      </c>
    </row>
    <row r="678" spans="2:11">
      <c r="B678" t="s">
        <v>185</v>
      </c>
      <c r="C678" s="113">
        <v>1352.1338000000001</v>
      </c>
      <c r="D678" s="113">
        <v>1551.3441</v>
      </c>
      <c r="E678" s="113">
        <v>1620.0707</v>
      </c>
      <c r="F678" s="113">
        <v>1652.3629999999998</v>
      </c>
      <c r="G678" s="113">
        <v>2409.4342999999999</v>
      </c>
      <c r="H678" s="113">
        <v>2812.5315999999998</v>
      </c>
      <c r="I678" s="113">
        <v>2740.57</v>
      </c>
    </row>
    <row r="679" spans="2:11">
      <c r="B679" t="s">
        <v>187</v>
      </c>
      <c r="C679" s="116">
        <v>0</v>
      </c>
      <c r="D679" s="116">
        <v>0</v>
      </c>
      <c r="E679" s="116">
        <v>0</v>
      </c>
      <c r="F679" s="113">
        <v>67.357100000000003</v>
      </c>
      <c r="G679" s="113">
        <v>114.3647</v>
      </c>
      <c r="H679" s="113">
        <v>119.06129999999999</v>
      </c>
      <c r="I679" s="113">
        <v>167.25</v>
      </c>
    </row>
    <row r="680" spans="2:11">
      <c r="B680" t="s">
        <v>496</v>
      </c>
      <c r="C680" s="117">
        <v>26.8765</v>
      </c>
      <c r="D680" s="117">
        <v>22.252199999999995</v>
      </c>
      <c r="E680" s="117">
        <v>18.428600000000003</v>
      </c>
      <c r="F680" s="117">
        <v>1842.6152</v>
      </c>
      <c r="G680" s="117">
        <v>1701.4632999999999</v>
      </c>
      <c r="H680" s="117">
        <v>1588.3397</v>
      </c>
      <c r="I680" s="117">
        <v>9604.66</v>
      </c>
    </row>
    <row r="681" spans="2:11">
      <c r="B681" s="20" t="s">
        <v>14</v>
      </c>
      <c r="C681" s="203">
        <f>SUM(C678:C680)</f>
        <v>1379.0103000000001</v>
      </c>
      <c r="D681" s="203">
        <f t="shared" ref="D681:I681" si="220">SUM(D678:D680)</f>
        <v>1573.5962999999999</v>
      </c>
      <c r="E681" s="203">
        <f t="shared" si="220"/>
        <v>1638.4992999999999</v>
      </c>
      <c r="F681" s="203">
        <f t="shared" si="220"/>
        <v>3562.3352999999997</v>
      </c>
      <c r="G681" s="203">
        <f t="shared" si="220"/>
        <v>4225.2623000000003</v>
      </c>
      <c r="H681" s="203">
        <f t="shared" si="220"/>
        <v>4519.9326000000001</v>
      </c>
      <c r="I681" s="203">
        <f t="shared" si="220"/>
        <v>12512.48</v>
      </c>
      <c r="J681" s="203">
        <f>I681+400</f>
        <v>12912.48</v>
      </c>
      <c r="K681" s="203">
        <f t="shared" ref="K681" si="221">J681+400</f>
        <v>13312.48</v>
      </c>
    </row>
    <row r="682" spans="2:11">
      <c r="B682" t="s">
        <v>31</v>
      </c>
      <c r="C682" s="117"/>
      <c r="D682" s="117"/>
      <c r="E682" s="117"/>
      <c r="F682" s="117"/>
      <c r="G682" s="117"/>
      <c r="H682" s="117"/>
      <c r="I682" s="113"/>
      <c r="J682" s="217" t="s">
        <v>545</v>
      </c>
      <c r="K682" s="217" t="s">
        <v>546</v>
      </c>
    </row>
    <row r="683" spans="2:11">
      <c r="C683" s="117"/>
      <c r="D683" s="117"/>
      <c r="E683" s="117"/>
      <c r="F683" s="117"/>
      <c r="G683" s="117"/>
      <c r="H683" s="117"/>
      <c r="I683" s="113"/>
      <c r="J683" s="216">
        <v>14404.259999999998</v>
      </c>
      <c r="K683" s="216">
        <v>16780.962899999999</v>
      </c>
    </row>
    <row r="684" spans="2:11">
      <c r="B684" s="108" t="s">
        <v>161</v>
      </c>
      <c r="C684" s="108">
        <v>2026</v>
      </c>
      <c r="D684" s="108">
        <f>C684+1</f>
        <v>2027</v>
      </c>
      <c r="E684" s="108">
        <f t="shared" ref="E684" si="222">D684+1</f>
        <v>2028</v>
      </c>
      <c r="F684" s="108">
        <f t="shared" ref="F684" si="223">E684+1</f>
        <v>2029</v>
      </c>
      <c r="G684" s="108">
        <f t="shared" ref="G684" si="224">F684+1</f>
        <v>2030</v>
      </c>
      <c r="J684" s="218">
        <f>J683*2.7%</f>
        <v>388.91502000000003</v>
      </c>
      <c r="K684" s="218">
        <f t="shared" ref="K684" si="225">K683*2.7%</f>
        <v>453.08599830000003</v>
      </c>
    </row>
    <row r="685" spans="2:11">
      <c r="B685" t="s">
        <v>544</v>
      </c>
      <c r="C685" s="117">
        <f>J685</f>
        <v>652.91502000000003</v>
      </c>
      <c r="D685" s="117">
        <f t="shared" ref="D685" si="226">K685</f>
        <v>717.08599830000003</v>
      </c>
      <c r="E685" s="117"/>
      <c r="F685" s="117"/>
      <c r="G685" s="117"/>
      <c r="H685" s="117"/>
      <c r="I685" s="113"/>
      <c r="J685" s="216">
        <f>264+J684</f>
        <v>652.91502000000003</v>
      </c>
      <c r="K685" s="216">
        <f t="shared" ref="K685" si="227">264+K684</f>
        <v>717.08599830000003</v>
      </c>
    </row>
    <row r="686" spans="2:11">
      <c r="B686" t="s">
        <v>547</v>
      </c>
      <c r="C686" s="117"/>
      <c r="D686" s="117"/>
      <c r="E686" s="221">
        <v>0.37</v>
      </c>
      <c r="F686" s="221">
        <f>E686</f>
        <v>0.37</v>
      </c>
      <c r="G686" s="221">
        <f t="shared" ref="G686" si="228">F686</f>
        <v>0.37</v>
      </c>
      <c r="H686" s="117"/>
      <c r="I686" s="113"/>
      <c r="J686" s="103"/>
      <c r="K686" s="103"/>
    </row>
    <row r="687" spans="2:11">
      <c r="C687" s="117"/>
      <c r="D687" s="117"/>
      <c r="E687" s="117"/>
      <c r="F687" s="117"/>
      <c r="G687" s="117"/>
      <c r="H687" s="117"/>
      <c r="I687" s="113"/>
      <c r="J687" s="220">
        <f>K683-J683</f>
        <v>2376.7029000000002</v>
      </c>
      <c r="K687" s="103"/>
    </row>
    <row r="688" spans="2:11">
      <c r="C688" s="117"/>
      <c r="D688" s="117"/>
      <c r="E688" s="117"/>
      <c r="F688" s="117"/>
      <c r="G688" s="117"/>
      <c r="H688" s="117"/>
      <c r="I688" s="113"/>
      <c r="J688" s="220">
        <f>D685-C685</f>
        <v>64.170978300000002</v>
      </c>
      <c r="K688" s="103"/>
    </row>
    <row r="689" spans="1:13">
      <c r="C689" s="117"/>
      <c r="D689" s="117"/>
      <c r="E689" s="117"/>
      <c r="F689" s="117"/>
      <c r="G689" s="117"/>
      <c r="H689" s="117"/>
      <c r="I689" s="113"/>
      <c r="J689" s="103"/>
      <c r="K689" s="103"/>
    </row>
    <row r="690" spans="1:13">
      <c r="J690" s="134">
        <f>J687/J688</f>
        <v>37.037037037037038</v>
      </c>
    </row>
    <row r="692" spans="1:13" ht="18">
      <c r="A692" t="s">
        <v>23</v>
      </c>
      <c r="B692" s="14" t="s">
        <v>509</v>
      </c>
    </row>
    <row r="693" spans="1:13" ht="18">
      <c r="B693" s="14"/>
    </row>
    <row r="694" spans="1:13">
      <c r="B694" s="108" t="s">
        <v>161</v>
      </c>
      <c r="C694" s="108">
        <v>2019</v>
      </c>
      <c r="D694" s="108">
        <f t="shared" ref="D694:I694" si="229">C694+1</f>
        <v>2020</v>
      </c>
      <c r="E694" s="108">
        <f t="shared" si="229"/>
        <v>2021</v>
      </c>
      <c r="F694" s="108">
        <f t="shared" si="229"/>
        <v>2022</v>
      </c>
      <c r="G694" s="108">
        <f t="shared" si="229"/>
        <v>2023</v>
      </c>
      <c r="H694" s="108">
        <f t="shared" si="229"/>
        <v>2024</v>
      </c>
      <c r="I694" s="108">
        <f t="shared" si="229"/>
        <v>2025</v>
      </c>
    </row>
    <row r="695" spans="1:13">
      <c r="B695" t="s">
        <v>41</v>
      </c>
      <c r="C695" s="110">
        <v>4979.9760999999999</v>
      </c>
      <c r="D695" s="110">
        <v>5871.8684999999996</v>
      </c>
      <c r="E695" s="110">
        <v>6223.8981999999996</v>
      </c>
      <c r="F695" s="110">
        <v>7781.5551000000005</v>
      </c>
      <c r="G695" s="110">
        <v>8749.4330000000009</v>
      </c>
      <c r="H695" s="110">
        <v>10334.774599999999</v>
      </c>
      <c r="I695" s="110">
        <v>12207</v>
      </c>
    </row>
    <row r="696" spans="1:13">
      <c r="B696" t="s">
        <v>194</v>
      </c>
      <c r="C696" s="113">
        <v>35.511099999999999</v>
      </c>
      <c r="D696" s="113">
        <v>36.6462</v>
      </c>
      <c r="E696" s="113">
        <v>96.676599999999993</v>
      </c>
      <c r="F696" s="113">
        <v>74.184300000000007</v>
      </c>
      <c r="G696" s="113">
        <v>73.355000000000004</v>
      </c>
      <c r="H696" s="113">
        <v>66.281099999999995</v>
      </c>
      <c r="I696" s="113">
        <v>92.26</v>
      </c>
    </row>
    <row r="697" spans="1:13">
      <c r="C697" s="113"/>
      <c r="D697" s="113"/>
      <c r="E697" s="113"/>
      <c r="F697" s="113"/>
      <c r="G697" s="113"/>
      <c r="H697" s="113"/>
      <c r="I697" s="113"/>
    </row>
    <row r="698" spans="1:13" s="167" customFormat="1">
      <c r="A698"/>
      <c r="B698" s="167" t="str">
        <f>B696&amp;" % Revenue"</f>
        <v>Other non-current assets % Revenue</v>
      </c>
      <c r="C698" s="178">
        <f>C696/C695</f>
        <v>7.1307771938905491E-3</v>
      </c>
      <c r="D698" s="178">
        <f t="shared" ref="D698:I698" si="230">D696/D695</f>
        <v>6.2409776376974391E-3</v>
      </c>
      <c r="E698" s="178">
        <f t="shared" si="230"/>
        <v>1.5533126811103691E-2</v>
      </c>
      <c r="F698" s="178">
        <f t="shared" si="230"/>
        <v>9.5333515019382191E-3</v>
      </c>
      <c r="G698" s="178">
        <f t="shared" si="230"/>
        <v>8.3839718528046329E-3</v>
      </c>
      <c r="H698" s="178">
        <f t="shared" si="230"/>
        <v>6.4134054747551055E-3</v>
      </c>
      <c r="I698" s="178">
        <f t="shared" si="230"/>
        <v>7.5579585483738845E-3</v>
      </c>
    </row>
    <row r="700" spans="1:13" ht="18">
      <c r="A700" t="s">
        <v>23</v>
      </c>
      <c r="B700" s="14" t="s">
        <v>524</v>
      </c>
    </row>
    <row r="702" spans="1:13">
      <c r="B702" s="108" t="s">
        <v>184</v>
      </c>
      <c r="C702" s="108">
        <v>2015</v>
      </c>
      <c r="D702" s="108">
        <v>2016</v>
      </c>
      <c r="E702" s="108">
        <v>2017</v>
      </c>
      <c r="F702" s="108">
        <v>2018</v>
      </c>
      <c r="G702" s="108">
        <v>2019</v>
      </c>
      <c r="H702" s="108">
        <v>2020</v>
      </c>
      <c r="I702" s="108">
        <v>2021</v>
      </c>
      <c r="J702" s="108">
        <v>2022</v>
      </c>
      <c r="K702" s="108">
        <v>2023</v>
      </c>
      <c r="L702" s="108">
        <v>2024</v>
      </c>
      <c r="M702" s="108">
        <v>2025</v>
      </c>
    </row>
    <row r="703" spans="1:13">
      <c r="B703" t="s">
        <v>456</v>
      </c>
      <c r="C703" s="113">
        <v>316</v>
      </c>
      <c r="D703" s="113">
        <v>447</v>
      </c>
      <c r="E703" s="113">
        <v>793</v>
      </c>
      <c r="F703" s="113">
        <v>1014</v>
      </c>
      <c r="G703" s="113">
        <v>1399</v>
      </c>
      <c r="H703" s="113">
        <v>1599</v>
      </c>
      <c r="I703" s="113">
        <v>1665</v>
      </c>
      <c r="J703" s="113">
        <v>3588</v>
      </c>
      <c r="K703" s="113">
        <v>4251</v>
      </c>
      <c r="L703" s="113">
        <v>4540</v>
      </c>
      <c r="M703" s="113">
        <v>19005</v>
      </c>
    </row>
    <row r="704" spans="1:13">
      <c r="B704" t="s">
        <v>503</v>
      </c>
      <c r="C704" s="113">
        <v>44</v>
      </c>
      <c r="D704" s="113">
        <v>139</v>
      </c>
      <c r="E704" s="113">
        <v>302</v>
      </c>
      <c r="F704" s="113">
        <v>482</v>
      </c>
      <c r="G704" s="113">
        <v>327</v>
      </c>
      <c r="H704" s="113">
        <v>313</v>
      </c>
      <c r="I704" s="113">
        <v>372</v>
      </c>
      <c r="J704" s="113">
        <v>670</v>
      </c>
      <c r="K704" s="113">
        <v>493</v>
      </c>
      <c r="L704" s="113">
        <v>207</v>
      </c>
      <c r="M704" s="113">
        <v>306</v>
      </c>
    </row>
    <row r="705" spans="2:13">
      <c r="B705" s="30" t="s">
        <v>525</v>
      </c>
      <c r="C705" s="93">
        <f>C704/C703</f>
        <v>0.13924050632911392</v>
      </c>
      <c r="D705" s="93">
        <f t="shared" ref="D705:M705" si="231">D704/D703</f>
        <v>0.31096196868008946</v>
      </c>
      <c r="E705" s="93">
        <f t="shared" si="231"/>
        <v>0.38083228247162676</v>
      </c>
      <c r="F705" s="93">
        <f t="shared" si="231"/>
        <v>0.47534516765285995</v>
      </c>
      <c r="G705" s="93">
        <f t="shared" si="231"/>
        <v>0.23373838456040028</v>
      </c>
      <c r="H705" s="93">
        <f t="shared" si="231"/>
        <v>0.19574734208880551</v>
      </c>
      <c r="I705" s="93">
        <f t="shared" si="231"/>
        <v>0.22342342342342342</v>
      </c>
      <c r="J705" s="93">
        <f t="shared" si="231"/>
        <v>0.1867335562987737</v>
      </c>
      <c r="K705" s="93">
        <f t="shared" si="231"/>
        <v>0.11597271230298753</v>
      </c>
      <c r="L705" s="93">
        <f t="shared" si="231"/>
        <v>4.5594713656387668E-2</v>
      </c>
      <c r="M705" s="93">
        <f t="shared" si="231"/>
        <v>1.6101026045777428E-2</v>
      </c>
    </row>
    <row r="707" spans="2:13">
      <c r="B707" s="20" t="s">
        <v>529</v>
      </c>
      <c r="C707" s="104">
        <f>MEDIAN(C705,H705,L705)</f>
        <v>0.13924050632911392</v>
      </c>
    </row>
    <row r="708" spans="2:13">
      <c r="B708" s="20" t="s">
        <v>530</v>
      </c>
      <c r="C708" s="104">
        <f>MEDIAN(E705:G705)</f>
        <v>0.38083228247162676</v>
      </c>
    </row>
    <row r="711" spans="2:13">
      <c r="B711" s="108" t="s">
        <v>370</v>
      </c>
      <c r="C711" s="108"/>
      <c r="D711" s="108"/>
      <c r="E711" s="108"/>
      <c r="F711" s="108"/>
      <c r="G711" s="108"/>
      <c r="H711" s="108"/>
      <c r="I711" s="108"/>
      <c r="J711" s="108"/>
      <c r="K711" s="108"/>
      <c r="L711" s="108"/>
      <c r="M711" s="108"/>
    </row>
    <row r="713" spans="2:13">
      <c r="B713" t="s">
        <v>528</v>
      </c>
    </row>
    <row r="715" spans="2:13">
      <c r="B715" s="108" t="s">
        <v>370</v>
      </c>
      <c r="C715" s="108">
        <v>2026</v>
      </c>
      <c r="D715" s="108">
        <f>C715+1</f>
        <v>2027</v>
      </c>
      <c r="F715" s="184" t="s">
        <v>357</v>
      </c>
    </row>
    <row r="716" spans="2:13">
      <c r="B716" t="s">
        <v>526</v>
      </c>
      <c r="C716">
        <v>298</v>
      </c>
      <c r="D716">
        <v>358</v>
      </c>
      <c r="F716" s="139">
        <f>MEDIAN(C716:D716)</f>
        <v>328</v>
      </c>
    </row>
    <row r="717" spans="2:13">
      <c r="B717" t="s">
        <v>527</v>
      </c>
      <c r="C717">
        <v>281</v>
      </c>
      <c r="D717">
        <v>281</v>
      </c>
      <c r="F717" s="139">
        <f>MEDIAN(C717:D717)</f>
        <v>281</v>
      </c>
    </row>
    <row r="727" spans="1:16" ht="18">
      <c r="A727" t="s">
        <v>23</v>
      </c>
      <c r="B727" s="14" t="s">
        <v>3</v>
      </c>
    </row>
    <row r="729" spans="1:16">
      <c r="B729" s="108" t="s">
        <v>161</v>
      </c>
      <c r="C729" s="108">
        <v>2015</v>
      </c>
      <c r="D729" s="108">
        <f>C729+1</f>
        <v>2016</v>
      </c>
      <c r="E729" s="108">
        <f t="shared" ref="E729" si="232">D729+1</f>
        <v>2017</v>
      </c>
      <c r="F729" s="108">
        <f t="shared" ref="F729" si="233">E729+1</f>
        <v>2018</v>
      </c>
      <c r="G729" s="108">
        <f t="shared" ref="G729" si="234">F729+1</f>
        <v>2019</v>
      </c>
      <c r="H729" s="108">
        <f t="shared" ref="H729" si="235">G729+1</f>
        <v>2020</v>
      </c>
      <c r="I729" s="108">
        <f t="shared" ref="I729" si="236">H729+1</f>
        <v>2021</v>
      </c>
      <c r="J729" s="108">
        <f t="shared" ref="J729" si="237">I729+1</f>
        <v>2022</v>
      </c>
      <c r="K729" s="108">
        <f t="shared" ref="K729" si="238">J729+1</f>
        <v>2023</v>
      </c>
      <c r="L729" s="108">
        <f t="shared" ref="L729" si="239">K729+1</f>
        <v>2024</v>
      </c>
      <c r="M729" s="108">
        <f t="shared" ref="M729" si="240">L729+1</f>
        <v>2025</v>
      </c>
      <c r="O729" s="184" t="s">
        <v>357</v>
      </c>
      <c r="P729" s="184" t="s">
        <v>358</v>
      </c>
    </row>
    <row r="730" spans="1:16">
      <c r="B730" s="20" t="s">
        <v>454</v>
      </c>
      <c r="C730" s="110">
        <v>442</v>
      </c>
      <c r="D730" s="110">
        <v>489</v>
      </c>
      <c r="E730" s="110">
        <v>915</v>
      </c>
      <c r="F730" s="110">
        <v>1230</v>
      </c>
      <c r="G730" s="110">
        <v>1681</v>
      </c>
      <c r="H730" s="110">
        <v>1993</v>
      </c>
      <c r="I730" s="110">
        <v>2166</v>
      </c>
      <c r="J730" s="110">
        <v>4252</v>
      </c>
      <c r="K730" s="110">
        <v>5239</v>
      </c>
      <c r="L730" s="110">
        <v>5910</v>
      </c>
      <c r="M730" s="110">
        <v>20917</v>
      </c>
    </row>
    <row r="731" spans="1:16">
      <c r="B731" t="s">
        <v>474</v>
      </c>
      <c r="C731" s="113">
        <f t="shared" ref="C731:L731" si="241">C554</f>
        <v>0</v>
      </c>
      <c r="D731" s="113">
        <f t="shared" si="241"/>
        <v>0</v>
      </c>
      <c r="E731" s="113">
        <f t="shared" si="241"/>
        <v>0</v>
      </c>
      <c r="F731" s="113">
        <f t="shared" si="241"/>
        <v>0</v>
      </c>
      <c r="G731" s="113">
        <f t="shared" si="241"/>
        <v>0</v>
      </c>
      <c r="H731" s="113">
        <f t="shared" si="241"/>
        <v>291</v>
      </c>
      <c r="I731" s="113">
        <f t="shared" si="241"/>
        <v>291</v>
      </c>
      <c r="J731" s="113">
        <f t="shared" si="241"/>
        <v>308</v>
      </c>
      <c r="K731" s="113">
        <f t="shared" si="241"/>
        <v>463</v>
      </c>
      <c r="L731" s="113">
        <f t="shared" si="241"/>
        <v>465</v>
      </c>
      <c r="M731" s="113">
        <f>M554</f>
        <v>525</v>
      </c>
    </row>
    <row r="732" spans="1:16">
      <c r="B732" t="s">
        <v>532</v>
      </c>
      <c r="C732" s="113">
        <f t="shared" ref="C732:F732" si="242">C555</f>
        <v>0</v>
      </c>
      <c r="D732" s="113">
        <f t="shared" si="242"/>
        <v>0</v>
      </c>
      <c r="E732" s="113">
        <f t="shared" si="242"/>
        <v>0</v>
      </c>
      <c r="F732" s="113">
        <f t="shared" si="242"/>
        <v>0</v>
      </c>
      <c r="G732" s="117">
        <v>26.8765</v>
      </c>
      <c r="H732" s="117">
        <v>22.252199999999995</v>
      </c>
      <c r="I732" s="117">
        <v>18.428600000000003</v>
      </c>
      <c r="J732" s="117">
        <v>1842.6152</v>
      </c>
      <c r="K732" s="117">
        <v>1701.4632999999999</v>
      </c>
      <c r="L732" s="117">
        <v>1588.3397</v>
      </c>
      <c r="M732" s="117">
        <v>9604.66</v>
      </c>
    </row>
    <row r="733" spans="1:16" s="20" customFormat="1">
      <c r="B733" s="30" t="s">
        <v>533</v>
      </c>
      <c r="C733" s="208">
        <f t="shared" ref="C733:L733" si="243">C730-C731-C732</f>
        <v>442</v>
      </c>
      <c r="D733" s="208">
        <f t="shared" si="243"/>
        <v>489</v>
      </c>
      <c r="E733" s="208">
        <f t="shared" si="243"/>
        <v>915</v>
      </c>
      <c r="F733" s="208">
        <f t="shared" si="243"/>
        <v>1230</v>
      </c>
      <c r="G733" s="208">
        <f t="shared" si="243"/>
        <v>1654.1234999999999</v>
      </c>
      <c r="H733" s="208">
        <f t="shared" si="243"/>
        <v>1679.7478000000001</v>
      </c>
      <c r="I733" s="208">
        <f t="shared" si="243"/>
        <v>1856.5714</v>
      </c>
      <c r="J733" s="208">
        <f t="shared" si="243"/>
        <v>2101.3847999999998</v>
      </c>
      <c r="K733" s="208">
        <f t="shared" si="243"/>
        <v>3074.5367000000001</v>
      </c>
      <c r="L733" s="208">
        <f t="shared" si="243"/>
        <v>3856.6603</v>
      </c>
      <c r="M733" s="208">
        <f>M730-M731-M732</f>
        <v>10787.34</v>
      </c>
    </row>
    <row r="734" spans="1:16">
      <c r="B734" t="s">
        <v>455</v>
      </c>
      <c r="C734" s="113">
        <v>126</v>
      </c>
      <c r="D734" s="113">
        <v>42</v>
      </c>
      <c r="E734" s="113">
        <v>122</v>
      </c>
      <c r="F734" s="113">
        <v>216</v>
      </c>
      <c r="G734" s="113">
        <v>282</v>
      </c>
      <c r="H734" s="113">
        <v>394</v>
      </c>
      <c r="I734" s="113">
        <v>501</v>
      </c>
      <c r="J734" s="113">
        <v>664</v>
      </c>
      <c r="K734" s="113">
        <v>988</v>
      </c>
      <c r="L734" s="113">
        <v>1370</v>
      </c>
      <c r="M734" s="113">
        <v>1912</v>
      </c>
    </row>
    <row r="735" spans="1:16" s="20" customFormat="1">
      <c r="B735" s="30" t="s">
        <v>534</v>
      </c>
      <c r="C735" s="208">
        <f>C733-C734</f>
        <v>316</v>
      </c>
      <c r="D735" s="208">
        <f t="shared" ref="D735:M735" si="244">D733-D734</f>
        <v>447</v>
      </c>
      <c r="E735" s="208">
        <f t="shared" si="244"/>
        <v>793</v>
      </c>
      <c r="F735" s="208">
        <f t="shared" si="244"/>
        <v>1014</v>
      </c>
      <c r="G735" s="208">
        <f t="shared" si="244"/>
        <v>1372.1234999999999</v>
      </c>
      <c r="H735" s="208">
        <f t="shared" si="244"/>
        <v>1285.7478000000001</v>
      </c>
      <c r="I735" s="208">
        <f t="shared" si="244"/>
        <v>1355.5714</v>
      </c>
      <c r="J735" s="208">
        <f t="shared" si="244"/>
        <v>1437.3847999999998</v>
      </c>
      <c r="K735" s="208">
        <f t="shared" si="244"/>
        <v>2086.5367000000001</v>
      </c>
      <c r="L735" s="208">
        <f t="shared" si="244"/>
        <v>2486.6603</v>
      </c>
      <c r="M735" s="208">
        <f t="shared" si="244"/>
        <v>8875.34</v>
      </c>
    </row>
    <row r="738" spans="1:16">
      <c r="B738" t="s">
        <v>535</v>
      </c>
      <c r="C738">
        <v>39</v>
      </c>
      <c r="D738">
        <v>43</v>
      </c>
      <c r="E738">
        <v>31</v>
      </c>
      <c r="F738">
        <v>46</v>
      </c>
      <c r="G738">
        <v>69</v>
      </c>
      <c r="H738" s="209">
        <v>99</v>
      </c>
      <c r="I738" s="209">
        <v>119</v>
      </c>
      <c r="J738" s="209">
        <v>167</v>
      </c>
      <c r="K738" s="209">
        <v>326</v>
      </c>
      <c r="L738" s="209">
        <v>378</v>
      </c>
      <c r="M738" s="209">
        <v>621</v>
      </c>
    </row>
    <row r="740" spans="1:16">
      <c r="B740" s="210" t="s">
        <v>536</v>
      </c>
      <c r="C740" s="210">
        <f>C733/C738</f>
        <v>11.333333333333334</v>
      </c>
      <c r="D740" s="210">
        <f t="shared" ref="D740:M740" si="245">D733/D738</f>
        <v>11.372093023255815</v>
      </c>
      <c r="E740" s="210">
        <f t="shared" si="245"/>
        <v>29.516129032258064</v>
      </c>
      <c r="F740" s="210">
        <f t="shared" si="245"/>
        <v>26.739130434782609</v>
      </c>
      <c r="G740" s="210">
        <f t="shared" si="245"/>
        <v>23.972804347826084</v>
      </c>
      <c r="H740" s="210">
        <f t="shared" si="245"/>
        <v>16.967149494949496</v>
      </c>
      <c r="I740" s="210">
        <f t="shared" si="245"/>
        <v>15.601440336134454</v>
      </c>
      <c r="J740" s="210">
        <f t="shared" si="245"/>
        <v>12.583142514970058</v>
      </c>
      <c r="K740" s="210">
        <f t="shared" si="245"/>
        <v>9.4310941717791419</v>
      </c>
      <c r="L740" s="210">
        <f t="shared" si="245"/>
        <v>10.202805026455026</v>
      </c>
      <c r="M740" s="210">
        <f t="shared" si="245"/>
        <v>17.370917874396135</v>
      </c>
      <c r="O740" s="211">
        <f>MEDIAN(C740:M740)</f>
        <v>15.601440336134454</v>
      </c>
      <c r="P740" s="211">
        <f>AVERAGE(C740:M740)</f>
        <v>16.826367235467291</v>
      </c>
    </row>
    <row r="741" spans="1:16">
      <c r="B741" s="210" t="s">
        <v>537</v>
      </c>
      <c r="C741" s="210">
        <f>C734/C738</f>
        <v>3.2307692307692308</v>
      </c>
      <c r="D741" s="210">
        <f t="shared" ref="D741:M741" si="246">D734/D738</f>
        <v>0.97674418604651159</v>
      </c>
      <c r="E741" s="210">
        <f t="shared" si="246"/>
        <v>3.935483870967742</v>
      </c>
      <c r="F741" s="210">
        <f t="shared" si="246"/>
        <v>4.6956521739130439</v>
      </c>
      <c r="G741" s="210">
        <f t="shared" si="246"/>
        <v>4.0869565217391308</v>
      </c>
      <c r="H741" s="210">
        <f t="shared" si="246"/>
        <v>3.9797979797979797</v>
      </c>
      <c r="I741" s="210">
        <f t="shared" si="246"/>
        <v>4.2100840336134455</v>
      </c>
      <c r="J741" s="210">
        <f t="shared" si="246"/>
        <v>3.9760479041916166</v>
      </c>
      <c r="K741" s="210">
        <f t="shared" si="246"/>
        <v>3.0306748466257667</v>
      </c>
      <c r="L741" s="210">
        <f t="shared" si="246"/>
        <v>3.6243386243386242</v>
      </c>
      <c r="M741" s="210">
        <f t="shared" si="246"/>
        <v>3.0789049919484701</v>
      </c>
      <c r="O741" s="211">
        <f t="shared" ref="O741" si="247">MEDIAN(C741:M741)</f>
        <v>3.935483870967742</v>
      </c>
      <c r="P741" s="211">
        <f t="shared" ref="P741" si="248">AVERAGE(C741:M741)</f>
        <v>3.529586760359233</v>
      </c>
    </row>
    <row r="742" spans="1:16">
      <c r="B742" s="210" t="s">
        <v>538</v>
      </c>
      <c r="C742" s="212">
        <f>C734/C733</f>
        <v>0.28506787330316741</v>
      </c>
      <c r="D742" s="212">
        <f t="shared" ref="D742:M742" si="249">D734/D733</f>
        <v>8.5889570552147243E-2</v>
      </c>
      <c r="E742" s="212">
        <f t="shared" si="249"/>
        <v>0.13333333333333333</v>
      </c>
      <c r="F742" s="212">
        <f t="shared" si="249"/>
        <v>0.17560975609756097</v>
      </c>
      <c r="G742" s="212">
        <f t="shared" si="249"/>
        <v>0.17048303829792638</v>
      </c>
      <c r="H742" s="212">
        <f t="shared" si="249"/>
        <v>0.23455902130069764</v>
      </c>
      <c r="I742" s="212">
        <f t="shared" si="249"/>
        <v>0.26985226638738485</v>
      </c>
      <c r="J742" s="212">
        <f t="shared" si="249"/>
        <v>0.3159821085600315</v>
      </c>
      <c r="K742" s="212">
        <f t="shared" si="249"/>
        <v>0.32134922962539364</v>
      </c>
      <c r="L742" s="212">
        <f t="shared" si="249"/>
        <v>0.35522962704285882</v>
      </c>
      <c r="M742" s="212">
        <f t="shared" si="249"/>
        <v>0.17724480733897327</v>
      </c>
      <c r="O742" s="212">
        <f t="shared" ref="O742" si="250">MEDIAN(C742:M742)</f>
        <v>0.23455902130069764</v>
      </c>
      <c r="P742" s="212">
        <f t="shared" ref="P742" si="251">AVERAGE(C742:M742)</f>
        <v>0.22950914834904318</v>
      </c>
    </row>
    <row r="744" spans="1:16">
      <c r="B744" s="210" t="s">
        <v>539</v>
      </c>
      <c r="C744" s="212">
        <f>C738/C735</f>
        <v>0.12341772151898735</v>
      </c>
      <c r="D744" s="212">
        <f t="shared" ref="D744:M744" si="252">D738/D735</f>
        <v>9.6196868008948541E-2</v>
      </c>
      <c r="E744" s="212">
        <f t="shared" si="252"/>
        <v>3.9092055485498108E-2</v>
      </c>
      <c r="F744" s="212">
        <f t="shared" si="252"/>
        <v>4.5364891518737675E-2</v>
      </c>
      <c r="G744" s="212">
        <f t="shared" si="252"/>
        <v>5.028701862478123E-2</v>
      </c>
      <c r="H744" s="212">
        <f t="shared" si="252"/>
        <v>7.699799291898457E-2</v>
      </c>
      <c r="I744" s="212">
        <f t="shared" si="252"/>
        <v>8.7785859158728191E-2</v>
      </c>
      <c r="J744" s="212">
        <f t="shared" si="252"/>
        <v>0.11618322386601</v>
      </c>
      <c r="K744" s="212">
        <f t="shared" si="252"/>
        <v>0.15623976324020564</v>
      </c>
      <c r="L744" s="212">
        <f t="shared" si="252"/>
        <v>0.15201111305794363</v>
      </c>
      <c r="M744" s="212">
        <f t="shared" si="252"/>
        <v>6.996915047761551E-2</v>
      </c>
      <c r="O744" s="212">
        <f t="shared" ref="O744" si="253">MEDIAN(C744:M744)</f>
        <v>8.7785859158728191E-2</v>
      </c>
      <c r="P744" s="212">
        <f t="shared" ref="P744" si="254">AVERAGE(C744:M744)</f>
        <v>9.2140514352403668E-2</v>
      </c>
    </row>
    <row r="746" spans="1:16">
      <c r="B746" s="210" t="s">
        <v>540</v>
      </c>
      <c r="C746" s="212">
        <f>C740/C730</f>
        <v>2.5641025641025644E-2</v>
      </c>
      <c r="D746" s="212">
        <f t="shared" ref="D746:M746" si="255">D740/D730</f>
        <v>2.3255813953488372E-2</v>
      </c>
      <c r="E746" s="212">
        <f t="shared" si="255"/>
        <v>3.2258064516129031E-2</v>
      </c>
      <c r="F746" s="212">
        <f t="shared" si="255"/>
        <v>2.1739130434782608E-2</v>
      </c>
      <c r="G746" s="212">
        <f t="shared" si="255"/>
        <v>1.4261037684608022E-2</v>
      </c>
      <c r="H746" s="212">
        <f t="shared" si="255"/>
        <v>8.5133715478923708E-3</v>
      </c>
      <c r="I746" s="212">
        <f t="shared" si="255"/>
        <v>7.2028810416133208E-3</v>
      </c>
      <c r="J746" s="212">
        <f t="shared" si="255"/>
        <v>2.9593467815075395E-3</v>
      </c>
      <c r="K746" s="212">
        <f t="shared" si="255"/>
        <v>1.8001706760410654E-3</v>
      </c>
      <c r="L746" s="212">
        <f t="shared" si="255"/>
        <v>1.7263629486387524E-3</v>
      </c>
      <c r="M746" s="212">
        <f t="shared" si="255"/>
        <v>8.3046889488913968E-4</v>
      </c>
      <c r="O746" s="212">
        <f t="shared" ref="O746" si="256">MEDIAN(C746:M746)</f>
        <v>8.5133715478923708E-3</v>
      </c>
      <c r="P746" s="212">
        <f t="shared" ref="P746" si="257">AVERAGE(C746:M746)</f>
        <v>1.2744334010965079E-2</v>
      </c>
    </row>
    <row r="748" spans="1:16">
      <c r="B748" s="210" t="s">
        <v>541</v>
      </c>
      <c r="C748" s="212">
        <f>C738/C519</f>
        <v>1.1736382786638579E-2</v>
      </c>
      <c r="D748" s="212">
        <f t="shared" ref="D748:M748" si="258">D738/D519</f>
        <v>1.09026369168357E-2</v>
      </c>
      <c r="E748" s="212">
        <f t="shared" si="258"/>
        <v>7.0743952533089917E-3</v>
      </c>
      <c r="F748" s="212">
        <f t="shared" si="258"/>
        <v>9.3476935582198738E-3</v>
      </c>
      <c r="G748" s="212">
        <f t="shared" si="258"/>
        <v>1.3855421686746987E-2</v>
      </c>
      <c r="H748" s="212">
        <f t="shared" si="258"/>
        <v>1.685967302452316E-2</v>
      </c>
      <c r="I748" s="212">
        <f t="shared" si="258"/>
        <v>1.9119537275064269E-2</v>
      </c>
      <c r="J748" s="212">
        <f t="shared" si="258"/>
        <v>2.1459778977126701E-2</v>
      </c>
      <c r="K748" s="212">
        <f t="shared" si="258"/>
        <v>3.7261401303006057E-2</v>
      </c>
      <c r="L748" s="212">
        <f t="shared" si="258"/>
        <v>3.6574746008708275E-2</v>
      </c>
      <c r="M748" s="212">
        <f t="shared" si="258"/>
        <v>5.0872450233472595E-2</v>
      </c>
      <c r="O748" s="212">
        <f t="shared" ref="O748" si="259">MEDIAN(C748:M748)</f>
        <v>1.685967302452316E-2</v>
      </c>
      <c r="P748" s="212">
        <f t="shared" ref="P748" si="260">AVERAGE(C748:M748)</f>
        <v>2.1369465183968289E-2</v>
      </c>
    </row>
    <row r="751" spans="1:16" ht="18">
      <c r="A751" t="s">
        <v>23</v>
      </c>
      <c r="B751" s="14" t="s">
        <v>95</v>
      </c>
    </row>
    <row r="753" spans="2:16">
      <c r="B753" s="108" t="s">
        <v>161</v>
      </c>
      <c r="C753" s="108">
        <v>2015</v>
      </c>
      <c r="D753" s="108">
        <f>C753+1</f>
        <v>2016</v>
      </c>
      <c r="E753" s="108">
        <f t="shared" ref="E753" si="261">D753+1</f>
        <v>2017</v>
      </c>
      <c r="F753" s="108">
        <f t="shared" ref="F753" si="262">E753+1</f>
        <v>2018</v>
      </c>
      <c r="G753" s="108">
        <f t="shared" ref="G753" si="263">F753+1</f>
        <v>2019</v>
      </c>
      <c r="H753" s="108">
        <f t="shared" ref="H753" si="264">G753+1</f>
        <v>2020</v>
      </c>
      <c r="I753" s="108">
        <f t="shared" ref="I753" si="265">H753+1</f>
        <v>2021</v>
      </c>
      <c r="J753" s="108">
        <f t="shared" ref="J753" si="266">I753+1</f>
        <v>2022</v>
      </c>
      <c r="K753" s="108">
        <f t="shared" ref="K753" si="267">J753+1</f>
        <v>2023</v>
      </c>
      <c r="L753" s="108">
        <f t="shared" ref="L753" si="268">K753+1</f>
        <v>2024</v>
      </c>
      <c r="M753" s="108">
        <f t="shared" ref="M753" si="269">L753+1</f>
        <v>2025</v>
      </c>
    </row>
    <row r="754" spans="2:16" s="20" customFormat="1">
      <c r="B754" s="20" t="s">
        <v>216</v>
      </c>
      <c r="C754" s="20">
        <v>380</v>
      </c>
      <c r="D754" s="20">
        <v>419</v>
      </c>
      <c r="E754" s="20">
        <v>492</v>
      </c>
      <c r="F754" s="20">
        <v>649</v>
      </c>
      <c r="G754" s="20">
        <v>562</v>
      </c>
      <c r="H754" s="20">
        <v>745</v>
      </c>
      <c r="I754" s="20">
        <v>667</v>
      </c>
      <c r="J754" s="20">
        <v>1076</v>
      </c>
      <c r="K754" s="20">
        <v>1008</v>
      </c>
      <c r="L754" s="20">
        <v>1103</v>
      </c>
      <c r="M754" s="20">
        <v>1133</v>
      </c>
      <c r="O754"/>
      <c r="P754"/>
    </row>
    <row r="755" spans="2:16" s="167" customFormat="1">
      <c r="B755" s="167" t="s">
        <v>389</v>
      </c>
      <c r="D755" s="178">
        <f>D754/C754-1</f>
        <v>0.10263157894736841</v>
      </c>
      <c r="E755" s="178">
        <f t="shared" ref="E755:M755" si="270">E754/D754-1</f>
        <v>0.17422434367541761</v>
      </c>
      <c r="F755" s="178">
        <f t="shared" si="270"/>
        <v>0.31910569105691056</v>
      </c>
      <c r="G755" s="178">
        <f t="shared" si="270"/>
        <v>-0.13405238828967647</v>
      </c>
      <c r="H755" s="178">
        <f t="shared" si="270"/>
        <v>0.32562277580071175</v>
      </c>
      <c r="I755" s="178">
        <f t="shared" si="270"/>
        <v>-0.10469798657718121</v>
      </c>
      <c r="J755" s="178">
        <f t="shared" si="270"/>
        <v>0.61319340329835081</v>
      </c>
      <c r="K755" s="178">
        <f t="shared" si="270"/>
        <v>-6.3197026022304814E-2</v>
      </c>
      <c r="L755" s="178">
        <f t="shared" si="270"/>
        <v>9.4246031746031855E-2</v>
      </c>
      <c r="M755" s="178">
        <f t="shared" si="270"/>
        <v>2.7198549410698103E-2</v>
      </c>
    </row>
    <row r="757" spans="2:16" s="20" customFormat="1">
      <c r="B757" s="20" t="s">
        <v>52</v>
      </c>
      <c r="C757" s="20">
        <f>C417</f>
        <v>1393</v>
      </c>
      <c r="D757" s="20">
        <f t="shared" ref="D757:M757" si="271">D417</f>
        <v>1551</v>
      </c>
      <c r="E757" s="20">
        <f t="shared" si="271"/>
        <v>1586</v>
      </c>
      <c r="F757" s="20">
        <f t="shared" si="271"/>
        <v>1671</v>
      </c>
      <c r="G757" s="20">
        <f t="shared" si="271"/>
        <v>1721</v>
      </c>
      <c r="H757" s="20">
        <f t="shared" si="271"/>
        <v>1878</v>
      </c>
      <c r="I757" s="20">
        <f t="shared" si="271"/>
        <v>1781</v>
      </c>
      <c r="J757" s="20">
        <f t="shared" si="271"/>
        <v>2422</v>
      </c>
      <c r="K757" s="20">
        <f t="shared" si="271"/>
        <v>2914</v>
      </c>
      <c r="L757" s="20">
        <f t="shared" si="271"/>
        <v>3210</v>
      </c>
      <c r="M757" s="20">
        <f t="shared" si="271"/>
        <v>3855</v>
      </c>
    </row>
    <row r="759" spans="2:16">
      <c r="B759" s="18" t="s">
        <v>582</v>
      </c>
      <c r="C759" s="107">
        <f>C754/C757</f>
        <v>0.27279253409906679</v>
      </c>
      <c r="D759" s="107">
        <f t="shared" ref="D759:M759" si="272">D754/D757</f>
        <v>0.27014829142488717</v>
      </c>
      <c r="E759" s="107">
        <f t="shared" si="272"/>
        <v>0.31021437578814626</v>
      </c>
      <c r="F759" s="107">
        <f t="shared" si="272"/>
        <v>0.38839018551765409</v>
      </c>
      <c r="G759" s="107">
        <f t="shared" si="272"/>
        <v>0.32655432887855895</v>
      </c>
      <c r="H759" s="107">
        <f t="shared" si="272"/>
        <v>0.39669861554845581</v>
      </c>
      <c r="I759" s="107">
        <f t="shared" si="272"/>
        <v>0.37450870297585626</v>
      </c>
      <c r="J759" s="107">
        <f t="shared" si="272"/>
        <v>0.44426094137076794</v>
      </c>
      <c r="K759" s="107">
        <f t="shared" si="272"/>
        <v>0.34591626630061773</v>
      </c>
      <c r="L759" s="107">
        <f t="shared" si="272"/>
        <v>0.34361370716510903</v>
      </c>
      <c r="M759" s="107">
        <f t="shared" si="272"/>
        <v>0.29390402075226979</v>
      </c>
    </row>
    <row r="761" spans="2:16" s="20" customFormat="1">
      <c r="B761" s="20" t="s">
        <v>583</v>
      </c>
      <c r="C761" s="121">
        <f>C759*$B$762</f>
        <v>99.569274946159382</v>
      </c>
      <c r="D761" s="121">
        <f t="shared" ref="D761:M761" si="273">D759*$B$762</f>
        <v>98.604126370083819</v>
      </c>
      <c r="E761" s="121">
        <f t="shared" si="273"/>
        <v>113.22824716267338</v>
      </c>
      <c r="F761" s="121">
        <f t="shared" si="273"/>
        <v>141.76241771394373</v>
      </c>
      <c r="G761" s="121">
        <f t="shared" si="273"/>
        <v>119.19233004067402</v>
      </c>
      <c r="H761" s="121">
        <f t="shared" si="273"/>
        <v>144.79499467518636</v>
      </c>
      <c r="I761" s="121">
        <f t="shared" si="273"/>
        <v>136.69567658618755</v>
      </c>
      <c r="J761" s="121">
        <f t="shared" si="273"/>
        <v>162.15524360033029</v>
      </c>
      <c r="K761" s="121">
        <f t="shared" si="273"/>
        <v>126.25943719972547</v>
      </c>
      <c r="L761" s="121">
        <f t="shared" si="273"/>
        <v>125.4190031152648</v>
      </c>
      <c r="M761" s="121">
        <f t="shared" si="273"/>
        <v>107.27496757457847</v>
      </c>
      <c r="O761" s="299">
        <f t="shared" ref="O761" si="274">MEDIAN(C761:M761)</f>
        <v>125.4190031152648</v>
      </c>
      <c r="P761" s="299">
        <f>AVERAGE(D761:N761)</f>
        <v>127.53864440386481</v>
      </c>
    </row>
    <row r="762" spans="2:16">
      <c r="B762" s="180">
        <v>365</v>
      </c>
    </row>
    <row r="764" spans="2:16">
      <c r="B764" t="s">
        <v>41</v>
      </c>
      <c r="C764" s="113">
        <f>C519</f>
        <v>3323</v>
      </c>
      <c r="D764" s="113">
        <f t="shared" ref="D764:M764" si="275">D519</f>
        <v>3944</v>
      </c>
      <c r="E764" s="113">
        <f t="shared" si="275"/>
        <v>4382</v>
      </c>
      <c r="F764" s="113">
        <f t="shared" si="275"/>
        <v>4921</v>
      </c>
      <c r="G764" s="113">
        <f t="shared" si="275"/>
        <v>4980</v>
      </c>
      <c r="H764" s="113">
        <f t="shared" si="275"/>
        <v>5872</v>
      </c>
      <c r="I764" s="113">
        <f t="shared" si="275"/>
        <v>6224</v>
      </c>
      <c r="J764" s="113">
        <f t="shared" si="275"/>
        <v>7782</v>
      </c>
      <c r="K764" s="113">
        <f t="shared" si="275"/>
        <v>8749</v>
      </c>
      <c r="L764" s="113">
        <f t="shared" si="275"/>
        <v>10335</v>
      </c>
      <c r="M764" s="113">
        <f t="shared" si="275"/>
        <v>12207</v>
      </c>
    </row>
    <row r="766" spans="2:16">
      <c r="B766" t="s">
        <v>584</v>
      </c>
      <c r="C766" s="76">
        <f>C754/C764</f>
        <v>0.11435449894673488</v>
      </c>
      <c r="D766" s="76">
        <f t="shared" ref="D766:M766" si="276">D754/D764</f>
        <v>0.10623732251521298</v>
      </c>
      <c r="E766" s="76">
        <f t="shared" si="276"/>
        <v>0.11227749885896851</v>
      </c>
      <c r="F766" s="76">
        <f t="shared" si="276"/>
        <v>0.13188376346271083</v>
      </c>
      <c r="G766" s="76">
        <f t="shared" si="276"/>
        <v>0.11285140562248996</v>
      </c>
      <c r="H766" s="76">
        <f t="shared" si="276"/>
        <v>0.12687329700272479</v>
      </c>
      <c r="I766" s="76">
        <f t="shared" si="276"/>
        <v>0.10716580976863753</v>
      </c>
      <c r="J766" s="76">
        <f t="shared" si="276"/>
        <v>0.13826779748136725</v>
      </c>
      <c r="K766" s="76">
        <f t="shared" si="276"/>
        <v>0.11521316721911075</v>
      </c>
      <c r="L766" s="76">
        <f t="shared" si="276"/>
        <v>0.10672472181906144</v>
      </c>
      <c r="M766" s="76">
        <f t="shared" si="276"/>
        <v>9.2815597607929873E-2</v>
      </c>
    </row>
    <row r="767" spans="2:16">
      <c r="B767" t="s">
        <v>585</v>
      </c>
      <c r="C767" s="76">
        <f>C464/C461</f>
        <v>5.9283779717123085E-2</v>
      </c>
      <c r="D767" s="76">
        <f t="shared" ref="D767:M767" si="277">D464/D461</f>
        <v>4.8935091277890468E-2</v>
      </c>
      <c r="E767" s="76">
        <f t="shared" si="277"/>
        <v>3.7882245549977177E-2</v>
      </c>
      <c r="F767" s="76">
        <f t="shared" si="277"/>
        <v>6.0353586669376146E-2</v>
      </c>
      <c r="G767" s="76">
        <f t="shared" si="277"/>
        <v>4.4176706827309238E-2</v>
      </c>
      <c r="H767" s="76">
        <f t="shared" si="277"/>
        <v>9.0429155313351495E-2</v>
      </c>
      <c r="I767" s="76">
        <f t="shared" si="277"/>
        <v>5.3181233933161952E-2</v>
      </c>
      <c r="J767" s="76">
        <f t="shared" si="277"/>
        <v>4.9858648162426113E-2</v>
      </c>
      <c r="K767" s="76">
        <f t="shared" si="277"/>
        <v>6.5836095553777577E-2</v>
      </c>
      <c r="L767" s="76">
        <f t="shared" si="277"/>
        <v>8.2051282051282051E-2</v>
      </c>
      <c r="M767" s="76">
        <f t="shared" si="277"/>
        <v>0.12599328254280331</v>
      </c>
    </row>
    <row r="771" spans="2:16">
      <c r="B771" s="108" t="s">
        <v>586</v>
      </c>
      <c r="C771" s="108">
        <v>2015</v>
      </c>
      <c r="D771" s="108">
        <f>C771+1</f>
        <v>2016</v>
      </c>
      <c r="E771" s="108">
        <f t="shared" ref="E771" si="278">D771+1</f>
        <v>2017</v>
      </c>
      <c r="F771" s="108">
        <f t="shared" ref="F771" si="279">E771+1</f>
        <v>2018</v>
      </c>
      <c r="G771" s="108">
        <f t="shared" ref="G771" si="280">F771+1</f>
        <v>2019</v>
      </c>
      <c r="H771" s="108">
        <f t="shared" ref="H771" si="281">G771+1</f>
        <v>2020</v>
      </c>
      <c r="I771" s="108">
        <f t="shared" ref="I771" si="282">H771+1</f>
        <v>2021</v>
      </c>
      <c r="J771" s="108">
        <f t="shared" ref="J771" si="283">I771+1</f>
        <v>2022</v>
      </c>
      <c r="K771" s="108">
        <f t="shared" ref="K771" si="284">J771+1</f>
        <v>2023</v>
      </c>
      <c r="L771" s="108">
        <f t="shared" ref="L771" si="285">K771+1</f>
        <v>2024</v>
      </c>
      <c r="M771" s="108">
        <f t="shared" ref="M771" si="286">L771+1</f>
        <v>2025</v>
      </c>
    </row>
    <row r="772" spans="2:16">
      <c r="B772" s="23" t="s">
        <v>429</v>
      </c>
      <c r="C772" s="134">
        <f>C761</f>
        <v>99.569274946159382</v>
      </c>
      <c r="D772" s="134">
        <f t="shared" ref="D772:M772" si="287">D761</f>
        <v>98.604126370083819</v>
      </c>
      <c r="E772" s="134">
        <f t="shared" si="287"/>
        <v>113.22824716267338</v>
      </c>
      <c r="F772" s="134">
        <f t="shared" si="287"/>
        <v>141.76241771394373</v>
      </c>
      <c r="G772" s="134">
        <f t="shared" si="287"/>
        <v>119.19233004067402</v>
      </c>
      <c r="H772" s="134">
        <f t="shared" si="287"/>
        <v>144.79499467518636</v>
      </c>
      <c r="I772" s="134">
        <f t="shared" si="287"/>
        <v>136.69567658618755</v>
      </c>
      <c r="J772" s="134">
        <f t="shared" si="287"/>
        <v>162.15524360033029</v>
      </c>
      <c r="K772" s="134">
        <f t="shared" si="287"/>
        <v>126.25943719972547</v>
      </c>
      <c r="L772" s="134">
        <f t="shared" si="287"/>
        <v>125.4190031152648</v>
      </c>
      <c r="M772" s="134">
        <f t="shared" si="287"/>
        <v>107.27496757457847</v>
      </c>
      <c r="O772" s="134"/>
      <c r="P772" s="134"/>
    </row>
    <row r="773" spans="2:16">
      <c r="B773" s="23" t="s">
        <v>430</v>
      </c>
      <c r="C773" s="193">
        <v>84</v>
      </c>
      <c r="D773" s="193">
        <v>88</v>
      </c>
      <c r="E773" s="193">
        <v>104</v>
      </c>
      <c r="F773" s="193">
        <v>121</v>
      </c>
      <c r="G773" s="193">
        <v>111</v>
      </c>
      <c r="H773" s="193">
        <v>100</v>
      </c>
      <c r="I773" s="193">
        <v>109</v>
      </c>
      <c r="J773" s="193">
        <v>111</v>
      </c>
      <c r="K773" s="193">
        <v>108</v>
      </c>
      <c r="L773" s="193">
        <v>116</v>
      </c>
      <c r="M773" s="23">
        <v>97</v>
      </c>
    </row>
    <row r="774" spans="2:16">
      <c r="B774" s="23" t="s">
        <v>431</v>
      </c>
      <c r="C774" s="193">
        <v>126</v>
      </c>
      <c r="D774" s="193">
        <v>106</v>
      </c>
      <c r="E774" s="193">
        <v>108</v>
      </c>
      <c r="F774" s="193">
        <v>142</v>
      </c>
      <c r="G774" s="193">
        <v>123</v>
      </c>
      <c r="H774" s="193">
        <v>139</v>
      </c>
      <c r="I774" s="193">
        <v>103</v>
      </c>
      <c r="J774" s="193">
        <v>108</v>
      </c>
      <c r="K774" s="193">
        <v>112</v>
      </c>
      <c r="L774" s="193">
        <v>102</v>
      </c>
      <c r="M774" s="23">
        <v>116</v>
      </c>
    </row>
    <row r="775" spans="2:16">
      <c r="B775" s="23" t="s">
        <v>432</v>
      </c>
      <c r="C775" s="23">
        <v>178</v>
      </c>
      <c r="D775" s="23">
        <v>207</v>
      </c>
      <c r="E775" s="23">
        <v>197</v>
      </c>
      <c r="F775" s="23">
        <v>234</v>
      </c>
      <c r="G775" s="23">
        <v>192</v>
      </c>
      <c r="H775" s="23">
        <v>142</v>
      </c>
      <c r="I775" s="23">
        <v>167</v>
      </c>
      <c r="J775" s="23">
        <v>158</v>
      </c>
      <c r="K775" s="23">
        <v>194</v>
      </c>
      <c r="L775" s="23">
        <v>194</v>
      </c>
      <c r="M775" s="23">
        <v>210</v>
      </c>
    </row>
    <row r="776" spans="2:16">
      <c r="B776" s="20"/>
    </row>
    <row r="777" spans="2:16">
      <c r="B777" s="24" t="s">
        <v>357</v>
      </c>
      <c r="C777" s="179">
        <f>MEDIAN(C773:C775)</f>
        <v>126</v>
      </c>
      <c r="D777" s="179">
        <f t="shared" ref="D777:M777" si="288">MEDIAN(D773:D775)</f>
        <v>106</v>
      </c>
      <c r="E777" s="179">
        <f t="shared" si="288"/>
        <v>108</v>
      </c>
      <c r="F777" s="179">
        <f t="shared" si="288"/>
        <v>142</v>
      </c>
      <c r="G777" s="179">
        <f t="shared" si="288"/>
        <v>123</v>
      </c>
      <c r="H777" s="179">
        <f t="shared" si="288"/>
        <v>139</v>
      </c>
      <c r="I777" s="179">
        <f t="shared" si="288"/>
        <v>109</v>
      </c>
      <c r="J777" s="179">
        <f t="shared" si="288"/>
        <v>111</v>
      </c>
      <c r="K777" s="179">
        <f t="shared" si="288"/>
        <v>112</v>
      </c>
      <c r="L777" s="179">
        <f t="shared" si="288"/>
        <v>116</v>
      </c>
      <c r="M777" s="179">
        <f t="shared" si="288"/>
        <v>116</v>
      </c>
    </row>
    <row r="778" spans="2:16">
      <c r="B778" s="24" t="s">
        <v>358</v>
      </c>
      <c r="C778" s="179">
        <f>AVERAGE(C773:C775)</f>
        <v>129.33333333333334</v>
      </c>
      <c r="D778" s="179">
        <f t="shared" ref="D778:M778" si="289">AVERAGE(D773:D775)</f>
        <v>133.66666666666666</v>
      </c>
      <c r="E778" s="179">
        <f t="shared" si="289"/>
        <v>136.33333333333334</v>
      </c>
      <c r="F778" s="179">
        <f t="shared" si="289"/>
        <v>165.66666666666666</v>
      </c>
      <c r="G778" s="179">
        <f t="shared" si="289"/>
        <v>142</v>
      </c>
      <c r="H778" s="179">
        <f t="shared" si="289"/>
        <v>127</v>
      </c>
      <c r="I778" s="179">
        <f t="shared" si="289"/>
        <v>126.33333333333333</v>
      </c>
      <c r="J778" s="179">
        <f t="shared" si="289"/>
        <v>125.66666666666667</v>
      </c>
      <c r="K778" s="179">
        <f t="shared" si="289"/>
        <v>138</v>
      </c>
      <c r="L778" s="179">
        <f t="shared" si="289"/>
        <v>137.33333333333334</v>
      </c>
      <c r="M778" s="179">
        <f t="shared" si="289"/>
        <v>141</v>
      </c>
    </row>
    <row r="780" spans="2:16">
      <c r="B780" s="108" t="s">
        <v>374</v>
      </c>
      <c r="C780" s="108">
        <v>2026</v>
      </c>
      <c r="D780" s="108">
        <v>2027</v>
      </c>
    </row>
    <row r="781" spans="2:16">
      <c r="B781" t="s">
        <v>588</v>
      </c>
      <c r="C781" s="134">
        <v>153</v>
      </c>
      <c r="D781" s="134">
        <v>157</v>
      </c>
    </row>
    <row r="782" spans="2:16">
      <c r="B782" t="s">
        <v>587</v>
      </c>
      <c r="C782" s="139" t="s">
        <v>603</v>
      </c>
      <c r="D782" s="139" t="s">
        <v>603</v>
      </c>
    </row>
    <row r="784" spans="2:16">
      <c r="B784" s="108" t="s">
        <v>370</v>
      </c>
    </row>
    <row r="786" spans="1:12">
      <c r="B786" t="s">
        <v>589</v>
      </c>
    </row>
    <row r="790" spans="1:12">
      <c r="J790" s="300">
        <v>120</v>
      </c>
    </row>
    <row r="794" spans="1:12" ht="18">
      <c r="A794" t="s">
        <v>23</v>
      </c>
      <c r="B794" s="14" t="s">
        <v>17</v>
      </c>
    </row>
    <row r="798" spans="1:12" ht="18">
      <c r="A798" t="s">
        <v>23</v>
      </c>
      <c r="B798" s="14" t="s">
        <v>590</v>
      </c>
    </row>
    <row r="800" spans="1:12">
      <c r="B800" s="108" t="s">
        <v>161</v>
      </c>
      <c r="C800" s="108">
        <v>2019</v>
      </c>
      <c r="D800" s="108">
        <f t="shared" ref="D800:I800" si="290">C800+1</f>
        <v>2020</v>
      </c>
      <c r="E800" s="108">
        <f t="shared" si="290"/>
        <v>2021</v>
      </c>
      <c r="F800" s="108">
        <f t="shared" si="290"/>
        <v>2022</v>
      </c>
      <c r="G800" s="108">
        <f t="shared" si="290"/>
        <v>2023</v>
      </c>
      <c r="H800" s="108">
        <f t="shared" si="290"/>
        <v>2024</v>
      </c>
      <c r="I800" s="108">
        <f t="shared" si="290"/>
        <v>2025</v>
      </c>
      <c r="K800" s="108" t="s">
        <v>357</v>
      </c>
      <c r="L800" s="108" t="s">
        <v>358</v>
      </c>
    </row>
    <row r="801" spans="2:29" ht="3" customHeight="1"/>
    <row r="802" spans="2:29">
      <c r="B802" t="str">
        <f>'Balance Sheet'!B51</f>
        <v>Long Term Borrowings</v>
      </c>
      <c r="C802" s="113">
        <f>'Balance Sheet'!C51</f>
        <v>25.111900000000002</v>
      </c>
      <c r="D802" s="113">
        <f>'Balance Sheet'!D51</f>
        <v>58.192700000000002</v>
      </c>
      <c r="E802" s="113">
        <f>'Balance Sheet'!E51</f>
        <v>57.419899999999998</v>
      </c>
      <c r="F802" s="113">
        <f>'Balance Sheet'!F51</f>
        <v>49.193999999999996</v>
      </c>
      <c r="G802" s="113">
        <f>'Balance Sheet'!G51</f>
        <v>23.186499999999999</v>
      </c>
      <c r="H802" s="113">
        <f>'Balance Sheet'!H51</f>
        <v>24.867699999999999</v>
      </c>
      <c r="I802" s="113">
        <f>'Balance Sheet'!I51</f>
        <v>5526.19</v>
      </c>
      <c r="P802" s="104"/>
      <c r="Q802" s="20" t="s">
        <v>935</v>
      </c>
      <c r="T802" s="104"/>
      <c r="U802" s="20" t="s">
        <v>939</v>
      </c>
    </row>
    <row r="803" spans="2:29">
      <c r="B803" s="240" t="s">
        <v>501</v>
      </c>
      <c r="C803" s="240"/>
      <c r="D803" s="241">
        <f>D802/C802-1</f>
        <v>1.3173356058283123</v>
      </c>
      <c r="E803" s="241">
        <f t="shared" ref="E803" si="291">E802/D802-1</f>
        <v>-1.3280016221966062E-2</v>
      </c>
      <c r="F803" s="241">
        <f t="shared" ref="F803" si="292">F802/E802-1</f>
        <v>-0.14325869602698726</v>
      </c>
      <c r="G803" s="241">
        <f t="shared" ref="G803" si="293">G802/F802-1</f>
        <v>-0.52867219579623526</v>
      </c>
      <c r="H803" s="241">
        <f t="shared" ref="H803" si="294">H802/G802-1</f>
        <v>7.2507709227352057E-2</v>
      </c>
      <c r="I803" s="241">
        <f t="shared" ref="I803" si="295">I802/H802-1</f>
        <v>221.2236073299903</v>
      </c>
      <c r="K803" s="244">
        <f t="shared" ref="K803" si="296">MEDIAN(C803:I803)</f>
        <v>2.9613846502692998E-2</v>
      </c>
      <c r="L803" s="244">
        <f t="shared" ref="L803" si="297">AVERAGE(C803:I803)</f>
        <v>36.988039956166794</v>
      </c>
      <c r="Q803" s="20">
        <v>2024</v>
      </c>
      <c r="R803" s="20">
        <v>2025</v>
      </c>
      <c r="U803" s="20">
        <v>2024</v>
      </c>
      <c r="V803" s="20">
        <v>2025</v>
      </c>
    </row>
    <row r="804" spans="2:29">
      <c r="B804" t="str">
        <f>'Balance Sheet'!B61</f>
        <v>Short Term Borrowings</v>
      </c>
      <c r="C804" s="113">
        <f>'Balance Sheet'!C61</f>
        <v>241.4641</v>
      </c>
      <c r="D804" s="113">
        <f>'Balance Sheet'!D61</f>
        <v>44.280200000000008</v>
      </c>
      <c r="E804" s="113">
        <f>'Balance Sheet'!E61</f>
        <v>158.60389999999998</v>
      </c>
      <c r="F804" s="113">
        <f>'Balance Sheet'!F61</f>
        <v>818.83320000000003</v>
      </c>
      <c r="G804" s="113">
        <f>'Balance Sheet'!G61</f>
        <v>139.48990000000001</v>
      </c>
      <c r="H804" s="113">
        <f>'Balance Sheet'!H61</f>
        <v>171.16810000000001</v>
      </c>
      <c r="I804" s="113">
        <f>'Balance Sheet'!I61</f>
        <v>2956.84</v>
      </c>
      <c r="K804" s="139"/>
      <c r="L804" s="139"/>
      <c r="P804" t="s">
        <v>590</v>
      </c>
      <c r="Q804" s="134">
        <f>(18671+25)/10</f>
        <v>1869.6</v>
      </c>
      <c r="R804" s="134">
        <v>2845.6</v>
      </c>
      <c r="T804" t="s">
        <v>590</v>
      </c>
      <c r="U804">
        <v>16523</v>
      </c>
      <c r="V804">
        <v>41845</v>
      </c>
    </row>
    <row r="805" spans="2:29">
      <c r="B805" s="240" t="s">
        <v>501</v>
      </c>
      <c r="C805" s="240"/>
      <c r="D805" s="241">
        <f>D804/C804-1</f>
        <v>-0.81661787404421604</v>
      </c>
      <c r="E805" s="241">
        <f t="shared" ref="E805" si="298">E804/D804-1</f>
        <v>2.5818243820036937</v>
      </c>
      <c r="F805" s="241">
        <f t="shared" ref="F805" si="299">F804/E804-1</f>
        <v>4.1627557708227867</v>
      </c>
      <c r="G805" s="241">
        <f t="shared" ref="G805" si="300">G804/F804-1</f>
        <v>-0.82964796737601754</v>
      </c>
      <c r="H805" s="241">
        <f t="shared" ref="H805" si="301">H804/G804-1</f>
        <v>0.22710031335602077</v>
      </c>
      <c r="I805" s="241">
        <f t="shared" ref="I805" si="302">I804/H804-1</f>
        <v>16.274480466862691</v>
      </c>
      <c r="K805" s="244">
        <f t="shared" ref="K805" si="303">MEDIAN(C805:I805)</f>
        <v>1.4044623476798572</v>
      </c>
      <c r="L805" s="244">
        <f t="shared" ref="L805" si="304">AVERAGE(C805:I805)</f>
        <v>3.5999825152708262</v>
      </c>
      <c r="P805" t="s">
        <v>558</v>
      </c>
      <c r="Q805">
        <v>67125</v>
      </c>
      <c r="R805">
        <v>72485</v>
      </c>
      <c r="T805" t="s">
        <v>558</v>
      </c>
      <c r="U805">
        <v>28254</v>
      </c>
      <c r="V805">
        <v>33927</v>
      </c>
    </row>
    <row r="806" spans="2:29" s="20" customFormat="1">
      <c r="B806" s="30" t="s">
        <v>593</v>
      </c>
      <c r="C806" s="208">
        <f>C804+C802</f>
        <v>266.57600000000002</v>
      </c>
      <c r="D806" s="208">
        <f t="shared" ref="D806:I806" si="305">D804+D802</f>
        <v>102.47290000000001</v>
      </c>
      <c r="E806" s="208">
        <f t="shared" si="305"/>
        <v>216.02379999999999</v>
      </c>
      <c r="F806" s="208">
        <f t="shared" si="305"/>
        <v>868.02719999999999</v>
      </c>
      <c r="G806" s="208">
        <f t="shared" si="305"/>
        <v>162.6764</v>
      </c>
      <c r="H806" s="208">
        <f t="shared" si="305"/>
        <v>196.03579999999999</v>
      </c>
      <c r="I806" s="208">
        <f t="shared" si="305"/>
        <v>8483.0299999999988</v>
      </c>
      <c r="K806" s="136"/>
      <c r="L806" s="136"/>
      <c r="P806" s="20" t="s">
        <v>936</v>
      </c>
      <c r="Q806" s="246">
        <f>Q804/Q805</f>
        <v>2.7852513966480447E-2</v>
      </c>
      <c r="R806" s="246">
        <f t="shared" ref="R806" si="306">R804/R805</f>
        <v>3.925777747120094E-2</v>
      </c>
      <c r="T806" s="20" t="s">
        <v>936</v>
      </c>
      <c r="U806" s="118">
        <f>U804/U805</f>
        <v>0.58480215190769447</v>
      </c>
      <c r="V806" s="118">
        <f t="shared" ref="V806" si="307">V804/V805</f>
        <v>1.2333834409172635</v>
      </c>
    </row>
    <row r="807" spans="2:29" s="167" customFormat="1">
      <c r="B807" s="240" t="s">
        <v>501</v>
      </c>
      <c r="C807" s="240"/>
      <c r="D807" s="241">
        <f>D806/C806-1</f>
        <v>-0.61559592761538928</v>
      </c>
      <c r="E807" s="241">
        <f t="shared" ref="E807:I807" si="308">E806/D806-1</f>
        <v>1.1081066311190564</v>
      </c>
      <c r="F807" s="241">
        <f t="shared" si="308"/>
        <v>3.018201698146223</v>
      </c>
      <c r="G807" s="241">
        <f t="shared" si="308"/>
        <v>-0.81259066536163838</v>
      </c>
      <c r="H807" s="241">
        <f t="shared" si="308"/>
        <v>0.20506600834540234</v>
      </c>
      <c r="I807" s="241">
        <f t="shared" si="308"/>
        <v>42.272861385522432</v>
      </c>
      <c r="K807" s="244">
        <f t="shared" ref="K807" si="309">MEDIAN(C807:I807)</f>
        <v>0.65658631973222936</v>
      </c>
      <c r="L807" s="244">
        <f t="shared" ref="L807" si="310">AVERAGE(C807:I807)</f>
        <v>7.5293415216926816</v>
      </c>
    </row>
    <row r="808" spans="2:29">
      <c r="K808" s="139"/>
      <c r="L808" s="139"/>
      <c r="P808" s="104"/>
      <c r="Q808" s="20" t="s">
        <v>937</v>
      </c>
      <c r="T808" s="104"/>
      <c r="U808" s="20" t="s">
        <v>940</v>
      </c>
    </row>
    <row r="809" spans="2:29">
      <c r="B809" s="18" t="s">
        <v>594</v>
      </c>
      <c r="C809" s="107">
        <f>C802/C806</f>
        <v>9.4201653562211149E-2</v>
      </c>
      <c r="D809" s="107">
        <f t="shared" ref="D809:I809" si="311">D802/D806</f>
        <v>0.56788380147336515</v>
      </c>
      <c r="E809" s="107">
        <f t="shared" si="311"/>
        <v>0.26580358275338178</v>
      </c>
      <c r="F809" s="107">
        <f t="shared" si="311"/>
        <v>5.6673339268631211E-2</v>
      </c>
      <c r="G809" s="107">
        <f t="shared" si="311"/>
        <v>0.14253143049637193</v>
      </c>
      <c r="H809" s="107">
        <f t="shared" si="311"/>
        <v>0.12685285034672239</v>
      </c>
      <c r="I809" s="107">
        <f t="shared" si="311"/>
        <v>0.65144058196186982</v>
      </c>
      <c r="K809" s="244">
        <f t="shared" ref="K809:K810" si="312">MEDIAN(C809:I809)</f>
        <v>0.14253143049637193</v>
      </c>
      <c r="L809" s="244">
        <f t="shared" ref="L809:L810" si="313">AVERAGE(C809:I809)</f>
        <v>0.27219817712322192</v>
      </c>
      <c r="Q809" s="20">
        <v>2024</v>
      </c>
      <c r="R809" s="20">
        <v>2025</v>
      </c>
      <c r="U809" s="20">
        <v>2024</v>
      </c>
      <c r="V809" s="20">
        <v>2025</v>
      </c>
    </row>
    <row r="810" spans="2:29">
      <c r="B810" s="18" t="s">
        <v>595</v>
      </c>
      <c r="C810" s="107">
        <f>C804/C806</f>
        <v>0.90579834643778878</v>
      </c>
      <c r="D810" s="107">
        <f t="shared" ref="D810:I810" si="314">D804/D806</f>
        <v>0.43211619852663485</v>
      </c>
      <c r="E810" s="107">
        <f t="shared" si="314"/>
        <v>0.7341964172466181</v>
      </c>
      <c r="F810" s="107">
        <f t="shared" si="314"/>
        <v>0.94332666073136884</v>
      </c>
      <c r="G810" s="107">
        <f t="shared" si="314"/>
        <v>0.85746856950362804</v>
      </c>
      <c r="H810" s="107">
        <f t="shared" si="314"/>
        <v>0.87314714965327767</v>
      </c>
      <c r="I810" s="107">
        <f t="shared" si="314"/>
        <v>0.34855941803813029</v>
      </c>
      <c r="K810" s="244">
        <f t="shared" si="312"/>
        <v>0.85746856950362804</v>
      </c>
      <c r="L810" s="244">
        <f t="shared" si="313"/>
        <v>0.72780182287677808</v>
      </c>
      <c r="P810" t="s">
        <v>590</v>
      </c>
      <c r="Q810">
        <v>3936</v>
      </c>
      <c r="R810">
        <v>3025</v>
      </c>
      <c r="T810" t="s">
        <v>590</v>
      </c>
      <c r="U810">
        <v>3169</v>
      </c>
      <c r="V810">
        <v>768</v>
      </c>
    </row>
    <row r="811" spans="2:29">
      <c r="K811" s="139"/>
      <c r="L811" s="139"/>
      <c r="P811" t="s">
        <v>558</v>
      </c>
      <c r="Q811">
        <v>6856</v>
      </c>
      <c r="R811">
        <v>7590</v>
      </c>
      <c r="T811" t="s">
        <v>558</v>
      </c>
      <c r="U811">
        <v>22101</v>
      </c>
      <c r="V811">
        <v>26358</v>
      </c>
    </row>
    <row r="812" spans="2:29">
      <c r="K812" s="139"/>
      <c r="L812" s="139"/>
      <c r="P812" s="20" t="s">
        <v>936</v>
      </c>
      <c r="Q812" s="242">
        <f>Q810/Q811</f>
        <v>0.57409568261376898</v>
      </c>
      <c r="R812" s="242">
        <f t="shared" ref="R812" si="315">R810/R811</f>
        <v>0.39855072463768115</v>
      </c>
      <c r="T812" s="20" t="s">
        <v>936</v>
      </c>
      <c r="U812" s="118">
        <f>U810/U811</f>
        <v>0.14338717705081219</v>
      </c>
      <c r="V812" s="118">
        <f t="shared" ref="V812" si="316">V810/V811</f>
        <v>2.9137263828818576E-2</v>
      </c>
    </row>
    <row r="813" spans="2:29">
      <c r="B813" s="20" t="s">
        <v>41</v>
      </c>
      <c r="C813" s="110">
        <f>G764</f>
        <v>4980</v>
      </c>
      <c r="D813" s="110">
        <f t="shared" ref="D813:I813" si="317">H764</f>
        <v>5872</v>
      </c>
      <c r="E813" s="110">
        <f t="shared" si="317"/>
        <v>6224</v>
      </c>
      <c r="F813" s="110">
        <f t="shared" si="317"/>
        <v>7782</v>
      </c>
      <c r="G813" s="110">
        <f t="shared" si="317"/>
        <v>8749</v>
      </c>
      <c r="H813" s="110">
        <f t="shared" si="317"/>
        <v>10335</v>
      </c>
      <c r="I813" s="110">
        <f t="shared" si="317"/>
        <v>12207</v>
      </c>
      <c r="K813" s="139"/>
      <c r="L813" s="139"/>
    </row>
    <row r="814" spans="2:29">
      <c r="K814" s="139"/>
      <c r="L814" s="139"/>
      <c r="P814" s="104"/>
      <c r="Q814" s="20" t="s">
        <v>938</v>
      </c>
    </row>
    <row r="815" spans="2:29">
      <c r="B815" s="18" t="s">
        <v>597</v>
      </c>
      <c r="C815" s="107">
        <f>C802/C813</f>
        <v>5.0425502008032133E-3</v>
      </c>
      <c r="D815" s="107">
        <f t="shared" ref="D815:I815" si="318">D802/D813</f>
        <v>9.910200953678474E-3</v>
      </c>
      <c r="E815" s="107">
        <f t="shared" si="318"/>
        <v>9.2255623393316197E-3</v>
      </c>
      <c r="F815" s="107">
        <f t="shared" si="318"/>
        <v>6.3215111796453352E-3</v>
      </c>
      <c r="G815" s="107">
        <f t="shared" si="318"/>
        <v>2.6501885929820549E-3</v>
      </c>
      <c r="H815" s="107">
        <f t="shared" si="318"/>
        <v>2.4061635220125784E-3</v>
      </c>
      <c r="I815" s="107">
        <f t="shared" si="318"/>
        <v>0.45270664372900793</v>
      </c>
      <c r="K815" s="245">
        <f t="shared" ref="K815:K816" si="319">MEDIAN(C815:I815)</f>
        <v>6.3215111796453352E-3</v>
      </c>
      <c r="L815" s="245">
        <f t="shared" ref="L815:L816" si="320">AVERAGE(C815:I815)</f>
        <v>6.9751831502494463E-2</v>
      </c>
      <c r="Q815" s="20">
        <v>2024</v>
      </c>
      <c r="R815" s="20">
        <v>2025</v>
      </c>
      <c r="W815" s="20">
        <v>2024</v>
      </c>
      <c r="X815" s="20"/>
      <c r="Y815" s="20">
        <v>2025</v>
      </c>
      <c r="Z815" s="20"/>
      <c r="AA815" s="359">
        <v>2024</v>
      </c>
      <c r="AB815" s="359">
        <v>2025</v>
      </c>
    </row>
    <row r="816" spans="2:29">
      <c r="B816" s="18" t="s">
        <v>596</v>
      </c>
      <c r="C816" s="107">
        <f>C804/C813</f>
        <v>4.8486767068273096E-2</v>
      </c>
      <c r="D816" s="107">
        <f t="shared" ref="D816:I816" si="321">D804/D813</f>
        <v>7.5409059945504104E-3</v>
      </c>
      <c r="E816" s="107">
        <f t="shared" si="321"/>
        <v>2.5482631748071978E-2</v>
      </c>
      <c r="F816" s="107">
        <f t="shared" si="321"/>
        <v>0.10522143407864303</v>
      </c>
      <c r="G816" s="107">
        <f t="shared" si="321"/>
        <v>1.5943524974282777E-2</v>
      </c>
      <c r="H816" s="107">
        <f t="shared" si="321"/>
        <v>1.6561983551040157E-2</v>
      </c>
      <c r="I816" s="107">
        <f t="shared" si="321"/>
        <v>0.24222495289587942</v>
      </c>
      <c r="K816" s="245">
        <f t="shared" si="319"/>
        <v>2.5482631748071978E-2</v>
      </c>
      <c r="L816" s="245">
        <f t="shared" si="320"/>
        <v>6.5923171472962977E-2</v>
      </c>
      <c r="P816" t="s">
        <v>590</v>
      </c>
      <c r="Q816">
        <v>247</v>
      </c>
      <c r="R816">
        <v>91</v>
      </c>
      <c r="W816" s="20" t="s">
        <v>941</v>
      </c>
      <c r="X816" s="20" t="s">
        <v>942</v>
      </c>
      <c r="Y816" s="20" t="s">
        <v>941</v>
      </c>
      <c r="Z816" s="20" t="s">
        <v>942</v>
      </c>
      <c r="AA816" s="359" t="s">
        <v>943</v>
      </c>
      <c r="AB816" s="359" t="s">
        <v>943</v>
      </c>
      <c r="AC816" s="20" t="s">
        <v>358</v>
      </c>
    </row>
    <row r="817" spans="2:35">
      <c r="K817" s="139"/>
      <c r="L817" s="139"/>
      <c r="P817" t="s">
        <v>558</v>
      </c>
      <c r="Q817">
        <v>26802</v>
      </c>
      <c r="R817">
        <v>31289</v>
      </c>
      <c r="V817" s="20" t="str">
        <f>Q802</f>
        <v>Sunpharma</v>
      </c>
      <c r="W817" s="134">
        <f>Q804</f>
        <v>1869.6</v>
      </c>
      <c r="X817" s="134">
        <f>Q804+Q805</f>
        <v>68994.600000000006</v>
      </c>
      <c r="Y817" s="134">
        <f>R804</f>
        <v>2845.6</v>
      </c>
      <c r="Z817" s="134">
        <f>R804+R805</f>
        <v>75330.600000000006</v>
      </c>
      <c r="AA817" s="360">
        <f>W817/X817</f>
        <v>2.7097772869181063E-2</v>
      </c>
      <c r="AB817" s="360">
        <f>Y817/Z817</f>
        <v>3.7774821918317388E-2</v>
      </c>
      <c r="AC817" s="118">
        <f>AVERAGE(AA817:AB817)</f>
        <v>3.2436297393749224E-2</v>
      </c>
    </row>
    <row r="818" spans="2:35">
      <c r="B818" s="18" t="s">
        <v>600</v>
      </c>
      <c r="C818" s="242">
        <f>C806/'Balance Sheet'!C45</f>
        <v>9.442836313815331E-2</v>
      </c>
      <c r="D818" s="246">
        <f>D806/'Balance Sheet'!D45</f>
        <v>2.9401371504895035E-2</v>
      </c>
      <c r="E818" s="246">
        <f>E806/'Balance Sheet'!E45</f>
        <v>4.5748332519342745E-2</v>
      </c>
      <c r="F818" s="242">
        <f>F806/'Balance Sheet'!F45</f>
        <v>0.1410226594054837</v>
      </c>
      <c r="G818" s="246">
        <f>G806/'Balance Sheet'!G45</f>
        <v>2.1877979071235298E-2</v>
      </c>
      <c r="H818" s="246">
        <f>H806/'Balance Sheet'!H45</f>
        <v>2.0937088053246022E-2</v>
      </c>
      <c r="I818" s="242">
        <f>I806/'Balance Sheet'!I45</f>
        <v>0.5918782561736039</v>
      </c>
      <c r="K818" s="243">
        <f>MEDIAN(C818:I818)</f>
        <v>4.5748332519342745E-2</v>
      </c>
      <c r="L818" s="243">
        <f>AVERAGE(C818:I818)</f>
        <v>0.13504200712370856</v>
      </c>
      <c r="P818" s="20" t="s">
        <v>936</v>
      </c>
      <c r="Q818" s="118">
        <f>Q816/Q817</f>
        <v>9.2157301693903439E-3</v>
      </c>
      <c r="R818" s="357">
        <f t="shared" ref="R818" si="322">R816/R817</f>
        <v>2.9083703537984597E-3</v>
      </c>
      <c r="V818" s="20" t="str">
        <f>Q808</f>
        <v>Torrent</v>
      </c>
      <c r="W818">
        <f>Q810</f>
        <v>3936</v>
      </c>
      <c r="X818">
        <f>Q810+Q811</f>
        <v>10792</v>
      </c>
      <c r="Y818">
        <f>R810</f>
        <v>3025</v>
      </c>
      <c r="Z818">
        <f>R810+R811</f>
        <v>10615</v>
      </c>
      <c r="AA818" s="360">
        <f t="shared" ref="AA818:AA821" si="323">W818/X818</f>
        <v>0.36471460340993328</v>
      </c>
      <c r="AB818" s="360">
        <f t="shared" ref="AB818:AB821" si="324">Y818/Z818</f>
        <v>0.28497409326424872</v>
      </c>
      <c r="AC818" s="118">
        <f t="shared" ref="AC818:AC821" si="325">AVERAGE(AA818:AB818)</f>
        <v>0.32484434833709097</v>
      </c>
    </row>
    <row r="819" spans="2:35">
      <c r="B819" s="18" t="s">
        <v>599</v>
      </c>
      <c r="C819" s="242">
        <f>C806/('Balance Sheet'!C48+'Assumptions Working'!C806)</f>
        <v>8.2067607692723782E-2</v>
      </c>
      <c r="D819" s="246">
        <f>D806/('Balance Sheet'!D48+'Assumptions Working'!D806)</f>
        <v>2.7152013746950816E-2</v>
      </c>
      <c r="E819" s="246">
        <f>E806/('Balance Sheet'!E48+'Assumptions Working'!E806)</f>
        <v>4.2533454487818763E-2</v>
      </c>
      <c r="F819" s="242">
        <f>F806/('Balance Sheet'!F48+'Assumptions Working'!F806)</f>
        <v>0.12082213490142561</v>
      </c>
      <c r="G819" s="246">
        <f>G806/('Balance Sheet'!G48+'Assumptions Working'!G806)</f>
        <v>2.0892458825450263E-2</v>
      </c>
      <c r="H819" s="246">
        <f>H806/('Balance Sheet'!H48+'Assumptions Working'!H806)</f>
        <v>2.0061331641475853E-2</v>
      </c>
      <c r="I819" s="242">
        <f>I806/('Balance Sheet'!I48+'Assumptions Working'!I806)</f>
        <v>0.36800801346220002</v>
      </c>
      <c r="K819" s="243">
        <f t="shared" ref="K819:K820" si="326">MEDIAN(C819:I819)</f>
        <v>4.2533454487818763E-2</v>
      </c>
      <c r="L819" s="243">
        <f t="shared" ref="L819:L820" si="327">AVERAGE(C819:I819)</f>
        <v>9.7362430679720724E-2</v>
      </c>
      <c r="V819" s="20" t="str">
        <f>Q814</f>
        <v>Cipla</v>
      </c>
      <c r="W819">
        <f>Q816</f>
        <v>247</v>
      </c>
      <c r="X819">
        <f>Q816+Q817</f>
        <v>27049</v>
      </c>
      <c r="Y819">
        <f>R816</f>
        <v>91</v>
      </c>
      <c r="Z819">
        <f>R816+R817</f>
        <v>31380</v>
      </c>
      <c r="AA819" s="360">
        <f t="shared" si="323"/>
        <v>9.1315760286886753E-3</v>
      </c>
      <c r="AB819" s="360">
        <f t="shared" si="324"/>
        <v>2.89993626513703E-3</v>
      </c>
      <c r="AC819" s="118">
        <f t="shared" si="325"/>
        <v>6.0157561469128523E-3</v>
      </c>
    </row>
    <row r="820" spans="2:35">
      <c r="B820" s="18" t="s">
        <v>598</v>
      </c>
      <c r="C820" s="242">
        <f>C806/'Balance Sheet'!C38</f>
        <v>6.4986311300120905E-2</v>
      </c>
      <c r="D820" s="246">
        <f>D806/'Balance Sheet'!D38</f>
        <v>2.0220729846854853E-2</v>
      </c>
      <c r="E820" s="246">
        <f>E806/'Balance Sheet'!E38</f>
        <v>3.3897607739050824E-2</v>
      </c>
      <c r="F820" s="242">
        <f>F806/'Balance Sheet'!F38</f>
        <v>9.488927097021066E-2</v>
      </c>
      <c r="G820" s="246">
        <f>G806/'Balance Sheet'!G38</f>
        <v>1.6744049223324169E-2</v>
      </c>
      <c r="H820" s="246">
        <f>H806/'Balance Sheet'!H38</f>
        <v>1.6386482928273407E-2</v>
      </c>
      <c r="I820" s="242">
        <f>I806/'Balance Sheet'!I38</f>
        <v>0.30558916205914488</v>
      </c>
      <c r="K820" s="243">
        <f t="shared" si="326"/>
        <v>3.3897607739050824E-2</v>
      </c>
      <c r="L820" s="243">
        <f t="shared" si="327"/>
        <v>7.8959087723854252E-2</v>
      </c>
      <c r="V820" s="20" t="str">
        <f>U802</f>
        <v>Dr Reddy</v>
      </c>
      <c r="W820">
        <f>U804</f>
        <v>16523</v>
      </c>
      <c r="X820">
        <f>U804+U805</f>
        <v>44777</v>
      </c>
      <c r="Y820">
        <f>V804</f>
        <v>41845</v>
      </c>
      <c r="Z820">
        <f>V804+V805</f>
        <v>75772</v>
      </c>
      <c r="AA820" s="360">
        <f t="shared" si="323"/>
        <v>0.36900640954061237</v>
      </c>
      <c r="AB820" s="360">
        <f t="shared" si="324"/>
        <v>0.55224885181861372</v>
      </c>
      <c r="AC820" s="118">
        <f t="shared" si="325"/>
        <v>0.46062763067961304</v>
      </c>
    </row>
    <row r="821" spans="2:35">
      <c r="B821" s="18" t="s">
        <v>601</v>
      </c>
      <c r="C821" s="242">
        <f>C806/'Income Stmt'!C35</f>
        <v>0.28835820385342259</v>
      </c>
      <c r="D821" s="246">
        <f>D806/'Income Stmt'!D35</f>
        <v>6.6799993429053642E-2</v>
      </c>
      <c r="E821" s="246">
        <f>E806/'Income Stmt'!E35</f>
        <v>0.13032562069637252</v>
      </c>
      <c r="F821" s="242">
        <f>F806/'Income Stmt'!F35</f>
        <v>0.43633645895607542</v>
      </c>
      <c r="G821" s="246">
        <f>G806/'Income Stmt'!G35</f>
        <v>8.5590480578980693E-2</v>
      </c>
      <c r="H821" s="246">
        <f>H806/'Income Stmt'!H35</f>
        <v>7.7329477137948119E-2</v>
      </c>
      <c r="I821" s="242">
        <f>I806/'Income Stmt'!I35</f>
        <v>3.1993445194965848</v>
      </c>
      <c r="K821" s="243">
        <f t="shared" ref="K821" si="328">MEDIAN(C821:I821)</f>
        <v>0.13032562069637252</v>
      </c>
      <c r="L821" s="243">
        <f t="shared" ref="L821" si="329">AVERAGE(C821:I821)</f>
        <v>0.61201210773549108</v>
      </c>
      <c r="V821" s="20" t="str">
        <f>U808</f>
        <v>Zydus</v>
      </c>
      <c r="W821">
        <f>U810</f>
        <v>3169</v>
      </c>
      <c r="X821">
        <f>U810+U811</f>
        <v>25270</v>
      </c>
      <c r="Y821">
        <f>V810</f>
        <v>768</v>
      </c>
      <c r="Z821">
        <f>V810+V811</f>
        <v>27126</v>
      </c>
      <c r="AA821" s="360">
        <f t="shared" si="323"/>
        <v>0.12540561931143648</v>
      </c>
      <c r="AB821" s="360">
        <f t="shared" si="324"/>
        <v>2.8312320283123204E-2</v>
      </c>
      <c r="AC821" s="118">
        <f t="shared" si="325"/>
        <v>7.6858969797279839E-2</v>
      </c>
    </row>
    <row r="823" spans="2:35">
      <c r="B823" s="108" t="s">
        <v>370</v>
      </c>
    </row>
    <row r="825" spans="2:35">
      <c r="B825" s="24" t="s">
        <v>602</v>
      </c>
    </row>
    <row r="826" spans="2:35">
      <c r="B826" s="20"/>
    </row>
    <row r="827" spans="2:35">
      <c r="W827" s="104"/>
      <c r="Z827" s="20" t="s">
        <v>935</v>
      </c>
      <c r="AD827" s="104"/>
      <c r="AG827" s="20" t="s">
        <v>939</v>
      </c>
    </row>
    <row r="828" spans="2:35">
      <c r="I828" s="20" t="s">
        <v>610</v>
      </c>
      <c r="R828" s="258" t="s">
        <v>357</v>
      </c>
      <c r="S828" s="258" t="s">
        <v>358</v>
      </c>
      <c r="X828" s="20">
        <v>2021</v>
      </c>
      <c r="Y828" s="20">
        <f>X828+1</f>
        <v>2022</v>
      </c>
      <c r="Z828" s="20">
        <f t="shared" ref="Z828" si="330">Y828+1</f>
        <v>2023</v>
      </c>
      <c r="AA828" s="20">
        <v>2024</v>
      </c>
      <c r="AB828" s="20">
        <v>2025</v>
      </c>
      <c r="AE828" s="20">
        <v>2021</v>
      </c>
      <c r="AF828" s="20">
        <f>AE828+1</f>
        <v>2022</v>
      </c>
      <c r="AG828" s="20">
        <f t="shared" ref="AG828" si="331">AF828+1</f>
        <v>2023</v>
      </c>
      <c r="AH828" s="20">
        <v>2024</v>
      </c>
      <c r="AI828" s="20">
        <v>2025</v>
      </c>
    </row>
    <row r="829" spans="2:35">
      <c r="I829" s="18"/>
      <c r="J829" s="24">
        <v>2024</v>
      </c>
      <c r="K829" s="24">
        <v>2025</v>
      </c>
      <c r="L829" s="24">
        <v>2026</v>
      </c>
      <c r="M829" s="24">
        <v>2027</v>
      </c>
      <c r="N829" s="24">
        <v>2028</v>
      </c>
      <c r="O829" s="24">
        <v>2029</v>
      </c>
      <c r="P829" s="24">
        <v>2030</v>
      </c>
      <c r="W829" t="s">
        <v>590</v>
      </c>
      <c r="X829">
        <v>3343</v>
      </c>
      <c r="Y829">
        <v>930</v>
      </c>
      <c r="Z829">
        <v>6197</v>
      </c>
      <c r="AA829" s="134">
        <f>(18671+25)/10</f>
        <v>1869.6</v>
      </c>
      <c r="AB829" s="134">
        <v>2845.6</v>
      </c>
      <c r="AD829" t="s">
        <v>590</v>
      </c>
      <c r="AE829">
        <v>2694</v>
      </c>
      <c r="AF829">
        <v>3088</v>
      </c>
      <c r="AG829">
        <v>1119</v>
      </c>
      <c r="AH829">
        <v>16523</v>
      </c>
      <c r="AI829">
        <v>41845</v>
      </c>
    </row>
    <row r="830" spans="2:35">
      <c r="I830" s="24" t="s">
        <v>63</v>
      </c>
      <c r="J830" s="251">
        <v>2535.1032999999998</v>
      </c>
      <c r="K830" s="210">
        <v>2651.8599999999988</v>
      </c>
      <c r="L830" s="252">
        <v>2175.0432599999995</v>
      </c>
      <c r="M830" s="252">
        <v>2634.6111752999986</v>
      </c>
      <c r="N830" s="252">
        <v>3145.5914956050019</v>
      </c>
      <c r="O830" s="252">
        <v>3701.6664584630271</v>
      </c>
      <c r="P830" s="252">
        <v>4293.056957744102</v>
      </c>
      <c r="W830" t="s">
        <v>558</v>
      </c>
      <c r="X830">
        <v>49479</v>
      </c>
      <c r="Y830">
        <v>51066</v>
      </c>
      <c r="Z830">
        <v>59315</v>
      </c>
      <c r="AA830">
        <v>67125</v>
      </c>
      <c r="AB830">
        <v>72485</v>
      </c>
      <c r="AD830" t="s">
        <v>558</v>
      </c>
      <c r="AE830">
        <v>17641</v>
      </c>
      <c r="AF830">
        <v>19212</v>
      </c>
      <c r="AG830">
        <v>23286</v>
      </c>
      <c r="AH830">
        <v>28254</v>
      </c>
      <c r="AI830">
        <v>33927</v>
      </c>
    </row>
    <row r="831" spans="2:35">
      <c r="I831" s="24" t="s">
        <v>590</v>
      </c>
      <c r="J831" s="251">
        <f>H802</f>
        <v>24.867699999999999</v>
      </c>
      <c r="K831" s="251">
        <f t="shared" ref="K831" si="332">I802</f>
        <v>5526.19</v>
      </c>
      <c r="L831" s="210">
        <f>L830/L832</f>
        <v>1812.5360499999997</v>
      </c>
      <c r="M831" s="210">
        <f t="shared" ref="M831:N831" si="333">M830/M832</f>
        <v>2195.509312749999</v>
      </c>
      <c r="N831" s="210">
        <f t="shared" si="333"/>
        <v>2621.3262463375017</v>
      </c>
      <c r="O831" s="210">
        <f>O830*O832</f>
        <v>4812.166396001935</v>
      </c>
      <c r="P831" s="210">
        <f t="shared" ref="P831" si="334">P830*P832</f>
        <v>5580.9740450673326</v>
      </c>
      <c r="W831" s="20" t="s">
        <v>936</v>
      </c>
      <c r="X831" s="246">
        <f>X829/X830</f>
        <v>6.7564017057741663E-2</v>
      </c>
      <c r="Y831" s="246">
        <f t="shared" ref="Y831:Z831" si="335">Y829/Y830</f>
        <v>1.8211726001644932E-2</v>
      </c>
      <c r="Z831" s="246">
        <f t="shared" si="335"/>
        <v>0.10447610216639973</v>
      </c>
      <c r="AA831" s="246">
        <f>AA829/AA830</f>
        <v>2.7852513966480447E-2</v>
      </c>
      <c r="AB831" s="246">
        <f t="shared" ref="AB831" si="336">AB829/AB830</f>
        <v>3.925777747120094E-2</v>
      </c>
      <c r="AD831" s="20" t="s">
        <v>936</v>
      </c>
      <c r="AE831" s="246">
        <f>AE829/AE830</f>
        <v>0.15271243126806872</v>
      </c>
      <c r="AF831" s="246">
        <f t="shared" ref="AF831" si="337">AF829/AF830</f>
        <v>0.16073287528627941</v>
      </c>
      <c r="AG831" s="246">
        <f t="shared" ref="AG831" si="338">AG829/AG830</f>
        <v>4.805462509662458E-2</v>
      </c>
      <c r="AH831" s="246">
        <f>AH829/AH830</f>
        <v>0.58480215190769447</v>
      </c>
      <c r="AI831" s="246">
        <f t="shared" ref="AI831" si="339">AI829/AI830</f>
        <v>1.2333834409172635</v>
      </c>
    </row>
    <row r="832" spans="2:35">
      <c r="I832" s="24" t="s">
        <v>608</v>
      </c>
      <c r="J832" s="253">
        <f>J830/J831</f>
        <v>101.94361762446869</v>
      </c>
      <c r="K832" s="253">
        <f>K830/K831</f>
        <v>0.47987130373729442</v>
      </c>
      <c r="L832" s="254">
        <v>1.2</v>
      </c>
      <c r="M832" s="254">
        <f>L832</f>
        <v>1.2</v>
      </c>
      <c r="N832" s="254">
        <f t="shared" ref="N832" si="340">M832</f>
        <v>1.2</v>
      </c>
      <c r="O832" s="255">
        <v>1.3</v>
      </c>
      <c r="P832" s="255">
        <v>1.3</v>
      </c>
      <c r="R832" s="259">
        <f>MEDIAN(L832:P832)</f>
        <v>1.2</v>
      </c>
      <c r="S832" s="259">
        <f>AVERAGE(L832:P832)</f>
        <v>1.2399999999999998</v>
      </c>
      <c r="W832" s="20" t="s">
        <v>943</v>
      </c>
      <c r="X832" s="246">
        <f>X829/(X829+X830)</f>
        <v>6.3288023929423343E-2</v>
      </c>
      <c r="Y832" s="246">
        <f t="shared" ref="Y832:AB832" si="341">Y829/(Y829+Y830)</f>
        <v>1.7885991230094624E-2</v>
      </c>
      <c r="Z832" s="246">
        <f t="shared" si="341"/>
        <v>9.4593356942239595E-2</v>
      </c>
      <c r="AA832" s="246">
        <f t="shared" si="341"/>
        <v>2.7097772869181063E-2</v>
      </c>
      <c r="AB832" s="246">
        <f t="shared" si="341"/>
        <v>3.7774821918317388E-2</v>
      </c>
      <c r="AD832" s="20" t="s">
        <v>943</v>
      </c>
      <c r="AE832" s="246">
        <f>AE829/(AE829+AE830)</f>
        <v>0.13248094418490289</v>
      </c>
      <c r="AF832" s="246">
        <f t="shared" ref="AF832:AI832" si="342">AF829/(AF829+AF830)</f>
        <v>0.13847533632286996</v>
      </c>
      <c r="AG832" s="246">
        <f t="shared" si="342"/>
        <v>4.5851259987707435E-2</v>
      </c>
      <c r="AH832" s="246">
        <f t="shared" si="342"/>
        <v>0.36900640954061237</v>
      </c>
      <c r="AI832" s="246">
        <f t="shared" si="342"/>
        <v>0.55224885181861372</v>
      </c>
    </row>
    <row r="833" spans="9:35">
      <c r="I833" s="261" t="s">
        <v>611</v>
      </c>
      <c r="J833" s="262">
        <f>J831/G802-1</f>
        <v>7.2507709227352057E-2</v>
      </c>
      <c r="K833" s="262">
        <f>K831/J831-1</f>
        <v>221.2236073299903</v>
      </c>
      <c r="L833" s="262">
        <f t="shared" ref="L833:P833" si="343">L831/K831-1</f>
        <v>-0.67200982050924774</v>
      </c>
      <c r="M833" s="262">
        <f t="shared" si="343"/>
        <v>0.21129139072847658</v>
      </c>
      <c r="N833" s="262">
        <f t="shared" si="343"/>
        <v>0.19394904458598861</v>
      </c>
      <c r="O833" s="262">
        <f t="shared" si="343"/>
        <v>0.83577546012269921</v>
      </c>
      <c r="P833" s="262">
        <f t="shared" si="343"/>
        <v>0.15976331360946738</v>
      </c>
      <c r="R833" s="263">
        <f>MEDIAN(L833:P833)</f>
        <v>0.19394904458598861</v>
      </c>
      <c r="S833" s="263">
        <f>AVERAGE(L833:P833)</f>
        <v>0.1457538777074768</v>
      </c>
      <c r="Y833" s="20" t="s">
        <v>944</v>
      </c>
      <c r="Z833" s="361">
        <f>AVERAGE(X831:AB831)</f>
        <v>5.1472427332693541E-2</v>
      </c>
      <c r="AA833" s="361">
        <f>AVERAGE(X832:AB832)</f>
        <v>4.8127993377851203E-2</v>
      </c>
      <c r="AF833" s="20" t="s">
        <v>944</v>
      </c>
      <c r="AG833" s="361">
        <f>AVERAGE(AE831:AI831)</f>
        <v>0.43593710489518606</v>
      </c>
      <c r="AH833" s="361">
        <f>AVERAGE(AE832:AI832)</f>
        <v>0.24761256037094129</v>
      </c>
    </row>
    <row r="834" spans="9:35">
      <c r="I834" s="20" t="s">
        <v>41</v>
      </c>
      <c r="J834" s="256">
        <f>'3StatementModel'!G13</f>
        <v>10334.774599999999</v>
      </c>
      <c r="K834" s="256">
        <f>'3StatementModel'!H13</f>
        <v>12207</v>
      </c>
      <c r="L834" s="256">
        <f>'3StatementModel'!I13</f>
        <v>14404.259999999998</v>
      </c>
      <c r="M834" s="256">
        <f>'3StatementModel'!J13</f>
        <v>16780.962899999999</v>
      </c>
      <c r="N834" s="256">
        <f>'3StatementModel'!K13</f>
        <v>19298.107334999997</v>
      </c>
      <c r="O834" s="256">
        <f>'3StatementModel'!L13</f>
        <v>21903.351825224996</v>
      </c>
      <c r="P834" s="256">
        <f>'3StatementModel'!M13</f>
        <v>24531.754044251997</v>
      </c>
    </row>
    <row r="835" spans="9:35">
      <c r="W835" s="104"/>
      <c r="Z835" s="20" t="s">
        <v>937</v>
      </c>
      <c r="AD835" s="104"/>
      <c r="AG835" s="20" t="s">
        <v>940</v>
      </c>
    </row>
    <row r="836" spans="9:35">
      <c r="I836" s="20" t="s">
        <v>609</v>
      </c>
      <c r="J836" s="160">
        <f>J831/J834</f>
        <v>2.4062160001051209E-3</v>
      </c>
      <c r="K836" s="160">
        <f t="shared" ref="K836:P836" si="344">K831/K834</f>
        <v>0.45270664372900793</v>
      </c>
      <c r="L836" s="160">
        <f t="shared" si="344"/>
        <v>0.12583333333333332</v>
      </c>
      <c r="M836" s="160">
        <f t="shared" si="344"/>
        <v>0.13083333333333327</v>
      </c>
      <c r="N836" s="160">
        <f t="shared" si="344"/>
        <v>0.13583333333333344</v>
      </c>
      <c r="O836" s="160">
        <f t="shared" si="344"/>
        <v>0.21970000000000015</v>
      </c>
      <c r="P836" s="160">
        <f t="shared" si="344"/>
        <v>0.22750000000000015</v>
      </c>
      <c r="R836" s="257">
        <f>MEDIAN(L836:P836)</f>
        <v>0.13583333333333344</v>
      </c>
      <c r="S836" s="257">
        <f>AVERAGE(L836:P836)</f>
        <v>0.16794000000000006</v>
      </c>
      <c r="X836" s="20">
        <v>2021</v>
      </c>
      <c r="Y836" s="20">
        <f>X836+1</f>
        <v>2022</v>
      </c>
      <c r="Z836" s="20">
        <f t="shared" ref="Z836" si="345">Y836+1</f>
        <v>2023</v>
      </c>
      <c r="AA836" s="20">
        <v>2024</v>
      </c>
      <c r="AB836" s="20">
        <v>2025</v>
      </c>
      <c r="AE836" s="20">
        <v>2021</v>
      </c>
      <c r="AF836" s="20">
        <f>AE836+1</f>
        <v>2022</v>
      </c>
      <c r="AG836" s="20">
        <f t="shared" ref="AG836" si="346">AF836+1</f>
        <v>2023</v>
      </c>
      <c r="AH836" s="20">
        <v>2024</v>
      </c>
      <c r="AI836" s="20">
        <v>2025</v>
      </c>
    </row>
    <row r="837" spans="9:35">
      <c r="W837" t="s">
        <v>590</v>
      </c>
      <c r="X837">
        <v>3645</v>
      </c>
      <c r="Y837">
        <v>4017</v>
      </c>
      <c r="Z837">
        <v>5297</v>
      </c>
      <c r="AA837" s="134">
        <v>3936</v>
      </c>
      <c r="AB837" s="134">
        <v>3025</v>
      </c>
      <c r="AD837" t="s">
        <v>590</v>
      </c>
      <c r="AE837">
        <v>3304</v>
      </c>
      <c r="AF837">
        <v>4195</v>
      </c>
      <c r="AG837">
        <v>1163</v>
      </c>
      <c r="AH837">
        <v>3169</v>
      </c>
      <c r="AI837">
        <v>768</v>
      </c>
    </row>
    <row r="838" spans="9:35">
      <c r="W838" t="s">
        <v>558</v>
      </c>
      <c r="X838">
        <v>5837</v>
      </c>
      <c r="Y838">
        <v>5952</v>
      </c>
      <c r="Z838">
        <v>6198</v>
      </c>
      <c r="AA838">
        <v>6856</v>
      </c>
      <c r="AB838">
        <v>7590</v>
      </c>
      <c r="AD838" t="s">
        <v>558</v>
      </c>
      <c r="AE838">
        <v>12744</v>
      </c>
      <c r="AF838">
        <v>19053</v>
      </c>
      <c r="AG838">
        <v>19688</v>
      </c>
      <c r="AH838">
        <v>22101</v>
      </c>
      <c r="AI838">
        <v>26358</v>
      </c>
    </row>
    <row r="839" spans="9:35">
      <c r="I839" s="20" t="s">
        <v>122</v>
      </c>
      <c r="R839" s="258" t="s">
        <v>357</v>
      </c>
      <c r="S839" s="258" t="s">
        <v>358</v>
      </c>
      <c r="W839" s="20" t="s">
        <v>936</v>
      </c>
      <c r="X839" s="246">
        <f>X837/X838</f>
        <v>0.62446462223745069</v>
      </c>
      <c r="Y839" s="246">
        <f t="shared" ref="Y839" si="347">Y837/Y838</f>
        <v>0.67489919354838712</v>
      </c>
      <c r="Z839" s="246">
        <f t="shared" ref="Z839" si="348">Z837/Z838</f>
        <v>0.85463052597612132</v>
      </c>
      <c r="AA839" s="246">
        <v>0.57409568261376898</v>
      </c>
      <c r="AB839" s="246">
        <v>0.39855072463768115</v>
      </c>
      <c r="AD839" s="20" t="s">
        <v>936</v>
      </c>
      <c r="AE839" s="246">
        <f>AE837/AE838</f>
        <v>0.25925925925925924</v>
      </c>
      <c r="AF839" s="246">
        <f t="shared" ref="AF839" si="349">AF837/AF838</f>
        <v>0.22017530047761508</v>
      </c>
      <c r="AG839" s="246">
        <f t="shared" ref="AG839" si="350">AG837/AG838</f>
        <v>5.9071515644047133E-2</v>
      </c>
      <c r="AH839" s="246">
        <v>0.14338717705081219</v>
      </c>
      <c r="AI839" s="246">
        <v>2.9137263828818576E-2</v>
      </c>
    </row>
    <row r="840" spans="9:35">
      <c r="I840" s="18"/>
      <c r="J840" s="24">
        <v>2024</v>
      </c>
      <c r="K840" s="24">
        <v>2025</v>
      </c>
      <c r="L840" s="24">
        <v>2026</v>
      </c>
      <c r="M840" s="24">
        <v>2027</v>
      </c>
      <c r="N840" s="24">
        <v>2028</v>
      </c>
      <c r="O840" s="24">
        <v>2029</v>
      </c>
      <c r="P840" s="24">
        <v>2030</v>
      </c>
      <c r="W840" s="20" t="s">
        <v>943</v>
      </c>
      <c r="X840" s="246">
        <f>X837/(X837+X838)</f>
        <v>0.38441257118751321</v>
      </c>
      <c r="Y840" s="246">
        <f t="shared" ref="Y840:AB840" si="351">Y837/(Y837+Y838)</f>
        <v>0.40294914234125789</v>
      </c>
      <c r="Z840" s="246">
        <f t="shared" si="351"/>
        <v>0.46080904741191825</v>
      </c>
      <c r="AA840" s="246">
        <f t="shared" si="351"/>
        <v>0.36471460340993328</v>
      </c>
      <c r="AB840" s="246">
        <f t="shared" si="351"/>
        <v>0.28497409326424872</v>
      </c>
      <c r="AD840" s="20" t="s">
        <v>943</v>
      </c>
      <c r="AE840" s="246">
        <f>AE837/(AE837+AE838)</f>
        <v>0.20588235294117646</v>
      </c>
      <c r="AF840" s="246">
        <f t="shared" ref="AF840:AI840" si="352">AF837/(AF837+AF838)</f>
        <v>0.18044562973158981</v>
      </c>
      <c r="AG840" s="246">
        <f t="shared" si="352"/>
        <v>5.5776701357249055E-2</v>
      </c>
      <c r="AH840" s="246">
        <f t="shared" si="352"/>
        <v>0.12540561931143648</v>
      </c>
      <c r="AI840" s="246">
        <f t="shared" si="352"/>
        <v>2.8312320283123204E-2</v>
      </c>
    </row>
    <row r="841" spans="9:35">
      <c r="I841" s="24" t="s">
        <v>63</v>
      </c>
      <c r="J841" s="251">
        <f>'3StatementModel'!G25</f>
        <v>2535.1032999999998</v>
      </c>
      <c r="K841" s="251">
        <f>'3StatementModel'!H25</f>
        <v>2651.8599999999988</v>
      </c>
      <c r="L841" s="251">
        <f>'3StatementModel'!I25</f>
        <v>3096.9158999999991</v>
      </c>
      <c r="M841" s="251">
        <f>'3StatementModel'!J25</f>
        <v>3708.5928008999981</v>
      </c>
      <c r="N841" s="251">
        <f>'3StatementModel'!K25</f>
        <v>4380.6703650450017</v>
      </c>
      <c r="O841" s="251">
        <f>'3StatementModel'!L25</f>
        <v>5103.4809752774254</v>
      </c>
      <c r="P841" s="251">
        <f>'3StatementModel'!M25</f>
        <v>5863.0892165762289</v>
      </c>
      <c r="Y841" s="20" t="s">
        <v>944</v>
      </c>
      <c r="Z841" s="361">
        <f>AVERAGE(X839:AB839)</f>
        <v>0.62532814980268181</v>
      </c>
      <c r="AA841" s="361">
        <f>AVERAGE(X840:AB840)</f>
        <v>0.37957189152297427</v>
      </c>
      <c r="AF841" s="20" t="s">
        <v>944</v>
      </c>
      <c r="AG841" s="361">
        <f>AVERAGE(AE839:AI839)</f>
        <v>0.14220610325211042</v>
      </c>
      <c r="AH841" s="361">
        <f>AVERAGE(AE840:AI840)</f>
        <v>0.11916452472491501</v>
      </c>
    </row>
    <row r="842" spans="9:35">
      <c r="I842" s="24" t="s">
        <v>590</v>
      </c>
      <c r="J842" s="251">
        <f>H806</f>
        <v>196.03579999999999</v>
      </c>
      <c r="K842" s="251">
        <f t="shared" ref="K842" si="353">I806</f>
        <v>8483.0299999999988</v>
      </c>
      <c r="L842" s="210">
        <f>L841/L843</f>
        <v>2580.7632499999995</v>
      </c>
      <c r="M842" s="210">
        <f t="shared" ref="M842:N842" si="354">M841/M843</f>
        <v>3090.4940007499986</v>
      </c>
      <c r="N842" s="210">
        <f t="shared" si="354"/>
        <v>3650.5586375375015</v>
      </c>
      <c r="O842" s="210">
        <f>O841*O843</f>
        <v>6634.525267860653</v>
      </c>
      <c r="P842" s="210">
        <f t="shared" ref="P842" si="355">P841*P843</f>
        <v>7622.0159815490979</v>
      </c>
    </row>
    <row r="843" spans="9:35">
      <c r="I843" s="24" t="s">
        <v>608</v>
      </c>
      <c r="J843" s="253">
        <f>J841/J842</f>
        <v>12.931838470320216</v>
      </c>
      <c r="K843" s="253">
        <f>K841/K842</f>
        <v>0.31260764137342423</v>
      </c>
      <c r="L843" s="254">
        <v>1.2</v>
      </c>
      <c r="M843" s="254">
        <f>L843</f>
        <v>1.2</v>
      </c>
      <c r="N843" s="254">
        <f t="shared" ref="N843" si="356">M843</f>
        <v>1.2</v>
      </c>
      <c r="O843" s="255">
        <v>1.3</v>
      </c>
      <c r="P843" s="255">
        <v>1.3</v>
      </c>
      <c r="R843" s="259">
        <f>MEDIAN(L843:P843)</f>
        <v>1.2</v>
      </c>
      <c r="S843" s="259">
        <f>AVERAGE(L843:P843)</f>
        <v>1.2399999999999998</v>
      </c>
      <c r="W843" s="104"/>
      <c r="Z843" s="20" t="s">
        <v>938</v>
      </c>
    </row>
    <row r="844" spans="9:35">
      <c r="I844" s="261" t="s">
        <v>611</v>
      </c>
      <c r="J844" s="262">
        <f>J842/G804-1</f>
        <v>0.4053763032305564</v>
      </c>
      <c r="K844" s="262">
        <f>K842/J842-1</f>
        <v>42.272861385522432</v>
      </c>
      <c r="L844" s="262">
        <f t="shared" ref="L844:P844" si="357">L842/K842-1</f>
        <v>-0.69577341468791221</v>
      </c>
      <c r="M844" s="262">
        <f t="shared" si="357"/>
        <v>0.19751162790697641</v>
      </c>
      <c r="N844" s="262">
        <f t="shared" si="357"/>
        <v>0.18122171945701449</v>
      </c>
      <c r="O844" s="262">
        <f t="shared" si="357"/>
        <v>0.81739999999999946</v>
      </c>
      <c r="P844" s="262">
        <f t="shared" si="357"/>
        <v>0.14884120171673842</v>
      </c>
      <c r="R844" s="263">
        <f>MEDIAN(L844:P844)</f>
        <v>0.18122171945701449</v>
      </c>
      <c r="S844" s="263">
        <f>AVERAGE(L844:P844)</f>
        <v>0.12984022687856331</v>
      </c>
      <c r="X844" s="20">
        <v>2021</v>
      </c>
      <c r="Y844" s="20">
        <f>X844+1</f>
        <v>2022</v>
      </c>
      <c r="Z844" s="20">
        <f t="shared" ref="Z844" si="358">Y844+1</f>
        <v>2023</v>
      </c>
      <c r="AA844" s="20">
        <v>2024</v>
      </c>
      <c r="AB844" s="20">
        <v>2025</v>
      </c>
    </row>
    <row r="845" spans="9:35">
      <c r="I845" s="20" t="s">
        <v>41</v>
      </c>
      <c r="J845" s="256">
        <v>10334.774599999999</v>
      </c>
      <c r="K845" s="256">
        <v>12207</v>
      </c>
      <c r="L845" s="256">
        <v>14404.259999999998</v>
      </c>
      <c r="M845" s="256">
        <v>16780.962899999999</v>
      </c>
      <c r="N845" s="256">
        <v>19298.107334999997</v>
      </c>
      <c r="O845" s="256">
        <v>21903.351825224996</v>
      </c>
      <c r="P845" s="256">
        <v>24531.754044251997</v>
      </c>
      <c r="W845" t="s">
        <v>590</v>
      </c>
      <c r="X845">
        <v>1754</v>
      </c>
      <c r="Y845">
        <v>823</v>
      </c>
      <c r="Z845">
        <v>520</v>
      </c>
      <c r="AA845" s="134">
        <v>247</v>
      </c>
      <c r="AB845" s="134">
        <v>91</v>
      </c>
    </row>
    <row r="846" spans="9:35">
      <c r="W846" t="s">
        <v>558</v>
      </c>
      <c r="X846">
        <v>16585</v>
      </c>
      <c r="Y846">
        <v>21117</v>
      </c>
      <c r="Z846">
        <v>23713</v>
      </c>
      <c r="AA846">
        <v>26802</v>
      </c>
      <c r="AB846">
        <v>31289</v>
      </c>
    </row>
    <row r="847" spans="9:35">
      <c r="I847" s="20" t="s">
        <v>609</v>
      </c>
      <c r="J847" s="160">
        <f>J842/J845</f>
        <v>1.896856076570843E-2</v>
      </c>
      <c r="K847" s="160">
        <f t="shared" ref="K847:P847" si="359">K842/K845</f>
        <v>0.69493159662488724</v>
      </c>
      <c r="L847" s="160">
        <f t="shared" si="359"/>
        <v>0.17916666666666664</v>
      </c>
      <c r="M847" s="160">
        <f t="shared" si="359"/>
        <v>0.18416666666666659</v>
      </c>
      <c r="N847" s="160">
        <f t="shared" si="359"/>
        <v>0.18916666666666676</v>
      </c>
      <c r="O847" s="160">
        <f t="shared" si="359"/>
        <v>0.30290000000000006</v>
      </c>
      <c r="P847" s="160">
        <f t="shared" si="359"/>
        <v>0.31070000000000009</v>
      </c>
      <c r="R847" s="257">
        <f>MEDIAN(L847:P847)</f>
        <v>0.18916666666666676</v>
      </c>
      <c r="S847" s="257">
        <f>AVERAGE(L847:P847)</f>
        <v>0.23322000000000004</v>
      </c>
      <c r="W847" s="20" t="s">
        <v>936</v>
      </c>
      <c r="X847" s="246">
        <f>X845/X846</f>
        <v>0.10575821525474827</v>
      </c>
      <c r="Y847" s="246">
        <f t="shared" ref="Y847" si="360">Y845/Y846</f>
        <v>3.8973339015958709E-2</v>
      </c>
      <c r="Z847" s="246">
        <f t="shared" ref="Z847" si="361">Z845/Z846</f>
        <v>2.192889975962552E-2</v>
      </c>
      <c r="AA847" s="246">
        <v>9.2157301693903439E-3</v>
      </c>
      <c r="AB847" s="246">
        <v>2.9083703537984597E-3</v>
      </c>
    </row>
    <row r="848" spans="9:35">
      <c r="W848" s="20" t="s">
        <v>943</v>
      </c>
      <c r="X848" s="246">
        <f>X845/(X845+X846)</f>
        <v>9.5643164839958564E-2</v>
      </c>
      <c r="Y848" s="246">
        <f t="shared" ref="Y848:AB848" si="362">Y845/(Y845+Y846)</f>
        <v>3.7511394712853238E-2</v>
      </c>
      <c r="Z848" s="246">
        <f t="shared" si="362"/>
        <v>2.1458341930425454E-2</v>
      </c>
      <c r="AA848" s="246">
        <f t="shared" si="362"/>
        <v>9.1315760286886753E-3</v>
      </c>
      <c r="AB848" s="246">
        <f t="shared" si="362"/>
        <v>2.89993626513703E-3</v>
      </c>
    </row>
    <row r="849" spans="1:27">
      <c r="Y849" s="20" t="s">
        <v>944</v>
      </c>
      <c r="Z849" s="361">
        <f>AVERAGE(X847:AB847)</f>
        <v>3.5756910910704258E-2</v>
      </c>
      <c r="AA849" s="361">
        <f>AVERAGE(X848:AB848)</f>
        <v>3.3328882755412591E-2</v>
      </c>
    </row>
    <row r="851" spans="1:27">
      <c r="K851" s="113"/>
    </row>
    <row r="852" spans="1:27">
      <c r="K852" s="115"/>
    </row>
    <row r="853" spans="1:27">
      <c r="K853" s="115"/>
    </row>
    <row r="857" spans="1:27" ht="18">
      <c r="A857" t="s">
        <v>23</v>
      </c>
      <c r="B857" s="14" t="s">
        <v>590</v>
      </c>
    </row>
    <row r="859" spans="1:27">
      <c r="B859" s="108" t="s">
        <v>161</v>
      </c>
      <c r="C859" s="108">
        <v>2019</v>
      </c>
      <c r="D859" s="108">
        <v>2020</v>
      </c>
      <c r="E859" s="108">
        <v>2021</v>
      </c>
      <c r="F859" s="108">
        <v>2022</v>
      </c>
      <c r="G859" s="108">
        <v>2023</v>
      </c>
      <c r="H859" s="108">
        <v>2024</v>
      </c>
      <c r="I859" s="108">
        <v>2025</v>
      </c>
    </row>
    <row r="860" spans="1:27">
      <c r="B860" s="30" t="s">
        <v>593</v>
      </c>
      <c r="C860" s="208">
        <v>266.57600000000002</v>
      </c>
      <c r="D860" s="208">
        <v>102.47290000000001</v>
      </c>
      <c r="E860" s="208">
        <v>216.02379999999999</v>
      </c>
      <c r="F860" s="208">
        <v>868.02719999999999</v>
      </c>
      <c r="G860" s="208">
        <v>162.63640000000001</v>
      </c>
      <c r="H860" s="208">
        <v>196.03579999999999</v>
      </c>
      <c r="I860" s="208">
        <v>8483.0299999999988</v>
      </c>
    </row>
    <row r="861" spans="1:27">
      <c r="B861" t="s">
        <v>614</v>
      </c>
      <c r="C861" s="134">
        <f>'Income Stmt'!C41*-1</f>
        <v>43.032399999999996</v>
      </c>
      <c r="D861" s="134">
        <f>'Income Stmt'!D41*-1</f>
        <v>21.971799999999998</v>
      </c>
      <c r="E861" s="134">
        <f>'Income Stmt'!E41*-1</f>
        <v>20.147400000000001</v>
      </c>
      <c r="F861" s="134">
        <f>'Income Stmt'!F41*-1</f>
        <v>58.610399999999998</v>
      </c>
      <c r="G861" s="134">
        <f>'Income Stmt'!G41*-1</f>
        <v>44.468999999999994</v>
      </c>
      <c r="H861" s="134">
        <f>'Income Stmt'!H41*-1</f>
        <v>33.531599999999997</v>
      </c>
      <c r="I861" s="134">
        <f>'Income Stmt'!I41*-1</f>
        <v>429.4</v>
      </c>
    </row>
    <row r="862" spans="1:27">
      <c r="B862" t="s">
        <v>615</v>
      </c>
      <c r="C862" s="76">
        <f>C861/C860</f>
        <v>0.16142638497089007</v>
      </c>
      <c r="D862" s="76">
        <f t="shared" ref="D862:I862" si="363">D861/D860</f>
        <v>0.21441571381311542</v>
      </c>
      <c r="E862" s="76">
        <f t="shared" si="363"/>
        <v>9.3264723609157885E-2</v>
      </c>
      <c r="F862" s="76">
        <f t="shared" si="363"/>
        <v>6.7521386426600452E-2</v>
      </c>
      <c r="G862" s="76">
        <f t="shared" si="363"/>
        <v>0.27342587514234201</v>
      </c>
      <c r="H862" s="76">
        <f t="shared" si="363"/>
        <v>0.17104834933211177</v>
      </c>
      <c r="I862" s="76">
        <f t="shared" si="363"/>
        <v>5.0618705816200114E-2</v>
      </c>
    </row>
    <row r="864" spans="1:27">
      <c r="B864" s="108" t="s">
        <v>161</v>
      </c>
      <c r="C864" s="108" t="s">
        <v>616</v>
      </c>
      <c r="D864" s="108" t="s">
        <v>617</v>
      </c>
    </row>
    <row r="865" spans="1:12">
      <c r="C865" s="137">
        <v>8.5000000000000006E-2</v>
      </c>
      <c r="D865">
        <v>8.1300000000000008</v>
      </c>
    </row>
    <row r="866" spans="1:12">
      <c r="C866" s="137">
        <v>7.1999999999999995E-2</v>
      </c>
      <c r="D866">
        <v>281</v>
      </c>
    </row>
    <row r="867" spans="1:12">
      <c r="C867" s="137">
        <v>7.6499999999999999E-2</v>
      </c>
      <c r="D867">
        <v>1932</v>
      </c>
    </row>
    <row r="868" spans="1:12">
      <c r="C868" s="137">
        <v>3.8900000000000004E-2</v>
      </c>
      <c r="D868">
        <v>48</v>
      </c>
    </row>
    <row r="869" spans="1:12">
      <c r="C869" s="137">
        <v>7.0000000000000007E-2</v>
      </c>
      <c r="D869">
        <v>308</v>
      </c>
    </row>
    <row r="870" spans="1:12">
      <c r="C870" s="104">
        <v>0.1</v>
      </c>
      <c r="D870">
        <v>4.8</v>
      </c>
    </row>
    <row r="871" spans="1:12">
      <c r="C871" s="137">
        <v>8.7400000000000005E-2</v>
      </c>
      <c r="D871">
        <v>46.8</v>
      </c>
    </row>
    <row r="872" spans="1:12">
      <c r="C872" s="270">
        <f>SUMPRODUCT(C865:C871,D865:D871)/SUM(D865:D871)</f>
        <v>7.48340719663107E-2</v>
      </c>
    </row>
    <row r="874" spans="1:12" ht="18">
      <c r="A874" t="s">
        <v>23</v>
      </c>
      <c r="B874" s="14" t="s">
        <v>554</v>
      </c>
    </row>
    <row r="875" spans="1:12">
      <c r="B875" s="108" t="s">
        <v>161</v>
      </c>
      <c r="C875" s="108">
        <v>2019</v>
      </c>
      <c r="D875" s="108">
        <v>2020</v>
      </c>
      <c r="E875" s="108">
        <v>2021</v>
      </c>
      <c r="F875" s="108">
        <v>2022</v>
      </c>
      <c r="G875" s="108">
        <v>2023</v>
      </c>
      <c r="H875" s="108">
        <v>2024</v>
      </c>
      <c r="I875" s="108">
        <v>2025</v>
      </c>
      <c r="K875" s="108" t="s">
        <v>357</v>
      </c>
      <c r="L875" s="108" t="s">
        <v>358</v>
      </c>
    </row>
    <row r="876" spans="1:12">
      <c r="B876" t="s">
        <v>41</v>
      </c>
      <c r="C876" s="113">
        <f>'Income Stmt'!C7</f>
        <v>4979.9760999999999</v>
      </c>
      <c r="D876" s="113">
        <f>'Income Stmt'!D7</f>
        <v>5871.8684999999996</v>
      </c>
      <c r="E876" s="113">
        <f>'Income Stmt'!E7</f>
        <v>6223.8981999999996</v>
      </c>
      <c r="F876" s="113">
        <f>'Income Stmt'!F7</f>
        <v>7781.5551000000005</v>
      </c>
      <c r="G876" s="113">
        <f>'Income Stmt'!G7</f>
        <v>8749.4330000000009</v>
      </c>
      <c r="H876" s="113">
        <f>'Income Stmt'!H7</f>
        <v>10334.774599999999</v>
      </c>
      <c r="I876" s="113">
        <f>'Income Stmt'!I7</f>
        <v>12207</v>
      </c>
    </row>
    <row r="877" spans="1:12">
      <c r="B877" t="s">
        <v>554</v>
      </c>
      <c r="C877" s="113">
        <f>'Income Stmt'!C42</f>
        <v>52.918800000000005</v>
      </c>
      <c r="D877" s="113">
        <f>'Income Stmt'!D42</f>
        <v>103.78440000000001</v>
      </c>
      <c r="E877" s="113">
        <f>'Income Stmt'!E42</f>
        <v>161.4821</v>
      </c>
      <c r="F877" s="113">
        <f>'Income Stmt'!F42</f>
        <v>196.02959999999999</v>
      </c>
      <c r="G877" s="113">
        <f>'Income Stmt'!G42</f>
        <v>128.5668</v>
      </c>
      <c r="H877" s="113">
        <f>'Income Stmt'!H42</f>
        <v>280.85790000000003</v>
      </c>
      <c r="I877" s="113">
        <f>'Income Stmt'!I42</f>
        <v>536.79</v>
      </c>
    </row>
    <row r="879" spans="1:12">
      <c r="B879" t="s">
        <v>621</v>
      </c>
      <c r="C879" s="76">
        <f>C877/C876</f>
        <v>1.0626316058022851E-2</v>
      </c>
      <c r="D879" s="76">
        <f t="shared" ref="D879:I879" si="364">D877/D876</f>
        <v>1.7674850858802441E-2</v>
      </c>
      <c r="E879" s="76">
        <f t="shared" si="364"/>
        <v>2.5945491846251601E-2</v>
      </c>
      <c r="F879" s="76">
        <f t="shared" si="364"/>
        <v>2.5191571283739927E-2</v>
      </c>
      <c r="G879" s="76">
        <f t="shared" si="364"/>
        <v>1.4694300762117956E-2</v>
      </c>
      <c r="H879" s="76">
        <f t="shared" si="364"/>
        <v>2.7176006334961582E-2</v>
      </c>
      <c r="I879" s="76">
        <f t="shared" si="364"/>
        <v>4.3973949373310395E-2</v>
      </c>
      <c r="K879" s="245">
        <v>3.0540559145405599E-2</v>
      </c>
      <c r="L879" s="245">
        <f>AVERAGE(C879:I879)</f>
        <v>2.3611783788172393E-2</v>
      </c>
    </row>
    <row r="881" spans="1:16">
      <c r="C881" s="20" t="s">
        <v>623</v>
      </c>
    </row>
    <row r="883" spans="1:16" ht="18">
      <c r="A883" t="s">
        <v>23</v>
      </c>
      <c r="B883" s="14" t="s">
        <v>624</v>
      </c>
    </row>
    <row r="884" spans="1:16">
      <c r="B884" s="108" t="s">
        <v>161</v>
      </c>
      <c r="C884" s="108">
        <v>2019</v>
      </c>
      <c r="D884" s="108">
        <v>2020</v>
      </c>
      <c r="E884" s="108">
        <v>2021</v>
      </c>
      <c r="F884" s="108">
        <v>2022</v>
      </c>
      <c r="G884" s="108">
        <v>2023</v>
      </c>
      <c r="H884" s="108">
        <v>2024</v>
      </c>
      <c r="I884" s="108">
        <v>2025</v>
      </c>
    </row>
    <row r="885" spans="1:16">
      <c r="B885" t="s">
        <v>41</v>
      </c>
      <c r="C885" s="113">
        <f>'Income Stmt'!C15</f>
        <v>-932.27559999999994</v>
      </c>
      <c r="D885" s="113">
        <f>'Income Stmt'!D15</f>
        <v>-1297.3217</v>
      </c>
      <c r="E885" s="113">
        <f>'Income Stmt'!E15</f>
        <v>-1373.1789000000001</v>
      </c>
      <c r="F885" s="113">
        <f>'Income Stmt'!F15</f>
        <v>-2057.5616</v>
      </c>
      <c r="G885" s="113">
        <f>'Income Stmt'!G15</f>
        <v>-1813.6635000000001</v>
      </c>
      <c r="H885" s="113">
        <f>'Income Stmt'!H15</f>
        <v>-1853.5158999999999</v>
      </c>
      <c r="I885" s="113">
        <f>'Income Stmt'!I15</f>
        <v>-2016.35</v>
      </c>
    </row>
    <row r="886" spans="1:16">
      <c r="B886" t="s">
        <v>624</v>
      </c>
      <c r="C886" s="113">
        <v>0</v>
      </c>
      <c r="D886" s="113">
        <v>0</v>
      </c>
      <c r="E886" s="113">
        <v>0</v>
      </c>
      <c r="F886" s="113">
        <v>0</v>
      </c>
      <c r="G886" s="113">
        <v>0</v>
      </c>
      <c r="H886" s="113">
        <v>0</v>
      </c>
      <c r="I886" s="113">
        <v>0</v>
      </c>
    </row>
    <row r="888" spans="1:16">
      <c r="B888" t="s">
        <v>621</v>
      </c>
      <c r="C888" s="76">
        <f>C886/C885</f>
        <v>0</v>
      </c>
      <c r="D888" s="76">
        <f t="shared" ref="D888:I888" si="365">D886/D885</f>
        <v>0</v>
      </c>
      <c r="E888" s="76">
        <f t="shared" si="365"/>
        <v>0</v>
      </c>
      <c r="F888" s="76">
        <f t="shared" si="365"/>
        <v>0</v>
      </c>
      <c r="G888" s="76">
        <f t="shared" si="365"/>
        <v>0</v>
      </c>
      <c r="H888" s="76">
        <f t="shared" si="365"/>
        <v>0</v>
      </c>
      <c r="I888" s="76">
        <f t="shared" si="365"/>
        <v>0</v>
      </c>
    </row>
    <row r="890" spans="1:16">
      <c r="C890" s="20" t="s">
        <v>627</v>
      </c>
    </row>
    <row r="892" spans="1:16" ht="18">
      <c r="A892" t="s">
        <v>23</v>
      </c>
      <c r="B892" s="14" t="s">
        <v>191</v>
      </c>
    </row>
    <row r="893" spans="1:16">
      <c r="B893" s="108" t="s">
        <v>161</v>
      </c>
      <c r="C893" s="108">
        <v>2015</v>
      </c>
      <c r="D893" s="108">
        <f>C893+1</f>
        <v>2016</v>
      </c>
      <c r="E893" s="108">
        <f t="shared" ref="E893:M893" si="366">D893+1</f>
        <v>2017</v>
      </c>
      <c r="F893" s="108">
        <f t="shared" si="366"/>
        <v>2018</v>
      </c>
      <c r="G893" s="108">
        <f t="shared" si="366"/>
        <v>2019</v>
      </c>
      <c r="H893" s="108">
        <f t="shared" si="366"/>
        <v>2020</v>
      </c>
      <c r="I893" s="108">
        <f t="shared" si="366"/>
        <v>2021</v>
      </c>
      <c r="J893" s="108">
        <f t="shared" si="366"/>
        <v>2022</v>
      </c>
      <c r="K893" s="108">
        <f t="shared" si="366"/>
        <v>2023</v>
      </c>
      <c r="L893" s="108">
        <f t="shared" si="366"/>
        <v>2024</v>
      </c>
      <c r="M893" s="108">
        <f t="shared" si="366"/>
        <v>2025</v>
      </c>
      <c r="O893" s="108" t="s">
        <v>357</v>
      </c>
      <c r="P893" s="108" t="s">
        <v>358</v>
      </c>
    </row>
    <row r="894" spans="1:16">
      <c r="B894" t="s">
        <v>41</v>
      </c>
      <c r="C894" s="113">
        <v>3323</v>
      </c>
      <c r="D894" s="113">
        <v>3944</v>
      </c>
      <c r="E894" s="113">
        <v>4382</v>
      </c>
      <c r="F894" s="113">
        <v>4921</v>
      </c>
      <c r="G894" s="113">
        <f>'Income Stmt'!C7</f>
        <v>4979.9760999999999</v>
      </c>
      <c r="H894" s="113">
        <f>'Income Stmt'!D7</f>
        <v>5871.8684999999996</v>
      </c>
      <c r="I894" s="113">
        <f>'Income Stmt'!E7</f>
        <v>6223.8981999999996</v>
      </c>
      <c r="J894" s="113">
        <f>'Income Stmt'!F7</f>
        <v>7781.5551000000005</v>
      </c>
      <c r="K894" s="113">
        <f>'Income Stmt'!G7</f>
        <v>8749.4330000000009</v>
      </c>
      <c r="L894" s="113">
        <f>'Income Stmt'!H7</f>
        <v>10334.774599999999</v>
      </c>
      <c r="M894" s="113">
        <f>'Income Stmt'!I7</f>
        <v>12207</v>
      </c>
    </row>
    <row r="895" spans="1:16">
      <c r="B895" t="s">
        <v>191</v>
      </c>
      <c r="C895">
        <v>737</v>
      </c>
      <c r="D895">
        <v>655</v>
      </c>
      <c r="E895">
        <v>848</v>
      </c>
      <c r="F895">
        <v>650</v>
      </c>
      <c r="G895" s="113">
        <f>'Balance Sheet'!C33</f>
        <v>543.26660000000004</v>
      </c>
      <c r="H895" s="113">
        <f>'Balance Sheet'!D33</f>
        <v>665.03250000000003</v>
      </c>
      <c r="I895" s="113">
        <f>'Balance Sheet'!E33</f>
        <v>1306.1741</v>
      </c>
      <c r="J895" s="113">
        <f>'Balance Sheet'!F33</f>
        <v>874.46179999999993</v>
      </c>
      <c r="K895" s="113">
        <f>'Balance Sheet'!G33</f>
        <v>1075.4741000000001</v>
      </c>
      <c r="L895" s="113">
        <f>'Balance Sheet'!H33</f>
        <v>2258.1124</v>
      </c>
      <c r="M895" s="113">
        <f>'Balance Sheet'!I33</f>
        <v>1690.84</v>
      </c>
    </row>
    <row r="896" spans="1:16" s="240" customFormat="1">
      <c r="B896" s="240" t="s">
        <v>636</v>
      </c>
      <c r="C896" s="273">
        <f>C895/C894</f>
        <v>0.22178754137827264</v>
      </c>
      <c r="D896" s="273">
        <f t="shared" ref="D896:M896" si="367">D895/D894</f>
        <v>0.16607505070993914</v>
      </c>
      <c r="E896" s="273">
        <f t="shared" si="367"/>
        <v>0.19351894112277498</v>
      </c>
      <c r="F896" s="273">
        <f t="shared" si="367"/>
        <v>0.13208697419223736</v>
      </c>
      <c r="G896" s="273">
        <f t="shared" si="367"/>
        <v>0.10909020226020764</v>
      </c>
      <c r="H896" s="273">
        <f t="shared" si="367"/>
        <v>0.1132573898751309</v>
      </c>
      <c r="I896" s="273">
        <f t="shared" si="367"/>
        <v>0.20986430979864035</v>
      </c>
      <c r="J896" s="273">
        <f t="shared" si="367"/>
        <v>0.11237622670049588</v>
      </c>
      <c r="K896" s="273">
        <f t="shared" si="367"/>
        <v>0.12291929088433502</v>
      </c>
      <c r="L896" s="273">
        <f t="shared" si="367"/>
        <v>0.21849653111931441</v>
      </c>
      <c r="M896" s="273">
        <f t="shared" si="367"/>
        <v>0.13851396739575653</v>
      </c>
      <c r="O896" s="274">
        <f>MEDIAN(C896:M896)</f>
        <v>0.13851396739575653</v>
      </c>
      <c r="P896" s="274">
        <f>AVERAGE(C896:M896)</f>
        <v>0.1579987659488277</v>
      </c>
    </row>
    <row r="899" spans="1:14" ht="18">
      <c r="A899" t="s">
        <v>23</v>
      </c>
      <c r="B899" s="14" t="s">
        <v>641</v>
      </c>
    </row>
    <row r="901" spans="1:14">
      <c r="B901" s="108" t="s">
        <v>161</v>
      </c>
      <c r="C901" s="108">
        <v>2019</v>
      </c>
      <c r="D901" s="108">
        <v>2020</v>
      </c>
      <c r="E901" s="108">
        <v>2021</v>
      </c>
      <c r="F901" s="108">
        <v>2022</v>
      </c>
      <c r="G901" s="108">
        <v>2023</v>
      </c>
      <c r="H901" s="108">
        <v>2024</v>
      </c>
      <c r="I901" s="108">
        <v>2025</v>
      </c>
      <c r="J901" s="108">
        <f>I901+1</f>
        <v>2026</v>
      </c>
      <c r="K901" s="108">
        <f t="shared" ref="K901:N901" si="368">J901+1</f>
        <v>2027</v>
      </c>
      <c r="L901" s="108">
        <f t="shared" si="368"/>
        <v>2028</v>
      </c>
      <c r="M901" s="108">
        <f t="shared" si="368"/>
        <v>2029</v>
      </c>
      <c r="N901" s="108">
        <f t="shared" si="368"/>
        <v>2030</v>
      </c>
    </row>
    <row r="902" spans="1:14">
      <c r="B902" t="s">
        <v>642</v>
      </c>
      <c r="C902" s="143">
        <f>'Balance Sheet'!C34</f>
        <v>116.39030000000001</v>
      </c>
      <c r="D902" s="143">
        <f>'Balance Sheet'!D34</f>
        <v>226.0753</v>
      </c>
      <c r="E902" s="143">
        <f>'Balance Sheet'!E34</f>
        <v>167.18200000000002</v>
      </c>
      <c r="F902" s="143">
        <f>'Balance Sheet'!F34</f>
        <v>302.53469999999999</v>
      </c>
      <c r="G902" s="143">
        <f>'Balance Sheet'!G34</f>
        <v>304.82069999999999</v>
      </c>
      <c r="H902" s="143">
        <f>'Balance Sheet'!H34</f>
        <v>382.00749999999999</v>
      </c>
      <c r="I902" s="143">
        <f>'Balance Sheet'!I34</f>
        <v>407.36</v>
      </c>
      <c r="J902" s="283">
        <f>'3StatementModel'!I68</f>
        <v>1160.7377255758443</v>
      </c>
      <c r="K902" s="283">
        <f>'3StatementModel'!J68</f>
        <v>3013.5062280800871</v>
      </c>
      <c r="L902" s="283">
        <f>'3StatementModel'!K68</f>
        <v>5297.2913534595755</v>
      </c>
      <c r="M902" s="283">
        <f>'3StatementModel'!L68</f>
        <v>8249.6811532634983</v>
      </c>
      <c r="N902" s="283">
        <f>'3StatementModel'!M68</f>
        <v>11409.642577412043</v>
      </c>
    </row>
    <row r="903" spans="1:14">
      <c r="B903" t="s">
        <v>41</v>
      </c>
      <c r="C903" s="143">
        <f>'Income Stmt'!C7</f>
        <v>4979.9760999999999</v>
      </c>
      <c r="D903" s="143">
        <f>'Income Stmt'!D7</f>
        <v>5871.8684999999996</v>
      </c>
      <c r="E903" s="143">
        <f>'Income Stmt'!E7</f>
        <v>6223.8981999999996</v>
      </c>
      <c r="F903" s="143">
        <f>'Income Stmt'!F7</f>
        <v>7781.5551000000005</v>
      </c>
      <c r="G903" s="143">
        <f>'Income Stmt'!G7</f>
        <v>8749.4330000000009</v>
      </c>
      <c r="H903" s="143">
        <f>'Income Stmt'!H7</f>
        <v>10334.774599999999</v>
      </c>
      <c r="I903" s="143">
        <f>'Income Stmt'!I7</f>
        <v>12207</v>
      </c>
      <c r="J903" s="283">
        <f>'3StatementModel'!I13</f>
        <v>14404.259999999998</v>
      </c>
      <c r="K903" s="283">
        <f>'3StatementModel'!J13</f>
        <v>16780.962899999999</v>
      </c>
      <c r="L903" s="283">
        <f>'3StatementModel'!K13</f>
        <v>19298.107334999997</v>
      </c>
      <c r="M903" s="283">
        <f>'3StatementModel'!L13</f>
        <v>21903.351825224996</v>
      </c>
      <c r="N903" s="283">
        <f>'3StatementModel'!M13</f>
        <v>24531.754044251997</v>
      </c>
    </row>
    <row r="904" spans="1:14">
      <c r="J904" s="31"/>
      <c r="K904" s="31"/>
      <c r="L904" s="31"/>
      <c r="M904" s="31"/>
      <c r="N904" s="31"/>
    </row>
    <row r="905" spans="1:14">
      <c r="B905" t="s">
        <v>643</v>
      </c>
      <c r="C905" s="76">
        <f>C902/C903</f>
        <v>2.3371658349926622E-2</v>
      </c>
      <c r="D905" s="76">
        <f t="shared" ref="D905:N905" si="369">D902/D903</f>
        <v>3.8501424205940583E-2</v>
      </c>
      <c r="E905" s="76">
        <f t="shared" si="369"/>
        <v>2.6861300527055539E-2</v>
      </c>
      <c r="F905" s="76">
        <f t="shared" si="369"/>
        <v>3.887843703631938E-2</v>
      </c>
      <c r="G905" s="76">
        <f t="shared" si="369"/>
        <v>3.4838908989873969E-2</v>
      </c>
      <c r="H905" s="76">
        <f t="shared" si="369"/>
        <v>3.6963312194539785E-2</v>
      </c>
      <c r="I905" s="76">
        <f t="shared" si="369"/>
        <v>3.3371016629802575E-2</v>
      </c>
      <c r="J905" s="57">
        <f t="shared" si="369"/>
        <v>8.0582947376390338E-2</v>
      </c>
      <c r="K905" s="57">
        <f t="shared" si="369"/>
        <v>0.17957886243107582</v>
      </c>
      <c r="L905" s="57">
        <f t="shared" si="369"/>
        <v>0.27449797337649517</v>
      </c>
      <c r="M905" s="57">
        <f t="shared" si="369"/>
        <v>0.37664012426457727</v>
      </c>
      <c r="N905" s="57">
        <f t="shared" si="369"/>
        <v>0.4650968926571894</v>
      </c>
    </row>
    <row r="906" spans="1:14">
      <c r="J906" s="31"/>
      <c r="K906" s="31"/>
      <c r="L906" s="31"/>
      <c r="M906" s="31"/>
      <c r="N906" s="31"/>
    </row>
    <row r="907" spans="1:14">
      <c r="B907" t="s">
        <v>424</v>
      </c>
      <c r="C907" s="143">
        <f>'Balance Sheet'!C38</f>
        <v>4102.0331000000006</v>
      </c>
      <c r="D907" s="143">
        <f>'Balance Sheet'!D38</f>
        <v>5067.7151999999996</v>
      </c>
      <c r="E907" s="143">
        <f>'Balance Sheet'!E38</f>
        <v>6372.8331999999991</v>
      </c>
      <c r="F907" s="143">
        <f>'Balance Sheet'!F38</f>
        <v>9147.7907999999989</v>
      </c>
      <c r="G907" s="143">
        <f>'Balance Sheet'!G38</f>
        <v>9715.4755000000005</v>
      </c>
      <c r="H907" s="143">
        <f>'Balance Sheet'!H38</f>
        <v>11963.262699999999</v>
      </c>
      <c r="I907" s="143">
        <f>'Balance Sheet'!I38</f>
        <v>27759.590500000002</v>
      </c>
      <c r="J907" s="283">
        <f>'3StatementModel'!I76</f>
        <v>28005.257100047958</v>
      </c>
      <c r="K907" s="283">
        <f>'3StatementModel'!J76</f>
        <v>30898.264909340101</v>
      </c>
      <c r="L907" s="283">
        <f>'3StatementModel'!K76</f>
        <v>34312.04900354414</v>
      </c>
      <c r="M907" s="283">
        <f>'3StatementModel'!L76</f>
        <v>38514.936068402472</v>
      </c>
      <c r="N907" s="283">
        <f>'3StatementModel'!M76</f>
        <v>42883.062534713492</v>
      </c>
    </row>
    <row r="908" spans="1:14">
      <c r="J908" s="31"/>
      <c r="K908" s="31"/>
      <c r="L908" s="31"/>
      <c r="M908" s="31"/>
      <c r="N908" s="31"/>
    </row>
    <row r="909" spans="1:14">
      <c r="B909" t="s">
        <v>644</v>
      </c>
      <c r="C909" s="76">
        <f>C902/C907</f>
        <v>2.8373808100183296E-2</v>
      </c>
      <c r="D909" s="76">
        <f t="shared" ref="D909:I909" si="370">D902/D907</f>
        <v>4.4610892893112861E-2</v>
      </c>
      <c r="E909" s="76">
        <f t="shared" si="370"/>
        <v>2.6233543975386023E-2</v>
      </c>
      <c r="F909" s="76">
        <f t="shared" si="370"/>
        <v>3.3071886602391479E-2</v>
      </c>
      <c r="G909" s="76">
        <f t="shared" si="370"/>
        <v>3.1374758754731044E-2</v>
      </c>
      <c r="H909" s="76">
        <f t="shared" si="370"/>
        <v>3.1931715417400308E-2</v>
      </c>
      <c r="I909" s="76">
        <f t="shared" si="370"/>
        <v>1.4674568056038145E-2</v>
      </c>
      <c r="J909" s="57">
        <f>J902/J907</f>
        <v>4.1447136922512187E-2</v>
      </c>
      <c r="K909" s="57">
        <f t="shared" ref="K909:N909" si="371">K902/K907</f>
        <v>9.7529949883015846E-2</v>
      </c>
      <c r="L909" s="57">
        <f t="shared" si="371"/>
        <v>0.15438574807678815</v>
      </c>
      <c r="M909" s="57">
        <f t="shared" si="371"/>
        <v>0.21419433589639292</v>
      </c>
      <c r="N909" s="57">
        <f t="shared" si="371"/>
        <v>0.2660640799191063</v>
      </c>
    </row>
    <row r="910" spans="1:14">
      <c r="J910" s="31"/>
      <c r="K910" s="31"/>
      <c r="L910" s="31"/>
      <c r="M910" s="31"/>
      <c r="N910" s="31"/>
    </row>
    <row r="911" spans="1:14">
      <c r="J911" s="31"/>
      <c r="K911" s="31"/>
      <c r="L911" s="31"/>
      <c r="M911" s="31"/>
      <c r="N911" s="31"/>
    </row>
    <row r="912" spans="1:14">
      <c r="B912" t="s">
        <v>662</v>
      </c>
      <c r="C912" s="102">
        <f>C905</f>
        <v>2.3371658349926622E-2</v>
      </c>
      <c r="D912" s="102">
        <f t="shared" ref="D912:I912" si="372">D905</f>
        <v>3.8501424205940583E-2</v>
      </c>
      <c r="E912" s="102">
        <f t="shared" si="372"/>
        <v>2.6861300527055539E-2</v>
      </c>
      <c r="F912" s="102">
        <f t="shared" si="372"/>
        <v>3.887843703631938E-2</v>
      </c>
      <c r="G912" s="102">
        <f t="shared" si="372"/>
        <v>3.4838908989873969E-2</v>
      </c>
      <c r="H912" s="102">
        <f t="shared" si="372"/>
        <v>3.6963312194539785E-2</v>
      </c>
      <c r="I912" s="102">
        <f t="shared" si="372"/>
        <v>3.3371016629802575E-2</v>
      </c>
      <c r="J912" s="52">
        <v>0.03</v>
      </c>
      <c r="K912" s="52">
        <f t="shared" ref="K912:N912" si="373">J912</f>
        <v>0.03</v>
      </c>
      <c r="L912" s="52">
        <f t="shared" si="373"/>
        <v>0.03</v>
      </c>
      <c r="M912" s="52">
        <f t="shared" si="373"/>
        <v>0.03</v>
      </c>
      <c r="N912" s="52">
        <f t="shared" si="373"/>
        <v>0.03</v>
      </c>
    </row>
    <row r="913" spans="2:14">
      <c r="J913" s="31"/>
      <c r="K913" s="31"/>
      <c r="L913" s="31"/>
      <c r="M913" s="31"/>
      <c r="N913" s="31"/>
    </row>
    <row r="914" spans="2:14">
      <c r="B914" t="s">
        <v>663</v>
      </c>
      <c r="C914" s="143">
        <f>C912*C903</f>
        <v>116.39030000000001</v>
      </c>
      <c r="D914" s="143">
        <f t="shared" ref="D914:N914" si="374">D912*D903</f>
        <v>226.0753</v>
      </c>
      <c r="E914" s="143">
        <f t="shared" si="374"/>
        <v>167.18200000000002</v>
      </c>
      <c r="F914" s="143">
        <f t="shared" si="374"/>
        <v>302.53469999999999</v>
      </c>
      <c r="G914" s="143">
        <f t="shared" si="374"/>
        <v>304.82069999999999</v>
      </c>
      <c r="H914" s="143">
        <f t="shared" si="374"/>
        <v>382.00749999999999</v>
      </c>
      <c r="I914" s="143">
        <f t="shared" si="374"/>
        <v>407.36</v>
      </c>
      <c r="J914" s="283">
        <f t="shared" si="374"/>
        <v>432.12779999999992</v>
      </c>
      <c r="K914" s="283">
        <f t="shared" si="374"/>
        <v>503.42888699999992</v>
      </c>
      <c r="L914" s="283">
        <f t="shared" si="374"/>
        <v>578.94322004999992</v>
      </c>
      <c r="M914" s="283">
        <f t="shared" si="374"/>
        <v>657.10055475674983</v>
      </c>
      <c r="N914" s="283">
        <f t="shared" si="374"/>
        <v>735.95262132755988</v>
      </c>
    </row>
    <row r="915" spans="2:14">
      <c r="J915" s="31"/>
      <c r="K915" s="31"/>
      <c r="L915" s="31"/>
      <c r="M915" s="31"/>
      <c r="N915" s="31"/>
    </row>
    <row r="916" spans="2:14">
      <c r="B916" t="s">
        <v>664</v>
      </c>
      <c r="C916" s="143">
        <f>C902-C914</f>
        <v>0</v>
      </c>
      <c r="D916" s="143">
        <f t="shared" ref="D916:N916" si="375">D902-D914</f>
        <v>0</v>
      </c>
      <c r="E916" s="143">
        <f t="shared" si="375"/>
        <v>0</v>
      </c>
      <c r="F916" s="143">
        <f t="shared" si="375"/>
        <v>0</v>
      </c>
      <c r="G916" s="143">
        <f t="shared" si="375"/>
        <v>0</v>
      </c>
      <c r="H916" s="143">
        <f t="shared" si="375"/>
        <v>0</v>
      </c>
      <c r="I916" s="143">
        <f t="shared" si="375"/>
        <v>0</v>
      </c>
      <c r="J916" s="283">
        <f t="shared" si="375"/>
        <v>728.60992557584427</v>
      </c>
      <c r="K916" s="283">
        <f t="shared" si="375"/>
        <v>2510.0773410800871</v>
      </c>
      <c r="L916" s="283">
        <f t="shared" si="375"/>
        <v>4718.3481334095759</v>
      </c>
      <c r="M916" s="283">
        <f t="shared" si="375"/>
        <v>7592.5805985067482</v>
      </c>
      <c r="N916" s="283">
        <f t="shared" si="375"/>
        <v>10673.689956084483</v>
      </c>
    </row>
  </sheetData>
  <sheetProtection sheet="1" objects="1" scenarios="1" selectLockedCells="1"/>
  <mergeCells count="1">
    <mergeCell ref="O383:Q383"/>
  </mergeCells>
  <hyperlinks>
    <hyperlink ref="D12" r:id="rId1" xr:uid="{00000000-0004-0000-1400-000000000000}"/>
    <hyperlink ref="D61" r:id="rId2" xr:uid="{00000000-0004-0000-1400-000001000000}"/>
    <hyperlink ref="D55" r:id="rId3" xr:uid="{00000000-0004-0000-1400-000002000000}"/>
    <hyperlink ref="D65" r:id="rId4" xr:uid="{00000000-0004-0000-1400-000003000000}"/>
  </hyperlinks>
  <pageMargins left="0.7" right="0.7" top="0.75" bottom="0.75" header="0.3" footer="0.3"/>
  <drawing r:id="rId5"/>
  <legacyDrawing r:id="rId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68"/>
  <sheetViews>
    <sheetView showGridLines="0" zoomScale="85" zoomScaleNormal="85" workbookViewId="0"/>
  </sheetViews>
  <sheetFormatPr defaultRowHeight="14.4"/>
  <cols>
    <col min="1" max="1" width="6" customWidth="1"/>
    <col min="4" max="4" width="21.6640625" customWidth="1"/>
    <col min="7" max="7" width="10.33203125" bestFit="1" customWidth="1"/>
    <col min="9" max="9" width="6.21875" bestFit="1" customWidth="1"/>
    <col min="10" max="10" width="5.33203125" bestFit="1" customWidth="1"/>
    <col min="11" max="11" width="5.21875" bestFit="1" customWidth="1"/>
    <col min="12" max="12" width="9.33203125" bestFit="1" customWidth="1"/>
  </cols>
  <sheetData>
    <row r="1" spans="1:4">
      <c r="A1" s="544"/>
    </row>
    <row r="4" spans="1:4">
      <c r="B4" t="s">
        <v>337</v>
      </c>
    </row>
    <row r="5" spans="1:4">
      <c r="B5" t="s">
        <v>336</v>
      </c>
    </row>
    <row r="6" spans="1:4">
      <c r="B6" t="s">
        <v>322</v>
      </c>
    </row>
    <row r="7" spans="1:4">
      <c r="B7" t="s">
        <v>323</v>
      </c>
    </row>
    <row r="8" spans="1:4">
      <c r="B8" t="s">
        <v>324</v>
      </c>
    </row>
    <row r="9" spans="1:4">
      <c r="B9" t="s">
        <v>338</v>
      </c>
    </row>
    <row r="10" spans="1:4">
      <c r="B10" t="s">
        <v>348</v>
      </c>
    </row>
    <row r="13" spans="1:4">
      <c r="C13" t="s">
        <v>325</v>
      </c>
      <c r="D13" t="s">
        <v>326</v>
      </c>
    </row>
    <row r="14" spans="1:4">
      <c r="C14">
        <v>2019</v>
      </c>
      <c r="D14" s="137">
        <v>0.6694</v>
      </c>
    </row>
    <row r="15" spans="1:4">
      <c r="C15">
        <v>2020</v>
      </c>
      <c r="D15" s="137">
        <v>0.6724</v>
      </c>
    </row>
    <row r="16" spans="1:4">
      <c r="C16">
        <v>2021</v>
      </c>
      <c r="D16" s="137">
        <v>0.67549999999999999</v>
      </c>
    </row>
    <row r="17" spans="3:15">
      <c r="C17">
        <v>2022</v>
      </c>
      <c r="D17" s="137">
        <v>0.67810000000000004</v>
      </c>
    </row>
    <row r="18" spans="3:15">
      <c r="C18">
        <v>2023</v>
      </c>
      <c r="D18" s="137">
        <v>0.68020000000000003</v>
      </c>
      <c r="O18" s="144" t="s">
        <v>347</v>
      </c>
    </row>
    <row r="19" spans="3:15">
      <c r="C19" s="126" t="s">
        <v>327</v>
      </c>
      <c r="D19" s="137"/>
    </row>
    <row r="20" spans="3:15">
      <c r="D20" s="137"/>
    </row>
    <row r="21" spans="3:15">
      <c r="D21" s="137"/>
    </row>
    <row r="22" spans="3:15">
      <c r="C22" s="142" t="s">
        <v>328</v>
      </c>
      <c r="D22" s="138"/>
    </row>
    <row r="23" spans="3:15">
      <c r="C23" s="136" t="s">
        <v>325</v>
      </c>
      <c r="D23" s="132" t="s">
        <v>329</v>
      </c>
      <c r="E23" s="20" t="s">
        <v>330</v>
      </c>
      <c r="F23" s="20"/>
      <c r="H23" s="136" t="s">
        <v>325</v>
      </c>
      <c r="I23" s="132" t="s">
        <v>332</v>
      </c>
      <c r="J23" s="136" t="s">
        <v>333</v>
      </c>
      <c r="K23" s="136" t="s">
        <v>334</v>
      </c>
      <c r="L23" s="136" t="s">
        <v>330</v>
      </c>
    </row>
    <row r="24" spans="3:15">
      <c r="C24" s="139">
        <v>2023</v>
      </c>
      <c r="D24" s="141">
        <v>522939628</v>
      </c>
      <c r="E24" s="140">
        <f>AVERAGE(E25:E28)</f>
        <v>35.174999999999997</v>
      </c>
      <c r="F24" s="103"/>
      <c r="H24" s="139">
        <v>2019</v>
      </c>
      <c r="I24" s="141">
        <v>46.587182499999997</v>
      </c>
      <c r="J24" s="141">
        <v>91.246569929021291</v>
      </c>
      <c r="K24" s="143">
        <f>SUM(I24:J24)</f>
        <v>137.83375242902127</v>
      </c>
      <c r="L24" s="76">
        <f>I24/K24</f>
        <v>0.33799545959535915</v>
      </c>
    </row>
    <row r="25" spans="3:15">
      <c r="C25" s="139">
        <f>C24-1</f>
        <v>2022</v>
      </c>
      <c r="D25" s="141">
        <v>508368361</v>
      </c>
      <c r="E25">
        <v>35.9</v>
      </c>
      <c r="F25" s="103"/>
      <c r="H25" s="139">
        <v>2020</v>
      </c>
      <c r="I25" s="141">
        <v>48.7702168</v>
      </c>
      <c r="J25" s="141">
        <v>91.273943900000006</v>
      </c>
      <c r="K25" s="143">
        <f>SUM(I25:J25)</f>
        <v>140.04416070000002</v>
      </c>
      <c r="L25" s="76">
        <f>I25/K25</f>
        <v>0.34824884205257689</v>
      </c>
    </row>
    <row r="26" spans="3:15">
      <c r="C26" s="139">
        <f t="shared" ref="C26:C28" si="0">C25-1</f>
        <v>2021</v>
      </c>
      <c r="D26" s="141">
        <v>498179071</v>
      </c>
      <c r="E26">
        <v>35.4</v>
      </c>
      <c r="F26" s="103"/>
      <c r="H26" s="139">
        <v>2021</v>
      </c>
      <c r="I26" s="141">
        <v>49.817907099999999</v>
      </c>
      <c r="J26" s="141">
        <v>91.367471100000003</v>
      </c>
      <c r="K26" s="143">
        <f>SUM(I26:J26)</f>
        <v>141.1853782</v>
      </c>
      <c r="L26" s="76">
        <f>I26/K26</f>
        <v>0.35285457839287776</v>
      </c>
    </row>
    <row r="27" spans="3:15">
      <c r="C27" s="139">
        <f t="shared" si="0"/>
        <v>2020</v>
      </c>
      <c r="D27" s="141">
        <v>487702168</v>
      </c>
      <c r="E27">
        <v>34.9</v>
      </c>
      <c r="F27" s="103"/>
      <c r="H27" s="139">
        <v>2022</v>
      </c>
      <c r="I27" s="141">
        <v>50.836836099999999</v>
      </c>
      <c r="J27" s="141">
        <v>91.409539699999996</v>
      </c>
      <c r="K27" s="143">
        <f>SUM(I27:J27)</f>
        <v>142.24637580000001</v>
      </c>
      <c r="L27" s="76">
        <f>I27/K27</f>
        <v>0.35738580905201522</v>
      </c>
    </row>
    <row r="28" spans="3:15">
      <c r="C28" s="139">
        <f t="shared" si="0"/>
        <v>2019</v>
      </c>
      <c r="D28" s="141">
        <v>465871825</v>
      </c>
      <c r="E28">
        <v>34.5</v>
      </c>
      <c r="H28" s="139">
        <v>2023</v>
      </c>
      <c r="I28" s="141">
        <v>52.293962800000003</v>
      </c>
      <c r="J28" s="141">
        <v>91.512996799999996</v>
      </c>
      <c r="K28" s="143">
        <f>SUM(I28:J28)</f>
        <v>143.8069596</v>
      </c>
      <c r="L28" s="76">
        <f>I28/K28</f>
        <v>0.36364000007688085</v>
      </c>
    </row>
    <row r="30" spans="3:15">
      <c r="C30" s="142" t="s">
        <v>331</v>
      </c>
    </row>
    <row r="31" spans="3:15">
      <c r="C31" s="136" t="s">
        <v>325</v>
      </c>
      <c r="D31" s="132" t="s">
        <v>329</v>
      </c>
    </row>
    <row r="32" spans="3:15">
      <c r="C32" s="139">
        <v>2023</v>
      </c>
      <c r="D32" s="141">
        <v>915129968</v>
      </c>
    </row>
    <row r="33" spans="3:8">
      <c r="C33" s="139">
        <f>C32-1</f>
        <v>2022</v>
      </c>
      <c r="D33" s="141">
        <v>914095397</v>
      </c>
    </row>
    <row r="34" spans="3:8">
      <c r="C34" s="139">
        <f t="shared" ref="C34:C36" si="1">C33-1</f>
        <v>2021</v>
      </c>
      <c r="D34" s="141">
        <v>913674711</v>
      </c>
    </row>
    <row r="35" spans="3:8">
      <c r="C35" s="139">
        <f t="shared" si="1"/>
        <v>2020</v>
      </c>
      <c r="D35" s="141">
        <v>912739439</v>
      </c>
    </row>
    <row r="36" spans="3:8">
      <c r="C36" s="139">
        <f t="shared" si="1"/>
        <v>2019</v>
      </c>
      <c r="D36" s="141">
        <f>100/100.03*D35</f>
        <v>912465699.29021287</v>
      </c>
    </row>
    <row r="45" spans="3:8">
      <c r="H45" s="126" t="s">
        <v>335</v>
      </c>
    </row>
    <row r="48" spans="3:8">
      <c r="C48" s="145" t="s">
        <v>342</v>
      </c>
      <c r="G48" s="109"/>
    </row>
    <row r="49" spans="3:8">
      <c r="C49" s="120" t="s">
        <v>339</v>
      </c>
      <c r="D49" s="136" t="s">
        <v>341</v>
      </c>
      <c r="E49" s="20" t="s">
        <v>343</v>
      </c>
      <c r="F49" s="20"/>
      <c r="G49" s="20"/>
      <c r="H49" s="20"/>
    </row>
    <row r="50" spans="3:8">
      <c r="C50">
        <v>2019</v>
      </c>
      <c r="D50" s="139">
        <v>1.35</v>
      </c>
      <c r="E50" s="139">
        <v>70</v>
      </c>
    </row>
    <row r="51" spans="3:8">
      <c r="C51">
        <f t="shared" ref="C51" si="2">C50+1</f>
        <v>2020</v>
      </c>
      <c r="D51" s="139">
        <v>1.39</v>
      </c>
      <c r="E51" s="139">
        <v>72</v>
      </c>
    </row>
    <row r="52" spans="3:8">
      <c r="C52">
        <f>C51+1</f>
        <v>2021</v>
      </c>
      <c r="D52" s="139">
        <v>1.42</v>
      </c>
      <c r="E52" s="139">
        <v>74.2</v>
      </c>
    </row>
    <row r="53" spans="3:8">
      <c r="C53">
        <f t="shared" ref="C53:C54" si="3">C52+1</f>
        <v>2022</v>
      </c>
      <c r="D53" s="139">
        <v>1.46</v>
      </c>
      <c r="E53" s="139">
        <v>212</v>
      </c>
    </row>
    <row r="54" spans="3:8">
      <c r="C54">
        <f t="shared" si="3"/>
        <v>2023</v>
      </c>
      <c r="D54" s="139">
        <v>1.49</v>
      </c>
      <c r="E54" s="139">
        <v>101</v>
      </c>
    </row>
    <row r="55" spans="3:8">
      <c r="C55" s="146" t="s">
        <v>340</v>
      </c>
    </row>
    <row r="59" spans="3:8">
      <c r="C59" s="20" t="s">
        <v>344</v>
      </c>
      <c r="D59" s="20" t="s">
        <v>345</v>
      </c>
    </row>
    <row r="60" spans="3:8">
      <c r="C60">
        <v>2019</v>
      </c>
      <c r="D60" s="147">
        <v>59.259230767691498</v>
      </c>
    </row>
    <row r="61" spans="3:8">
      <c r="C61">
        <v>2020</v>
      </c>
      <c r="D61" s="147">
        <v>60.936266998417167</v>
      </c>
    </row>
    <row r="62" spans="3:8">
      <c r="C62">
        <v>2021</v>
      </c>
      <c r="D62" s="147">
        <v>62.660763354472373</v>
      </c>
    </row>
    <row r="63" spans="3:8">
      <c r="C63">
        <v>2022</v>
      </c>
      <c r="D63" s="147">
        <v>64.434062957403938</v>
      </c>
    </row>
    <row r="64" spans="3:8">
      <c r="C64">
        <v>2023</v>
      </c>
      <c r="D64" s="147">
        <v>66.257546939098475</v>
      </c>
    </row>
    <row r="65" spans="2:8">
      <c r="B65" s="146" t="s">
        <v>346</v>
      </c>
      <c r="D65" s="147"/>
      <c r="H65" s="144" t="s">
        <v>347</v>
      </c>
    </row>
    <row r="66" spans="2:8">
      <c r="D66" s="147"/>
    </row>
    <row r="67" spans="2:8">
      <c r="D67" s="147"/>
    </row>
    <row r="68" spans="2:8">
      <c r="D68" s="147"/>
    </row>
  </sheetData>
  <sheetProtection sheet="1" objects="1" scenarios="1" selectLockedCell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Input Sheet</vt:lpstr>
      <vt:lpstr>ControlSheet </vt:lpstr>
      <vt:lpstr>Schedules</vt:lpstr>
      <vt:lpstr>3StatementModel</vt:lpstr>
      <vt:lpstr>CommonSizeStatement</vt:lpstr>
      <vt:lpstr>Ratios</vt:lpstr>
      <vt:lpstr>Option value</vt:lpstr>
      <vt:lpstr>DCF &gt;</vt:lpstr>
      <vt:lpstr>WACC</vt:lpstr>
      <vt:lpstr>DCF Val</vt:lpstr>
      <vt:lpstr>Relative &gt;</vt:lpstr>
      <vt:lpstr>Comps Description</vt:lpstr>
      <vt:lpstr>Relative_Val</vt:lpstr>
      <vt:lpstr>Benchmarking</vt:lpstr>
      <vt:lpstr>Client Data -&gt;</vt:lpstr>
      <vt:lpstr>Income Stmt</vt:lpstr>
      <vt:lpstr>Balance Sheet</vt:lpstr>
      <vt:lpstr>Cash Flow</vt:lpstr>
      <vt:lpstr>Damodaran Data</vt:lpstr>
      <vt:lpstr>Work &gt;&gt;</vt:lpstr>
      <vt:lpstr>Report</vt:lpstr>
      <vt:lpstr>Assumptions Working</vt:lpstr>
      <vt:lpstr>Growth Drivers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2026-08-24T11:05:57Z</dcterms:modified>
</cp:coreProperties>
</file>