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Learning notes\project\"/>
    </mc:Choice>
  </mc:AlternateContent>
  <bookViews>
    <workbookView xWindow="0" yWindow="0" windowWidth="19180" windowHeight="7030" tabRatio="827" activeTab="9"/>
  </bookViews>
  <sheets>
    <sheet name="Assumptions" sheetId="1" r:id="rId1"/>
    <sheet name="Converter" sheetId="2" r:id="rId2"/>
    <sheet name="Monthly Revenue" sheetId="3" r:id="rId3"/>
    <sheet name="Monthly P&amp;L" sheetId="4" r:id="rId4"/>
    <sheet name="Capital Structure" sheetId="6" r:id="rId5"/>
    <sheet name="Fixed Asset Schedule" sheetId="7" r:id="rId6"/>
    <sheet name="Working Capital" sheetId="8" r:id="rId7"/>
    <sheet name="Annual P&amp;L" sheetId="9" r:id="rId8"/>
    <sheet name="Balance Sheet" sheetId="10" r:id="rId9"/>
    <sheet name="Cash Flow Statement" sheetId="11" r:id="rId10"/>
  </sheets>
  <definedNames>
    <definedName name="Den">Converter!$C$1</definedName>
    <definedName name="deno">Converter!$D$1</definedName>
  </definedNames>
  <calcPr calcId="162913" iterateCount="50" iterateDelta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3" i="10" l="1"/>
  <c r="A34" i="10"/>
  <c r="A35" i="10"/>
  <c r="A36" i="10"/>
  <c r="A27" i="10"/>
  <c r="A26" i="10"/>
  <c r="A25" i="10"/>
  <c r="A24" i="10"/>
  <c r="G12" i="10"/>
  <c r="F12" i="10"/>
  <c r="E12" i="10"/>
  <c r="A12" i="10"/>
  <c r="A13" i="10"/>
  <c r="A14" i="10"/>
  <c r="A15" i="10"/>
  <c r="A11" i="10"/>
  <c r="B1" i="10"/>
  <c r="G19" i="11"/>
  <c r="F19" i="11"/>
  <c r="E19" i="11"/>
  <c r="F15" i="11"/>
  <c r="G15" i="11"/>
  <c r="E15" i="11"/>
  <c r="B1" i="11"/>
  <c r="B1" i="9"/>
  <c r="B1" i="7"/>
  <c r="G10" i="9"/>
  <c r="G11" i="9"/>
  <c r="G17" i="9"/>
  <c r="G18" i="9"/>
  <c r="G30" i="9"/>
  <c r="F10" i="9"/>
  <c r="F11" i="9"/>
  <c r="F17" i="9"/>
  <c r="F18" i="9"/>
  <c r="F30" i="9"/>
  <c r="E10" i="9"/>
  <c r="E11" i="9"/>
  <c r="E17" i="9"/>
  <c r="E18" i="9"/>
  <c r="E30" i="9"/>
  <c r="D3" i="9"/>
  <c r="A28" i="9"/>
  <c r="A27" i="9"/>
  <c r="A26" i="9"/>
  <c r="A25" i="9"/>
  <c r="A24" i="9"/>
  <c r="A23" i="9"/>
  <c r="A22" i="9"/>
  <c r="A21" i="9"/>
  <c r="A20" i="9"/>
  <c r="A14" i="9"/>
  <c r="A13" i="9"/>
  <c r="A12" i="9"/>
  <c r="A9" i="9"/>
  <c r="A8" i="9"/>
  <c r="A7" i="9"/>
  <c r="A6" i="9"/>
  <c r="B1" i="3"/>
  <c r="B1" i="8"/>
  <c r="A28" i="7" l="1"/>
  <c r="A20" i="7"/>
  <c r="A12" i="7"/>
  <c r="A4" i="7"/>
  <c r="B19" i="6"/>
  <c r="B18" i="6"/>
  <c r="A8" i="6" l="1"/>
  <c r="A9" i="6"/>
  <c r="A10" i="6"/>
  <c r="A7" i="6"/>
  <c r="B1" i="6"/>
  <c r="E25" i="4"/>
  <c r="E26" i="4"/>
  <c r="E23" i="4"/>
  <c r="E24" i="4"/>
  <c r="E22" i="4"/>
  <c r="E19" i="4"/>
  <c r="A28" i="4"/>
  <c r="A21" i="4"/>
  <c r="A22" i="4"/>
  <c r="A23" i="4"/>
  <c r="A24" i="4"/>
  <c r="A25" i="4"/>
  <c r="A26" i="4"/>
  <c r="A27" i="4"/>
  <c r="A20" i="4"/>
  <c r="B1" i="4"/>
  <c r="E15" i="4"/>
  <c r="A13" i="4"/>
  <c r="A14" i="4"/>
  <c r="A12" i="4"/>
  <c r="A9" i="4"/>
  <c r="A7" i="4"/>
  <c r="A8" i="4"/>
  <c r="A6" i="4"/>
  <c r="E42" i="3"/>
  <c r="F42" i="3" s="1"/>
  <c r="E41" i="3"/>
  <c r="F41" i="3" s="1"/>
  <c r="E40" i="3"/>
  <c r="E36" i="3"/>
  <c r="E35" i="3"/>
  <c r="E34" i="3"/>
  <c r="E29" i="3"/>
  <c r="E28" i="3"/>
  <c r="E27" i="3"/>
  <c r="F27" i="3" s="1"/>
  <c r="E23" i="3"/>
  <c r="F23" i="3" s="1"/>
  <c r="E22" i="3"/>
  <c r="E21" i="3"/>
  <c r="G3" i="8"/>
  <c r="G3" i="9"/>
  <c r="F3" i="8"/>
  <c r="F3" i="9"/>
  <c r="E3" i="8"/>
  <c r="E3" i="9"/>
  <c r="E3" i="10"/>
  <c r="F3" i="10" s="1"/>
  <c r="G3" i="10" s="1"/>
  <c r="E3" i="11"/>
  <c r="F3" i="11" s="1"/>
  <c r="G3" i="11" s="1"/>
  <c r="E3" i="7"/>
  <c r="C5" i="6"/>
  <c r="F3" i="4"/>
  <c r="F3" i="3"/>
  <c r="G3" i="3" s="1"/>
  <c r="H3" i="3" s="1"/>
  <c r="I3" i="3" s="1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Y3" i="3" s="1"/>
  <c r="Z3" i="3" s="1"/>
  <c r="AA3" i="3" s="1"/>
  <c r="AB3" i="3" s="1"/>
  <c r="AC3" i="3" s="1"/>
  <c r="AD3" i="3" s="1"/>
  <c r="AE3" i="3" s="1"/>
  <c r="AF3" i="3" s="1"/>
  <c r="AG3" i="3" s="1"/>
  <c r="AH3" i="3" s="1"/>
  <c r="AI3" i="3" s="1"/>
  <c r="AJ3" i="3" s="1"/>
  <c r="AK3" i="3" s="1"/>
  <c r="AL3" i="3" s="1"/>
  <c r="AM3" i="3" s="1"/>
  <c r="AN3" i="3" s="1"/>
  <c r="F4" i="4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AH4" i="4" s="1"/>
  <c r="AI4" i="4" s="1"/>
  <c r="AJ4" i="4" s="1"/>
  <c r="AK4" i="4" s="1"/>
  <c r="AL4" i="4" s="1"/>
  <c r="AM4" i="4" s="1"/>
  <c r="AN4" i="4" s="1"/>
  <c r="E4" i="3"/>
  <c r="F4" i="3" s="1"/>
  <c r="E4" i="4"/>
  <c r="E4" i="1"/>
  <c r="D1" i="2"/>
  <c r="F15" i="4" l="1"/>
  <c r="F25" i="4"/>
  <c r="F23" i="4"/>
  <c r="C8" i="6"/>
  <c r="E14" i="7" s="1"/>
  <c r="E16" i="7" s="1"/>
  <c r="E17" i="7" s="1"/>
  <c r="C9" i="6"/>
  <c r="E22" i="7" s="1"/>
  <c r="E24" i="7" s="1"/>
  <c r="E25" i="7" s="1"/>
  <c r="C7" i="6"/>
  <c r="C13" i="6"/>
  <c r="C12" i="6"/>
  <c r="E30" i="10" s="1"/>
  <c r="F30" i="10" s="1"/>
  <c r="G30" i="10" s="1"/>
  <c r="C10" i="6"/>
  <c r="E30" i="7" s="1"/>
  <c r="E32" i="7" s="1"/>
  <c r="E33" i="7" s="1"/>
  <c r="F3" i="7"/>
  <c r="G3" i="7" s="1"/>
  <c r="F26" i="4"/>
  <c r="F19" i="4"/>
  <c r="G3" i="4"/>
  <c r="F24" i="4"/>
  <c r="F22" i="4"/>
  <c r="G22" i="4" s="1"/>
  <c r="G23" i="3"/>
  <c r="H23" i="3" s="1"/>
  <c r="I23" i="3" s="1"/>
  <c r="J23" i="3" s="1"/>
  <c r="K23" i="3" s="1"/>
  <c r="L23" i="3" s="1"/>
  <c r="M23" i="3" s="1"/>
  <c r="N23" i="3" s="1"/>
  <c r="O23" i="3" s="1"/>
  <c r="P23" i="3" s="1"/>
  <c r="Q23" i="3" s="1"/>
  <c r="R23" i="3" s="1"/>
  <c r="S23" i="3" s="1"/>
  <c r="T23" i="3" s="1"/>
  <c r="U23" i="3" s="1"/>
  <c r="V23" i="3" s="1"/>
  <c r="W23" i="3" s="1"/>
  <c r="X23" i="3" s="1"/>
  <c r="Y23" i="3" s="1"/>
  <c r="Z23" i="3" s="1"/>
  <c r="AA23" i="3" s="1"/>
  <c r="AB23" i="3" s="1"/>
  <c r="AC23" i="3" s="1"/>
  <c r="AD23" i="3" s="1"/>
  <c r="AE23" i="3" s="1"/>
  <c r="AF23" i="3" s="1"/>
  <c r="AG23" i="3" s="1"/>
  <c r="AH23" i="3" s="1"/>
  <c r="AI23" i="3" s="1"/>
  <c r="AJ23" i="3" s="1"/>
  <c r="AK23" i="3" s="1"/>
  <c r="AL23" i="3" s="1"/>
  <c r="AM23" i="3" s="1"/>
  <c r="AN23" i="3" s="1"/>
  <c r="G27" i="3"/>
  <c r="G41" i="3"/>
  <c r="H41" i="3" s="1"/>
  <c r="I41" i="3" s="1"/>
  <c r="G42" i="3"/>
  <c r="H42" i="3" s="1"/>
  <c r="I42" i="3" s="1"/>
  <c r="J42" i="3" s="1"/>
  <c r="K42" i="3" s="1"/>
  <c r="L42" i="3" s="1"/>
  <c r="M42" i="3" s="1"/>
  <c r="N42" i="3" s="1"/>
  <c r="O42" i="3" s="1"/>
  <c r="P42" i="3" s="1"/>
  <c r="Q42" i="3" s="1"/>
  <c r="R42" i="3" s="1"/>
  <c r="S42" i="3" s="1"/>
  <c r="T42" i="3" s="1"/>
  <c r="U42" i="3" s="1"/>
  <c r="V42" i="3" s="1"/>
  <c r="W42" i="3" s="1"/>
  <c r="X42" i="3" s="1"/>
  <c r="Y42" i="3" s="1"/>
  <c r="Z42" i="3" s="1"/>
  <c r="AA42" i="3" s="1"/>
  <c r="AB42" i="3" s="1"/>
  <c r="AC42" i="3" s="1"/>
  <c r="AD42" i="3" s="1"/>
  <c r="AE42" i="3" s="1"/>
  <c r="AF42" i="3" s="1"/>
  <c r="AG42" i="3" s="1"/>
  <c r="AH42" i="3" s="1"/>
  <c r="AI42" i="3" s="1"/>
  <c r="AJ42" i="3" s="1"/>
  <c r="AK42" i="3" s="1"/>
  <c r="AL42" i="3" s="1"/>
  <c r="AM42" i="3" s="1"/>
  <c r="AN42" i="3" s="1"/>
  <c r="F29" i="3"/>
  <c r="G29" i="3" s="1"/>
  <c r="H29" i="3" s="1"/>
  <c r="I29" i="3" s="1"/>
  <c r="J29" i="3" s="1"/>
  <c r="K29" i="3" s="1"/>
  <c r="L29" i="3" s="1"/>
  <c r="M29" i="3" s="1"/>
  <c r="N29" i="3" s="1"/>
  <c r="O29" i="3" s="1"/>
  <c r="P29" i="3" s="1"/>
  <c r="Q29" i="3" s="1"/>
  <c r="R29" i="3" s="1"/>
  <c r="S29" i="3" s="1"/>
  <c r="T29" i="3" s="1"/>
  <c r="U29" i="3" s="1"/>
  <c r="V29" i="3" s="1"/>
  <c r="W29" i="3" s="1"/>
  <c r="X29" i="3" s="1"/>
  <c r="Y29" i="3" s="1"/>
  <c r="Z29" i="3" s="1"/>
  <c r="AA29" i="3" s="1"/>
  <c r="AB29" i="3" s="1"/>
  <c r="AC29" i="3" s="1"/>
  <c r="AD29" i="3" s="1"/>
  <c r="AE29" i="3" s="1"/>
  <c r="AF29" i="3" s="1"/>
  <c r="AG29" i="3" s="1"/>
  <c r="AH29" i="3" s="1"/>
  <c r="AI29" i="3" s="1"/>
  <c r="AJ29" i="3" s="1"/>
  <c r="AK29" i="3" s="1"/>
  <c r="AL29" i="3" s="1"/>
  <c r="AM29" i="3" s="1"/>
  <c r="AN29" i="3" s="1"/>
  <c r="F22" i="3"/>
  <c r="G22" i="3" s="1"/>
  <c r="H22" i="3" s="1"/>
  <c r="I22" i="3" s="1"/>
  <c r="J22" i="3" s="1"/>
  <c r="K22" i="3" s="1"/>
  <c r="L22" i="3" s="1"/>
  <c r="M22" i="3" s="1"/>
  <c r="N22" i="3" s="1"/>
  <c r="O22" i="3" s="1"/>
  <c r="P22" i="3" s="1"/>
  <c r="Q22" i="3" s="1"/>
  <c r="R22" i="3" s="1"/>
  <c r="S22" i="3" s="1"/>
  <c r="T22" i="3" s="1"/>
  <c r="U22" i="3" s="1"/>
  <c r="V22" i="3" s="1"/>
  <c r="W22" i="3" s="1"/>
  <c r="X22" i="3" s="1"/>
  <c r="Y22" i="3" s="1"/>
  <c r="Z22" i="3" s="1"/>
  <c r="AA22" i="3" s="1"/>
  <c r="AB22" i="3" s="1"/>
  <c r="AC22" i="3" s="1"/>
  <c r="AD22" i="3" s="1"/>
  <c r="AE22" i="3" s="1"/>
  <c r="AF22" i="3" s="1"/>
  <c r="AG22" i="3" s="1"/>
  <c r="AH22" i="3" s="1"/>
  <c r="AI22" i="3" s="1"/>
  <c r="AJ22" i="3" s="1"/>
  <c r="AK22" i="3" s="1"/>
  <c r="AL22" i="3" s="1"/>
  <c r="AM22" i="3" s="1"/>
  <c r="AN22" i="3" s="1"/>
  <c r="F40" i="3"/>
  <c r="G40" i="3" s="1"/>
  <c r="H40" i="3" s="1"/>
  <c r="I40" i="3" s="1"/>
  <c r="J40" i="3" s="1"/>
  <c r="K40" i="3" s="1"/>
  <c r="L40" i="3" s="1"/>
  <c r="M40" i="3" s="1"/>
  <c r="N40" i="3" s="1"/>
  <c r="O40" i="3" s="1"/>
  <c r="P40" i="3" s="1"/>
  <c r="Q40" i="3" s="1"/>
  <c r="R40" i="3" s="1"/>
  <c r="S40" i="3" s="1"/>
  <c r="T40" i="3" s="1"/>
  <c r="U40" i="3" s="1"/>
  <c r="V40" i="3" s="1"/>
  <c r="W40" i="3" s="1"/>
  <c r="X40" i="3" s="1"/>
  <c r="Y40" i="3" s="1"/>
  <c r="Z40" i="3" s="1"/>
  <c r="AA40" i="3" s="1"/>
  <c r="AB40" i="3" s="1"/>
  <c r="AC40" i="3" s="1"/>
  <c r="AD40" i="3" s="1"/>
  <c r="AE40" i="3" s="1"/>
  <c r="AF40" i="3" s="1"/>
  <c r="AG40" i="3" s="1"/>
  <c r="AH40" i="3" s="1"/>
  <c r="AI40" i="3" s="1"/>
  <c r="AJ40" i="3" s="1"/>
  <c r="AK40" i="3" s="1"/>
  <c r="AL40" i="3" s="1"/>
  <c r="AM40" i="3" s="1"/>
  <c r="AN40" i="3" s="1"/>
  <c r="E30" i="3"/>
  <c r="F35" i="3"/>
  <c r="F36" i="3"/>
  <c r="F21" i="3"/>
  <c r="G21" i="3" s="1"/>
  <c r="H21" i="3" s="1"/>
  <c r="I21" i="3" s="1"/>
  <c r="J21" i="3" s="1"/>
  <c r="K21" i="3" s="1"/>
  <c r="L21" i="3" s="1"/>
  <c r="M21" i="3" s="1"/>
  <c r="N21" i="3" s="1"/>
  <c r="O21" i="3" s="1"/>
  <c r="P21" i="3" s="1"/>
  <c r="Q21" i="3" s="1"/>
  <c r="R21" i="3" s="1"/>
  <c r="S21" i="3" s="1"/>
  <c r="T21" i="3" s="1"/>
  <c r="U21" i="3" s="1"/>
  <c r="V21" i="3" s="1"/>
  <c r="W21" i="3" s="1"/>
  <c r="X21" i="3" s="1"/>
  <c r="Y21" i="3" s="1"/>
  <c r="Z21" i="3" s="1"/>
  <c r="AA21" i="3" s="1"/>
  <c r="AB21" i="3" s="1"/>
  <c r="AC21" i="3" s="1"/>
  <c r="AD21" i="3" s="1"/>
  <c r="AE21" i="3" s="1"/>
  <c r="AF21" i="3" s="1"/>
  <c r="AG21" i="3" s="1"/>
  <c r="AH21" i="3" s="1"/>
  <c r="AI21" i="3" s="1"/>
  <c r="AJ21" i="3" s="1"/>
  <c r="AK21" i="3" s="1"/>
  <c r="AL21" i="3" s="1"/>
  <c r="AM21" i="3" s="1"/>
  <c r="AN21" i="3" s="1"/>
  <c r="E24" i="3"/>
  <c r="E43" i="3"/>
  <c r="E37" i="3"/>
  <c r="H27" i="3"/>
  <c r="J41" i="3"/>
  <c r="K41" i="3" s="1"/>
  <c r="L41" i="3" s="1"/>
  <c r="M41" i="3" s="1"/>
  <c r="N41" i="3" s="1"/>
  <c r="O41" i="3" s="1"/>
  <c r="P41" i="3" s="1"/>
  <c r="Q41" i="3" s="1"/>
  <c r="R41" i="3" s="1"/>
  <c r="S41" i="3" s="1"/>
  <c r="T41" i="3" s="1"/>
  <c r="U41" i="3" s="1"/>
  <c r="V41" i="3" s="1"/>
  <c r="W41" i="3" s="1"/>
  <c r="X41" i="3" s="1"/>
  <c r="Y41" i="3" s="1"/>
  <c r="Z41" i="3" s="1"/>
  <c r="AA41" i="3" s="1"/>
  <c r="AB41" i="3" s="1"/>
  <c r="AC41" i="3" s="1"/>
  <c r="AD41" i="3" s="1"/>
  <c r="AE41" i="3" s="1"/>
  <c r="AF41" i="3" s="1"/>
  <c r="AG41" i="3" s="1"/>
  <c r="AH41" i="3" s="1"/>
  <c r="AI41" i="3" s="1"/>
  <c r="AJ41" i="3" s="1"/>
  <c r="AK41" i="3" s="1"/>
  <c r="AL41" i="3" s="1"/>
  <c r="AM41" i="3" s="1"/>
  <c r="AN41" i="3" s="1"/>
  <c r="AN43" i="3" s="1"/>
  <c r="I43" i="3"/>
  <c r="I24" i="3"/>
  <c r="F34" i="3"/>
  <c r="F28" i="3"/>
  <c r="F43" i="3"/>
  <c r="G43" i="3"/>
  <c r="H43" i="3"/>
  <c r="G4" i="3"/>
  <c r="F5" i="3"/>
  <c r="E5" i="3"/>
  <c r="F10" i="1"/>
  <c r="F29" i="7" l="1"/>
  <c r="E27" i="10"/>
  <c r="G15" i="4"/>
  <c r="F21" i="7"/>
  <c r="F24" i="7" s="1"/>
  <c r="E26" i="10"/>
  <c r="F13" i="7"/>
  <c r="E25" i="10"/>
  <c r="C11" i="6"/>
  <c r="C15" i="6" s="1"/>
  <c r="E6" i="7"/>
  <c r="E8" i="7" s="1"/>
  <c r="F16" i="7"/>
  <c r="F17" i="7" s="1"/>
  <c r="F32" i="7"/>
  <c r="F33" i="7" s="1"/>
  <c r="H3" i="4"/>
  <c r="G24" i="4"/>
  <c r="H24" i="4" s="1"/>
  <c r="G19" i="4"/>
  <c r="G23" i="4"/>
  <c r="G25" i="4"/>
  <c r="G26" i="4"/>
  <c r="H26" i="4" s="1"/>
  <c r="AN24" i="3"/>
  <c r="F24" i="3"/>
  <c r="K43" i="3"/>
  <c r="AF24" i="3"/>
  <c r="W24" i="3"/>
  <c r="R24" i="3"/>
  <c r="AL24" i="3"/>
  <c r="G36" i="3"/>
  <c r="AB24" i="3"/>
  <c r="U24" i="3"/>
  <c r="X24" i="3"/>
  <c r="O24" i="3"/>
  <c r="J24" i="3"/>
  <c r="AD24" i="3"/>
  <c r="AI24" i="3"/>
  <c r="T24" i="3"/>
  <c r="AA24" i="3"/>
  <c r="Q24" i="3"/>
  <c r="S24" i="3"/>
  <c r="K24" i="3"/>
  <c r="L43" i="3"/>
  <c r="M24" i="3"/>
  <c r="P24" i="3"/>
  <c r="G24" i="3"/>
  <c r="V24" i="3"/>
  <c r="G35" i="3"/>
  <c r="S43" i="3"/>
  <c r="Y24" i="3"/>
  <c r="Q43" i="3"/>
  <c r="L24" i="3"/>
  <c r="AM24" i="3"/>
  <c r="AH24" i="3"/>
  <c r="AK24" i="3"/>
  <c r="AE24" i="3"/>
  <c r="Z24" i="3"/>
  <c r="AC24" i="3"/>
  <c r="AJ24" i="3"/>
  <c r="H24" i="3"/>
  <c r="J43" i="3"/>
  <c r="AG24" i="3"/>
  <c r="N24" i="3"/>
  <c r="Z43" i="3"/>
  <c r="R43" i="3"/>
  <c r="AE43" i="3"/>
  <c r="W43" i="3"/>
  <c r="AL43" i="3"/>
  <c r="O43" i="3"/>
  <c r="AD43" i="3"/>
  <c r="AK43" i="3"/>
  <c r="N43" i="3"/>
  <c r="F37" i="3"/>
  <c r="G34" i="3"/>
  <c r="V43" i="3"/>
  <c r="AC43" i="3"/>
  <c r="AI43" i="3"/>
  <c r="U43" i="3"/>
  <c r="AB43" i="3"/>
  <c r="AG43" i="3"/>
  <c r="I27" i="3"/>
  <c r="AM43" i="3"/>
  <c r="AF43" i="3"/>
  <c r="AJ43" i="3"/>
  <c r="X43" i="3"/>
  <c r="P43" i="3"/>
  <c r="AA43" i="3"/>
  <c r="AH43" i="3"/>
  <c r="F30" i="3"/>
  <c r="G28" i="3"/>
  <c r="M43" i="3"/>
  <c r="T43" i="3"/>
  <c r="Y43" i="3"/>
  <c r="F6" i="3"/>
  <c r="E6" i="3"/>
  <c r="G5" i="3"/>
  <c r="H4" i="3"/>
  <c r="G101" i="1"/>
  <c r="G29" i="7" l="1"/>
  <c r="G32" i="7" s="1"/>
  <c r="F27" i="10"/>
  <c r="F25" i="7"/>
  <c r="G13" i="7"/>
  <c r="G16" i="7" s="1"/>
  <c r="G17" i="7" s="1"/>
  <c r="G25" i="10" s="1"/>
  <c r="F25" i="10"/>
  <c r="E9" i="7"/>
  <c r="E32" i="9"/>
  <c r="E6" i="11" s="1"/>
  <c r="H23" i="4"/>
  <c r="I23" i="4" s="1"/>
  <c r="C18" i="6"/>
  <c r="C19" i="6"/>
  <c r="I3" i="4"/>
  <c r="H25" i="4"/>
  <c r="H19" i="4"/>
  <c r="H22" i="4"/>
  <c r="I26" i="4"/>
  <c r="H15" i="4"/>
  <c r="I15" i="4" s="1"/>
  <c r="E54" i="3"/>
  <c r="E50" i="3"/>
  <c r="E48" i="3"/>
  <c r="H36" i="3"/>
  <c r="H35" i="3"/>
  <c r="H28" i="3"/>
  <c r="G30" i="3"/>
  <c r="H34" i="3"/>
  <c r="G37" i="3"/>
  <c r="J27" i="3"/>
  <c r="E12" i="3"/>
  <c r="E11" i="3"/>
  <c r="E49" i="3" s="1"/>
  <c r="I4" i="3"/>
  <c r="H5" i="3"/>
  <c r="E7" i="3"/>
  <c r="F12" i="3"/>
  <c r="F56" i="3" s="1"/>
  <c r="F11" i="3"/>
  <c r="F48" i="3" s="1"/>
  <c r="F15" i="3"/>
  <c r="G6" i="3"/>
  <c r="F7" i="3"/>
  <c r="G87" i="1"/>
  <c r="G67" i="1"/>
  <c r="G40" i="1"/>
  <c r="G50" i="1"/>
  <c r="G10" i="1"/>
  <c r="C10" i="1"/>
  <c r="B10" i="1"/>
  <c r="G33" i="7" l="1"/>
  <c r="G27" i="10" s="1"/>
  <c r="F5" i="7"/>
  <c r="E24" i="10"/>
  <c r="G5" i="10"/>
  <c r="F5" i="10"/>
  <c r="E5" i="10"/>
  <c r="G21" i="7"/>
  <c r="F26" i="10"/>
  <c r="C21" i="6"/>
  <c r="J3" i="4"/>
  <c r="I25" i="4"/>
  <c r="J25" i="4" s="1"/>
  <c r="I22" i="4"/>
  <c r="I19" i="4"/>
  <c r="I24" i="4"/>
  <c r="F69" i="3"/>
  <c r="F70" i="3"/>
  <c r="F62" i="3"/>
  <c r="F64" i="3"/>
  <c r="F63" i="3"/>
  <c r="E56" i="3"/>
  <c r="F50" i="3"/>
  <c r="F49" i="3"/>
  <c r="F16" i="3"/>
  <c r="F68" i="3" s="1"/>
  <c r="I36" i="3"/>
  <c r="F55" i="3"/>
  <c r="E55" i="3"/>
  <c r="F54" i="3"/>
  <c r="I35" i="3"/>
  <c r="I28" i="3"/>
  <c r="H30" i="3"/>
  <c r="K27" i="3"/>
  <c r="I34" i="3"/>
  <c r="H37" i="3"/>
  <c r="G11" i="3"/>
  <c r="G48" i="3" s="1"/>
  <c r="G12" i="3"/>
  <c r="G55" i="3" s="1"/>
  <c r="G15" i="3"/>
  <c r="E16" i="3"/>
  <c r="E68" i="3" s="1"/>
  <c r="E15" i="3"/>
  <c r="H6" i="3"/>
  <c r="J4" i="3"/>
  <c r="I5" i="3"/>
  <c r="G7" i="3"/>
  <c r="G24" i="7" l="1"/>
  <c r="G25" i="7"/>
  <c r="G26" i="10" s="1"/>
  <c r="J24" i="4"/>
  <c r="F8" i="7"/>
  <c r="F32" i="9" s="1"/>
  <c r="F6" i="11" s="1"/>
  <c r="F74" i="3"/>
  <c r="F6" i="4" s="1"/>
  <c r="F12" i="4" s="1"/>
  <c r="K3" i="4"/>
  <c r="L3" i="4" s="1"/>
  <c r="M3" i="4" s="1"/>
  <c r="N3" i="4" s="1"/>
  <c r="O3" i="4" s="1"/>
  <c r="P3" i="4" s="1"/>
  <c r="J22" i="4"/>
  <c r="K25" i="4"/>
  <c r="L25" i="4" s="1"/>
  <c r="M25" i="4" s="1"/>
  <c r="N25" i="4" s="1"/>
  <c r="O25" i="4" s="1"/>
  <c r="P25" i="4" s="1"/>
  <c r="J23" i="4"/>
  <c r="J19" i="4"/>
  <c r="J15" i="4"/>
  <c r="J26" i="4"/>
  <c r="K26" i="4" s="1"/>
  <c r="L26" i="4" s="1"/>
  <c r="M26" i="4" s="1"/>
  <c r="N26" i="4" s="1"/>
  <c r="O26" i="4" s="1"/>
  <c r="P26" i="4" s="1"/>
  <c r="F75" i="3"/>
  <c r="F7" i="4" s="1"/>
  <c r="F13" i="4" s="1"/>
  <c r="F76" i="3"/>
  <c r="F8" i="4" s="1"/>
  <c r="F14" i="4" s="1"/>
  <c r="E69" i="3"/>
  <c r="E62" i="3"/>
  <c r="E74" i="3" s="1"/>
  <c r="E6" i="4" s="1"/>
  <c r="E64" i="3"/>
  <c r="E63" i="3"/>
  <c r="E70" i="3"/>
  <c r="G64" i="3"/>
  <c r="G62" i="3"/>
  <c r="G63" i="3"/>
  <c r="G68" i="3"/>
  <c r="G69" i="3"/>
  <c r="G70" i="3"/>
  <c r="F51" i="3"/>
  <c r="F57" i="3"/>
  <c r="E57" i="3"/>
  <c r="G56" i="3"/>
  <c r="F71" i="3"/>
  <c r="G54" i="3"/>
  <c r="F65" i="3"/>
  <c r="J36" i="3"/>
  <c r="G50" i="3"/>
  <c r="G49" i="3"/>
  <c r="J35" i="3"/>
  <c r="G16" i="3"/>
  <c r="E51" i="3"/>
  <c r="H7" i="3"/>
  <c r="J28" i="3"/>
  <c r="I30" i="3"/>
  <c r="J34" i="3"/>
  <c r="I37" i="3"/>
  <c r="L27" i="3"/>
  <c r="I6" i="3"/>
  <c r="H15" i="3"/>
  <c r="K4" i="3"/>
  <c r="J5" i="3"/>
  <c r="H12" i="3"/>
  <c r="H56" i="3" s="1"/>
  <c r="H11" i="3"/>
  <c r="H48" i="3" s="1"/>
  <c r="F9" i="7" l="1"/>
  <c r="G5" i="7"/>
  <c r="G8" i="7" s="1"/>
  <c r="F24" i="10"/>
  <c r="E12" i="4"/>
  <c r="K23" i="4"/>
  <c r="L23" i="4" s="1"/>
  <c r="M23" i="4" s="1"/>
  <c r="N23" i="4" s="1"/>
  <c r="O23" i="4" s="1"/>
  <c r="P23" i="4" s="1"/>
  <c r="E23" i="9"/>
  <c r="F16" i="4"/>
  <c r="K19" i="4"/>
  <c r="K24" i="4"/>
  <c r="L24" i="4" s="1"/>
  <c r="M24" i="4" s="1"/>
  <c r="N24" i="4" s="1"/>
  <c r="O24" i="4" s="1"/>
  <c r="P24" i="4" s="1"/>
  <c r="K22" i="4"/>
  <c r="L22" i="4" s="1"/>
  <c r="M22" i="4" s="1"/>
  <c r="N22" i="4" s="1"/>
  <c r="O22" i="4" s="1"/>
  <c r="P22" i="4" s="1"/>
  <c r="Q3" i="4"/>
  <c r="Q25" i="4" s="1"/>
  <c r="K15" i="4"/>
  <c r="L15" i="4" s="1"/>
  <c r="M15" i="4" s="1"/>
  <c r="N15" i="4" s="1"/>
  <c r="O15" i="4" s="1"/>
  <c r="P15" i="4" s="1"/>
  <c r="E75" i="3"/>
  <c r="E7" i="4" s="1"/>
  <c r="G76" i="3"/>
  <c r="G8" i="4" s="1"/>
  <c r="G14" i="4" s="1"/>
  <c r="G74" i="3"/>
  <c r="G6" i="4" s="1"/>
  <c r="G12" i="4" s="1"/>
  <c r="F77" i="3"/>
  <c r="F9" i="4" s="1"/>
  <c r="E76" i="3"/>
  <c r="G75" i="3"/>
  <c r="G7" i="4" s="1"/>
  <c r="G13" i="4" s="1"/>
  <c r="H64" i="3"/>
  <c r="H62" i="3"/>
  <c r="H63" i="3"/>
  <c r="H55" i="3"/>
  <c r="G57" i="3"/>
  <c r="H54" i="3"/>
  <c r="H49" i="3"/>
  <c r="G51" i="3"/>
  <c r="G71" i="3"/>
  <c r="E65" i="3"/>
  <c r="I7" i="3"/>
  <c r="K35" i="3"/>
  <c r="K36" i="3"/>
  <c r="H50" i="3"/>
  <c r="G65" i="3"/>
  <c r="E71" i="3"/>
  <c r="H16" i="3"/>
  <c r="I16" i="3" s="1"/>
  <c r="M27" i="3"/>
  <c r="K34" i="3"/>
  <c r="J37" i="3"/>
  <c r="K28" i="3"/>
  <c r="J30" i="3"/>
  <c r="I12" i="3"/>
  <c r="I55" i="3" s="1"/>
  <c r="I11" i="3"/>
  <c r="I50" i="3" s="1"/>
  <c r="J6" i="3"/>
  <c r="L4" i="3"/>
  <c r="K5" i="3"/>
  <c r="I15" i="3"/>
  <c r="G9" i="7" l="1"/>
  <c r="G24" i="10" s="1"/>
  <c r="G32" i="9"/>
  <c r="G6" i="11" s="1"/>
  <c r="E13" i="4"/>
  <c r="F21" i="4"/>
  <c r="F28" i="4"/>
  <c r="F20" i="4"/>
  <c r="F27" i="4"/>
  <c r="Q24" i="4"/>
  <c r="R3" i="4"/>
  <c r="Q22" i="4"/>
  <c r="Q15" i="4"/>
  <c r="Q23" i="4"/>
  <c r="Q26" i="4"/>
  <c r="G16" i="4"/>
  <c r="L19" i="4"/>
  <c r="E77" i="3"/>
  <c r="E9" i="4" s="1"/>
  <c r="E8" i="4"/>
  <c r="G77" i="3"/>
  <c r="G9" i="4" s="1"/>
  <c r="H68" i="3"/>
  <c r="H74" i="3" s="1"/>
  <c r="H6" i="4" s="1"/>
  <c r="H12" i="4" s="1"/>
  <c r="I62" i="3"/>
  <c r="I64" i="3"/>
  <c r="I63" i="3"/>
  <c r="H69" i="3"/>
  <c r="H75" i="3" s="1"/>
  <c r="H7" i="4" s="1"/>
  <c r="H13" i="4" s="1"/>
  <c r="I70" i="3"/>
  <c r="I68" i="3"/>
  <c r="I69" i="3"/>
  <c r="I48" i="3"/>
  <c r="H70" i="3"/>
  <c r="H76" i="3" s="1"/>
  <c r="H8" i="4" s="1"/>
  <c r="H14" i="4" s="1"/>
  <c r="H57" i="3"/>
  <c r="H51" i="3"/>
  <c r="I49" i="3"/>
  <c r="J7" i="3"/>
  <c r="I54" i="3"/>
  <c r="L36" i="3"/>
  <c r="I56" i="3"/>
  <c r="L35" i="3"/>
  <c r="J15" i="3"/>
  <c r="H65" i="3"/>
  <c r="N27" i="3"/>
  <c r="L28" i="3"/>
  <c r="K30" i="3"/>
  <c r="L34" i="3"/>
  <c r="K37" i="3"/>
  <c r="M4" i="3"/>
  <c r="L5" i="3"/>
  <c r="J11" i="3"/>
  <c r="J48" i="3" s="1"/>
  <c r="K6" i="3"/>
  <c r="J12" i="3"/>
  <c r="J54" i="3" s="1"/>
  <c r="E14" i="4" l="1"/>
  <c r="I75" i="3"/>
  <c r="I7" i="4" s="1"/>
  <c r="I13" i="4" s="1"/>
  <c r="R24" i="4"/>
  <c r="S24" i="4" s="1"/>
  <c r="T24" i="4" s="1"/>
  <c r="U24" i="4" s="1"/>
  <c r="V24" i="4" s="1"/>
  <c r="W24" i="4" s="1"/>
  <c r="X24" i="4" s="1"/>
  <c r="Y24" i="4" s="1"/>
  <c r="Z24" i="4" s="1"/>
  <c r="F29" i="4"/>
  <c r="F31" i="4" s="1"/>
  <c r="F33" i="4" s="1"/>
  <c r="S3" i="4"/>
  <c r="T3" i="4" s="1"/>
  <c r="U3" i="4" s="1"/>
  <c r="V3" i="4" s="1"/>
  <c r="W3" i="4" s="1"/>
  <c r="X3" i="4" s="1"/>
  <c r="Y3" i="4" s="1"/>
  <c r="Z3" i="4" s="1"/>
  <c r="R22" i="4"/>
  <c r="S22" i="4" s="1"/>
  <c r="T22" i="4" s="1"/>
  <c r="U22" i="4" s="1"/>
  <c r="V22" i="4" s="1"/>
  <c r="W22" i="4" s="1"/>
  <c r="X22" i="4" s="1"/>
  <c r="Y22" i="4" s="1"/>
  <c r="M19" i="4"/>
  <c r="R26" i="4"/>
  <c r="S26" i="4" s="1"/>
  <c r="T26" i="4" s="1"/>
  <c r="U26" i="4" s="1"/>
  <c r="V26" i="4" s="1"/>
  <c r="W26" i="4" s="1"/>
  <c r="X26" i="4" s="1"/>
  <c r="Y26" i="4" s="1"/>
  <c r="Z26" i="4" s="1"/>
  <c r="E27" i="4"/>
  <c r="E20" i="4"/>
  <c r="E28" i="4"/>
  <c r="E21" i="4"/>
  <c r="H16" i="4"/>
  <c r="R23" i="4"/>
  <c r="S23" i="4" s="1"/>
  <c r="T23" i="4" s="1"/>
  <c r="U23" i="4" s="1"/>
  <c r="V23" i="4" s="1"/>
  <c r="W23" i="4" s="1"/>
  <c r="X23" i="4" s="1"/>
  <c r="Y23" i="4" s="1"/>
  <c r="Z23" i="4" s="1"/>
  <c r="G27" i="4"/>
  <c r="G28" i="4"/>
  <c r="G20" i="4"/>
  <c r="G21" i="4"/>
  <c r="R15" i="4"/>
  <c r="S15" i="4" s="1"/>
  <c r="T15" i="4" s="1"/>
  <c r="U15" i="4" s="1"/>
  <c r="V15" i="4" s="1"/>
  <c r="W15" i="4" s="1"/>
  <c r="X15" i="4" s="1"/>
  <c r="Y15" i="4" s="1"/>
  <c r="Z15" i="4" s="1"/>
  <c r="R25" i="4"/>
  <c r="I76" i="3"/>
  <c r="I8" i="4" s="1"/>
  <c r="I14" i="4" s="1"/>
  <c r="H77" i="3"/>
  <c r="H9" i="4" s="1"/>
  <c r="I74" i="3"/>
  <c r="J63" i="3"/>
  <c r="J62" i="3"/>
  <c r="J64" i="3"/>
  <c r="J16" i="3"/>
  <c r="J68" i="3" s="1"/>
  <c r="H71" i="3"/>
  <c r="I51" i="3"/>
  <c r="K12" i="3"/>
  <c r="K55" i="3" s="1"/>
  <c r="K11" i="3"/>
  <c r="K49" i="3" s="1"/>
  <c r="J49" i="3"/>
  <c r="I65" i="3"/>
  <c r="M36" i="3"/>
  <c r="J55" i="3"/>
  <c r="I57" i="3"/>
  <c r="J56" i="3"/>
  <c r="M35" i="3"/>
  <c r="I71" i="3"/>
  <c r="J50" i="3"/>
  <c r="K15" i="3"/>
  <c r="M28" i="3"/>
  <c r="L30" i="3"/>
  <c r="M34" i="3"/>
  <c r="L37" i="3"/>
  <c r="O27" i="3"/>
  <c r="L6" i="3"/>
  <c r="N4" i="3"/>
  <c r="M5" i="3"/>
  <c r="K7" i="3"/>
  <c r="S25" i="4" l="1"/>
  <c r="T25" i="4" s="1"/>
  <c r="U25" i="4" s="1"/>
  <c r="V25" i="4" s="1"/>
  <c r="W25" i="4" s="1"/>
  <c r="X25" i="4" s="1"/>
  <c r="Y25" i="4" s="1"/>
  <c r="Z25" i="4" s="1"/>
  <c r="E16" i="4"/>
  <c r="E29" i="4"/>
  <c r="N19" i="4"/>
  <c r="H28" i="4"/>
  <c r="H20" i="4"/>
  <c r="H27" i="4"/>
  <c r="H21" i="4"/>
  <c r="AA3" i="4"/>
  <c r="Z22" i="4"/>
  <c r="AA15" i="4"/>
  <c r="G29" i="4"/>
  <c r="G31" i="4" s="1"/>
  <c r="G33" i="4" s="1"/>
  <c r="AA24" i="4"/>
  <c r="I77" i="3"/>
  <c r="I9" i="4" s="1"/>
  <c r="I6" i="4"/>
  <c r="J74" i="3"/>
  <c r="J6" i="4" s="1"/>
  <c r="J12" i="4" s="1"/>
  <c r="J70" i="3"/>
  <c r="J76" i="3" s="1"/>
  <c r="J8" i="4" s="1"/>
  <c r="K54" i="3"/>
  <c r="K56" i="3"/>
  <c r="K48" i="3"/>
  <c r="J69" i="3"/>
  <c r="J75" i="3" s="1"/>
  <c r="K62" i="3"/>
  <c r="K64" i="3"/>
  <c r="K63" i="3"/>
  <c r="J57" i="3"/>
  <c r="K50" i="3"/>
  <c r="J51" i="3"/>
  <c r="J65" i="3"/>
  <c r="K16" i="3"/>
  <c r="K70" i="3" s="1"/>
  <c r="N36" i="3"/>
  <c r="N35" i="3"/>
  <c r="L12" i="3"/>
  <c r="L55" i="3" s="1"/>
  <c r="P27" i="3"/>
  <c r="N34" i="3"/>
  <c r="M37" i="3"/>
  <c r="L15" i="3"/>
  <c r="N28" i="3"/>
  <c r="M30" i="3"/>
  <c r="M6" i="3"/>
  <c r="O4" i="3"/>
  <c r="N5" i="3"/>
  <c r="L7" i="3"/>
  <c r="L11" i="3"/>
  <c r="M11" i="3" s="1"/>
  <c r="I12" i="4" l="1"/>
  <c r="F22" i="9"/>
  <c r="J14" i="4"/>
  <c r="E31" i="4"/>
  <c r="H29" i="4"/>
  <c r="H31" i="4" s="1"/>
  <c r="H33" i="4" s="1"/>
  <c r="K57" i="3"/>
  <c r="AB3" i="4"/>
  <c r="AC3" i="4" s="1"/>
  <c r="AD3" i="4" s="1"/>
  <c r="AE3" i="4" s="1"/>
  <c r="AF3" i="4" s="1"/>
  <c r="AG3" i="4" s="1"/>
  <c r="AH3" i="4" s="1"/>
  <c r="AI3" i="4" s="1"/>
  <c r="AJ3" i="4" s="1"/>
  <c r="AK3" i="4" s="1"/>
  <c r="AA22" i="4"/>
  <c r="AB22" i="4" s="1"/>
  <c r="AC22" i="4" s="1"/>
  <c r="O19" i="4"/>
  <c r="I21" i="4"/>
  <c r="I27" i="4"/>
  <c r="I28" i="4"/>
  <c r="I20" i="4"/>
  <c r="AA25" i="4"/>
  <c r="AB25" i="4" s="1"/>
  <c r="AC25" i="4" s="1"/>
  <c r="AA26" i="4"/>
  <c r="AB24" i="4"/>
  <c r="AA23" i="4"/>
  <c r="J77" i="3"/>
  <c r="J9" i="4" s="1"/>
  <c r="J7" i="4"/>
  <c r="J71" i="3"/>
  <c r="K76" i="3"/>
  <c r="K8" i="4" s="1"/>
  <c r="K14" i="4" s="1"/>
  <c r="M48" i="3"/>
  <c r="K68" i="3"/>
  <c r="K69" i="3"/>
  <c r="K75" i="3" s="1"/>
  <c r="K7" i="4" s="1"/>
  <c r="K13" i="4" s="1"/>
  <c r="L69" i="3"/>
  <c r="L68" i="3"/>
  <c r="K51" i="3"/>
  <c r="L48" i="3"/>
  <c r="L63" i="3"/>
  <c r="L64" i="3"/>
  <c r="L62" i="3"/>
  <c r="O35" i="3"/>
  <c r="L16" i="3"/>
  <c r="L70" i="3" s="1"/>
  <c r="L54" i="3"/>
  <c r="K65" i="3"/>
  <c r="L56" i="3"/>
  <c r="L49" i="3"/>
  <c r="M12" i="3"/>
  <c r="M56" i="3" s="1"/>
  <c r="M49" i="3"/>
  <c r="M50" i="3"/>
  <c r="M15" i="3"/>
  <c r="L50" i="3"/>
  <c r="O36" i="3"/>
  <c r="O28" i="3"/>
  <c r="N30" i="3"/>
  <c r="O34" i="3"/>
  <c r="N37" i="3"/>
  <c r="Q27" i="3"/>
  <c r="N6" i="3"/>
  <c r="P4" i="3"/>
  <c r="O5" i="3"/>
  <c r="M7" i="3"/>
  <c r="F25" i="9" l="1"/>
  <c r="J13" i="4"/>
  <c r="E33" i="4"/>
  <c r="AC24" i="4"/>
  <c r="F24" i="9"/>
  <c r="AD22" i="4"/>
  <c r="AE22" i="4" s="1"/>
  <c r="AF22" i="4" s="1"/>
  <c r="AG22" i="4" s="1"/>
  <c r="AH22" i="4" s="1"/>
  <c r="AI22" i="4" s="1"/>
  <c r="AJ22" i="4" s="1"/>
  <c r="AK22" i="4" s="1"/>
  <c r="AB26" i="4"/>
  <c r="AC26" i="4" s="1"/>
  <c r="AD25" i="4"/>
  <c r="AE25" i="4" s="1"/>
  <c r="AF25" i="4" s="1"/>
  <c r="AG25" i="4" s="1"/>
  <c r="AH25" i="4" s="1"/>
  <c r="AI25" i="4" s="1"/>
  <c r="AJ25" i="4" s="1"/>
  <c r="AK25" i="4" s="1"/>
  <c r="AL25" i="4" s="1"/>
  <c r="I16" i="4"/>
  <c r="AB23" i="4"/>
  <c r="AC23" i="4" s="1"/>
  <c r="J21" i="4"/>
  <c r="J27" i="4"/>
  <c r="J28" i="4"/>
  <c r="J20" i="4"/>
  <c r="P19" i="4"/>
  <c r="I29" i="4"/>
  <c r="AL3" i="4"/>
  <c r="AB15" i="4"/>
  <c r="K71" i="3"/>
  <c r="K74" i="3"/>
  <c r="L76" i="3"/>
  <c r="L8" i="4" s="1"/>
  <c r="L75" i="3"/>
  <c r="L7" i="4" s="1"/>
  <c r="L13" i="4" s="1"/>
  <c r="L74" i="3"/>
  <c r="M68" i="3"/>
  <c r="M69" i="3"/>
  <c r="M62" i="3"/>
  <c r="M64" i="3"/>
  <c r="M63" i="3"/>
  <c r="L71" i="3"/>
  <c r="L57" i="3"/>
  <c r="L65" i="3"/>
  <c r="L51" i="3"/>
  <c r="M55" i="3"/>
  <c r="N12" i="3"/>
  <c r="N56" i="3" s="1"/>
  <c r="M54" i="3"/>
  <c r="M51" i="3"/>
  <c r="M16" i="3"/>
  <c r="M70" i="3" s="1"/>
  <c r="P36" i="3"/>
  <c r="P35" i="3"/>
  <c r="P34" i="3"/>
  <c r="O37" i="3"/>
  <c r="R27" i="3"/>
  <c r="P28" i="3"/>
  <c r="O30" i="3"/>
  <c r="O6" i="3"/>
  <c r="N7" i="3"/>
  <c r="Q4" i="3"/>
  <c r="P5" i="3"/>
  <c r="N15" i="3"/>
  <c r="N11" i="3"/>
  <c r="N49" i="3" s="1"/>
  <c r="F26" i="9" l="1"/>
  <c r="F23" i="9"/>
  <c r="I31" i="4"/>
  <c r="AC15" i="4"/>
  <c r="F15" i="9"/>
  <c r="J29" i="4"/>
  <c r="AD24" i="4"/>
  <c r="AE24" i="4" s="1"/>
  <c r="AF24" i="4" s="1"/>
  <c r="AG24" i="4" s="1"/>
  <c r="AH24" i="4" s="1"/>
  <c r="AI24" i="4" s="1"/>
  <c r="AJ24" i="4" s="1"/>
  <c r="AK24" i="4" s="1"/>
  <c r="AL24" i="4" s="1"/>
  <c r="L14" i="4"/>
  <c r="AD23" i="4"/>
  <c r="AE23" i="4" s="1"/>
  <c r="AF23" i="4" s="1"/>
  <c r="AG23" i="4" s="1"/>
  <c r="AH23" i="4" s="1"/>
  <c r="AI23" i="4" s="1"/>
  <c r="AJ23" i="4" s="1"/>
  <c r="AK23" i="4" s="1"/>
  <c r="AL23" i="4" s="1"/>
  <c r="AD26" i="4"/>
  <c r="AE26" i="4" s="1"/>
  <c r="AF26" i="4" s="1"/>
  <c r="AG26" i="4" s="1"/>
  <c r="AH26" i="4" s="1"/>
  <c r="AI26" i="4" s="1"/>
  <c r="AJ26" i="4" s="1"/>
  <c r="AK26" i="4" s="1"/>
  <c r="AL26" i="4" s="1"/>
  <c r="J16" i="4"/>
  <c r="AM3" i="4"/>
  <c r="AN3" i="4" s="1"/>
  <c r="AL22" i="4"/>
  <c r="AM22" i="4" s="1"/>
  <c r="AN22" i="4" s="1"/>
  <c r="E22" i="9" s="1"/>
  <c r="AM25" i="4"/>
  <c r="Q19" i="4"/>
  <c r="L77" i="3"/>
  <c r="L9" i="4" s="1"/>
  <c r="L6" i="4"/>
  <c r="L12" i="4" s="1"/>
  <c r="L16" i="4" s="1"/>
  <c r="K77" i="3"/>
  <c r="K9" i="4" s="1"/>
  <c r="K6" i="4"/>
  <c r="M75" i="3"/>
  <c r="M7" i="4" s="1"/>
  <c r="M13" i="4" s="1"/>
  <c r="M74" i="3"/>
  <c r="M6" i="4" s="1"/>
  <c r="M12" i="4" s="1"/>
  <c r="M76" i="3"/>
  <c r="M8" i="4" s="1"/>
  <c r="M14" i="4" s="1"/>
  <c r="N48" i="3"/>
  <c r="O48" i="3"/>
  <c r="N63" i="3"/>
  <c r="N64" i="3"/>
  <c r="N62" i="3"/>
  <c r="M57" i="3"/>
  <c r="N55" i="3"/>
  <c r="N16" i="3"/>
  <c r="N70" i="3" s="1"/>
  <c r="Q35" i="3"/>
  <c r="N54" i="3"/>
  <c r="O12" i="3"/>
  <c r="O54" i="3" s="1"/>
  <c r="Q36" i="3"/>
  <c r="M65" i="3"/>
  <c r="N50" i="3"/>
  <c r="O11" i="3"/>
  <c r="Q28" i="3"/>
  <c r="P30" i="3"/>
  <c r="S27" i="3"/>
  <c r="O15" i="3"/>
  <c r="Q34" i="3"/>
  <c r="P37" i="3"/>
  <c r="R4" i="3"/>
  <c r="Q5" i="3"/>
  <c r="O7" i="3"/>
  <c r="P6" i="3"/>
  <c r="AM24" i="4" l="1"/>
  <c r="AN24" i="4" s="1"/>
  <c r="E24" i="9" s="1"/>
  <c r="G24" i="9"/>
  <c r="J31" i="4"/>
  <c r="J33" i="4" s="1"/>
  <c r="AD15" i="4"/>
  <c r="AE15" i="4" s="1"/>
  <c r="AF15" i="4" s="1"/>
  <c r="AG15" i="4" s="1"/>
  <c r="AH15" i="4" s="1"/>
  <c r="AI15" i="4" s="1"/>
  <c r="AJ15" i="4" s="1"/>
  <c r="AK15" i="4" s="1"/>
  <c r="AL15" i="4" s="1"/>
  <c r="AM15" i="4" s="1"/>
  <c r="AN15" i="4" s="1"/>
  <c r="E15" i="9" s="1"/>
  <c r="G22" i="9"/>
  <c r="K12" i="4"/>
  <c r="K16" i="4" s="1"/>
  <c r="G26" i="9"/>
  <c r="I33" i="4"/>
  <c r="R19" i="4"/>
  <c r="K28" i="4"/>
  <c r="K20" i="4"/>
  <c r="K21" i="4"/>
  <c r="K27" i="4"/>
  <c r="AN25" i="4"/>
  <c r="E25" i="9" s="1"/>
  <c r="L28" i="4"/>
  <c r="L20" i="4"/>
  <c r="L21" i="4"/>
  <c r="L27" i="4"/>
  <c r="M16" i="4"/>
  <c r="AM26" i="4"/>
  <c r="AN26" i="4" s="1"/>
  <c r="E26" i="9" s="1"/>
  <c r="AM23" i="4"/>
  <c r="M77" i="3"/>
  <c r="M9" i="4" s="1"/>
  <c r="N51" i="3"/>
  <c r="N76" i="3"/>
  <c r="N8" i="4" s="1"/>
  <c r="N68" i="3"/>
  <c r="N69" i="3"/>
  <c r="N75" i="3" s="1"/>
  <c r="N7" i="4" s="1"/>
  <c r="N13" i="4" s="1"/>
  <c r="O62" i="3"/>
  <c r="O63" i="3"/>
  <c r="O64" i="3"/>
  <c r="N65" i="3"/>
  <c r="M71" i="3"/>
  <c r="O55" i="3"/>
  <c r="N57" i="3"/>
  <c r="O56" i="3"/>
  <c r="O50" i="3"/>
  <c r="O49" i="3"/>
  <c r="R35" i="3"/>
  <c r="P11" i="3"/>
  <c r="P48" i="3" s="1"/>
  <c r="O16" i="3"/>
  <c r="O70" i="3" s="1"/>
  <c r="R36" i="3"/>
  <c r="R34" i="3"/>
  <c r="Q37" i="3"/>
  <c r="P7" i="3"/>
  <c r="P12" i="3"/>
  <c r="P56" i="3" s="1"/>
  <c r="T27" i="3"/>
  <c r="R28" i="3"/>
  <c r="Q30" i="3"/>
  <c r="S4" i="3"/>
  <c r="R5" i="3"/>
  <c r="P15" i="3"/>
  <c r="Q6" i="3"/>
  <c r="G25" i="9" l="1"/>
  <c r="AN23" i="4"/>
  <c r="G23" i="9"/>
  <c r="N14" i="4"/>
  <c r="G15" i="9"/>
  <c r="K29" i="4"/>
  <c r="M28" i="4"/>
  <c r="M20" i="4"/>
  <c r="M21" i="4"/>
  <c r="M27" i="4"/>
  <c r="L29" i="4"/>
  <c r="L31" i="4" s="1"/>
  <c r="L33" i="4" s="1"/>
  <c r="S19" i="4"/>
  <c r="N71" i="3"/>
  <c r="O76" i="3"/>
  <c r="O8" i="4" s="1"/>
  <c r="O14" i="4" s="1"/>
  <c r="N74" i="3"/>
  <c r="O69" i="3"/>
  <c r="O75" i="3" s="1"/>
  <c r="O7" i="4" s="1"/>
  <c r="O13" i="4" s="1"/>
  <c r="O68" i="3"/>
  <c r="O74" i="3" s="1"/>
  <c r="O6" i="4" s="1"/>
  <c r="O12" i="4" s="1"/>
  <c r="P69" i="3"/>
  <c r="P68" i="3"/>
  <c r="P63" i="3"/>
  <c r="P62" i="3"/>
  <c r="P64" i="3"/>
  <c r="O51" i="3"/>
  <c r="O57" i="3"/>
  <c r="P54" i="3"/>
  <c r="Q11" i="3"/>
  <c r="Q49" i="3" s="1"/>
  <c r="S36" i="3"/>
  <c r="P55" i="3"/>
  <c r="P49" i="3"/>
  <c r="O65" i="3"/>
  <c r="P16" i="3"/>
  <c r="P70" i="3" s="1"/>
  <c r="P50" i="3"/>
  <c r="S35" i="3"/>
  <c r="S28" i="3"/>
  <c r="R30" i="3"/>
  <c r="U27" i="3"/>
  <c r="S34" i="3"/>
  <c r="R37" i="3"/>
  <c r="Q15" i="3"/>
  <c r="T4" i="3"/>
  <c r="S5" i="3"/>
  <c r="R6" i="3"/>
  <c r="Q12" i="3"/>
  <c r="Q55" i="3" s="1"/>
  <c r="Q7" i="3"/>
  <c r="E8" i="9" l="1"/>
  <c r="O16" i="4"/>
  <c r="K31" i="4"/>
  <c r="T19" i="4"/>
  <c r="M29" i="4"/>
  <c r="M31" i="4" s="1"/>
  <c r="M33" i="4" s="1"/>
  <c r="N77" i="3"/>
  <c r="N9" i="4" s="1"/>
  <c r="N6" i="4"/>
  <c r="N12" i="4" s="1"/>
  <c r="N16" i="4" s="1"/>
  <c r="P74" i="3"/>
  <c r="O77" i="3"/>
  <c r="O9" i="4" s="1"/>
  <c r="P76" i="3"/>
  <c r="P8" i="4" s="1"/>
  <c r="P14" i="4" s="1"/>
  <c r="P75" i="3"/>
  <c r="P7" i="4" s="1"/>
  <c r="P13" i="4" s="1"/>
  <c r="Q64" i="3"/>
  <c r="Q63" i="3"/>
  <c r="Q62" i="3"/>
  <c r="Q48" i="3"/>
  <c r="Q69" i="3"/>
  <c r="P65" i="3"/>
  <c r="O71" i="3"/>
  <c r="Q54" i="3"/>
  <c r="P51" i="3"/>
  <c r="P71" i="3"/>
  <c r="Q16" i="3"/>
  <c r="Q70" i="3" s="1"/>
  <c r="Q50" i="3"/>
  <c r="Q56" i="3"/>
  <c r="R11" i="3"/>
  <c r="R50" i="3" s="1"/>
  <c r="T36" i="3"/>
  <c r="P57" i="3"/>
  <c r="T35" i="3"/>
  <c r="R15" i="3"/>
  <c r="T34" i="3"/>
  <c r="S37" i="3"/>
  <c r="V27" i="3"/>
  <c r="T28" i="3"/>
  <c r="S30" i="3"/>
  <c r="R12" i="3"/>
  <c r="R56" i="3" s="1"/>
  <c r="R7" i="3"/>
  <c r="S6" i="3"/>
  <c r="U4" i="3"/>
  <c r="T5" i="3"/>
  <c r="K33" i="4" l="1"/>
  <c r="E16" i="8"/>
  <c r="E14" i="10" s="1"/>
  <c r="E8" i="8"/>
  <c r="E35" i="10" s="1"/>
  <c r="E9" i="8"/>
  <c r="E36" i="10" s="1"/>
  <c r="E17" i="8"/>
  <c r="E15" i="10" s="1"/>
  <c r="O28" i="4"/>
  <c r="O20" i="4"/>
  <c r="O27" i="4"/>
  <c r="O21" i="4"/>
  <c r="N20" i="4"/>
  <c r="N21" i="4"/>
  <c r="N28" i="4"/>
  <c r="N27" i="4"/>
  <c r="U19" i="4"/>
  <c r="P77" i="3"/>
  <c r="P9" i="4" s="1"/>
  <c r="P6" i="4"/>
  <c r="P12" i="4" s="1"/>
  <c r="Q75" i="3"/>
  <c r="Q7" i="4" s="1"/>
  <c r="Q76" i="3"/>
  <c r="Q8" i="4" s="1"/>
  <c r="R64" i="3"/>
  <c r="R62" i="3"/>
  <c r="R63" i="3"/>
  <c r="R48" i="3"/>
  <c r="R68" i="3"/>
  <c r="Q68" i="3"/>
  <c r="Q74" i="3" s="1"/>
  <c r="Q57" i="3"/>
  <c r="Q51" i="3"/>
  <c r="Q65" i="3"/>
  <c r="U36" i="3"/>
  <c r="R54" i="3"/>
  <c r="R16" i="3"/>
  <c r="R69" i="3" s="1"/>
  <c r="R55" i="3"/>
  <c r="U35" i="3"/>
  <c r="S11" i="3"/>
  <c r="S50" i="3" s="1"/>
  <c r="R49" i="3"/>
  <c r="U28" i="3"/>
  <c r="T30" i="3"/>
  <c r="W27" i="3"/>
  <c r="U34" i="3"/>
  <c r="T37" i="3"/>
  <c r="V4" i="3"/>
  <c r="U5" i="3"/>
  <c r="T6" i="3"/>
  <c r="S7" i="3"/>
  <c r="S12" i="3"/>
  <c r="S56" i="3" s="1"/>
  <c r="S15" i="3"/>
  <c r="Q14" i="4" l="1"/>
  <c r="Q13" i="4"/>
  <c r="P16" i="4"/>
  <c r="E15" i="8"/>
  <c r="E13" i="10" s="1"/>
  <c r="E7" i="8"/>
  <c r="N29" i="4"/>
  <c r="V19" i="4"/>
  <c r="O29" i="4"/>
  <c r="O31" i="4" s="1"/>
  <c r="O33" i="4" s="1"/>
  <c r="P20" i="4"/>
  <c r="P28" i="4"/>
  <c r="P27" i="4"/>
  <c r="P21" i="4"/>
  <c r="Q77" i="3"/>
  <c r="Q9" i="4" s="1"/>
  <c r="Q6" i="4"/>
  <c r="R74" i="3"/>
  <c r="R6" i="4" s="1"/>
  <c r="R12" i="4" s="1"/>
  <c r="R75" i="3"/>
  <c r="R7" i="4" s="1"/>
  <c r="R13" i="4" s="1"/>
  <c r="R70" i="3"/>
  <c r="R76" i="3" s="1"/>
  <c r="R8" i="4" s="1"/>
  <c r="R14" i="4" s="1"/>
  <c r="T48" i="3"/>
  <c r="S64" i="3"/>
  <c r="S62" i="3"/>
  <c r="S63" i="3"/>
  <c r="S48" i="3"/>
  <c r="R65" i="3"/>
  <c r="S49" i="3"/>
  <c r="S55" i="3"/>
  <c r="S54" i="3"/>
  <c r="V35" i="3"/>
  <c r="R57" i="3"/>
  <c r="Q71" i="3"/>
  <c r="S16" i="3"/>
  <c r="S70" i="3" s="1"/>
  <c r="T11" i="3"/>
  <c r="T50" i="3" s="1"/>
  <c r="R51" i="3"/>
  <c r="V36" i="3"/>
  <c r="V34" i="3"/>
  <c r="U37" i="3"/>
  <c r="T12" i="3"/>
  <c r="T55" i="3" s="1"/>
  <c r="X27" i="3"/>
  <c r="V28" i="3"/>
  <c r="U30" i="3"/>
  <c r="T7" i="3"/>
  <c r="W4" i="3"/>
  <c r="V5" i="3"/>
  <c r="U6" i="3"/>
  <c r="T15" i="3"/>
  <c r="Q12" i="4" l="1"/>
  <c r="N31" i="4"/>
  <c r="E10" i="8"/>
  <c r="E34" i="10"/>
  <c r="Q21" i="4"/>
  <c r="Q20" i="4"/>
  <c r="Q28" i="4"/>
  <c r="Q27" i="4"/>
  <c r="P29" i="4"/>
  <c r="R16" i="4"/>
  <c r="W19" i="4"/>
  <c r="S76" i="3"/>
  <c r="S8" i="4" s="1"/>
  <c r="S14" i="4" s="1"/>
  <c r="R77" i="3"/>
  <c r="R9" i="4" s="1"/>
  <c r="S51" i="3"/>
  <c r="U48" i="3"/>
  <c r="S69" i="3"/>
  <c r="T68" i="3"/>
  <c r="S68" i="3"/>
  <c r="S74" i="3" s="1"/>
  <c r="S6" i="4" s="1"/>
  <c r="S12" i="4" s="1"/>
  <c r="T62" i="3"/>
  <c r="T64" i="3"/>
  <c r="T63" i="3"/>
  <c r="S57" i="3"/>
  <c r="R71" i="3"/>
  <c r="T49" i="3"/>
  <c r="T56" i="3"/>
  <c r="T54" i="3"/>
  <c r="S65" i="3"/>
  <c r="U11" i="3"/>
  <c r="U49" i="3" s="1"/>
  <c r="W35" i="3"/>
  <c r="T16" i="3"/>
  <c r="T70" i="3" s="1"/>
  <c r="W36" i="3"/>
  <c r="W28" i="3"/>
  <c r="V30" i="3"/>
  <c r="Y27" i="3"/>
  <c r="W34" i="3"/>
  <c r="V37" i="3"/>
  <c r="U7" i="3"/>
  <c r="X4" i="3"/>
  <c r="W5" i="3"/>
  <c r="U15" i="3"/>
  <c r="U12" i="3"/>
  <c r="U55" i="3" s="1"/>
  <c r="V6" i="3"/>
  <c r="N33" i="4" l="1"/>
  <c r="E31" i="9"/>
  <c r="E34" i="9" s="1"/>
  <c r="E37" i="9" s="1"/>
  <c r="Q16" i="4"/>
  <c r="P31" i="4"/>
  <c r="P33" i="4" s="1"/>
  <c r="E13" i="8"/>
  <c r="R21" i="4"/>
  <c r="R27" i="4"/>
  <c r="R20" i="4"/>
  <c r="R28" i="4"/>
  <c r="X19" i="4"/>
  <c r="Q29" i="4"/>
  <c r="T74" i="3"/>
  <c r="T6" i="4" s="1"/>
  <c r="T12" i="4" s="1"/>
  <c r="T76" i="3"/>
  <c r="T8" i="4" s="1"/>
  <c r="S71" i="3"/>
  <c r="S75" i="3"/>
  <c r="U64" i="3"/>
  <c r="U63" i="3"/>
  <c r="U62" i="3"/>
  <c r="T69" i="3"/>
  <c r="T75" i="3" s="1"/>
  <c r="U69" i="3"/>
  <c r="U56" i="3"/>
  <c r="T51" i="3"/>
  <c r="T57" i="3"/>
  <c r="U50" i="3"/>
  <c r="X35" i="3"/>
  <c r="X36" i="3"/>
  <c r="U54" i="3"/>
  <c r="V11" i="3"/>
  <c r="V49" i="3" s="1"/>
  <c r="U16" i="3"/>
  <c r="U68" i="3" s="1"/>
  <c r="T65" i="3"/>
  <c r="X34" i="3"/>
  <c r="W37" i="3"/>
  <c r="Z27" i="3"/>
  <c r="X28" i="3"/>
  <c r="W30" i="3"/>
  <c r="V15" i="3"/>
  <c r="V12" i="3"/>
  <c r="V54" i="3" s="1"/>
  <c r="W6" i="3"/>
  <c r="V7" i="3"/>
  <c r="Y4" i="3"/>
  <c r="X5" i="3"/>
  <c r="T14" i="4" l="1"/>
  <c r="E18" i="8"/>
  <c r="E20" i="8" s="1"/>
  <c r="E11" i="10"/>
  <c r="E17" i="10" s="1"/>
  <c r="Q31" i="4"/>
  <c r="E38" i="9"/>
  <c r="E39" i="9" s="1"/>
  <c r="Y19" i="4"/>
  <c r="R29" i="4"/>
  <c r="R31" i="4" s="1"/>
  <c r="R33" i="4" s="1"/>
  <c r="S77" i="3"/>
  <c r="S9" i="4" s="1"/>
  <c r="S7" i="4"/>
  <c r="U74" i="3"/>
  <c r="U6" i="4" s="1"/>
  <c r="U12" i="4" s="1"/>
  <c r="T77" i="3"/>
  <c r="T9" i="4" s="1"/>
  <c r="T7" i="4"/>
  <c r="T13" i="4" s="1"/>
  <c r="T16" i="4" s="1"/>
  <c r="U75" i="3"/>
  <c r="U7" i="4" s="1"/>
  <c r="U13" i="4" s="1"/>
  <c r="U65" i="3"/>
  <c r="U70" i="3"/>
  <c r="U76" i="3" s="1"/>
  <c r="V68" i="3"/>
  <c r="V70" i="3"/>
  <c r="V69" i="3"/>
  <c r="V48" i="3"/>
  <c r="V64" i="3"/>
  <c r="V62" i="3"/>
  <c r="V63" i="3"/>
  <c r="U57" i="3"/>
  <c r="T71" i="3"/>
  <c r="Y35" i="3"/>
  <c r="V56" i="3"/>
  <c r="V50" i="3"/>
  <c r="V16" i="3"/>
  <c r="V55" i="3"/>
  <c r="W11" i="3"/>
  <c r="W48" i="3" s="1"/>
  <c r="Y36" i="3"/>
  <c r="U51" i="3"/>
  <c r="Y28" i="3"/>
  <c r="X30" i="3"/>
  <c r="Y34" i="3"/>
  <c r="X37" i="3"/>
  <c r="AA27" i="3"/>
  <c r="Z4" i="3"/>
  <c r="Y5" i="3"/>
  <c r="W12" i="3"/>
  <c r="W56" i="3" s="1"/>
  <c r="W15" i="3"/>
  <c r="W7" i="3"/>
  <c r="X6" i="3"/>
  <c r="E6" i="10" l="1"/>
  <c r="E5" i="11"/>
  <c r="E7" i="11" s="1"/>
  <c r="E10" i="11" s="1"/>
  <c r="E21" i="11" s="1"/>
  <c r="E23" i="11" s="1"/>
  <c r="S13" i="4"/>
  <c r="Q33" i="4"/>
  <c r="T28" i="4"/>
  <c r="T27" i="4"/>
  <c r="T21" i="4"/>
  <c r="T20" i="4"/>
  <c r="S27" i="4"/>
  <c r="S21" i="4"/>
  <c r="S28" i="4"/>
  <c r="S20" i="4"/>
  <c r="Z19" i="4"/>
  <c r="V74" i="3"/>
  <c r="V6" i="4" s="1"/>
  <c r="U77" i="3"/>
  <c r="U9" i="4" s="1"/>
  <c r="U8" i="4"/>
  <c r="U71" i="3"/>
  <c r="V75" i="3"/>
  <c r="V76" i="3"/>
  <c r="V8" i="4" s="1"/>
  <c r="V14" i="4" s="1"/>
  <c r="W63" i="3"/>
  <c r="W64" i="3"/>
  <c r="W62" i="3"/>
  <c r="W69" i="3"/>
  <c r="W49" i="3"/>
  <c r="V51" i="3"/>
  <c r="V57" i="3"/>
  <c r="W50" i="3"/>
  <c r="V65" i="3"/>
  <c r="Z36" i="3"/>
  <c r="X7" i="3"/>
  <c r="W55" i="3"/>
  <c r="W16" i="3"/>
  <c r="W68" i="3" s="1"/>
  <c r="W54" i="3"/>
  <c r="Z35" i="3"/>
  <c r="AB27" i="3"/>
  <c r="Z34" i="3"/>
  <c r="Y37" i="3"/>
  <c r="Z28" i="3"/>
  <c r="Y30" i="3"/>
  <c r="X15" i="3"/>
  <c r="Y6" i="3"/>
  <c r="X12" i="3"/>
  <c r="X54" i="3" s="1"/>
  <c r="AA4" i="3"/>
  <c r="Z5" i="3"/>
  <c r="X11" i="3"/>
  <c r="X49" i="3" s="1"/>
  <c r="U14" i="4" l="1"/>
  <c r="U16" i="4" s="1"/>
  <c r="S16" i="4"/>
  <c r="V12" i="4"/>
  <c r="E37" i="10"/>
  <c r="E39" i="10" s="1"/>
  <c r="F22" i="11"/>
  <c r="E8" i="10"/>
  <c r="E19" i="10" s="1"/>
  <c r="E41" i="10" s="1"/>
  <c r="T29" i="4"/>
  <c r="T31" i="4" s="1"/>
  <c r="T33" i="4" s="1"/>
  <c r="AA19" i="4"/>
  <c r="U20" i="4"/>
  <c r="U28" i="4"/>
  <c r="U27" i="4"/>
  <c r="U21" i="4"/>
  <c r="S29" i="4"/>
  <c r="V77" i="3"/>
  <c r="V9" i="4" s="1"/>
  <c r="V7" i="4"/>
  <c r="W74" i="3"/>
  <c r="W6" i="4" s="1"/>
  <c r="W12" i="4" s="1"/>
  <c r="W75" i="3"/>
  <c r="W7" i="4" s="1"/>
  <c r="W13" i="4" s="1"/>
  <c r="X62" i="3"/>
  <c r="X63" i="3"/>
  <c r="X64" i="3"/>
  <c r="W70" i="3"/>
  <c r="W71" i="3" s="1"/>
  <c r="X48" i="3"/>
  <c r="W51" i="3"/>
  <c r="V71" i="3"/>
  <c r="X16" i="3"/>
  <c r="X70" i="3" s="1"/>
  <c r="X55" i="3"/>
  <c r="AA35" i="3"/>
  <c r="X50" i="3"/>
  <c r="X56" i="3"/>
  <c r="W57" i="3"/>
  <c r="Y7" i="3"/>
  <c r="W65" i="3"/>
  <c r="AA36" i="3"/>
  <c r="Y15" i="3"/>
  <c r="Y11" i="3"/>
  <c r="Y50" i="3" s="1"/>
  <c r="AA28" i="3"/>
  <c r="Z30" i="3"/>
  <c r="AA34" i="3"/>
  <c r="Z37" i="3"/>
  <c r="Y12" i="3"/>
  <c r="Y55" i="3" s="1"/>
  <c r="AC27" i="3"/>
  <c r="AB4" i="3"/>
  <c r="AA5" i="3"/>
  <c r="Z6" i="3"/>
  <c r="V13" i="4" l="1"/>
  <c r="S31" i="4"/>
  <c r="U29" i="4"/>
  <c r="U31" i="4" s="1"/>
  <c r="U33" i="4" s="1"/>
  <c r="V20" i="4"/>
  <c r="V27" i="4"/>
  <c r="V21" i="4"/>
  <c r="V28" i="4"/>
  <c r="AB19" i="4"/>
  <c r="W76" i="3"/>
  <c r="X76" i="3"/>
  <c r="X8" i="4" s="1"/>
  <c r="X14" i="4" s="1"/>
  <c r="X69" i="3"/>
  <c r="X75" i="3" s="1"/>
  <c r="X7" i="4" s="1"/>
  <c r="X13" i="4" s="1"/>
  <c r="X68" i="3"/>
  <c r="X74" i="3" s="1"/>
  <c r="Y48" i="3"/>
  <c r="Y63" i="3"/>
  <c r="Y64" i="3"/>
  <c r="Y62" i="3"/>
  <c r="X51" i="3"/>
  <c r="Y49" i="3"/>
  <c r="X57" i="3"/>
  <c r="Y54" i="3"/>
  <c r="Y56" i="3"/>
  <c r="Y16" i="3"/>
  <c r="Y68" i="3" s="1"/>
  <c r="AB36" i="3"/>
  <c r="AB35" i="3"/>
  <c r="X65" i="3"/>
  <c r="AD27" i="3"/>
  <c r="AB28" i="3"/>
  <c r="AA30" i="3"/>
  <c r="AB34" i="3"/>
  <c r="AA37" i="3"/>
  <c r="Z12" i="3"/>
  <c r="Z56" i="3" s="1"/>
  <c r="Z15" i="3"/>
  <c r="Z11" i="3"/>
  <c r="Z50" i="3" s="1"/>
  <c r="Z7" i="3"/>
  <c r="AC4" i="3"/>
  <c r="AB5" i="3"/>
  <c r="AA6" i="3"/>
  <c r="S33" i="4" l="1"/>
  <c r="V16" i="4"/>
  <c r="AC19" i="4"/>
  <c r="V29" i="4"/>
  <c r="X77" i="3"/>
  <c r="X9" i="4" s="1"/>
  <c r="X6" i="4"/>
  <c r="W77" i="3"/>
  <c r="W9" i="4" s="1"/>
  <c r="W8" i="4"/>
  <c r="Y51" i="3"/>
  <c r="X71" i="3"/>
  <c r="Y74" i="3"/>
  <c r="Y6" i="4" s="1"/>
  <c r="Y12" i="4" s="1"/>
  <c r="Z64" i="3"/>
  <c r="Z63" i="3"/>
  <c r="Z62" i="3"/>
  <c r="Y69" i="3"/>
  <c r="Y75" i="3" s="1"/>
  <c r="Y7" i="4" s="1"/>
  <c r="Y13" i="4" s="1"/>
  <c r="Z48" i="3"/>
  <c r="Y70" i="3"/>
  <c r="Y76" i="3" s="1"/>
  <c r="Y8" i="4" s="1"/>
  <c r="Y14" i="4" s="1"/>
  <c r="Z54" i="3"/>
  <c r="Z49" i="3"/>
  <c r="Z55" i="3"/>
  <c r="Y65" i="3"/>
  <c r="Z16" i="3"/>
  <c r="Z70" i="3" s="1"/>
  <c r="AA12" i="3"/>
  <c r="AA55" i="3" s="1"/>
  <c r="AC35" i="3"/>
  <c r="AC36" i="3"/>
  <c r="Y57" i="3"/>
  <c r="AE27" i="3"/>
  <c r="AC34" i="3"/>
  <c r="AB37" i="3"/>
  <c r="AC28" i="3"/>
  <c r="AB30" i="3"/>
  <c r="AA7" i="3"/>
  <c r="AD4" i="3"/>
  <c r="AC5" i="3"/>
  <c r="AB6" i="3"/>
  <c r="AA11" i="3"/>
  <c r="AA49" i="3" s="1"/>
  <c r="AA15" i="3"/>
  <c r="V31" i="4" l="1"/>
  <c r="W14" i="4"/>
  <c r="W16" i="4" s="1"/>
  <c r="X12" i="4"/>
  <c r="X16" i="4" s="1"/>
  <c r="X28" i="4"/>
  <c r="X20" i="4"/>
  <c r="X27" i="4"/>
  <c r="X21" i="4"/>
  <c r="AD19" i="4"/>
  <c r="W20" i="4"/>
  <c r="W28" i="4"/>
  <c r="W27" i="4"/>
  <c r="W21" i="4"/>
  <c r="Y16" i="4"/>
  <c r="Z76" i="3"/>
  <c r="Z8" i="4" s="1"/>
  <c r="Z14" i="4" s="1"/>
  <c r="Y71" i="3"/>
  <c r="Z51" i="3"/>
  <c r="Y77" i="3"/>
  <c r="Y9" i="4" s="1"/>
  <c r="Z68" i="3"/>
  <c r="AA16" i="3"/>
  <c r="AA70" i="3"/>
  <c r="AA68" i="3"/>
  <c r="AA69" i="3"/>
  <c r="AA64" i="3"/>
  <c r="AA63" i="3"/>
  <c r="AA62" i="3"/>
  <c r="AA48" i="3"/>
  <c r="Z69" i="3"/>
  <c r="Z75" i="3" s="1"/>
  <c r="Z7" i="4" s="1"/>
  <c r="Z13" i="4" s="1"/>
  <c r="Z57" i="3"/>
  <c r="AD35" i="3"/>
  <c r="Z65" i="3"/>
  <c r="AA54" i="3"/>
  <c r="AB12" i="3"/>
  <c r="AB55" i="3" s="1"/>
  <c r="AA56" i="3"/>
  <c r="AA50" i="3"/>
  <c r="AD36" i="3"/>
  <c r="AF27" i="3"/>
  <c r="AB15" i="3"/>
  <c r="AD28" i="3"/>
  <c r="AC30" i="3"/>
  <c r="AD34" i="3"/>
  <c r="AC37" i="3"/>
  <c r="AB11" i="3"/>
  <c r="AB48" i="3" s="1"/>
  <c r="AC6" i="3"/>
  <c r="AB7" i="3"/>
  <c r="AE4" i="3"/>
  <c r="AD5" i="3"/>
  <c r="V33" i="4" l="1"/>
  <c r="AE19" i="4"/>
  <c r="X29" i="4"/>
  <c r="X31" i="4" s="1"/>
  <c r="X33" i="4" s="1"/>
  <c r="Y20" i="4"/>
  <c r="Y28" i="4"/>
  <c r="Y27" i="4"/>
  <c r="Y21" i="4"/>
  <c r="W29" i="4"/>
  <c r="AA75" i="3"/>
  <c r="AA7" i="4" s="1"/>
  <c r="AA13" i="4" s="1"/>
  <c r="Z71" i="3"/>
  <c r="AA76" i="3"/>
  <c r="AA8" i="4" s="1"/>
  <c r="AA14" i="4" s="1"/>
  <c r="AA74" i="3"/>
  <c r="Z74" i="3"/>
  <c r="AC48" i="3"/>
  <c r="AB64" i="3"/>
  <c r="AB63" i="3"/>
  <c r="AB62" i="3"/>
  <c r="AA51" i="3"/>
  <c r="AB56" i="3"/>
  <c r="AA65" i="3"/>
  <c r="AB54" i="3"/>
  <c r="AE36" i="3"/>
  <c r="AA71" i="3"/>
  <c r="AB49" i="3"/>
  <c r="AB50" i="3"/>
  <c r="AE35" i="3"/>
  <c r="AC12" i="3"/>
  <c r="AC55" i="3" s="1"/>
  <c r="AA57" i="3"/>
  <c r="AB16" i="3"/>
  <c r="AB68" i="3" s="1"/>
  <c r="AG27" i="3"/>
  <c r="AE34" i="3"/>
  <c r="AD37" i="3"/>
  <c r="AE28" i="3"/>
  <c r="AD30" i="3"/>
  <c r="AC11" i="3"/>
  <c r="AD6" i="3"/>
  <c r="AF4" i="3"/>
  <c r="AE5" i="3"/>
  <c r="AC7" i="3"/>
  <c r="AC15" i="3"/>
  <c r="W31" i="4" l="1"/>
  <c r="AF19" i="4"/>
  <c r="Y29" i="4"/>
  <c r="Y31" i="4" s="1"/>
  <c r="Y33" i="4" s="1"/>
  <c r="Z77" i="3"/>
  <c r="Z9" i="4" s="1"/>
  <c r="Z6" i="4"/>
  <c r="Z12" i="4" s="1"/>
  <c r="Z16" i="4" s="1"/>
  <c r="AA77" i="3"/>
  <c r="AA9" i="4" s="1"/>
  <c r="AA6" i="4"/>
  <c r="AA12" i="4" s="1"/>
  <c r="AA16" i="4" s="1"/>
  <c r="AB74" i="3"/>
  <c r="AB6" i="4" s="1"/>
  <c r="AB12" i="4" s="1"/>
  <c r="AC56" i="3"/>
  <c r="AB69" i="3"/>
  <c r="AB75" i="3" s="1"/>
  <c r="AB7" i="4" s="1"/>
  <c r="AB13" i="4" s="1"/>
  <c r="AB70" i="3"/>
  <c r="AB76" i="3" s="1"/>
  <c r="AB8" i="4" s="1"/>
  <c r="AB14" i="4" s="1"/>
  <c r="AC63" i="3"/>
  <c r="AC64" i="3"/>
  <c r="AC62" i="3"/>
  <c r="AB57" i="3"/>
  <c r="AB51" i="3"/>
  <c r="AC54" i="3"/>
  <c r="AC57" i="3" s="1"/>
  <c r="AD12" i="3"/>
  <c r="AD55" i="3" s="1"/>
  <c r="AC49" i="3"/>
  <c r="AC50" i="3"/>
  <c r="AB65" i="3"/>
  <c r="AC16" i="3"/>
  <c r="AC70" i="3" s="1"/>
  <c r="AF36" i="3"/>
  <c r="AF35" i="3"/>
  <c r="AF34" i="3"/>
  <c r="AE37" i="3"/>
  <c r="AH27" i="3"/>
  <c r="AF28" i="3"/>
  <c r="AE30" i="3"/>
  <c r="AD7" i="3"/>
  <c r="AD11" i="3"/>
  <c r="AD49" i="3" s="1"/>
  <c r="AE6" i="3"/>
  <c r="AG4" i="3"/>
  <c r="AF5" i="3"/>
  <c r="AD15" i="3"/>
  <c r="W33" i="4" l="1"/>
  <c r="AB16" i="4"/>
  <c r="F7" i="8"/>
  <c r="F34" i="10" s="1"/>
  <c r="F15" i="8"/>
  <c r="F13" i="10" s="1"/>
  <c r="F16" i="8"/>
  <c r="F14" i="10" s="1"/>
  <c r="F8" i="8"/>
  <c r="F35" i="10" s="1"/>
  <c r="F17" i="8"/>
  <c r="F15" i="10" s="1"/>
  <c r="F9" i="8"/>
  <c r="F36" i="10" s="1"/>
  <c r="AA27" i="4"/>
  <c r="AA21" i="4"/>
  <c r="AA20" i="4"/>
  <c r="AA28" i="4"/>
  <c r="Z21" i="4"/>
  <c r="Z20" i="4"/>
  <c r="Z27" i="4"/>
  <c r="Z28" i="4"/>
  <c r="AG19" i="4"/>
  <c r="AB77" i="3"/>
  <c r="AB9" i="4" s="1"/>
  <c r="AC76" i="3"/>
  <c r="AC8" i="4" s="1"/>
  <c r="AC68" i="3"/>
  <c r="AC74" i="3" s="1"/>
  <c r="AC6" i="4" s="1"/>
  <c r="AC69" i="3"/>
  <c r="AC75" i="3" s="1"/>
  <c r="AC7" i="4" s="1"/>
  <c r="AD64" i="3"/>
  <c r="AD63" i="3"/>
  <c r="AD62" i="3"/>
  <c r="AD48" i="3"/>
  <c r="AC51" i="3"/>
  <c r="AD54" i="3"/>
  <c r="AB71" i="3"/>
  <c r="AD56" i="3"/>
  <c r="AC65" i="3"/>
  <c r="AD16" i="3"/>
  <c r="AD70" i="3" s="1"/>
  <c r="AD50" i="3"/>
  <c r="AG36" i="3"/>
  <c r="AE12" i="3"/>
  <c r="AE56" i="3" s="1"/>
  <c r="AG35" i="3"/>
  <c r="AG34" i="3"/>
  <c r="AF37" i="3"/>
  <c r="AG28" i="3"/>
  <c r="AF30" i="3"/>
  <c r="AI27" i="3"/>
  <c r="AF6" i="3"/>
  <c r="AH4" i="3"/>
  <c r="AG5" i="3"/>
  <c r="AE11" i="3"/>
  <c r="AE48" i="3" s="1"/>
  <c r="AE7" i="3"/>
  <c r="AE15" i="3"/>
  <c r="AC13" i="4" l="1"/>
  <c r="AC12" i="4"/>
  <c r="AC14" i="4"/>
  <c r="F10" i="8"/>
  <c r="AA29" i="4"/>
  <c r="AA31" i="4" s="1"/>
  <c r="AA33" i="4" s="1"/>
  <c r="AC16" i="4"/>
  <c r="Z29" i="4"/>
  <c r="AB28" i="4"/>
  <c r="AB27" i="4"/>
  <c r="AB21" i="4"/>
  <c r="AB20" i="4"/>
  <c r="AH19" i="4"/>
  <c r="AC77" i="3"/>
  <c r="AC9" i="4" s="1"/>
  <c r="AD51" i="3"/>
  <c r="AD76" i="3"/>
  <c r="AD8" i="4" s="1"/>
  <c r="AD14" i="4" s="1"/>
  <c r="AD68" i="3"/>
  <c r="AD74" i="3" s="1"/>
  <c r="AD6" i="4" s="1"/>
  <c r="AD12" i="4" s="1"/>
  <c r="AD69" i="3"/>
  <c r="AD75" i="3" s="1"/>
  <c r="AD7" i="4" s="1"/>
  <c r="AD13" i="4" s="1"/>
  <c r="AE64" i="3"/>
  <c r="AE63" i="3"/>
  <c r="AE62" i="3"/>
  <c r="AD57" i="3"/>
  <c r="AE55" i="3"/>
  <c r="AE50" i="3"/>
  <c r="AE49" i="3"/>
  <c r="AF12" i="3"/>
  <c r="AF54" i="3" s="1"/>
  <c r="AF15" i="3"/>
  <c r="AE16" i="3"/>
  <c r="AE68" i="3" s="1"/>
  <c r="AE54" i="3"/>
  <c r="AC71" i="3"/>
  <c r="AD65" i="3"/>
  <c r="AH36" i="3"/>
  <c r="AF11" i="3"/>
  <c r="AF49" i="3" s="1"/>
  <c r="AH35" i="3"/>
  <c r="AH28" i="3"/>
  <c r="AG30" i="3"/>
  <c r="AH34" i="3"/>
  <c r="AG37" i="3"/>
  <c r="AJ27" i="3"/>
  <c r="AI4" i="3"/>
  <c r="AH5" i="3"/>
  <c r="AG6" i="3"/>
  <c r="AF7" i="3"/>
  <c r="Z31" i="4" l="1"/>
  <c r="F29" i="9"/>
  <c r="AB29" i="4"/>
  <c r="AB31" i="4" s="1"/>
  <c r="AB33" i="4" s="1"/>
  <c r="AI19" i="4"/>
  <c r="AD16" i="4"/>
  <c r="AC20" i="4"/>
  <c r="AC21" i="4"/>
  <c r="AC28" i="4"/>
  <c r="AC27" i="4"/>
  <c r="AE74" i="3"/>
  <c r="AE6" i="4" s="1"/>
  <c r="AD77" i="3"/>
  <c r="AD9" i="4" s="1"/>
  <c r="AD71" i="3"/>
  <c r="AF48" i="3"/>
  <c r="AE69" i="3"/>
  <c r="AE75" i="3" s="1"/>
  <c r="AE7" i="4" s="1"/>
  <c r="AE13" i="4" s="1"/>
  <c r="AF64" i="3"/>
  <c r="AF62" i="3"/>
  <c r="AF63" i="3"/>
  <c r="AE70" i="3"/>
  <c r="AE51" i="3"/>
  <c r="AE57" i="3"/>
  <c r="AF55" i="3"/>
  <c r="AE65" i="3"/>
  <c r="AI35" i="3"/>
  <c r="AI36" i="3"/>
  <c r="AF50" i="3"/>
  <c r="AF56" i="3"/>
  <c r="AF16" i="3"/>
  <c r="AF69" i="3" s="1"/>
  <c r="AG15" i="3"/>
  <c r="AI28" i="3"/>
  <c r="AH30" i="3"/>
  <c r="AK27" i="3"/>
  <c r="AI34" i="3"/>
  <c r="AH37" i="3"/>
  <c r="AG11" i="3"/>
  <c r="AG50" i="3" s="1"/>
  <c r="AH6" i="3"/>
  <c r="AG7" i="3"/>
  <c r="AJ4" i="3"/>
  <c r="AI5" i="3"/>
  <c r="AG12" i="3"/>
  <c r="AG54" i="3" s="1"/>
  <c r="F13" i="8" l="1"/>
  <c r="AE12" i="4"/>
  <c r="Z33" i="4"/>
  <c r="F31" i="9"/>
  <c r="F34" i="9" s="1"/>
  <c r="F37" i="9" s="1"/>
  <c r="AC29" i="4"/>
  <c r="AD20" i="4"/>
  <c r="AD27" i="4"/>
  <c r="AD28" i="4"/>
  <c r="AD21" i="4"/>
  <c r="AJ19" i="4"/>
  <c r="AF75" i="3"/>
  <c r="AF7" i="4" s="1"/>
  <c r="AF13" i="4" s="1"/>
  <c r="AE71" i="3"/>
  <c r="AF51" i="3"/>
  <c r="AE76" i="3"/>
  <c r="AG62" i="3"/>
  <c r="AG63" i="3"/>
  <c r="AG64" i="3"/>
  <c r="AF70" i="3"/>
  <c r="AF76" i="3" s="1"/>
  <c r="AF8" i="4" s="1"/>
  <c r="AF14" i="4" s="1"/>
  <c r="AF68" i="3"/>
  <c r="AF74" i="3" s="1"/>
  <c r="AF6" i="4" s="1"/>
  <c r="AF12" i="4" s="1"/>
  <c r="AG70" i="3"/>
  <c r="AG48" i="3"/>
  <c r="AF57" i="3"/>
  <c r="AF65" i="3"/>
  <c r="AG56" i="3"/>
  <c r="AG55" i="3"/>
  <c r="AJ36" i="3"/>
  <c r="AG16" i="3"/>
  <c r="AG69" i="3" s="1"/>
  <c r="AG49" i="3"/>
  <c r="AH15" i="3"/>
  <c r="AJ35" i="3"/>
  <c r="AJ28" i="3"/>
  <c r="AI30" i="3"/>
  <c r="AJ34" i="3"/>
  <c r="AI37" i="3"/>
  <c r="AL27" i="3"/>
  <c r="AI6" i="3"/>
  <c r="AH7" i="3"/>
  <c r="AK4" i="3"/>
  <c r="AJ5" i="3"/>
  <c r="AH11" i="3"/>
  <c r="AH48" i="3" s="1"/>
  <c r="AH12" i="3"/>
  <c r="AH55" i="3" s="1"/>
  <c r="F18" i="8" l="1"/>
  <c r="F20" i="8" s="1"/>
  <c r="F11" i="10"/>
  <c r="F17" i="10" s="1"/>
  <c r="AC31" i="4"/>
  <c r="F38" i="9"/>
  <c r="F39" i="9" s="1"/>
  <c r="AF16" i="4"/>
  <c r="AK19" i="4"/>
  <c r="AD29" i="4"/>
  <c r="AD31" i="4" s="1"/>
  <c r="AD33" i="4" s="1"/>
  <c r="AE77" i="3"/>
  <c r="AE9" i="4" s="1"/>
  <c r="AE8" i="4"/>
  <c r="AF77" i="3"/>
  <c r="AF9" i="4" s="1"/>
  <c r="AG76" i="3"/>
  <c r="AG8" i="4" s="1"/>
  <c r="AG14" i="4" s="1"/>
  <c r="AG75" i="3"/>
  <c r="AG7" i="4" s="1"/>
  <c r="AG13" i="4" s="1"/>
  <c r="AH64" i="3"/>
  <c r="AH62" i="3"/>
  <c r="AH63" i="3"/>
  <c r="AG68" i="3"/>
  <c r="AG74" i="3" s="1"/>
  <c r="AG57" i="3"/>
  <c r="AF71" i="3"/>
  <c r="AH54" i="3"/>
  <c r="AG51" i="3"/>
  <c r="AH56" i="3"/>
  <c r="AK35" i="3"/>
  <c r="AI7" i="3"/>
  <c r="AH50" i="3"/>
  <c r="AK36" i="3"/>
  <c r="AG65" i="3"/>
  <c r="AH16" i="3"/>
  <c r="AH69" i="3" s="1"/>
  <c r="AH49" i="3"/>
  <c r="AM27" i="3"/>
  <c r="AK28" i="3"/>
  <c r="AJ30" i="3"/>
  <c r="AI11" i="3"/>
  <c r="AI49" i="3" s="1"/>
  <c r="AK34" i="3"/>
  <c r="AJ37" i="3"/>
  <c r="AJ6" i="3"/>
  <c r="AI15" i="3"/>
  <c r="AL4" i="3"/>
  <c r="AK5" i="3"/>
  <c r="AI12" i="3"/>
  <c r="AI56" i="3" s="1"/>
  <c r="F5" i="11" l="1"/>
  <c r="F7" i="11" s="1"/>
  <c r="F10" i="11" s="1"/>
  <c r="F21" i="11" s="1"/>
  <c r="F23" i="11" s="1"/>
  <c r="F6" i="10"/>
  <c r="AC33" i="4"/>
  <c r="AE14" i="4"/>
  <c r="AF20" i="4"/>
  <c r="AF28" i="4"/>
  <c r="AF27" i="4"/>
  <c r="AF21" i="4"/>
  <c r="AE28" i="4"/>
  <c r="AE27" i="4"/>
  <c r="AE20" i="4"/>
  <c r="AE21" i="4"/>
  <c r="AL19" i="4"/>
  <c r="AG77" i="3"/>
  <c r="AG9" i="4" s="1"/>
  <c r="AG6" i="4"/>
  <c r="AH75" i="3"/>
  <c r="AH7" i="4" s="1"/>
  <c r="AG71" i="3"/>
  <c r="AI62" i="3"/>
  <c r="AI63" i="3"/>
  <c r="AI64" i="3"/>
  <c r="AH70" i="3"/>
  <c r="AH76" i="3" s="1"/>
  <c r="AH8" i="4" s="1"/>
  <c r="AH14" i="4" s="1"/>
  <c r="AH68" i="3"/>
  <c r="AI68" i="3"/>
  <c r="AI48" i="3"/>
  <c r="AH57" i="3"/>
  <c r="AI16" i="3"/>
  <c r="AI70" i="3" s="1"/>
  <c r="AI55" i="3"/>
  <c r="AH51" i="3"/>
  <c r="AH65" i="3"/>
  <c r="AL36" i="3"/>
  <c r="AI54" i="3"/>
  <c r="AI50" i="3"/>
  <c r="AL35" i="3"/>
  <c r="AJ7" i="3"/>
  <c r="AN27" i="3"/>
  <c r="AL34" i="3"/>
  <c r="AK37" i="3"/>
  <c r="AJ12" i="3"/>
  <c r="AJ55" i="3" s="1"/>
  <c r="AL28" i="3"/>
  <c r="AK30" i="3"/>
  <c r="AK6" i="3"/>
  <c r="AJ11" i="3"/>
  <c r="AJ50" i="3" s="1"/>
  <c r="AM4" i="3"/>
  <c r="AL5" i="3"/>
  <c r="AJ15" i="3"/>
  <c r="AE16" i="4" l="1"/>
  <c r="AH13" i="4"/>
  <c r="AG12" i="4"/>
  <c r="F8" i="10"/>
  <c r="F19" i="10" s="1"/>
  <c r="F41" i="10" s="1"/>
  <c r="G22" i="11"/>
  <c r="F37" i="10"/>
  <c r="F39" i="10" s="1"/>
  <c r="AE29" i="4"/>
  <c r="AG20" i="4"/>
  <c r="AG21" i="4"/>
  <c r="AG28" i="4"/>
  <c r="AG27" i="4"/>
  <c r="AM19" i="4"/>
  <c r="AF29" i="4"/>
  <c r="AF31" i="4" s="1"/>
  <c r="AF33" i="4" s="1"/>
  <c r="AH71" i="3"/>
  <c r="AI74" i="3"/>
  <c r="AI6" i="4" s="1"/>
  <c r="AI12" i="4" s="1"/>
  <c r="AI76" i="3"/>
  <c r="AI8" i="4" s="1"/>
  <c r="AH74" i="3"/>
  <c r="AI57" i="3"/>
  <c r="AJ48" i="3"/>
  <c r="AJ70" i="3"/>
  <c r="AJ69" i="3"/>
  <c r="AJ63" i="3"/>
  <c r="AJ64" i="3"/>
  <c r="AJ62" i="3"/>
  <c r="AI69" i="3"/>
  <c r="AI75" i="3" s="1"/>
  <c r="AI7" i="4" s="1"/>
  <c r="AI13" i="4" s="1"/>
  <c r="AI51" i="3"/>
  <c r="AJ56" i="3"/>
  <c r="AM35" i="3"/>
  <c r="AJ54" i="3"/>
  <c r="AJ49" i="3"/>
  <c r="AK12" i="3"/>
  <c r="AK55" i="3" s="1"/>
  <c r="AJ16" i="3"/>
  <c r="AJ68" i="3" s="1"/>
  <c r="AI65" i="3"/>
  <c r="AM36" i="3"/>
  <c r="AM28" i="3"/>
  <c r="AL30" i="3"/>
  <c r="AK15" i="3"/>
  <c r="AM34" i="3"/>
  <c r="AL37" i="3"/>
  <c r="AK11" i="3"/>
  <c r="AK49" i="3" s="1"/>
  <c r="AN4" i="3"/>
  <c r="AN5" i="3" s="1"/>
  <c r="AM5" i="3"/>
  <c r="AL6" i="3"/>
  <c r="AK7" i="3"/>
  <c r="AI14" i="4" l="1"/>
  <c r="AG16" i="4"/>
  <c r="AE31" i="4"/>
  <c r="AN19" i="4"/>
  <c r="AI16" i="4"/>
  <c r="AG29" i="4"/>
  <c r="AG31" i="4" s="1"/>
  <c r="AG33" i="4" s="1"/>
  <c r="AH77" i="3"/>
  <c r="AH9" i="4" s="1"/>
  <c r="AH6" i="4"/>
  <c r="AJ75" i="3"/>
  <c r="AJ7" i="4" s="1"/>
  <c r="AJ13" i="4" s="1"/>
  <c r="AI71" i="3"/>
  <c r="AJ76" i="3"/>
  <c r="AJ8" i="4" s="1"/>
  <c r="AJ14" i="4" s="1"/>
  <c r="AJ74" i="3"/>
  <c r="AJ6" i="4" s="1"/>
  <c r="AJ12" i="4" s="1"/>
  <c r="AI77" i="3"/>
  <c r="AI9" i="4" s="1"/>
  <c r="AK62" i="3"/>
  <c r="AK64" i="3"/>
  <c r="AK63" i="3"/>
  <c r="AK48" i="3"/>
  <c r="AJ57" i="3"/>
  <c r="AK54" i="3"/>
  <c r="AK56" i="3"/>
  <c r="AK50" i="3"/>
  <c r="AJ65" i="3"/>
  <c r="AJ51" i="3"/>
  <c r="AN36" i="3"/>
  <c r="AL12" i="3"/>
  <c r="AL54" i="3" s="1"/>
  <c r="AK16" i="3"/>
  <c r="AK70" i="3" s="1"/>
  <c r="AN35" i="3"/>
  <c r="AN28" i="3"/>
  <c r="AN30" i="3" s="1"/>
  <c r="AM30" i="3"/>
  <c r="AN34" i="3"/>
  <c r="AM37" i="3"/>
  <c r="AL11" i="3"/>
  <c r="AL49" i="3" s="1"/>
  <c r="AL7" i="3"/>
  <c r="AM6" i="3"/>
  <c r="AN6" i="3"/>
  <c r="AL15" i="3"/>
  <c r="AE33" i="4" l="1"/>
  <c r="AH12" i="4"/>
  <c r="AH16" i="4" s="1"/>
  <c r="E19" i="9"/>
  <c r="F19" i="9"/>
  <c r="G19" i="9"/>
  <c r="AH21" i="4"/>
  <c r="AH20" i="4"/>
  <c r="AH27" i="4"/>
  <c r="AH28" i="4"/>
  <c r="AI28" i="4"/>
  <c r="AI27" i="4"/>
  <c r="AI21" i="4"/>
  <c r="AI20" i="4"/>
  <c r="AJ16" i="4"/>
  <c r="AJ77" i="3"/>
  <c r="AJ9" i="4" s="1"/>
  <c r="AK76" i="3"/>
  <c r="AK8" i="4" s="1"/>
  <c r="AK14" i="4" s="1"/>
  <c r="AL48" i="3"/>
  <c r="AK69" i="3"/>
  <c r="AK75" i="3" s="1"/>
  <c r="AK7" i="4" s="1"/>
  <c r="AK13" i="4" s="1"/>
  <c r="AK68" i="3"/>
  <c r="AK71" i="3" s="1"/>
  <c r="AL63" i="3"/>
  <c r="AL62" i="3"/>
  <c r="AL64" i="3"/>
  <c r="AK57" i="3"/>
  <c r="AK51" i="3"/>
  <c r="AK65" i="3"/>
  <c r="AL16" i="3"/>
  <c r="AL68" i="3" s="1"/>
  <c r="AL56" i="3"/>
  <c r="AL50" i="3"/>
  <c r="AN37" i="3"/>
  <c r="AN7" i="3"/>
  <c r="AL55" i="3"/>
  <c r="AJ71" i="3"/>
  <c r="AM7" i="3"/>
  <c r="AM12" i="3"/>
  <c r="AN12" i="3" s="1"/>
  <c r="AN56" i="3" s="1"/>
  <c r="AM15" i="3"/>
  <c r="AM11" i="3"/>
  <c r="AN11" i="3" s="1"/>
  <c r="AN48" i="3" s="1"/>
  <c r="AJ28" i="4" l="1"/>
  <c r="AJ27" i="4"/>
  <c r="AJ21" i="4"/>
  <c r="AJ20" i="4"/>
  <c r="AH29" i="4"/>
  <c r="AI29" i="4"/>
  <c r="AI31" i="4" s="1"/>
  <c r="AI33" i="4" s="1"/>
  <c r="AK74" i="3"/>
  <c r="AL74" i="3"/>
  <c r="AL6" i="4" s="1"/>
  <c r="AL12" i="4" s="1"/>
  <c r="AL69" i="3"/>
  <c r="AL75" i="3" s="1"/>
  <c r="AL7" i="4" s="1"/>
  <c r="AL13" i="4" s="1"/>
  <c r="AL70" i="3"/>
  <c r="AL76" i="3" s="1"/>
  <c r="AL8" i="4" s="1"/>
  <c r="AL14" i="4" s="1"/>
  <c r="AM62" i="3"/>
  <c r="AM63" i="3"/>
  <c r="AM64" i="3"/>
  <c r="AM48" i="3"/>
  <c r="AL57" i="3"/>
  <c r="AM50" i="3"/>
  <c r="AM49" i="3"/>
  <c r="AM55" i="3"/>
  <c r="AL51" i="3"/>
  <c r="AN54" i="3"/>
  <c r="AL65" i="3"/>
  <c r="AN55" i="3"/>
  <c r="AM16" i="3"/>
  <c r="AM69" i="3" s="1"/>
  <c r="AN15" i="3"/>
  <c r="AN50" i="3"/>
  <c r="AN49" i="3"/>
  <c r="AM54" i="3"/>
  <c r="AM56" i="3"/>
  <c r="AH31" i="4" l="1"/>
  <c r="AJ29" i="4"/>
  <c r="AJ31" i="4" s="1"/>
  <c r="AJ33" i="4" s="1"/>
  <c r="AL16" i="4"/>
  <c r="AK77" i="3"/>
  <c r="AK9" i="4" s="1"/>
  <c r="AK6" i="4"/>
  <c r="AL77" i="3"/>
  <c r="AL9" i="4" s="1"/>
  <c r="AL71" i="3"/>
  <c r="AM75" i="3"/>
  <c r="AM7" i="4" s="1"/>
  <c r="AM13" i="4" s="1"/>
  <c r="AN63" i="3"/>
  <c r="AN64" i="3"/>
  <c r="AN62" i="3"/>
  <c r="AN16" i="3"/>
  <c r="AM68" i="3"/>
  <c r="AM70" i="3"/>
  <c r="AM76" i="3" s="1"/>
  <c r="AM8" i="4" s="1"/>
  <c r="AM14" i="4" s="1"/>
  <c r="AN57" i="3"/>
  <c r="AM51" i="3"/>
  <c r="AM65" i="3"/>
  <c r="AN51" i="3"/>
  <c r="AM57" i="3"/>
  <c r="AK12" i="4" l="1"/>
  <c r="AK16" i="4" s="1"/>
  <c r="AH33" i="4"/>
  <c r="AK20" i="4"/>
  <c r="AK28" i="4"/>
  <c r="AK21" i="4"/>
  <c r="AK27" i="4"/>
  <c r="AL27" i="4"/>
  <c r="AL20" i="4"/>
  <c r="AL21" i="4"/>
  <c r="AL28" i="4"/>
  <c r="AM71" i="3"/>
  <c r="AM74" i="3"/>
  <c r="AN68" i="3"/>
  <c r="AN74" i="3" s="1"/>
  <c r="AN6" i="4" s="1"/>
  <c r="AN69" i="3"/>
  <c r="AN75" i="3" s="1"/>
  <c r="AN7" i="4" s="1"/>
  <c r="AN70" i="3"/>
  <c r="AN76" i="3" s="1"/>
  <c r="AN8" i="4" s="1"/>
  <c r="AN65" i="3"/>
  <c r="AN12" i="4" l="1"/>
  <c r="E6" i="9"/>
  <c r="F6" i="9"/>
  <c r="AN13" i="4"/>
  <c r="E7" i="9"/>
  <c r="F7" i="9"/>
  <c r="G7" i="9"/>
  <c r="AN14" i="4"/>
  <c r="F8" i="9"/>
  <c r="G8" i="9"/>
  <c r="G17" i="8"/>
  <c r="G15" i="10" s="1"/>
  <c r="G15" i="8"/>
  <c r="G13" i="10" s="1"/>
  <c r="G7" i="8"/>
  <c r="G34" i="10" s="1"/>
  <c r="G8" i="8"/>
  <c r="G35" i="10" s="1"/>
  <c r="G16" i="8"/>
  <c r="G14" i="10" s="1"/>
  <c r="AL29" i="4"/>
  <c r="AL31" i="4" s="1"/>
  <c r="AL33" i="4" s="1"/>
  <c r="AN16" i="4"/>
  <c r="AK29" i="4"/>
  <c r="AM77" i="3"/>
  <c r="AM9" i="4" s="1"/>
  <c r="AM6" i="4"/>
  <c r="AN77" i="3"/>
  <c r="AN9" i="4" s="1"/>
  <c r="AN71" i="3"/>
  <c r="AK31" i="4" l="1"/>
  <c r="E16" i="9"/>
  <c r="F16" i="9"/>
  <c r="E14" i="9"/>
  <c r="F14" i="9"/>
  <c r="G14" i="9"/>
  <c r="E9" i="9"/>
  <c r="E42" i="9" s="1"/>
  <c r="F9" i="9"/>
  <c r="F42" i="9" s="1"/>
  <c r="G9" i="9"/>
  <c r="AM12" i="4"/>
  <c r="AM16" i="4" s="1"/>
  <c r="G16" i="9" s="1"/>
  <c r="G6" i="9"/>
  <c r="G9" i="8"/>
  <c r="G36" i="10" s="1"/>
  <c r="E13" i="9"/>
  <c r="F13" i="9"/>
  <c r="G13" i="9"/>
  <c r="E12" i="9"/>
  <c r="F12" i="9"/>
  <c r="G12" i="9"/>
  <c r="G10" i="8"/>
  <c r="AN20" i="4"/>
  <c r="AN28" i="4"/>
  <c r="AN27" i="4"/>
  <c r="AN21" i="4"/>
  <c r="AM27" i="4"/>
  <c r="AM20" i="4"/>
  <c r="AM28" i="4"/>
  <c r="AM21" i="4"/>
  <c r="E28" i="9" l="1"/>
  <c r="F28" i="9"/>
  <c r="G28" i="9"/>
  <c r="E20" i="9"/>
  <c r="F20" i="9"/>
  <c r="G20" i="9"/>
  <c r="E21" i="9"/>
  <c r="F21" i="9"/>
  <c r="G21" i="9"/>
  <c r="E27" i="9"/>
  <c r="F27" i="9"/>
  <c r="G27" i="9"/>
  <c r="AK33" i="4"/>
  <c r="AM29" i="4"/>
  <c r="AN29" i="4"/>
  <c r="E29" i="9" s="1"/>
  <c r="AM31" i="4" l="1"/>
  <c r="G29" i="9"/>
  <c r="AN31" i="4"/>
  <c r="AN33" i="4" s="1"/>
  <c r="G13" i="8"/>
  <c r="G18" i="8" l="1"/>
  <c r="G20" i="8" s="1"/>
  <c r="G11" i="10"/>
  <c r="G17" i="10" s="1"/>
  <c r="AM33" i="4"/>
  <c r="G31" i="9"/>
  <c r="G34" i="9" s="1"/>
  <c r="G37" i="9" s="1"/>
  <c r="G38" i="9" l="1"/>
  <c r="G39" i="9" s="1"/>
  <c r="G42" i="9" l="1"/>
  <c r="G5" i="11"/>
  <c r="G7" i="11" s="1"/>
  <c r="G10" i="11" s="1"/>
  <c r="G21" i="11" s="1"/>
  <c r="G23" i="11" s="1"/>
  <c r="G37" i="10" s="1"/>
  <c r="G39" i="10" s="1"/>
  <c r="G6" i="10"/>
  <c r="G8" i="10" s="1"/>
  <c r="G19" i="10" s="1"/>
  <c r="G41" i="10" l="1"/>
</calcChain>
</file>

<file path=xl/sharedStrings.xml><?xml version="1.0" encoding="utf-8"?>
<sst xmlns="http://schemas.openxmlformats.org/spreadsheetml/2006/main" count="304" uniqueCount="178">
  <si>
    <t>Revenue</t>
  </si>
  <si>
    <t>Particulars</t>
  </si>
  <si>
    <t>Weekdays</t>
  </si>
  <si>
    <t>Weekend</t>
  </si>
  <si>
    <t>Lunch</t>
  </si>
  <si>
    <t>APC</t>
  </si>
  <si>
    <t>Alcoholic Beverages</t>
  </si>
  <si>
    <t>Non Alcoholic Beverages</t>
  </si>
  <si>
    <t>Food</t>
  </si>
  <si>
    <t>Y-O-Y Growth price rate</t>
  </si>
  <si>
    <t>Occupancy</t>
  </si>
  <si>
    <t>Number of Covers Available</t>
  </si>
  <si>
    <t>Number of Rounds Available</t>
  </si>
  <si>
    <t>Number of Covers Occupied/ Round</t>
  </si>
  <si>
    <t>MoM growth</t>
  </si>
  <si>
    <t>Maximum Occupancy/Round</t>
  </si>
  <si>
    <t>Dinner</t>
  </si>
  <si>
    <t>Y-O-Y Price Growth rate</t>
  </si>
  <si>
    <t xml:space="preserve">Direct Expenses </t>
  </si>
  <si>
    <t>Alcoholic Beverage cost (% of revenue)</t>
  </si>
  <si>
    <t>Non Alcoholic Beverages (% of revenue)</t>
  </si>
  <si>
    <t>Food (% of revenue)</t>
  </si>
  <si>
    <t>Members of Team</t>
  </si>
  <si>
    <t>Number of Employees</t>
  </si>
  <si>
    <t>Salary</t>
  </si>
  <si>
    <t>Receptionist</t>
  </si>
  <si>
    <t>Restaurants Manager</t>
  </si>
  <si>
    <t>Waiters</t>
  </si>
  <si>
    <t>Head Chef</t>
  </si>
  <si>
    <t>Chefs</t>
  </si>
  <si>
    <t>Assistant Chef</t>
  </si>
  <si>
    <t>Valet Parking</t>
  </si>
  <si>
    <t>Cleaners</t>
  </si>
  <si>
    <t>Bartender</t>
  </si>
  <si>
    <t>Salary / M</t>
  </si>
  <si>
    <t>Indirect Expenses</t>
  </si>
  <si>
    <t>Rent (as per contract) (% of revenue)</t>
  </si>
  <si>
    <t>Conversion Rate</t>
  </si>
  <si>
    <t>Serving Area (% of carpet area)</t>
  </si>
  <si>
    <t>Serving Area</t>
  </si>
  <si>
    <t>Kitchen Area</t>
  </si>
  <si>
    <t>Area per cover (Sq.Ft.)</t>
  </si>
  <si>
    <t>Covers</t>
  </si>
  <si>
    <t>Sitting per table</t>
  </si>
  <si>
    <t>Number of Tables</t>
  </si>
  <si>
    <t>Housekeeping  &amp; Consumables (% of revenue)</t>
  </si>
  <si>
    <t>Payment Settlement Charges (% or revenue)</t>
  </si>
  <si>
    <t>HR Manager</t>
  </si>
  <si>
    <t>Assistant Manager</t>
  </si>
  <si>
    <t>Security</t>
  </si>
  <si>
    <t>Purchase Manager</t>
  </si>
  <si>
    <t>Accountant</t>
  </si>
  <si>
    <t xml:space="preserve"> Others </t>
  </si>
  <si>
    <t xml:space="preserve"> Indirect expenses will increase Y-o-Y basis </t>
  </si>
  <si>
    <t>Total</t>
  </si>
  <si>
    <t>Numbers of Tables  occupied opting for card payment</t>
  </si>
  <si>
    <t>Electricity (Based on area Rs./sq. Ft.)</t>
  </si>
  <si>
    <t>Area specifications</t>
  </si>
  <si>
    <t>Capital Expenditure</t>
  </si>
  <si>
    <t>Equipments</t>
  </si>
  <si>
    <t>Furniture &amp; Fixtures</t>
  </si>
  <si>
    <t>Restaurants Décor</t>
  </si>
  <si>
    <t>Rate per Sq Ft</t>
  </si>
  <si>
    <t>Working capital</t>
  </si>
  <si>
    <t>Inventory</t>
  </si>
  <si>
    <t>Non-Alcoholic Beverages</t>
  </si>
  <si>
    <t>Creditor For Raw material</t>
  </si>
  <si>
    <t>Creditor For Expenses</t>
  </si>
  <si>
    <t>Days</t>
  </si>
  <si>
    <t>Maintenance (per month)</t>
  </si>
  <si>
    <t>Water Cost (per month)</t>
  </si>
  <si>
    <t>Marketing cost (per month)</t>
  </si>
  <si>
    <t>Phone and internet (per month)</t>
  </si>
  <si>
    <t xml:space="preserve">Depreciation </t>
  </si>
  <si>
    <t xml:space="preserve"> Equipments </t>
  </si>
  <si>
    <t xml:space="preserve"> Furniture &amp; Fixtures and Restaurant  décor </t>
  </si>
  <si>
    <t>Capital Structure</t>
  </si>
  <si>
    <t>Equity</t>
  </si>
  <si>
    <t>Debt</t>
  </si>
  <si>
    <t>Tax Rate</t>
  </si>
  <si>
    <t>Period of Construction of restaurant – 3 Months.</t>
  </si>
  <si>
    <t>Start of  Construction</t>
  </si>
  <si>
    <t>Construction period</t>
  </si>
  <si>
    <t>3 Months</t>
  </si>
  <si>
    <t>Date of Operations</t>
  </si>
  <si>
    <t>Rotalty to brand (% Of Revenue)</t>
  </si>
  <si>
    <t xml:space="preserve"> Staff salary will increase Y-o-Y basis </t>
  </si>
  <si>
    <t>Carpet Area required (Sq. ft.)</t>
  </si>
  <si>
    <t>Super Built up area to be rented (Sq. ft.)</t>
  </si>
  <si>
    <t>Kitchen Equipments and cutlery</t>
  </si>
  <si>
    <t>Initial working capital introduced</t>
  </si>
  <si>
    <t>End of sheet</t>
  </si>
  <si>
    <t>Cash credit limit will be availed if required</t>
  </si>
  <si>
    <t>Rate of Interest on CC Limit</t>
  </si>
  <si>
    <t xml:space="preserve">Rent Deposits </t>
  </si>
  <si>
    <t>Refrigeration Equipments</t>
  </si>
  <si>
    <t>Currency in INR</t>
  </si>
  <si>
    <t>ones</t>
  </si>
  <si>
    <t>Tens</t>
  </si>
  <si>
    <t>Hundreds</t>
  </si>
  <si>
    <t>Thousands</t>
  </si>
  <si>
    <t>Lakhs</t>
  </si>
  <si>
    <t>Millions</t>
  </si>
  <si>
    <t>Crores</t>
  </si>
  <si>
    <t>Mode in:</t>
  </si>
  <si>
    <t xml:space="preserve">All Final Values in </t>
  </si>
  <si>
    <t>Operating Days</t>
  </si>
  <si>
    <t>No. of weekdays in a Month</t>
  </si>
  <si>
    <t>No. of weekends in a Month</t>
  </si>
  <si>
    <t>Weekends</t>
  </si>
  <si>
    <t>No.of guests per Day</t>
  </si>
  <si>
    <t xml:space="preserve">           Weekdays</t>
  </si>
  <si>
    <t xml:space="preserve">           Weekends</t>
  </si>
  <si>
    <t>Revenue Per Month</t>
  </si>
  <si>
    <t>Total Revenue for Month</t>
  </si>
  <si>
    <t>Less:Direct Expenses</t>
  </si>
  <si>
    <t>Staff Salary</t>
  </si>
  <si>
    <t>Total Direct Expenses</t>
  </si>
  <si>
    <t>Less:Indirect Expenses</t>
  </si>
  <si>
    <t>Other Staff Salary</t>
  </si>
  <si>
    <t>Total Indirect Expenses</t>
  </si>
  <si>
    <t>Earnings before interest, taxes, depreciation and amortization</t>
  </si>
  <si>
    <t>EBIDTA</t>
  </si>
  <si>
    <t>EBIDTA margin %</t>
  </si>
  <si>
    <t>Fixed assets</t>
  </si>
  <si>
    <t>Add Rent Deposit</t>
  </si>
  <si>
    <t>Add working Capital</t>
  </si>
  <si>
    <t>Total Funds require</t>
  </si>
  <si>
    <t>Source of Funds</t>
  </si>
  <si>
    <t>Equity Capital</t>
  </si>
  <si>
    <t>Total funds contributed</t>
  </si>
  <si>
    <t>Opening Balance</t>
  </si>
  <si>
    <t>Add:Purchases</t>
  </si>
  <si>
    <t>Less:Sales</t>
  </si>
  <si>
    <t>Less:Depreciation</t>
  </si>
  <si>
    <t>Closing Balance</t>
  </si>
  <si>
    <t>Current Assets</t>
  </si>
  <si>
    <t>Current Liabilities</t>
  </si>
  <si>
    <t>Creditor for Expense</t>
  </si>
  <si>
    <t>Creditor for raw material</t>
  </si>
  <si>
    <t>Working Capital</t>
  </si>
  <si>
    <t>Changes in working capital</t>
  </si>
  <si>
    <t>Less: Depreciation</t>
  </si>
  <si>
    <t>EBIT</t>
  </si>
  <si>
    <t>Less : interest</t>
  </si>
  <si>
    <t>EBT</t>
  </si>
  <si>
    <t>Less: Taxes</t>
  </si>
  <si>
    <t>EAT</t>
  </si>
  <si>
    <t>(Transfer to Reserve)</t>
  </si>
  <si>
    <t>NP Margin%</t>
  </si>
  <si>
    <t>Operating activities</t>
  </si>
  <si>
    <t>Investing activities</t>
  </si>
  <si>
    <t>Financing activities</t>
  </si>
  <si>
    <t>Add: Non Cash Expenses</t>
  </si>
  <si>
    <t>Cash from operations before working capital changes</t>
  </si>
  <si>
    <t>Add/Less: Changes in working capital</t>
  </si>
  <si>
    <t>Cash from operations</t>
  </si>
  <si>
    <t>Purchase of Fixed assets</t>
  </si>
  <si>
    <t>Rent deposit</t>
  </si>
  <si>
    <t>Cash from investing activities</t>
  </si>
  <si>
    <t>Equity share Capital</t>
  </si>
  <si>
    <t>Cash from financing activities</t>
  </si>
  <si>
    <t>Cash generated during the year</t>
  </si>
  <si>
    <t>Add: opening balance</t>
  </si>
  <si>
    <t>Closing balance</t>
  </si>
  <si>
    <t>Equity &amp; Liabilities</t>
  </si>
  <si>
    <t>Assets</t>
  </si>
  <si>
    <t>Share Capital</t>
  </si>
  <si>
    <t>Reserve &amp; Surplus</t>
  </si>
  <si>
    <t>Total share holder funds</t>
  </si>
  <si>
    <t>Current liabilities</t>
  </si>
  <si>
    <t>Total Current Liabilities</t>
  </si>
  <si>
    <t>Total Liabilities</t>
  </si>
  <si>
    <t>Fixed Assets</t>
  </si>
  <si>
    <t>Rent deposits</t>
  </si>
  <si>
    <t xml:space="preserve">Cash &amp; cash equivalents </t>
  </si>
  <si>
    <t>Total Assets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</si>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</sst>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-* #,##0.00_-;\-* #,##0.00_-;_-* &quot;-&quot;??_-;_-@_-"/>
    <numFmt numFmtId="164" formatCode="_ [$₹-4009]\ * #,##0.00_ ;_ [$₹-4009]\ * \-#,##0.00_ ;_ [$₹-4009]\ * &quot;-&quot;??_ ;_ @_ "/>
    <numFmt numFmtId="165" formatCode="&quot;Month&quot;\ 0"/>
    <numFmt numFmtId="166" formatCode="_-* #,##0.0_-;\-* #,##0.0_-;_-* &quot;-&quot;??_-;_-@_-"/>
    <numFmt numFmtId="167" formatCode="&quot;Year&quot;\ 0"/>
    <numFmt numFmtId="168" formatCode="_-* #,##0_-;\-* #,##0_-;_-* &quot;-&quot;??_-;_-@_-"/>
    <numFmt numFmtId="169" formatCode="0.0"/>
    <numFmt numFmtId="170" formatCode="_-* #,##0.0_-;\-* #,##0.0_-;_-* &quot;-&quot;?_-;_-@_-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u/>
      <sz val="11"/>
      <color theme="4" tint="-0.249977111117893"/>
      <name val="Calibri"/>
      <family val="2"/>
      <scheme val="minor"/>
    </font>
    <font>
      <b/>
      <u/>
      <sz val="11"/>
      <color theme="5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u/>
      <sz val="11"/>
      <color theme="4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u/>
      <sz val="11"/>
      <color theme="8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16">
    <xf numFmtId="0" fontId="0" fillId="0" borderId="0" xfId="0"/>
    <xf numFmtId="0" fontId="0" fillId="0" borderId="0" xfId="0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5" fillId="0" borderId="0" xfId="0" applyFont="1"/>
    <xf numFmtId="9" fontId="5" fillId="0" borderId="0" xfId="0" applyNumberFormat="1" applyFont="1" applyAlignment="1">
      <alignment horizontal="center"/>
    </xf>
    <xf numFmtId="0" fontId="1" fillId="0" borderId="0" xfId="0" applyFont="1"/>
    <xf numFmtId="0" fontId="0" fillId="0" borderId="0" xfId="0" applyFont="1"/>
    <xf numFmtId="0" fontId="2" fillId="2" borderId="4" xfId="0" applyFont="1" applyFill="1" applyBorder="1" applyAlignment="1">
      <alignment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1" fillId="2" borderId="4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vertical="center"/>
    </xf>
    <xf numFmtId="9" fontId="0" fillId="0" borderId="5" xfId="0" applyNumberFormat="1" applyFont="1" applyBorder="1" applyAlignment="1">
      <alignment horizontal="center" vertical="center"/>
    </xf>
    <xf numFmtId="9" fontId="0" fillId="0" borderId="6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9" fontId="0" fillId="0" borderId="14" xfId="0" applyNumberFormat="1" applyFont="1" applyBorder="1" applyAlignment="1">
      <alignment horizontal="center" vertical="center"/>
    </xf>
    <xf numFmtId="9" fontId="0" fillId="0" borderId="8" xfId="0" applyNumberFormat="1" applyFont="1" applyBorder="1" applyAlignment="1">
      <alignment horizontal="center" vertical="center"/>
    </xf>
    <xf numFmtId="0" fontId="0" fillId="0" borderId="14" xfId="0" applyFont="1" applyBorder="1" applyAlignment="1">
      <alignment horizontal="right" vertical="center"/>
    </xf>
    <xf numFmtId="0" fontId="0" fillId="0" borderId="14" xfId="0" applyFont="1" applyBorder="1" applyAlignment="1">
      <alignment horizontal="center" vertical="center"/>
    </xf>
    <xf numFmtId="3" fontId="0" fillId="0" borderId="14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3" fontId="0" fillId="0" borderId="5" xfId="0" applyNumberFormat="1" applyFont="1" applyBorder="1" applyAlignment="1">
      <alignment horizontal="center" vertical="center"/>
    </xf>
    <xf numFmtId="0" fontId="0" fillId="0" borderId="8" xfId="0" applyFont="1" applyBorder="1" applyAlignment="1">
      <alignment vertical="center"/>
    </xf>
    <xf numFmtId="3" fontId="0" fillId="0" borderId="8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4" xfId="0" applyFont="1" applyBorder="1" applyAlignment="1">
      <alignment vertical="center"/>
    </xf>
    <xf numFmtId="0" fontId="0" fillId="0" borderId="2" xfId="0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4" fontId="0" fillId="0" borderId="5" xfId="0" applyNumberFormat="1" applyFont="1" applyBorder="1" applyAlignment="1">
      <alignment horizontal="center" vertical="center"/>
    </xf>
    <xf numFmtId="10" fontId="0" fillId="0" borderId="5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4" fontId="5" fillId="0" borderId="0" xfId="0" applyNumberFormat="1" applyFont="1" applyBorder="1" applyAlignment="1">
      <alignment horizontal="right" vertical="center"/>
    </xf>
    <xf numFmtId="0" fontId="1" fillId="0" borderId="0" xfId="0" applyFont="1" applyBorder="1" applyAlignment="1">
      <alignment vertical="center"/>
    </xf>
    <xf numFmtId="4" fontId="0" fillId="0" borderId="0" xfId="0" applyNumberFormat="1" applyFont="1" applyBorder="1" applyAlignment="1">
      <alignment horizontal="right" vertical="center"/>
    </xf>
    <xf numFmtId="4" fontId="0" fillId="0" borderId="0" xfId="0" applyNumberFormat="1" applyFont="1" applyBorder="1" applyAlignment="1">
      <alignment horizontal="center" vertical="center"/>
    </xf>
    <xf numFmtId="0" fontId="0" fillId="0" borderId="14" xfId="0" applyFont="1" applyBorder="1" applyAlignment="1">
      <alignment horizontal="center"/>
    </xf>
    <xf numFmtId="0" fontId="0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0" fillId="0" borderId="0" xfId="0" applyFont="1" applyBorder="1"/>
    <xf numFmtId="0" fontId="1" fillId="0" borderId="7" xfId="0" applyFont="1" applyBorder="1" applyAlignment="1">
      <alignment vertical="center"/>
    </xf>
    <xf numFmtId="9" fontId="0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9" fontId="0" fillId="0" borderId="14" xfId="0" applyNumberFormat="1" applyFont="1" applyBorder="1" applyAlignment="1">
      <alignment horizontal="right" vertical="center"/>
    </xf>
    <xf numFmtId="9" fontId="0" fillId="0" borderId="8" xfId="0" applyNumberFormat="1" applyFont="1" applyBorder="1" applyAlignment="1">
      <alignment horizontal="right" vertical="center"/>
    </xf>
    <xf numFmtId="10" fontId="0" fillId="0" borderId="2" xfId="0" applyNumberFormat="1" applyFont="1" applyBorder="1"/>
    <xf numFmtId="15" fontId="4" fillId="0" borderId="12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3" xfId="0" applyNumberFormat="1" applyFont="1" applyBorder="1" applyAlignment="1">
      <alignment horizontal="center" vertical="center"/>
    </xf>
    <xf numFmtId="0" fontId="0" fillId="0" borderId="13" xfId="0" applyFont="1" applyBorder="1"/>
    <xf numFmtId="15" fontId="4" fillId="0" borderId="10" xfId="0" applyNumberFormat="1" applyFont="1" applyBorder="1" applyAlignment="1">
      <alignment horizontal="center" vertical="center"/>
    </xf>
    <xf numFmtId="0" fontId="0" fillId="0" borderId="10" xfId="0" applyFont="1" applyBorder="1"/>
    <xf numFmtId="0" fontId="0" fillId="0" borderId="12" xfId="0" applyFont="1" applyBorder="1"/>
    <xf numFmtId="0" fontId="0" fillId="0" borderId="6" xfId="0" applyFont="1" applyBorder="1"/>
    <xf numFmtId="0" fontId="0" fillId="0" borderId="9" xfId="0" applyFont="1" applyBorder="1"/>
    <xf numFmtId="0" fontId="1" fillId="0" borderId="0" xfId="0" applyFont="1" applyBorder="1" applyAlignment="1">
      <alignment horizontal="left" vertical="center"/>
    </xf>
    <xf numFmtId="9" fontId="0" fillId="0" borderId="0" xfId="0" applyNumberFormat="1" applyFont="1" applyAlignment="1">
      <alignment horizontal="center"/>
    </xf>
    <xf numFmtId="164" fontId="0" fillId="0" borderId="8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9" fontId="0" fillId="0" borderId="2" xfId="0" applyNumberFormat="1" applyFont="1" applyBorder="1" applyAlignment="1">
      <alignment horizontal="right" vertical="center"/>
    </xf>
    <xf numFmtId="0" fontId="0" fillId="3" borderId="0" xfId="0" applyFill="1"/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/>
    </xf>
    <xf numFmtId="0" fontId="0" fillId="0" borderId="4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4" borderId="0" xfId="0" applyFill="1"/>
    <xf numFmtId="43" fontId="0" fillId="0" borderId="0" xfId="1" applyFont="1"/>
    <xf numFmtId="0" fontId="0" fillId="5" borderId="0" xfId="0" applyFill="1"/>
    <xf numFmtId="0" fontId="8" fillId="0" borderId="0" xfId="3"/>
    <xf numFmtId="166" fontId="0" fillId="0" borderId="0" xfId="1" applyNumberFormat="1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165" fontId="0" fillId="6" borderId="0" xfId="0" applyNumberFormat="1" applyFill="1"/>
    <xf numFmtId="15" fontId="0" fillId="6" borderId="0" xfId="0" applyNumberFormat="1" applyFill="1"/>
    <xf numFmtId="167" fontId="0" fillId="6" borderId="0" xfId="0" applyNumberFormat="1" applyFill="1"/>
    <xf numFmtId="168" fontId="0" fillId="0" borderId="0" xfId="1" applyNumberFormat="1" applyFont="1"/>
    <xf numFmtId="0" fontId="9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0" fillId="0" borderId="0" xfId="0" applyBorder="1"/>
    <xf numFmtId="168" fontId="0" fillId="0" borderId="0" xfId="1" applyNumberFormat="1" applyFont="1" applyBorder="1"/>
    <xf numFmtId="0" fontId="14" fillId="0" borderId="0" xfId="0" applyFont="1" applyFill="1" applyBorder="1" applyAlignment="1">
      <alignment horizontal="left" vertical="center"/>
    </xf>
    <xf numFmtId="166" fontId="0" fillId="0" borderId="0" xfId="1" applyNumberFormat="1" applyFont="1" applyBorder="1"/>
    <xf numFmtId="43" fontId="0" fillId="0" borderId="0" xfId="1" applyNumberFormat="1" applyFont="1"/>
    <xf numFmtId="0" fontId="1" fillId="0" borderId="18" xfId="0" applyFont="1" applyBorder="1"/>
    <xf numFmtId="43" fontId="1" fillId="0" borderId="18" xfId="1" applyFont="1" applyBorder="1"/>
    <xf numFmtId="43" fontId="1" fillId="0" borderId="18" xfId="1" applyNumberFormat="1" applyFont="1" applyBorder="1"/>
    <xf numFmtId="166" fontId="1" fillId="0" borderId="18" xfId="1" applyNumberFormat="1" applyFont="1" applyBorder="1"/>
    <xf numFmtId="0" fontId="16" fillId="0" borderId="0" xfId="0" applyFont="1"/>
    <xf numFmtId="43" fontId="16" fillId="0" borderId="0" xfId="1" applyNumberFormat="1" applyFont="1"/>
    <xf numFmtId="166" fontId="16" fillId="0" borderId="0" xfId="1" applyNumberFormat="1" applyFont="1"/>
    <xf numFmtId="10" fontId="15" fillId="0" borderId="1" xfId="2" applyNumberFormat="1" applyFont="1" applyBorder="1"/>
    <xf numFmtId="10" fontId="15" fillId="0" borderId="15" xfId="2" applyNumberFormat="1" applyFont="1" applyBorder="1"/>
    <xf numFmtId="0" fontId="1" fillId="0" borderId="1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0" borderId="11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 wrapText="1"/>
    </xf>
    <xf numFmtId="0" fontId="0" fillId="0" borderId="10" xfId="0" applyFont="1" applyBorder="1" applyAlignment="1">
      <alignment horizontal="left" vertical="center" wrapText="1"/>
    </xf>
    <xf numFmtId="0" fontId="0" fillId="0" borderId="9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6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indent="2"/>
    </xf>
    <xf numFmtId="0" fontId="0" fillId="0" borderId="0" xfId="0" applyFont="1" applyBorder="1" applyAlignment="1">
      <alignment horizontal="left" vertical="center" indent="2"/>
    </xf>
    <xf numFmtId="0" fontId="0" fillId="0" borderId="6" xfId="0" applyFont="1" applyBorder="1" applyAlignment="1">
      <alignment horizontal="left" vertical="center" indent="2"/>
    </xf>
    <xf numFmtId="0" fontId="0" fillId="0" borderId="4" xfId="0" applyFont="1" applyBorder="1" applyAlignment="1">
      <alignment horizontal="left" vertical="center" wrapText="1" indent="2"/>
    </xf>
    <xf numFmtId="0" fontId="0" fillId="0" borderId="0" xfId="0" applyFont="1" applyBorder="1" applyAlignment="1">
      <alignment horizontal="left" vertical="center" wrapText="1" indent="2"/>
    </xf>
    <xf numFmtId="0" fontId="0" fillId="0" borderId="6" xfId="0" applyFont="1" applyBorder="1" applyAlignment="1">
      <alignment horizontal="left" vertical="center" wrapText="1" indent="2"/>
    </xf>
    <xf numFmtId="0" fontId="1" fillId="0" borderId="4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9" fontId="0" fillId="0" borderId="0" xfId="0" applyNumberFormat="1"/>
    <xf numFmtId="0" fontId="0" fillId="0" borderId="19" xfId="0" applyBorder="1"/>
    <xf numFmtId="0" fontId="1" fillId="0" borderId="19" xfId="0" applyFont="1" applyBorder="1"/>
    <xf numFmtId="9" fontId="0" fillId="0" borderId="0" xfId="0" applyNumberFormat="1"/>
    <xf numFmtId="0" fontId="17" fillId="0" borderId="0" xfId="0" applyFont="1"/>
    <xf numFmtId="0" fontId="1" fillId="7" borderId="1" xfId="0" applyFont="1" applyFill="1" applyBorder="1"/>
    <xf numFmtId="0" fontId="1" fillId="7" borderId="15" xfId="0" applyFont="1" applyFill="1" applyBorder="1"/>
    <xf numFmtId="166" fontId="1" fillId="7" borderId="15" xfId="1" applyNumberFormat="1" applyFont="1" applyFill="1" applyBorder="1"/>
    <xf numFmtId="0" fontId="0" fillId="7" borderId="15" xfId="0" applyFill="1" applyBorder="1"/>
    <xf numFmtId="43" fontId="0" fillId="7" borderId="15" xfId="1" applyNumberFormat="1" applyFont="1" applyFill="1" applyBorder="1"/>
    <xf numFmtId="43" fontId="0" fillId="7" borderId="2" xfId="1" applyNumberFormat="1" applyFont="1" applyFill="1" applyBorder="1"/>
    <xf numFmtId="43" fontId="0" fillId="7" borderId="3" xfId="1" applyNumberFormat="1" applyFont="1" applyFill="1" applyBorder="1"/>
    <xf numFmtId="43" fontId="0" fillId="7" borderId="0" xfId="1" applyNumberFormat="1" applyFont="1" applyFill="1"/>
    <xf numFmtId="166" fontId="0" fillId="7" borderId="0" xfId="1" applyNumberFormat="1" applyFont="1" applyFill="1"/>
    <xf numFmtId="0" fontId="18" fillId="0" borderId="18" xfId="0" applyFont="1" applyBorder="1"/>
    <xf numFmtId="0" fontId="0" fillId="7" borderId="16" xfId="0" applyFont="1" applyFill="1" applyBorder="1" applyAlignment="1">
      <alignment horizontal="left" vertical="center"/>
    </xf>
    <xf numFmtId="0" fontId="0" fillId="7" borderId="17" xfId="0" applyFill="1" applyBorder="1"/>
    <xf numFmtId="166" fontId="0" fillId="7" borderId="17" xfId="1" applyNumberFormat="1" applyFont="1" applyFill="1" applyBorder="1"/>
    <xf numFmtId="168" fontId="0" fillId="7" borderId="17" xfId="1" applyNumberFormat="1" applyFont="1" applyFill="1" applyBorder="1"/>
    <xf numFmtId="0" fontId="1" fillId="7" borderId="19" xfId="0" applyFont="1" applyFill="1" applyBorder="1"/>
    <xf numFmtId="169" fontId="1" fillId="7" borderId="19" xfId="0" applyNumberFormat="1" applyFont="1" applyFill="1" applyBorder="1"/>
    <xf numFmtId="166" fontId="1" fillId="7" borderId="19" xfId="1" applyNumberFormat="1" applyFont="1" applyFill="1" applyBorder="1"/>
    <xf numFmtId="168" fontId="0" fillId="8" borderId="0" xfId="1" applyNumberFormat="1" applyFont="1" applyFill="1"/>
    <xf numFmtId="168" fontId="0" fillId="8" borderId="17" xfId="1" applyNumberFormat="1" applyFont="1" applyFill="1" applyBorder="1"/>
    <xf numFmtId="168" fontId="0" fillId="8" borderId="0" xfId="1" applyNumberFormat="1" applyFont="1" applyFill="1" applyBorder="1"/>
    <xf numFmtId="0" fontId="19" fillId="0" borderId="0" xfId="0" applyFont="1"/>
    <xf numFmtId="0" fontId="0" fillId="0" borderId="4" xfId="0" applyFont="1" applyBorder="1" applyAlignment="1">
      <alignment horizontal="left" vertical="top"/>
    </xf>
    <xf numFmtId="0" fontId="20" fillId="0" borderId="0" xfId="0" applyFont="1" applyAlignment="1">
      <alignment horizontal="center"/>
    </xf>
    <xf numFmtId="166" fontId="0" fillId="0" borderId="19" xfId="1" applyNumberFormat="1" applyFont="1" applyBorder="1"/>
    <xf numFmtId="0" fontId="1" fillId="0" borderId="19" xfId="0" applyFont="1" applyBorder="1" applyAlignment="1">
      <alignment horizontal="left" vertical="top"/>
    </xf>
    <xf numFmtId="166" fontId="1" fillId="0" borderId="19" xfId="1" applyNumberFormat="1" applyFont="1" applyBorder="1"/>
    <xf numFmtId="15" fontId="0" fillId="0" borderId="0" xfId="0" applyNumberFormat="1"/>
    <xf numFmtId="0" fontId="1" fillId="7" borderId="20" xfId="0" applyFont="1" applyFill="1" applyBorder="1"/>
    <xf numFmtId="0" fontId="0" fillId="7" borderId="19" xfId="0" applyFill="1" applyBorder="1"/>
    <xf numFmtId="166" fontId="0" fillId="7" borderId="19" xfId="1" applyNumberFormat="1" applyFont="1" applyFill="1" applyBorder="1"/>
    <xf numFmtId="0" fontId="0" fillId="0" borderId="18" xfId="0" applyBorder="1"/>
    <xf numFmtId="166" fontId="0" fillId="0" borderId="18" xfId="1" applyNumberFormat="1" applyFont="1" applyBorder="1"/>
    <xf numFmtId="0" fontId="20" fillId="0" borderId="19" xfId="0" applyFont="1" applyBorder="1"/>
    <xf numFmtId="10" fontId="0" fillId="0" borderId="19" xfId="2" applyNumberFormat="1" applyFont="1" applyBorder="1"/>
    <xf numFmtId="170" fontId="0" fillId="0" borderId="19" xfId="1" applyNumberFormat="1" applyFont="1" applyBorder="1"/>
    <xf numFmtId="0" fontId="9" fillId="0" borderId="19" xfId="0" applyFont="1" applyBorder="1"/>
    <xf numFmtId="0" fontId="21" fillId="0" borderId="0" xfId="0" applyFont="1" applyAlignment="1">
      <alignment wrapText="1"/>
    </xf>
    <xf numFmtId="0" fontId="22" fillId="0" borderId="0" xfId="0" applyFont="1"/>
    <xf numFmtId="0" fontId="0" fillId="0" borderId="0" xfId="0" applyAlignment="1">
      <alignment horizontal="left" indent="1"/>
    </xf>
    <xf numFmtId="0" fontId="0" fillId="3" borderId="0" xfId="0" applyFill="1" applyAlignment="1"/>
    <xf numFmtId="0" fontId="0" fillId="3" borderId="0" xfId="0" applyFill="1" applyAlignment="1"/>
    <xf numFmtId="0" fontId="11" fillId="8" borderId="0" xfId="0" applyFont="1" applyFill="1" applyAlignment="1">
      <alignment horizontal="center" vertical="center"/>
    </xf>
    <xf numFmtId="0" fontId="11" fillId="8" borderId="4" xfId="0" applyFont="1" applyFill="1" applyBorder="1" applyAlignment="1">
      <alignment horizontal="center" vertical="center"/>
    </xf>
    <xf numFmtId="0" fontId="11" fillId="8" borderId="0" xfId="0" applyFont="1" applyFill="1" applyBorder="1" applyAlignment="1">
      <alignment horizontal="center" vertical="center"/>
    </xf>
    <xf numFmtId="0" fontId="11" fillId="8" borderId="10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left" vertical="center"/>
    </xf>
    <xf numFmtId="0" fontId="1" fillId="9" borderId="13" xfId="0" applyFont="1" applyFill="1" applyBorder="1" applyAlignment="1">
      <alignment horizontal="left" vertical="center"/>
    </xf>
    <xf numFmtId="0" fontId="1" fillId="9" borderId="12" xfId="0" applyFont="1" applyFill="1" applyBorder="1" applyAlignment="1">
      <alignment horizontal="left" vertical="center"/>
    </xf>
    <xf numFmtId="0" fontId="1" fillId="9" borderId="14" xfId="0" applyFont="1" applyFill="1" applyBorder="1" applyAlignment="1">
      <alignment horizontal="left" vertical="center" wrapText="1"/>
    </xf>
    <xf numFmtId="0" fontId="1" fillId="9" borderId="14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5" xfId="0" applyFont="1" applyFill="1" applyBorder="1" applyAlignment="1">
      <alignment horizontal="left" vertical="center"/>
    </xf>
    <xf numFmtId="0" fontId="1" fillId="9" borderId="3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0" fillId="9" borderId="3" xfId="0" applyFont="1" applyFill="1" applyBorder="1" applyAlignment="1">
      <alignment horizont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7"/>
  <sheetViews>
    <sheetView showGridLines="0" zoomScale="70" zoomScaleNormal="70" workbookViewId="0">
      <selection activeCell="A64" sqref="A64:G64"/>
    </sheetView>
  </sheetViews>
  <sheetFormatPr defaultColWidth="8.90625" defaultRowHeight="14.5" x14ac:dyDescent="0.35"/>
  <cols>
    <col min="1" max="1" width="32" style="9" bestFit="1" customWidth="1"/>
    <col min="2" max="2" width="9.1796875" style="10" customWidth="1"/>
    <col min="3" max="3" width="9" style="10" bestFit="1" customWidth="1"/>
    <col min="4" max="4" width="10.81640625" style="10" bestFit="1" customWidth="1"/>
    <col min="5" max="5" width="30.81640625" style="10" bestFit="1" customWidth="1"/>
    <col min="6" max="6" width="11.54296875" style="10" customWidth="1"/>
    <col min="7" max="7" width="13.90625" style="33" bestFit="1" customWidth="1"/>
    <col min="8" max="16384" width="8.90625" style="10"/>
  </cols>
  <sheetData>
    <row r="1" spans="1:7" x14ac:dyDescent="0.35">
      <c r="A1" s="195" t="s">
        <v>80</v>
      </c>
      <c r="B1" s="195"/>
      <c r="C1" s="195"/>
      <c r="D1" s="195"/>
      <c r="E1" s="195"/>
      <c r="F1" s="195"/>
      <c r="G1" s="195"/>
    </row>
    <row r="2" spans="1:7" ht="15" thickBot="1" x14ac:dyDescent="0.4">
      <c r="A2" s="1"/>
      <c r="B2"/>
    </row>
    <row r="3" spans="1:7" x14ac:dyDescent="0.35">
      <c r="A3" s="5" t="s">
        <v>81</v>
      </c>
      <c r="B3" s="59"/>
      <c r="C3" s="60"/>
      <c r="D3" s="60"/>
      <c r="E3" s="60"/>
      <c r="F3" s="63"/>
      <c r="G3" s="57">
        <v>43922</v>
      </c>
    </row>
    <row r="4" spans="1:7" x14ac:dyDescent="0.35">
      <c r="A4" s="3" t="s">
        <v>82</v>
      </c>
      <c r="B4" s="4"/>
      <c r="C4" s="50"/>
      <c r="D4" s="50"/>
      <c r="E4" s="50">
        <f>EOMONTH(Assumptions!G3,0)</f>
        <v>43951</v>
      </c>
      <c r="F4" s="64"/>
      <c r="G4" s="2" t="s">
        <v>83</v>
      </c>
    </row>
    <row r="5" spans="1:7" ht="15" thickBot="1" x14ac:dyDescent="0.4">
      <c r="A5" s="6" t="s">
        <v>84</v>
      </c>
      <c r="B5" s="61"/>
      <c r="C5" s="62"/>
      <c r="D5" s="62"/>
      <c r="E5" s="62"/>
      <c r="F5" s="65"/>
      <c r="G5" s="58">
        <v>44013</v>
      </c>
    </row>
    <row r="6" spans="1:7" x14ac:dyDescent="0.35">
      <c r="A6" s="197" t="s">
        <v>0</v>
      </c>
      <c r="B6" s="197"/>
      <c r="C6" s="197"/>
      <c r="D6" s="197"/>
      <c r="E6" s="197"/>
      <c r="F6" s="197"/>
      <c r="G6" s="197"/>
    </row>
    <row r="7" spans="1:7" ht="15" thickBot="1" x14ac:dyDescent="0.4">
      <c r="A7" s="53"/>
      <c r="B7" s="53"/>
      <c r="C7" s="53"/>
      <c r="D7" s="53"/>
      <c r="E7" s="53"/>
      <c r="F7" s="53"/>
      <c r="G7" s="53"/>
    </row>
    <row r="8" spans="1:7" ht="15" thickBot="1" x14ac:dyDescent="0.4">
      <c r="A8" s="204" t="s">
        <v>1</v>
      </c>
      <c r="B8" s="205" t="s">
        <v>2</v>
      </c>
      <c r="C8" s="206" t="s">
        <v>3</v>
      </c>
      <c r="E8" s="204" t="s">
        <v>1</v>
      </c>
      <c r="F8" s="205" t="s">
        <v>2</v>
      </c>
      <c r="G8" s="207" t="s">
        <v>3</v>
      </c>
    </row>
    <row r="9" spans="1:7" x14ac:dyDescent="0.35">
      <c r="A9" s="11" t="s">
        <v>4</v>
      </c>
      <c r="B9" s="12"/>
      <c r="C9" s="13"/>
      <c r="E9" s="14" t="s">
        <v>16</v>
      </c>
      <c r="F9" s="12"/>
      <c r="G9" s="13"/>
    </row>
    <row r="10" spans="1:7" x14ac:dyDescent="0.35">
      <c r="A10" s="15" t="s">
        <v>5</v>
      </c>
      <c r="B10" s="16">
        <f>SUBTOTAL(9,B11:B13)</f>
        <v>1900</v>
      </c>
      <c r="C10" s="16">
        <f>SUBTOTAL(9,C11:C13)</f>
        <v>2100</v>
      </c>
      <c r="E10" s="15" t="s">
        <v>5</v>
      </c>
      <c r="F10" s="16">
        <f>SUBTOTAL(9,F11:F13)</f>
        <v>2000</v>
      </c>
      <c r="G10" s="16">
        <f>SUBTOTAL(9,G11:G13)</f>
        <v>2300</v>
      </c>
    </row>
    <row r="11" spans="1:7" x14ac:dyDescent="0.35">
      <c r="A11" s="20" t="s">
        <v>6</v>
      </c>
      <c r="B11" s="12">
        <v>400</v>
      </c>
      <c r="C11" s="13">
        <v>500</v>
      </c>
      <c r="E11" s="17" t="s">
        <v>6</v>
      </c>
      <c r="F11" s="12">
        <v>400</v>
      </c>
      <c r="G11" s="13">
        <v>650</v>
      </c>
    </row>
    <row r="12" spans="1:7" x14ac:dyDescent="0.35">
      <c r="A12" s="20" t="s">
        <v>7</v>
      </c>
      <c r="B12" s="12">
        <v>300</v>
      </c>
      <c r="C12" s="13">
        <v>400</v>
      </c>
      <c r="E12" s="17" t="s">
        <v>7</v>
      </c>
      <c r="F12" s="12">
        <v>400</v>
      </c>
      <c r="G12" s="13">
        <v>450</v>
      </c>
    </row>
    <row r="13" spans="1:7" x14ac:dyDescent="0.35">
      <c r="A13" s="20" t="s">
        <v>8</v>
      </c>
      <c r="B13" s="12">
        <v>1200</v>
      </c>
      <c r="C13" s="13">
        <v>1200</v>
      </c>
      <c r="E13" s="17" t="s">
        <v>8</v>
      </c>
      <c r="F13" s="12">
        <v>1200</v>
      </c>
      <c r="G13" s="13">
        <v>1200</v>
      </c>
    </row>
    <row r="14" spans="1:7" x14ac:dyDescent="0.35">
      <c r="A14" s="20" t="s">
        <v>9</v>
      </c>
      <c r="B14" s="18">
        <v>0.05</v>
      </c>
      <c r="C14" s="19">
        <v>0.05</v>
      </c>
      <c r="E14" s="17" t="s">
        <v>17</v>
      </c>
      <c r="F14" s="18">
        <v>0.05</v>
      </c>
      <c r="G14" s="19">
        <v>0.05</v>
      </c>
    </row>
    <row r="15" spans="1:7" x14ac:dyDescent="0.35">
      <c r="A15" s="20"/>
      <c r="B15" s="12"/>
      <c r="C15" s="13"/>
      <c r="E15" s="17"/>
      <c r="F15" s="12"/>
      <c r="G15" s="13"/>
    </row>
    <row r="16" spans="1:7" x14ac:dyDescent="0.35">
      <c r="A16" s="20" t="s">
        <v>10</v>
      </c>
      <c r="B16" s="12"/>
      <c r="C16" s="13"/>
      <c r="E16" s="20" t="s">
        <v>10</v>
      </c>
      <c r="F16" s="12"/>
      <c r="G16" s="13"/>
    </row>
    <row r="17" spans="1:8" x14ac:dyDescent="0.35">
      <c r="A17" s="20" t="s">
        <v>11</v>
      </c>
      <c r="B17" s="12">
        <v>100</v>
      </c>
      <c r="C17" s="13">
        <v>100</v>
      </c>
      <c r="E17" s="17" t="s">
        <v>11</v>
      </c>
      <c r="F17" s="12">
        <v>100</v>
      </c>
      <c r="G17" s="13">
        <v>100</v>
      </c>
    </row>
    <row r="18" spans="1:8" x14ac:dyDescent="0.35">
      <c r="A18" s="20" t="s">
        <v>12</v>
      </c>
      <c r="B18" s="12">
        <v>2</v>
      </c>
      <c r="C18" s="13">
        <v>2</v>
      </c>
      <c r="E18" s="17" t="s">
        <v>12</v>
      </c>
      <c r="F18" s="12">
        <v>2</v>
      </c>
      <c r="G18" s="13">
        <v>2</v>
      </c>
    </row>
    <row r="19" spans="1:8" x14ac:dyDescent="0.35">
      <c r="A19" s="20" t="s">
        <v>13</v>
      </c>
      <c r="B19" s="73">
        <v>10</v>
      </c>
      <c r="C19" s="74">
        <v>13</v>
      </c>
      <c r="E19" s="17" t="s">
        <v>13</v>
      </c>
      <c r="F19" s="73">
        <v>13</v>
      </c>
      <c r="G19" s="74">
        <v>15</v>
      </c>
    </row>
    <row r="20" spans="1:8" x14ac:dyDescent="0.35">
      <c r="A20" s="20" t="s">
        <v>14</v>
      </c>
      <c r="B20" s="18">
        <v>0.02</v>
      </c>
      <c r="C20" s="19">
        <v>0.04</v>
      </c>
      <c r="E20" s="17" t="s">
        <v>14</v>
      </c>
      <c r="F20" s="18">
        <v>0.02</v>
      </c>
      <c r="G20" s="19">
        <v>0.04</v>
      </c>
    </row>
    <row r="21" spans="1:8" ht="15" thickBot="1" x14ac:dyDescent="0.4">
      <c r="A21" s="51" t="s">
        <v>15</v>
      </c>
      <c r="B21" s="22">
        <v>60</v>
      </c>
      <c r="C21" s="23">
        <v>80</v>
      </c>
      <c r="E21" s="21" t="s">
        <v>15</v>
      </c>
      <c r="F21" s="22">
        <v>70</v>
      </c>
      <c r="G21" s="23">
        <v>90</v>
      </c>
    </row>
    <row r="24" spans="1:8" ht="15" thickBot="1" x14ac:dyDescent="0.4">
      <c r="A24" s="196" t="s">
        <v>18</v>
      </c>
      <c r="B24" s="197"/>
      <c r="C24" s="197"/>
      <c r="D24" s="197"/>
      <c r="E24" s="197"/>
      <c r="F24" s="197"/>
      <c r="G24" s="197"/>
    </row>
    <row r="25" spans="1:8" x14ac:dyDescent="0.35">
      <c r="A25" s="113" t="s">
        <v>19</v>
      </c>
      <c r="B25" s="114"/>
      <c r="C25" s="114"/>
      <c r="D25" s="114"/>
      <c r="E25" s="114"/>
      <c r="F25" s="114"/>
      <c r="G25" s="24">
        <v>0.35</v>
      </c>
    </row>
    <row r="26" spans="1:8" x14ac:dyDescent="0.35">
      <c r="A26" s="131" t="s">
        <v>20</v>
      </c>
      <c r="B26" s="132"/>
      <c r="C26" s="132"/>
      <c r="D26" s="132"/>
      <c r="E26" s="132"/>
      <c r="F26" s="132"/>
      <c r="G26" s="18">
        <v>0.4</v>
      </c>
    </row>
    <row r="27" spans="1:8" ht="15" thickBot="1" x14ac:dyDescent="0.4">
      <c r="A27" s="115" t="s">
        <v>21</v>
      </c>
      <c r="B27" s="116"/>
      <c r="C27" s="116"/>
      <c r="D27" s="116"/>
      <c r="E27" s="116"/>
      <c r="F27" s="116"/>
      <c r="G27" s="25">
        <v>0.3</v>
      </c>
    </row>
    <row r="28" spans="1:8" x14ac:dyDescent="0.35">
      <c r="A28" s="50"/>
      <c r="B28" s="50"/>
      <c r="C28" s="50"/>
      <c r="D28" s="50"/>
      <c r="E28" s="50"/>
      <c r="F28" s="50"/>
      <c r="G28" s="50"/>
      <c r="H28" s="50"/>
    </row>
    <row r="29" spans="1:8" ht="15" thickBot="1" x14ac:dyDescent="0.4">
      <c r="A29" s="115" t="s">
        <v>24</v>
      </c>
      <c r="B29" s="116"/>
      <c r="C29" s="116"/>
      <c r="D29" s="116"/>
      <c r="E29" s="116"/>
      <c r="F29" s="116"/>
      <c r="G29" s="116"/>
    </row>
    <row r="30" spans="1:8" ht="15" thickBot="1" x14ac:dyDescent="0.4">
      <c r="A30" s="199" t="s">
        <v>22</v>
      </c>
      <c r="B30" s="200"/>
      <c r="C30" s="200"/>
      <c r="D30" s="201"/>
      <c r="E30" s="202" t="s">
        <v>23</v>
      </c>
      <c r="F30" s="203" t="s">
        <v>34</v>
      </c>
      <c r="G30" s="203" t="s">
        <v>34</v>
      </c>
    </row>
    <row r="31" spans="1:8" x14ac:dyDescent="0.35">
      <c r="A31" s="140" t="s">
        <v>25</v>
      </c>
      <c r="B31" s="141"/>
      <c r="C31" s="141"/>
      <c r="D31" s="142"/>
      <c r="E31" s="26">
        <v>2</v>
      </c>
      <c r="F31" s="27">
        <v>20000</v>
      </c>
      <c r="G31" s="28">
        <v>40000</v>
      </c>
    </row>
    <row r="32" spans="1:8" x14ac:dyDescent="0.35">
      <c r="A32" s="137" t="s">
        <v>26</v>
      </c>
      <c r="B32" s="138"/>
      <c r="C32" s="138"/>
      <c r="D32" s="139"/>
      <c r="E32" s="29">
        <v>2</v>
      </c>
      <c r="F32" s="12">
        <v>50000</v>
      </c>
      <c r="G32" s="30">
        <v>100000</v>
      </c>
    </row>
    <row r="33" spans="1:7" x14ac:dyDescent="0.35">
      <c r="A33" s="137" t="s">
        <v>27</v>
      </c>
      <c r="B33" s="138"/>
      <c r="C33" s="138"/>
      <c r="D33" s="139"/>
      <c r="E33" s="29">
        <v>10</v>
      </c>
      <c r="F33" s="12">
        <v>20000</v>
      </c>
      <c r="G33" s="30">
        <v>200000</v>
      </c>
    </row>
    <row r="34" spans="1:7" x14ac:dyDescent="0.35">
      <c r="A34" s="137" t="s">
        <v>28</v>
      </c>
      <c r="B34" s="138"/>
      <c r="C34" s="138"/>
      <c r="D34" s="139"/>
      <c r="E34" s="29">
        <v>1</v>
      </c>
      <c r="F34" s="12">
        <v>100000</v>
      </c>
      <c r="G34" s="30">
        <v>100000</v>
      </c>
    </row>
    <row r="35" spans="1:7" x14ac:dyDescent="0.35">
      <c r="A35" s="137" t="s">
        <v>29</v>
      </c>
      <c r="B35" s="138"/>
      <c r="C35" s="138"/>
      <c r="D35" s="139"/>
      <c r="E35" s="29">
        <v>2</v>
      </c>
      <c r="F35" s="12">
        <v>75000</v>
      </c>
      <c r="G35" s="30">
        <v>150000</v>
      </c>
    </row>
    <row r="36" spans="1:7" x14ac:dyDescent="0.35">
      <c r="A36" s="137" t="s">
        <v>30</v>
      </c>
      <c r="B36" s="138"/>
      <c r="C36" s="138"/>
      <c r="D36" s="139"/>
      <c r="E36" s="29">
        <v>6</v>
      </c>
      <c r="F36" s="12">
        <v>30000</v>
      </c>
      <c r="G36" s="30">
        <v>180000</v>
      </c>
    </row>
    <row r="37" spans="1:7" x14ac:dyDescent="0.35">
      <c r="A37" s="137" t="s">
        <v>31</v>
      </c>
      <c r="B37" s="138"/>
      <c r="C37" s="138"/>
      <c r="D37" s="139"/>
      <c r="E37" s="29">
        <v>3</v>
      </c>
      <c r="F37" s="12">
        <v>17000</v>
      </c>
      <c r="G37" s="30">
        <v>51000</v>
      </c>
    </row>
    <row r="38" spans="1:7" x14ac:dyDescent="0.35">
      <c r="A38" s="137" t="s">
        <v>32</v>
      </c>
      <c r="B38" s="138"/>
      <c r="C38" s="138"/>
      <c r="D38" s="139"/>
      <c r="E38" s="29">
        <v>5</v>
      </c>
      <c r="F38" s="12">
        <v>17000</v>
      </c>
      <c r="G38" s="30">
        <v>85000</v>
      </c>
    </row>
    <row r="39" spans="1:7" ht="15" thickBot="1" x14ac:dyDescent="0.4">
      <c r="A39" s="134" t="s">
        <v>33</v>
      </c>
      <c r="B39" s="135"/>
      <c r="C39" s="135"/>
      <c r="D39" s="136"/>
      <c r="E39" s="31">
        <v>4</v>
      </c>
      <c r="F39" s="22">
        <v>20000</v>
      </c>
      <c r="G39" s="32">
        <v>80000</v>
      </c>
    </row>
    <row r="40" spans="1:7" ht="15" thickBot="1" x14ac:dyDescent="0.4">
      <c r="A40" s="143" t="s">
        <v>54</v>
      </c>
      <c r="B40" s="144"/>
      <c r="C40" s="144"/>
      <c r="D40" s="144"/>
      <c r="E40" s="145"/>
      <c r="F40" s="22"/>
      <c r="G40" s="32">
        <f>SUM(G31:G39)</f>
        <v>986000</v>
      </c>
    </row>
    <row r="41" spans="1:7" x14ac:dyDescent="0.35">
      <c r="A41" s="42" t="s">
        <v>86</v>
      </c>
      <c r="G41" s="67">
        <v>0.08</v>
      </c>
    </row>
    <row r="42" spans="1:7" ht="15" thickBot="1" x14ac:dyDescent="0.4">
      <c r="A42" s="195" t="s">
        <v>35</v>
      </c>
      <c r="B42" s="195"/>
      <c r="C42" s="195"/>
      <c r="D42" s="195"/>
      <c r="E42" s="195"/>
      <c r="F42" s="195"/>
      <c r="G42" s="195"/>
    </row>
    <row r="43" spans="1:7" ht="15" thickBot="1" x14ac:dyDescent="0.4">
      <c r="A43" s="199" t="s">
        <v>22</v>
      </c>
      <c r="B43" s="200"/>
      <c r="C43" s="200"/>
      <c r="D43" s="201"/>
      <c r="E43" s="202" t="s">
        <v>23</v>
      </c>
      <c r="F43" s="203" t="s">
        <v>34</v>
      </c>
      <c r="G43" s="208" t="s">
        <v>34</v>
      </c>
    </row>
    <row r="44" spans="1:7" x14ac:dyDescent="0.35">
      <c r="A44" s="140" t="s">
        <v>47</v>
      </c>
      <c r="B44" s="141"/>
      <c r="C44" s="141"/>
      <c r="D44" s="141"/>
      <c r="E44" s="34">
        <v>1</v>
      </c>
      <c r="F44" s="27">
        <v>50000</v>
      </c>
      <c r="G44" s="28">
        <v>50000</v>
      </c>
    </row>
    <row r="45" spans="1:7" x14ac:dyDescent="0.35">
      <c r="A45" s="137" t="s">
        <v>48</v>
      </c>
      <c r="B45" s="138"/>
      <c r="C45" s="138"/>
      <c r="D45" s="138"/>
      <c r="E45" s="29">
        <v>2</v>
      </c>
      <c r="F45" s="12">
        <v>35000</v>
      </c>
      <c r="G45" s="30">
        <v>70000</v>
      </c>
    </row>
    <row r="46" spans="1:7" x14ac:dyDescent="0.35">
      <c r="A46" s="137" t="s">
        <v>49</v>
      </c>
      <c r="B46" s="138"/>
      <c r="C46" s="138"/>
      <c r="D46" s="138"/>
      <c r="E46" s="29">
        <v>2</v>
      </c>
      <c r="F46" s="12">
        <v>20000</v>
      </c>
      <c r="G46" s="30">
        <v>40000</v>
      </c>
    </row>
    <row r="47" spans="1:7" x14ac:dyDescent="0.35">
      <c r="A47" s="137" t="s">
        <v>50</v>
      </c>
      <c r="B47" s="138"/>
      <c r="C47" s="138"/>
      <c r="D47" s="138"/>
      <c r="E47" s="29">
        <v>2</v>
      </c>
      <c r="F47" s="12">
        <v>40000</v>
      </c>
      <c r="G47" s="30">
        <v>80000</v>
      </c>
    </row>
    <row r="48" spans="1:7" x14ac:dyDescent="0.35">
      <c r="A48" s="137" t="s">
        <v>51</v>
      </c>
      <c r="B48" s="138"/>
      <c r="C48" s="138"/>
      <c r="D48" s="138"/>
      <c r="E48" s="29">
        <v>2</v>
      </c>
      <c r="F48" s="12">
        <v>40000</v>
      </c>
      <c r="G48" s="30">
        <v>80000</v>
      </c>
    </row>
    <row r="49" spans="1:7" ht="15" thickBot="1" x14ac:dyDescent="0.4">
      <c r="A49" s="137" t="s">
        <v>52</v>
      </c>
      <c r="B49" s="138"/>
      <c r="C49" s="138"/>
      <c r="D49" s="138"/>
      <c r="E49" s="29">
        <v>2</v>
      </c>
      <c r="F49" s="12">
        <v>30000</v>
      </c>
      <c r="G49" s="30">
        <v>60000</v>
      </c>
    </row>
    <row r="50" spans="1:7" ht="15" thickBot="1" x14ac:dyDescent="0.4">
      <c r="A50" s="146" t="s">
        <v>54</v>
      </c>
      <c r="B50" s="147"/>
      <c r="C50" s="147"/>
      <c r="D50" s="147"/>
      <c r="E50" s="148"/>
      <c r="F50" s="35"/>
      <c r="G50" s="36">
        <f>SUM(G44:G49)</f>
        <v>380000</v>
      </c>
    </row>
    <row r="51" spans="1:7" ht="15" thickBot="1" x14ac:dyDescent="0.4">
      <c r="A51" s="37"/>
      <c r="B51" s="38"/>
      <c r="C51" s="37"/>
      <c r="D51" s="37"/>
      <c r="E51" s="37"/>
      <c r="F51" s="38"/>
      <c r="G51" s="39"/>
    </row>
    <row r="52" spans="1:7" x14ac:dyDescent="0.35">
      <c r="A52" s="140" t="s">
        <v>85</v>
      </c>
      <c r="B52" s="141"/>
      <c r="C52" s="141"/>
      <c r="D52" s="141"/>
      <c r="E52" s="141"/>
      <c r="F52" s="142"/>
      <c r="G52" s="24">
        <v>0.05</v>
      </c>
    </row>
    <row r="53" spans="1:7" x14ac:dyDescent="0.35">
      <c r="A53" s="137" t="s">
        <v>36</v>
      </c>
      <c r="B53" s="138"/>
      <c r="C53" s="138"/>
      <c r="D53" s="138"/>
      <c r="E53" s="138"/>
      <c r="F53" s="139"/>
      <c r="G53" s="18">
        <v>0.1</v>
      </c>
    </row>
    <row r="54" spans="1:7" x14ac:dyDescent="0.35">
      <c r="A54" s="137" t="s">
        <v>70</v>
      </c>
      <c r="B54" s="138"/>
      <c r="C54" s="138"/>
      <c r="D54" s="138"/>
      <c r="E54" s="138"/>
      <c r="F54" s="139"/>
      <c r="G54" s="12">
        <v>10000</v>
      </c>
    </row>
    <row r="55" spans="1:7" x14ac:dyDescent="0.35">
      <c r="A55" s="137" t="s">
        <v>69</v>
      </c>
      <c r="B55" s="138"/>
      <c r="C55" s="138"/>
      <c r="D55" s="138"/>
      <c r="E55" s="138"/>
      <c r="F55" s="139"/>
      <c r="G55" s="12">
        <v>50000</v>
      </c>
    </row>
    <row r="56" spans="1:7" x14ac:dyDescent="0.35">
      <c r="A56" s="137" t="s">
        <v>71</v>
      </c>
      <c r="B56" s="138"/>
      <c r="C56" s="138"/>
      <c r="D56" s="138"/>
      <c r="E56" s="138"/>
      <c r="F56" s="139"/>
      <c r="G56" s="12">
        <v>25000</v>
      </c>
    </row>
    <row r="57" spans="1:7" x14ac:dyDescent="0.35">
      <c r="A57" s="137" t="s">
        <v>56</v>
      </c>
      <c r="B57" s="138"/>
      <c r="C57" s="138"/>
      <c r="D57" s="138"/>
      <c r="E57" s="138"/>
      <c r="F57" s="139"/>
      <c r="G57" s="12">
        <v>5</v>
      </c>
    </row>
    <row r="58" spans="1:7" x14ac:dyDescent="0.35">
      <c r="A58" s="137" t="s">
        <v>72</v>
      </c>
      <c r="B58" s="138"/>
      <c r="C58" s="138"/>
      <c r="D58" s="138"/>
      <c r="E58" s="138"/>
      <c r="F58" s="139"/>
      <c r="G58" s="40">
        <v>15000</v>
      </c>
    </row>
    <row r="59" spans="1:7" x14ac:dyDescent="0.35">
      <c r="A59" s="137" t="s">
        <v>45</v>
      </c>
      <c r="B59" s="138"/>
      <c r="C59" s="138"/>
      <c r="D59" s="138"/>
      <c r="E59" s="138"/>
      <c r="F59" s="139"/>
      <c r="G59" s="18">
        <v>0.02</v>
      </c>
    </row>
    <row r="60" spans="1:7" x14ac:dyDescent="0.35">
      <c r="A60" s="137" t="s">
        <v>46</v>
      </c>
      <c r="B60" s="138"/>
      <c r="C60" s="138"/>
      <c r="D60" s="138"/>
      <c r="E60" s="138"/>
      <c r="F60" s="139"/>
      <c r="G60" s="41">
        <v>1.4999999999999999E-2</v>
      </c>
    </row>
    <row r="61" spans="1:7" ht="15" thickBot="1" x14ac:dyDescent="0.4">
      <c r="A61" s="134" t="s">
        <v>55</v>
      </c>
      <c r="B61" s="135"/>
      <c r="C61" s="135"/>
      <c r="D61" s="135"/>
      <c r="E61" s="135"/>
      <c r="F61" s="136"/>
      <c r="G61" s="25">
        <v>0.5</v>
      </c>
    </row>
    <row r="62" spans="1:7" x14ac:dyDescent="0.35">
      <c r="A62" s="42" t="s">
        <v>53</v>
      </c>
      <c r="B62" s="43"/>
      <c r="C62" s="7"/>
      <c r="D62" s="7"/>
      <c r="E62" s="7"/>
      <c r="F62" s="7"/>
      <c r="G62" s="8">
        <v>0.08</v>
      </c>
    </row>
    <row r="63" spans="1:7" x14ac:dyDescent="0.35">
      <c r="A63" s="44"/>
      <c r="B63" s="45"/>
    </row>
    <row r="64" spans="1:7" ht="15" thickBot="1" x14ac:dyDescent="0.4">
      <c r="A64" s="198" t="s">
        <v>57</v>
      </c>
      <c r="B64" s="198"/>
      <c r="C64" s="198"/>
      <c r="D64" s="198"/>
      <c r="E64" s="198"/>
      <c r="F64" s="198"/>
      <c r="G64" s="198"/>
    </row>
    <row r="65" spans="1:7" x14ac:dyDescent="0.35">
      <c r="A65" s="140" t="s">
        <v>87</v>
      </c>
      <c r="B65" s="141"/>
      <c r="C65" s="141"/>
      <c r="D65" s="141"/>
      <c r="E65" s="141"/>
      <c r="F65" s="142"/>
      <c r="G65" s="27">
        <v>4000</v>
      </c>
    </row>
    <row r="66" spans="1:7" x14ac:dyDescent="0.35">
      <c r="A66" s="137" t="s">
        <v>37</v>
      </c>
      <c r="B66" s="138"/>
      <c r="C66" s="138"/>
      <c r="D66" s="138"/>
      <c r="E66" s="138"/>
      <c r="F66" s="139"/>
      <c r="G66" s="12">
        <v>1.33</v>
      </c>
    </row>
    <row r="67" spans="1:7" x14ac:dyDescent="0.35">
      <c r="A67" s="137" t="s">
        <v>88</v>
      </c>
      <c r="B67" s="138"/>
      <c r="C67" s="138"/>
      <c r="D67" s="138"/>
      <c r="E67" s="138"/>
      <c r="F67" s="139"/>
      <c r="G67" s="12">
        <f>G65*G66</f>
        <v>5320</v>
      </c>
    </row>
    <row r="68" spans="1:7" x14ac:dyDescent="0.35">
      <c r="A68" s="137" t="s">
        <v>38</v>
      </c>
      <c r="B68" s="138"/>
      <c r="C68" s="138"/>
      <c r="D68" s="138"/>
      <c r="E68" s="138"/>
      <c r="F68" s="139"/>
      <c r="G68" s="18">
        <v>0.75</v>
      </c>
    </row>
    <row r="69" spans="1:7" x14ac:dyDescent="0.35">
      <c r="A69" s="137" t="s">
        <v>39</v>
      </c>
      <c r="B69" s="138"/>
      <c r="C69" s="138"/>
      <c r="D69" s="138"/>
      <c r="E69" s="138"/>
      <c r="F69" s="139"/>
      <c r="G69" s="12">
        <v>3000</v>
      </c>
    </row>
    <row r="70" spans="1:7" x14ac:dyDescent="0.35">
      <c r="A70" s="137" t="s">
        <v>40</v>
      </c>
      <c r="B70" s="138"/>
      <c r="C70" s="138"/>
      <c r="D70" s="138"/>
      <c r="E70" s="138"/>
      <c r="F70" s="139"/>
      <c r="G70" s="12">
        <v>1000</v>
      </c>
    </row>
    <row r="71" spans="1:7" x14ac:dyDescent="0.35">
      <c r="A71" s="137" t="s">
        <v>41</v>
      </c>
      <c r="B71" s="138"/>
      <c r="C71" s="138"/>
      <c r="D71" s="138"/>
      <c r="E71" s="138"/>
      <c r="F71" s="139"/>
      <c r="G71" s="12">
        <v>25</v>
      </c>
    </row>
    <row r="72" spans="1:7" x14ac:dyDescent="0.35">
      <c r="A72" s="137" t="s">
        <v>42</v>
      </c>
      <c r="B72" s="138"/>
      <c r="C72" s="138"/>
      <c r="D72" s="138"/>
      <c r="E72" s="138"/>
      <c r="F72" s="139"/>
      <c r="G72" s="12">
        <v>100</v>
      </c>
    </row>
    <row r="73" spans="1:7" x14ac:dyDescent="0.35">
      <c r="A73" s="137" t="s">
        <v>43</v>
      </c>
      <c r="B73" s="138"/>
      <c r="C73" s="138"/>
      <c r="D73" s="138"/>
      <c r="E73" s="138"/>
      <c r="F73" s="139"/>
      <c r="G73" s="12">
        <v>4</v>
      </c>
    </row>
    <row r="74" spans="1:7" ht="15" thickBot="1" x14ac:dyDescent="0.4">
      <c r="A74" s="134" t="s">
        <v>44</v>
      </c>
      <c r="B74" s="135"/>
      <c r="C74" s="135"/>
      <c r="D74" s="135"/>
      <c r="E74" s="135"/>
      <c r="F74" s="136"/>
      <c r="G74" s="22">
        <v>30</v>
      </c>
    </row>
    <row r="75" spans="1:7" x14ac:dyDescent="0.35">
      <c r="A75" s="131"/>
      <c r="B75" s="132"/>
      <c r="C75" s="132"/>
      <c r="D75" s="132"/>
      <c r="E75" s="132"/>
      <c r="F75" s="132"/>
      <c r="G75" s="46"/>
    </row>
    <row r="77" spans="1:7" ht="15" thickBot="1" x14ac:dyDescent="0.4">
      <c r="A77" s="196" t="s">
        <v>58</v>
      </c>
      <c r="B77" s="197"/>
      <c r="C77" s="197"/>
      <c r="D77" s="197"/>
      <c r="E77" s="197"/>
      <c r="F77" s="197"/>
      <c r="G77" s="197"/>
    </row>
    <row r="78" spans="1:7" ht="15" thickBot="1" x14ac:dyDescent="0.4">
      <c r="A78" s="209" t="s">
        <v>59</v>
      </c>
      <c r="B78" s="210"/>
      <c r="C78" s="210"/>
      <c r="D78" s="210"/>
      <c r="E78" s="210"/>
      <c r="F78" s="211"/>
      <c r="G78" s="205" t="s">
        <v>62</v>
      </c>
    </row>
    <row r="79" spans="1:7" x14ac:dyDescent="0.35">
      <c r="A79" s="137" t="s">
        <v>89</v>
      </c>
      <c r="B79" s="138"/>
      <c r="C79" s="138"/>
      <c r="D79" s="138"/>
      <c r="E79" s="138"/>
      <c r="F79" s="139"/>
      <c r="G79" s="12">
        <v>2800</v>
      </c>
    </row>
    <row r="80" spans="1:7" x14ac:dyDescent="0.35">
      <c r="A80" s="137" t="s">
        <v>95</v>
      </c>
      <c r="B80" s="138"/>
      <c r="C80" s="138"/>
      <c r="D80" s="138"/>
      <c r="E80" s="138"/>
      <c r="F80" s="139"/>
      <c r="G80" s="12">
        <v>4000</v>
      </c>
    </row>
    <row r="81" spans="1:7" x14ac:dyDescent="0.35">
      <c r="A81" s="137" t="s">
        <v>60</v>
      </c>
      <c r="B81" s="138"/>
      <c r="C81" s="138"/>
      <c r="D81" s="138"/>
      <c r="E81" s="138"/>
      <c r="F81" s="139"/>
      <c r="G81" s="12">
        <v>1500</v>
      </c>
    </row>
    <row r="82" spans="1:7" x14ac:dyDescent="0.35">
      <c r="A82" s="137" t="s">
        <v>61</v>
      </c>
      <c r="B82" s="138"/>
      <c r="C82" s="138"/>
      <c r="D82" s="138"/>
      <c r="E82" s="138"/>
      <c r="F82" s="139"/>
      <c r="G82" s="12">
        <v>2000</v>
      </c>
    </row>
    <row r="83" spans="1:7" ht="15" thickBot="1" x14ac:dyDescent="0.4">
      <c r="A83" s="134" t="s">
        <v>94</v>
      </c>
      <c r="B83" s="135"/>
      <c r="C83" s="135"/>
      <c r="D83" s="135"/>
      <c r="E83" s="135"/>
      <c r="F83" s="136"/>
      <c r="G83" s="68">
        <v>1000000</v>
      </c>
    </row>
    <row r="85" spans="1:7" ht="15" thickBot="1" x14ac:dyDescent="0.4">
      <c r="A85" s="198" t="s">
        <v>63</v>
      </c>
      <c r="B85" s="198"/>
      <c r="C85" s="198"/>
      <c r="D85" s="198"/>
      <c r="E85" s="198"/>
      <c r="F85" s="198"/>
      <c r="G85" s="198"/>
    </row>
    <row r="86" spans="1:7" ht="15" thickBot="1" x14ac:dyDescent="0.4">
      <c r="A86" s="212"/>
      <c r="B86" s="213"/>
      <c r="C86" s="213"/>
      <c r="D86" s="213"/>
      <c r="E86" s="213"/>
      <c r="F86" s="214"/>
      <c r="G86" s="215" t="s">
        <v>68</v>
      </c>
    </row>
    <row r="87" spans="1:7" ht="15" thickBot="1" x14ac:dyDescent="0.4">
      <c r="A87" s="70" t="s">
        <v>90</v>
      </c>
      <c r="B87" s="53"/>
      <c r="C87" s="53"/>
      <c r="D87" s="53"/>
      <c r="E87" s="53"/>
      <c r="F87" s="69"/>
      <c r="G87" s="75">
        <f>2400000</f>
        <v>2400000</v>
      </c>
    </row>
    <row r="88" spans="1:7" x14ac:dyDescent="0.35">
      <c r="A88" s="131" t="s">
        <v>64</v>
      </c>
      <c r="B88" s="132"/>
      <c r="C88" s="132"/>
      <c r="D88" s="132"/>
      <c r="E88" s="132"/>
      <c r="F88" s="133"/>
      <c r="G88" s="47"/>
    </row>
    <row r="89" spans="1:7" x14ac:dyDescent="0.35">
      <c r="A89" s="128" t="s">
        <v>6</v>
      </c>
      <c r="B89" s="129"/>
      <c r="C89" s="129"/>
      <c r="D89" s="129"/>
      <c r="E89" s="129"/>
      <c r="F89" s="130"/>
      <c r="G89" s="12">
        <v>30</v>
      </c>
    </row>
    <row r="90" spans="1:7" x14ac:dyDescent="0.35">
      <c r="A90" s="128" t="s">
        <v>65</v>
      </c>
      <c r="B90" s="129"/>
      <c r="C90" s="129"/>
      <c r="D90" s="129"/>
      <c r="E90" s="129"/>
      <c r="F90" s="130"/>
      <c r="G90" s="12">
        <v>15</v>
      </c>
    </row>
    <row r="91" spans="1:7" x14ac:dyDescent="0.35">
      <c r="A91" s="125" t="s">
        <v>8</v>
      </c>
      <c r="B91" s="126"/>
      <c r="C91" s="126"/>
      <c r="D91" s="126"/>
      <c r="E91" s="126"/>
      <c r="F91" s="127"/>
      <c r="G91" s="12">
        <v>5</v>
      </c>
    </row>
    <row r="92" spans="1:7" x14ac:dyDescent="0.35">
      <c r="A92" s="122" t="s">
        <v>66</v>
      </c>
      <c r="B92" s="123"/>
      <c r="C92" s="123"/>
      <c r="D92" s="123"/>
      <c r="E92" s="123"/>
      <c r="F92" s="124"/>
      <c r="G92" s="12">
        <v>30</v>
      </c>
    </row>
    <row r="93" spans="1:7" ht="15" thickBot="1" x14ac:dyDescent="0.4">
      <c r="A93" s="119" t="s">
        <v>67</v>
      </c>
      <c r="B93" s="120"/>
      <c r="C93" s="120"/>
      <c r="D93" s="120"/>
      <c r="E93" s="120"/>
      <c r="F93" s="121"/>
      <c r="G93" s="22">
        <v>30</v>
      </c>
    </row>
    <row r="94" spans="1:7" x14ac:dyDescent="0.35">
      <c r="A94" s="49"/>
      <c r="B94" s="48"/>
      <c r="C94" s="48"/>
      <c r="D94" s="48"/>
      <c r="E94" s="48"/>
      <c r="F94" s="48"/>
      <c r="G94" s="38"/>
    </row>
    <row r="95" spans="1:7" s="50" customFormat="1" ht="15" thickBot="1" x14ac:dyDescent="0.4">
      <c r="A95" s="197" t="s">
        <v>73</v>
      </c>
      <c r="B95" s="197"/>
      <c r="C95" s="197"/>
      <c r="D95" s="197"/>
      <c r="E95" s="197"/>
      <c r="F95" s="197"/>
      <c r="G95" s="197"/>
    </row>
    <row r="96" spans="1:7" s="50" customFormat="1" x14ac:dyDescent="0.35">
      <c r="A96" s="113" t="s">
        <v>74</v>
      </c>
      <c r="B96" s="114"/>
      <c r="C96" s="114"/>
      <c r="D96" s="114"/>
      <c r="E96" s="114"/>
      <c r="F96" s="114"/>
      <c r="G96" s="54">
        <v>0.15</v>
      </c>
    </row>
    <row r="97" spans="1:7" s="50" customFormat="1" ht="15" thickBot="1" x14ac:dyDescent="0.4">
      <c r="A97" s="115" t="s">
        <v>75</v>
      </c>
      <c r="B97" s="116"/>
      <c r="C97" s="116"/>
      <c r="D97" s="116"/>
      <c r="E97" s="116"/>
      <c r="F97" s="116"/>
      <c r="G97" s="55">
        <v>0.1</v>
      </c>
    </row>
    <row r="98" spans="1:7" s="50" customFormat="1" x14ac:dyDescent="0.35">
      <c r="A98" s="49"/>
      <c r="B98" s="38"/>
      <c r="C98" s="48"/>
      <c r="D98" s="48"/>
      <c r="E98" s="48"/>
      <c r="F98" s="48"/>
    </row>
    <row r="99" spans="1:7" s="50" customFormat="1" ht="15" thickBot="1" x14ac:dyDescent="0.4">
      <c r="A99" s="197" t="s">
        <v>76</v>
      </c>
      <c r="B99" s="197"/>
      <c r="C99" s="197"/>
      <c r="D99" s="197"/>
      <c r="E99" s="197"/>
      <c r="F99" s="197"/>
      <c r="G99" s="197"/>
    </row>
    <row r="100" spans="1:7" s="50" customFormat="1" x14ac:dyDescent="0.35">
      <c r="A100" s="113" t="s">
        <v>77</v>
      </c>
      <c r="B100" s="114"/>
      <c r="C100" s="114"/>
      <c r="D100" s="114"/>
      <c r="E100" s="114"/>
      <c r="F100" s="114"/>
      <c r="G100" s="54">
        <v>1</v>
      </c>
    </row>
    <row r="101" spans="1:7" s="50" customFormat="1" ht="15" thickBot="1" x14ac:dyDescent="0.4">
      <c r="A101" s="115" t="s">
        <v>78</v>
      </c>
      <c r="B101" s="116"/>
      <c r="C101" s="116"/>
      <c r="D101" s="116"/>
      <c r="E101" s="116"/>
      <c r="F101" s="116"/>
      <c r="G101" s="55">
        <f>G100-1</f>
        <v>0</v>
      </c>
    </row>
    <row r="102" spans="1:7" s="50" customFormat="1" ht="15" thickBot="1" x14ac:dyDescent="0.4">
      <c r="A102" s="66" t="s">
        <v>92</v>
      </c>
      <c r="B102" s="66"/>
      <c r="C102" s="66"/>
      <c r="D102" s="66"/>
      <c r="E102" s="66"/>
      <c r="F102" s="66"/>
      <c r="G102" s="52"/>
    </row>
    <row r="103" spans="1:7" s="50" customFormat="1" ht="15" thickBot="1" x14ac:dyDescent="0.4">
      <c r="A103" s="117" t="s">
        <v>93</v>
      </c>
      <c r="B103" s="118"/>
      <c r="C103" s="118"/>
      <c r="D103" s="118"/>
      <c r="E103" s="118"/>
      <c r="F103" s="118"/>
      <c r="G103" s="71">
        <v>0.12</v>
      </c>
    </row>
    <row r="104" spans="1:7" ht="15" thickBot="1" x14ac:dyDescent="0.4">
      <c r="B104" s="9"/>
      <c r="C104" s="9"/>
      <c r="D104" s="9"/>
      <c r="E104" s="9"/>
      <c r="F104" s="9"/>
    </row>
    <row r="105" spans="1:7" ht="15" thickBot="1" x14ac:dyDescent="0.4">
      <c r="A105" s="111" t="s">
        <v>79</v>
      </c>
      <c r="B105" s="112"/>
      <c r="C105" s="112"/>
      <c r="D105" s="112"/>
      <c r="E105" s="112"/>
      <c r="F105" s="112"/>
      <c r="G105" s="56">
        <v>0.25169999999999998</v>
      </c>
    </row>
    <row r="107" spans="1:7" s="72" customFormat="1" x14ac:dyDescent="0.35">
      <c r="A107" s="72" t="s">
        <v>91</v>
      </c>
    </row>
  </sheetData>
  <mergeCells count="72">
    <mergeCell ref="A6:G6"/>
    <mergeCell ref="A30:D30"/>
    <mergeCell ref="A31:D31"/>
    <mergeCell ref="A32:D32"/>
    <mergeCell ref="A33:D33"/>
    <mergeCell ref="A29:G29"/>
    <mergeCell ref="A25:F25"/>
    <mergeCell ref="A26:F26"/>
    <mergeCell ref="A27:F27"/>
    <mergeCell ref="A24:G24"/>
    <mergeCell ref="A34:D34"/>
    <mergeCell ref="A35:D35"/>
    <mergeCell ref="A36:D36"/>
    <mergeCell ref="A37:D37"/>
    <mergeCell ref="A38:D38"/>
    <mergeCell ref="A39:D39"/>
    <mergeCell ref="A40:E40"/>
    <mergeCell ref="A50:E50"/>
    <mergeCell ref="A43:D43"/>
    <mergeCell ref="A44:D44"/>
    <mergeCell ref="A45:D45"/>
    <mergeCell ref="A46:D46"/>
    <mergeCell ref="A47:D47"/>
    <mergeCell ref="A61:F61"/>
    <mergeCell ref="A60:F60"/>
    <mergeCell ref="A59:F59"/>
    <mergeCell ref="A58:F58"/>
    <mergeCell ref="A48:D48"/>
    <mergeCell ref="A49:D49"/>
    <mergeCell ref="A57:F57"/>
    <mergeCell ref="A56:F56"/>
    <mergeCell ref="A55:F55"/>
    <mergeCell ref="A54:F54"/>
    <mergeCell ref="A52:F52"/>
    <mergeCell ref="A53:F53"/>
    <mergeCell ref="A64:G64"/>
    <mergeCell ref="A75:F75"/>
    <mergeCell ref="A65:F65"/>
    <mergeCell ref="A66:F66"/>
    <mergeCell ref="A67:F67"/>
    <mergeCell ref="A68:F68"/>
    <mergeCell ref="A69:F69"/>
    <mergeCell ref="A70:F70"/>
    <mergeCell ref="A82:F82"/>
    <mergeCell ref="A81:F81"/>
    <mergeCell ref="A80:F80"/>
    <mergeCell ref="A79:F79"/>
    <mergeCell ref="A71:F71"/>
    <mergeCell ref="A72:F72"/>
    <mergeCell ref="A73:F73"/>
    <mergeCell ref="A74:F74"/>
    <mergeCell ref="A89:F89"/>
    <mergeCell ref="A88:F88"/>
    <mergeCell ref="A86:F86"/>
    <mergeCell ref="A85:G85"/>
    <mergeCell ref="A83:F83"/>
    <mergeCell ref="A105:F105"/>
    <mergeCell ref="A99:G99"/>
    <mergeCell ref="A1:G1"/>
    <mergeCell ref="A42:G42"/>
    <mergeCell ref="A95:G95"/>
    <mergeCell ref="A96:F96"/>
    <mergeCell ref="A97:F97"/>
    <mergeCell ref="A100:F100"/>
    <mergeCell ref="A101:F101"/>
    <mergeCell ref="A103:F103"/>
    <mergeCell ref="A78:F78"/>
    <mergeCell ref="A77:G77"/>
    <mergeCell ref="A93:F93"/>
    <mergeCell ref="A92:F92"/>
    <mergeCell ref="A91:F91"/>
    <mergeCell ref="A90:F90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zoomScale="85" zoomScaleNormal="85" workbookViewId="0">
      <selection activeCell="A26" sqref="A26:G26"/>
    </sheetView>
  </sheetViews>
  <sheetFormatPr defaultRowHeight="14.5" x14ac:dyDescent="0.35"/>
  <cols>
    <col min="1" max="1" width="21.26953125" customWidth="1"/>
    <col min="5" max="7" width="9.54296875" style="83" bestFit="1" customWidth="1"/>
    <col min="8" max="16384" width="8.7265625" style="83"/>
  </cols>
  <sheetData>
    <row r="1" spans="1:7" customFormat="1" x14ac:dyDescent="0.35">
      <c r="A1" s="85" t="s">
        <v>105</v>
      </c>
      <c r="B1" s="86" t="str">
        <f>Den</f>
        <v>Lakhs</v>
      </c>
    </row>
    <row r="2" spans="1:7" customFormat="1" x14ac:dyDescent="0.35">
      <c r="E2" s="89">
        <v>1</v>
      </c>
      <c r="F2" s="89">
        <v>2</v>
      </c>
      <c r="G2" s="89">
        <v>3</v>
      </c>
    </row>
    <row r="3" spans="1:7" customFormat="1" x14ac:dyDescent="0.35">
      <c r="E3" s="88">
        <f>EOMONTH(Assumptions!G3,11)</f>
        <v>44286</v>
      </c>
      <c r="F3" s="88">
        <f>EOMONTH(E3,12)</f>
        <v>44651</v>
      </c>
      <c r="G3" s="88">
        <f>EOMONTH(F3,12)</f>
        <v>45016</v>
      </c>
    </row>
    <row r="4" spans="1:7" x14ac:dyDescent="0.35">
      <c r="A4" s="84" t="s">
        <v>150</v>
      </c>
    </row>
    <row r="5" spans="1:7" x14ac:dyDescent="0.35">
      <c r="A5" s="191" t="s">
        <v>147</v>
      </c>
      <c r="E5" s="83">
        <f>'Annual P&amp;L'!E39</f>
        <v>4.8325392608515927E-2</v>
      </c>
      <c r="F5" s="83">
        <f>'Annual P&amp;L'!F39</f>
        <v>56.821236543029336</v>
      </c>
      <c r="G5" s="83">
        <f>'Annual P&amp;L'!G39</f>
        <v>149.32712349179857</v>
      </c>
    </row>
    <row r="6" spans="1:7" x14ac:dyDescent="0.35">
      <c r="A6" s="191" t="s">
        <v>153</v>
      </c>
      <c r="E6" s="83">
        <f>'Annual P&amp;L'!E32</f>
        <v>15.482465753424657</v>
      </c>
      <c r="F6" s="83">
        <f>'Annual P&amp;L'!F32</f>
        <v>18.770301369863013</v>
      </c>
      <c r="G6" s="83">
        <f>'Annual P&amp;L'!G32</f>
        <v>16.440489041095891</v>
      </c>
    </row>
    <row r="7" spans="1:7" ht="40" customHeight="1" x14ac:dyDescent="0.35">
      <c r="A7" s="190" t="s">
        <v>154</v>
      </c>
      <c r="E7" s="83">
        <f>(E5+E6)</f>
        <v>15.530791146033174</v>
      </c>
      <c r="F7" s="83">
        <f t="shared" ref="F7:G7" si="0">(F5+F6)</f>
        <v>75.591537912892349</v>
      </c>
      <c r="G7" s="83">
        <f t="shared" si="0"/>
        <v>165.76761253289447</v>
      </c>
    </row>
    <row r="8" spans="1:7" x14ac:dyDescent="0.35">
      <c r="A8" s="10" t="s">
        <v>155</v>
      </c>
      <c r="E8" s="83">
        <v>18.738416713343849</v>
      </c>
      <c r="F8" s="83">
        <v>6.6047191523731357</v>
      </c>
      <c r="G8" s="83">
        <v>8.0098305764057791</v>
      </c>
    </row>
    <row r="9" spans="1:7" x14ac:dyDescent="0.35">
      <c r="A9" s="10"/>
    </row>
    <row r="10" spans="1:7" x14ac:dyDescent="0.35">
      <c r="A10" s="151" t="s">
        <v>156</v>
      </c>
      <c r="B10" s="150"/>
      <c r="C10" s="150"/>
      <c r="D10" s="150"/>
      <c r="E10" s="177">
        <f>(E7+E8)</f>
        <v>34.269207859377019</v>
      </c>
      <c r="F10" s="177">
        <f t="shared" ref="F10:G10" si="1">(F7+F8)</f>
        <v>82.196257065265485</v>
      </c>
      <c r="G10" s="177">
        <f t="shared" si="1"/>
        <v>173.77744310930026</v>
      </c>
    </row>
    <row r="11" spans="1:7" x14ac:dyDescent="0.35">
      <c r="A11" s="84"/>
    </row>
    <row r="12" spans="1:7" x14ac:dyDescent="0.35">
      <c r="A12" s="84" t="s">
        <v>151</v>
      </c>
    </row>
    <row r="13" spans="1:7" x14ac:dyDescent="0.35">
      <c r="A13" s="10" t="s">
        <v>157</v>
      </c>
      <c r="E13" s="83">
        <v>-173</v>
      </c>
      <c r="F13" s="83">
        <v>0</v>
      </c>
      <c r="G13" s="83">
        <v>0</v>
      </c>
    </row>
    <row r="14" spans="1:7" x14ac:dyDescent="0.35">
      <c r="A14" s="10" t="s">
        <v>158</v>
      </c>
      <c r="E14" s="83">
        <v>-10</v>
      </c>
      <c r="F14" s="83">
        <v>0</v>
      </c>
      <c r="G14" s="83">
        <v>0</v>
      </c>
    </row>
    <row r="15" spans="1:7" x14ac:dyDescent="0.35">
      <c r="A15" s="151" t="s">
        <v>159</v>
      </c>
      <c r="B15" s="150"/>
      <c r="C15" s="150"/>
      <c r="D15" s="150"/>
      <c r="E15" s="177">
        <f>SUM(E13:E14)</f>
        <v>-183</v>
      </c>
      <c r="F15" s="177">
        <f t="shared" ref="F15:G15" si="2">SUM(F13:F14)</f>
        <v>0</v>
      </c>
      <c r="G15" s="177">
        <f t="shared" si="2"/>
        <v>0</v>
      </c>
    </row>
    <row r="16" spans="1:7" x14ac:dyDescent="0.35">
      <c r="A16" s="84"/>
    </row>
    <row r="17" spans="1:7" x14ac:dyDescent="0.35">
      <c r="A17" s="84" t="s">
        <v>152</v>
      </c>
    </row>
    <row r="18" spans="1:7" x14ac:dyDescent="0.35">
      <c r="A18" t="s">
        <v>160</v>
      </c>
      <c r="E18" s="83">
        <v>207</v>
      </c>
      <c r="F18" s="83">
        <v>0</v>
      </c>
      <c r="G18" s="83">
        <v>0</v>
      </c>
    </row>
    <row r="19" spans="1:7" x14ac:dyDescent="0.35">
      <c r="A19" s="151" t="s">
        <v>161</v>
      </c>
      <c r="B19" s="150"/>
      <c r="C19" s="150"/>
      <c r="D19" s="150"/>
      <c r="E19" s="177">
        <f>SUM(E17:E18)</f>
        <v>207</v>
      </c>
      <c r="F19" s="177">
        <f t="shared" ref="F19" si="3">SUM(F17:F18)</f>
        <v>0</v>
      </c>
      <c r="G19" s="177">
        <f t="shared" ref="G19" si="4">SUM(G17:G18)</f>
        <v>0</v>
      </c>
    </row>
    <row r="21" spans="1:7" x14ac:dyDescent="0.35">
      <c r="A21" t="s">
        <v>162</v>
      </c>
      <c r="E21" s="83">
        <f>(E10+E15+E19)</f>
        <v>58.269207859377019</v>
      </c>
      <c r="F21" s="83">
        <f t="shared" ref="F21:G21" si="5">(F10+F15+F19)</f>
        <v>82.196257065265485</v>
      </c>
      <c r="G21" s="83">
        <f t="shared" si="5"/>
        <v>173.77744310930026</v>
      </c>
    </row>
    <row r="22" spans="1:7" x14ac:dyDescent="0.35">
      <c r="A22" t="s">
        <v>163</v>
      </c>
      <c r="E22" s="83">
        <v>0</v>
      </c>
      <c r="F22" s="83">
        <f>E23</f>
        <v>58.269207859377019</v>
      </c>
      <c r="G22" s="83">
        <f>F23</f>
        <v>140.4654649246425</v>
      </c>
    </row>
    <row r="23" spans="1:7" ht="15" thickBot="1" x14ac:dyDescent="0.4">
      <c r="A23" s="102" t="s">
        <v>164</v>
      </c>
      <c r="B23" s="102"/>
      <c r="C23" s="102"/>
      <c r="D23" s="102"/>
      <c r="E23" s="105">
        <f>(E21+E22)</f>
        <v>58.269207859377019</v>
      </c>
      <c r="F23" s="105">
        <f>(F21+F22)</f>
        <v>140.4654649246425</v>
      </c>
      <c r="G23" s="105">
        <f>(G21+G22)</f>
        <v>314.24290803394274</v>
      </c>
    </row>
    <row r="24" spans="1:7" ht="15" thickTop="1" x14ac:dyDescent="0.35"/>
    <row r="26" spans="1:7" x14ac:dyDescent="0.35">
      <c r="A26" s="194" t="s">
        <v>91</v>
      </c>
      <c r="B26" s="194"/>
      <c r="C26" s="194"/>
      <c r="D26" s="194"/>
      <c r="E26" s="194"/>
      <c r="F26" s="194"/>
      <c r="G26" s="19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="85" zoomScaleNormal="85" workbookViewId="0">
      <selection activeCell="C1" sqref="C1"/>
    </sheetView>
  </sheetViews>
  <sheetFormatPr defaultRowHeight="14.5" x14ac:dyDescent="0.35"/>
  <cols>
    <col min="1" max="1" width="13.90625" customWidth="1"/>
    <col min="4" max="4" width="13.54296875" customWidth="1"/>
  </cols>
  <sheetData>
    <row r="1" spans="1:4" x14ac:dyDescent="0.35">
      <c r="A1" s="79" t="s">
        <v>96</v>
      </c>
      <c r="B1" t="s">
        <v>104</v>
      </c>
      <c r="C1" s="81" t="s">
        <v>101</v>
      </c>
      <c r="D1" s="80">
        <f>VLOOKUP(C1,A3:B9,2,)</f>
        <v>100000</v>
      </c>
    </row>
    <row r="3" spans="1:4" x14ac:dyDescent="0.35">
      <c r="A3" t="s">
        <v>97</v>
      </c>
      <c r="B3">
        <v>1</v>
      </c>
    </row>
    <row r="4" spans="1:4" x14ac:dyDescent="0.35">
      <c r="A4" t="s">
        <v>98</v>
      </c>
      <c r="B4">
        <v>10</v>
      </c>
    </row>
    <row r="5" spans="1:4" x14ac:dyDescent="0.35">
      <c r="A5" t="s">
        <v>99</v>
      </c>
      <c r="B5">
        <v>100</v>
      </c>
    </row>
    <row r="6" spans="1:4" x14ac:dyDescent="0.35">
      <c r="A6" t="s">
        <v>100</v>
      </c>
      <c r="B6">
        <v>1000</v>
      </c>
    </row>
    <row r="7" spans="1:4" x14ac:dyDescent="0.35">
      <c r="A7" t="s">
        <v>101</v>
      </c>
      <c r="B7">
        <v>100000</v>
      </c>
    </row>
    <row r="8" spans="1:4" x14ac:dyDescent="0.35">
      <c r="A8" t="s">
        <v>102</v>
      </c>
      <c r="B8">
        <v>1000000</v>
      </c>
    </row>
    <row r="9" spans="1:4" x14ac:dyDescent="0.35">
      <c r="A9" t="s">
        <v>103</v>
      </c>
      <c r="B9">
        <v>10000000</v>
      </c>
    </row>
    <row r="14" spans="1:4" x14ac:dyDescent="0.35">
      <c r="A14" s="82"/>
    </row>
  </sheetData>
  <dataValidations count="1">
    <dataValidation type="list" allowBlank="1" showInputMessage="1" showErrorMessage="1" sqref="C1">
      <formula1>$A$3:$A$9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79"/>
  <sheetViews>
    <sheetView zoomScale="85" zoomScaleNormal="85" workbookViewId="0">
      <pane xSplit="4" ySplit="7" topLeftCell="E71" activePane="bottomRight" state="frozen"/>
      <selection pane="topRight" activeCell="E1" sqref="E1"/>
      <selection pane="bottomLeft" activeCell="A8" sqref="A8"/>
      <selection pane="bottomRight" activeCell="A79" sqref="A79"/>
    </sheetView>
  </sheetViews>
  <sheetFormatPr defaultRowHeight="14.5" x14ac:dyDescent="0.35"/>
  <cols>
    <col min="1" max="1" width="24.54296875" bestFit="1" customWidth="1"/>
    <col min="2" max="2" width="7.36328125" bestFit="1" customWidth="1"/>
    <col min="4" max="4" width="1.81640625" bestFit="1" customWidth="1"/>
    <col min="5" max="5" width="9.08984375" style="90" bestFit="1" customWidth="1"/>
    <col min="6" max="6" width="9.7265625" style="90" bestFit="1" customWidth="1"/>
    <col min="7" max="7" width="8.90625" style="90" bestFit="1" customWidth="1"/>
    <col min="8" max="8" width="10.453125" style="90" customWidth="1"/>
    <col min="9" max="9" width="9.26953125" style="90" bestFit="1" customWidth="1"/>
    <col min="10" max="10" width="9.08984375" style="90" bestFit="1" customWidth="1"/>
    <col min="11" max="11" width="8.90625" style="90" bestFit="1" customWidth="1"/>
    <col min="12" max="12" width="9.36328125" style="90" bestFit="1" customWidth="1"/>
    <col min="13" max="13" width="9.1796875" style="90" bestFit="1" customWidth="1"/>
    <col min="14" max="14" width="8.81640625" style="90" bestFit="1" customWidth="1"/>
    <col min="15" max="15" width="9.08984375" style="90" bestFit="1" customWidth="1"/>
    <col min="16" max="16" width="9.54296875" style="90" bestFit="1" customWidth="1"/>
    <col min="17" max="17" width="9.08984375" style="90" bestFit="1" customWidth="1"/>
    <col min="18" max="18" width="9.7265625" style="90" bestFit="1" customWidth="1"/>
    <col min="19" max="19" width="8.90625" style="90" bestFit="1" customWidth="1"/>
    <col min="20" max="20" width="8.26953125" style="90" bestFit="1" customWidth="1"/>
    <col min="21" max="21" width="9.26953125" style="90" bestFit="1" customWidth="1"/>
    <col min="22" max="22" width="9.08984375" style="90" bestFit="1" customWidth="1"/>
    <col min="23" max="23" width="8.90625" style="90" bestFit="1" customWidth="1"/>
    <col min="24" max="24" width="9.36328125" style="90" bestFit="1" customWidth="1"/>
    <col min="25" max="25" width="9.1796875" style="90" bestFit="1" customWidth="1"/>
    <col min="26" max="26" width="8.81640625" style="90" bestFit="1" customWidth="1"/>
    <col min="27" max="27" width="9.08984375" style="90" bestFit="1" customWidth="1"/>
    <col min="28" max="28" width="9.54296875" style="90" bestFit="1" customWidth="1"/>
    <col min="29" max="29" width="9.08984375" style="90" bestFit="1" customWidth="1"/>
    <col min="30" max="30" width="9.7265625" style="90" bestFit="1" customWidth="1"/>
    <col min="31" max="31" width="8.90625" style="90" bestFit="1" customWidth="1"/>
    <col min="32" max="32" width="8.26953125" style="90" bestFit="1" customWidth="1"/>
    <col min="33" max="33" width="9.26953125" style="90" bestFit="1" customWidth="1"/>
    <col min="34" max="34" width="9.08984375" style="90" bestFit="1" customWidth="1"/>
    <col min="35" max="35" width="8.90625" style="90" bestFit="1" customWidth="1"/>
    <col min="36" max="36" width="9.36328125" style="90" bestFit="1" customWidth="1"/>
    <col min="37" max="37" width="9.1796875" style="90" bestFit="1" customWidth="1"/>
    <col min="38" max="38" width="8.81640625" style="90" bestFit="1" customWidth="1"/>
    <col min="39" max="39" width="9.08984375" style="90" bestFit="1" customWidth="1"/>
    <col min="40" max="40" width="9.54296875" style="90" bestFit="1" customWidth="1"/>
    <col min="41" max="16384" width="8.7265625" style="90"/>
  </cols>
  <sheetData>
    <row r="1" spans="1:40" customFormat="1" x14ac:dyDescent="0.35">
      <c r="A1" s="85" t="s">
        <v>105</v>
      </c>
      <c r="B1" s="86" t="str">
        <f>Converter!C1</f>
        <v>Lakhs</v>
      </c>
    </row>
    <row r="2" spans="1:40" customFormat="1" x14ac:dyDescent="0.35"/>
    <row r="3" spans="1:40" customFormat="1" x14ac:dyDescent="0.35">
      <c r="E3" s="87">
        <v>1</v>
      </c>
      <c r="F3" s="87">
        <f>E3+1</f>
        <v>2</v>
      </c>
      <c r="G3" s="87">
        <f t="shared" ref="G3:AN3" si="0">F3+1</f>
        <v>3</v>
      </c>
      <c r="H3" s="87">
        <f t="shared" si="0"/>
        <v>4</v>
      </c>
      <c r="I3" s="87">
        <f t="shared" si="0"/>
        <v>5</v>
      </c>
      <c r="J3" s="87">
        <f t="shared" si="0"/>
        <v>6</v>
      </c>
      <c r="K3" s="87">
        <f t="shared" si="0"/>
        <v>7</v>
      </c>
      <c r="L3" s="87">
        <f t="shared" si="0"/>
        <v>8</v>
      </c>
      <c r="M3" s="87">
        <f t="shared" si="0"/>
        <v>9</v>
      </c>
      <c r="N3" s="87">
        <f t="shared" si="0"/>
        <v>10</v>
      </c>
      <c r="O3" s="87">
        <f t="shared" si="0"/>
        <v>11</v>
      </c>
      <c r="P3" s="87">
        <f t="shared" si="0"/>
        <v>12</v>
      </c>
      <c r="Q3" s="87">
        <f t="shared" si="0"/>
        <v>13</v>
      </c>
      <c r="R3" s="87">
        <f t="shared" si="0"/>
        <v>14</v>
      </c>
      <c r="S3" s="87">
        <f t="shared" si="0"/>
        <v>15</v>
      </c>
      <c r="T3" s="87">
        <f t="shared" si="0"/>
        <v>16</v>
      </c>
      <c r="U3" s="87">
        <f t="shared" si="0"/>
        <v>17</v>
      </c>
      <c r="V3" s="87">
        <f t="shared" si="0"/>
        <v>18</v>
      </c>
      <c r="W3" s="87">
        <f t="shared" si="0"/>
        <v>19</v>
      </c>
      <c r="X3" s="87">
        <f t="shared" si="0"/>
        <v>20</v>
      </c>
      <c r="Y3" s="87">
        <f t="shared" si="0"/>
        <v>21</v>
      </c>
      <c r="Z3" s="87">
        <f t="shared" si="0"/>
        <v>22</v>
      </c>
      <c r="AA3" s="87">
        <f t="shared" si="0"/>
        <v>23</v>
      </c>
      <c r="AB3" s="87">
        <f t="shared" si="0"/>
        <v>24</v>
      </c>
      <c r="AC3" s="87">
        <f t="shared" si="0"/>
        <v>25</v>
      </c>
      <c r="AD3" s="87">
        <f t="shared" si="0"/>
        <v>26</v>
      </c>
      <c r="AE3" s="87">
        <f t="shared" si="0"/>
        <v>27</v>
      </c>
      <c r="AF3" s="87">
        <f t="shared" si="0"/>
        <v>28</v>
      </c>
      <c r="AG3" s="87">
        <f t="shared" si="0"/>
        <v>29</v>
      </c>
      <c r="AH3" s="87">
        <f t="shared" si="0"/>
        <v>30</v>
      </c>
      <c r="AI3" s="87">
        <f t="shared" si="0"/>
        <v>31</v>
      </c>
      <c r="AJ3" s="87">
        <f t="shared" si="0"/>
        <v>32</v>
      </c>
      <c r="AK3" s="87">
        <f t="shared" si="0"/>
        <v>33</v>
      </c>
      <c r="AL3" s="87">
        <f t="shared" si="0"/>
        <v>34</v>
      </c>
      <c r="AM3" s="87">
        <f t="shared" si="0"/>
        <v>35</v>
      </c>
      <c r="AN3" s="87">
        <f t="shared" si="0"/>
        <v>36</v>
      </c>
    </row>
    <row r="4" spans="1:40" customFormat="1" x14ac:dyDescent="0.35">
      <c r="E4" s="88">
        <f>EOMONTH(Assumptions!G3,0)</f>
        <v>43951</v>
      </c>
      <c r="F4" s="88">
        <f>EOMONTH(E4,1)</f>
        <v>43982</v>
      </c>
      <c r="G4" s="88">
        <f>EOMONTH(F4,1)</f>
        <v>44012</v>
      </c>
      <c r="H4" s="88">
        <f t="shared" ref="H4:AN4" si="1">EOMONTH(G4,1)</f>
        <v>44043</v>
      </c>
      <c r="I4" s="88">
        <f t="shared" si="1"/>
        <v>44074</v>
      </c>
      <c r="J4" s="88">
        <f t="shared" si="1"/>
        <v>44104</v>
      </c>
      <c r="K4" s="88">
        <f t="shared" si="1"/>
        <v>44135</v>
      </c>
      <c r="L4" s="88">
        <f t="shared" si="1"/>
        <v>44165</v>
      </c>
      <c r="M4" s="88">
        <f t="shared" si="1"/>
        <v>44196</v>
      </c>
      <c r="N4" s="88">
        <f t="shared" si="1"/>
        <v>44227</v>
      </c>
      <c r="O4" s="88">
        <f t="shared" si="1"/>
        <v>44255</v>
      </c>
      <c r="P4" s="88">
        <f t="shared" si="1"/>
        <v>44286</v>
      </c>
      <c r="Q4" s="88">
        <f t="shared" si="1"/>
        <v>44316</v>
      </c>
      <c r="R4" s="88">
        <f t="shared" si="1"/>
        <v>44347</v>
      </c>
      <c r="S4" s="88">
        <f t="shared" si="1"/>
        <v>44377</v>
      </c>
      <c r="T4" s="88">
        <f t="shared" si="1"/>
        <v>44408</v>
      </c>
      <c r="U4" s="88">
        <f t="shared" si="1"/>
        <v>44439</v>
      </c>
      <c r="V4" s="88">
        <f t="shared" si="1"/>
        <v>44469</v>
      </c>
      <c r="W4" s="88">
        <f t="shared" si="1"/>
        <v>44500</v>
      </c>
      <c r="X4" s="88">
        <f t="shared" si="1"/>
        <v>44530</v>
      </c>
      <c r="Y4" s="88">
        <f t="shared" si="1"/>
        <v>44561</v>
      </c>
      <c r="Z4" s="88">
        <f t="shared" si="1"/>
        <v>44592</v>
      </c>
      <c r="AA4" s="88">
        <f t="shared" si="1"/>
        <v>44620</v>
      </c>
      <c r="AB4" s="88">
        <f t="shared" si="1"/>
        <v>44651</v>
      </c>
      <c r="AC4" s="88">
        <f t="shared" si="1"/>
        <v>44681</v>
      </c>
      <c r="AD4" s="88">
        <f t="shared" si="1"/>
        <v>44712</v>
      </c>
      <c r="AE4" s="88">
        <f t="shared" si="1"/>
        <v>44742</v>
      </c>
      <c r="AF4" s="88">
        <f t="shared" si="1"/>
        <v>44773</v>
      </c>
      <c r="AG4" s="88">
        <f t="shared" si="1"/>
        <v>44804</v>
      </c>
      <c r="AH4" s="88">
        <f t="shared" si="1"/>
        <v>44834</v>
      </c>
      <c r="AI4" s="88">
        <f t="shared" si="1"/>
        <v>44865</v>
      </c>
      <c r="AJ4" s="88">
        <f t="shared" si="1"/>
        <v>44895</v>
      </c>
      <c r="AK4" s="88">
        <f t="shared" si="1"/>
        <v>44926</v>
      </c>
      <c r="AL4" s="88">
        <f t="shared" si="1"/>
        <v>44957</v>
      </c>
      <c r="AM4" s="88">
        <f t="shared" si="1"/>
        <v>44985</v>
      </c>
      <c r="AN4" s="88">
        <f t="shared" si="1"/>
        <v>45016</v>
      </c>
    </row>
    <row r="5" spans="1:40" s="83" customFormat="1" x14ac:dyDescent="0.35">
      <c r="A5" s="85" t="s">
        <v>106</v>
      </c>
      <c r="B5"/>
      <c r="C5"/>
      <c r="D5"/>
      <c r="E5" s="83">
        <f>IF(E4&gt;Assumptions!$G$5,DAY('Monthly Revenue'!E4),0)</f>
        <v>0</v>
      </c>
      <c r="F5" s="83">
        <f>IF(F4&gt;Assumptions!$G$5,DAY('Monthly Revenue'!F4),0)</f>
        <v>0</v>
      </c>
      <c r="G5" s="83">
        <f>IF(G4&gt;Assumptions!$G$5,DAY('Monthly Revenue'!G4),0)</f>
        <v>0</v>
      </c>
      <c r="H5" s="83">
        <f>IF(H4&gt;Assumptions!$G$5,DAY('Monthly Revenue'!H4),0)</f>
        <v>31</v>
      </c>
      <c r="I5" s="83">
        <f>IF(I4&gt;Assumptions!$G$5,DAY('Monthly Revenue'!I4),0)</f>
        <v>31</v>
      </c>
      <c r="J5" s="83">
        <f>IF(J4&gt;Assumptions!$G$5,DAY('Monthly Revenue'!J4),0)</f>
        <v>30</v>
      </c>
      <c r="K5" s="83">
        <f>IF(K4&gt;Assumptions!$G$5,DAY('Monthly Revenue'!K4),0)</f>
        <v>31</v>
      </c>
      <c r="L5" s="83">
        <f>IF(L4&gt;Assumptions!$G$5,DAY('Monthly Revenue'!L4),0)</f>
        <v>30</v>
      </c>
      <c r="M5" s="83">
        <f>IF(M4&gt;Assumptions!$G$5,DAY('Monthly Revenue'!M4),0)</f>
        <v>31</v>
      </c>
      <c r="N5" s="83">
        <f>IF(N4&gt;Assumptions!$G$5,DAY('Monthly Revenue'!N4),0)</f>
        <v>31</v>
      </c>
      <c r="O5" s="83">
        <f>IF(O4&gt;Assumptions!$G$5,DAY('Monthly Revenue'!O4),0)</f>
        <v>28</v>
      </c>
      <c r="P5" s="83">
        <f>IF(P4&gt;Assumptions!$G$5,DAY('Monthly Revenue'!P4),0)</f>
        <v>31</v>
      </c>
      <c r="Q5" s="83">
        <f>IF(Q4&gt;Assumptions!$G$5,DAY('Monthly Revenue'!Q4),0)</f>
        <v>30</v>
      </c>
      <c r="R5" s="83">
        <f>IF(R4&gt;Assumptions!$G$5,DAY('Monthly Revenue'!R4),0)</f>
        <v>31</v>
      </c>
      <c r="S5" s="83">
        <f>IF(S4&gt;Assumptions!$G$5,DAY('Monthly Revenue'!S4),0)</f>
        <v>30</v>
      </c>
      <c r="T5" s="83">
        <f>IF(T4&gt;Assumptions!$G$5,DAY('Monthly Revenue'!T4),0)</f>
        <v>31</v>
      </c>
      <c r="U5" s="83">
        <f>IF(U4&gt;Assumptions!$G$5,DAY('Monthly Revenue'!U4),0)</f>
        <v>31</v>
      </c>
      <c r="V5" s="83">
        <f>IF(V4&gt;Assumptions!$G$5,DAY('Monthly Revenue'!V4),0)</f>
        <v>30</v>
      </c>
      <c r="W5" s="83">
        <f>IF(W4&gt;Assumptions!$G$5,DAY('Monthly Revenue'!W4),0)</f>
        <v>31</v>
      </c>
      <c r="X5" s="83">
        <f>IF(X4&gt;Assumptions!$G$5,DAY('Monthly Revenue'!X4),0)</f>
        <v>30</v>
      </c>
      <c r="Y5" s="83">
        <f>IF(Y4&gt;Assumptions!$G$5,DAY('Monthly Revenue'!Y4),0)</f>
        <v>31</v>
      </c>
      <c r="Z5" s="83">
        <f>IF(Z4&gt;Assumptions!$G$5,DAY('Monthly Revenue'!Z4),0)</f>
        <v>31</v>
      </c>
      <c r="AA5" s="83">
        <f>IF(AA4&gt;Assumptions!$G$5,DAY('Monthly Revenue'!AA4),0)</f>
        <v>28</v>
      </c>
      <c r="AB5" s="83">
        <f>IF(AB4&gt;Assumptions!$G$5,DAY('Monthly Revenue'!AB4),0)</f>
        <v>31</v>
      </c>
      <c r="AC5" s="83">
        <f>IF(AC4&gt;Assumptions!$G$5,DAY('Monthly Revenue'!AC4),0)</f>
        <v>30</v>
      </c>
      <c r="AD5" s="83">
        <f>IF(AD4&gt;Assumptions!$G$5,DAY('Monthly Revenue'!AD4),0)</f>
        <v>31</v>
      </c>
      <c r="AE5" s="83">
        <f>IF(AE4&gt;Assumptions!$G$5,DAY('Monthly Revenue'!AE4),0)</f>
        <v>30</v>
      </c>
      <c r="AF5" s="83">
        <f>IF(AF4&gt;Assumptions!$G$5,DAY('Monthly Revenue'!AF4),0)</f>
        <v>31</v>
      </c>
      <c r="AG5" s="83">
        <f>IF(AG4&gt;Assumptions!$G$5,DAY('Monthly Revenue'!AG4),0)</f>
        <v>31</v>
      </c>
      <c r="AH5" s="83">
        <f>IF(AH4&gt;Assumptions!$G$5,DAY('Monthly Revenue'!AH4),0)</f>
        <v>30</v>
      </c>
      <c r="AI5" s="83">
        <f>IF(AI4&gt;Assumptions!$G$5,DAY('Monthly Revenue'!AI4),0)</f>
        <v>31</v>
      </c>
      <c r="AJ5" s="83">
        <f>IF(AJ4&gt;Assumptions!$G$5,DAY('Monthly Revenue'!AJ4),0)</f>
        <v>30</v>
      </c>
      <c r="AK5" s="83">
        <f>IF(AK4&gt;Assumptions!$G$5,DAY('Monthly Revenue'!AK4),0)</f>
        <v>31</v>
      </c>
      <c r="AL5" s="83">
        <f>IF(AL4&gt;Assumptions!$G$5,DAY('Monthly Revenue'!AL4),0)</f>
        <v>31</v>
      </c>
      <c r="AM5" s="83">
        <f>IF(AM4&gt;Assumptions!$G$5,DAY('Monthly Revenue'!AM4),0)</f>
        <v>28</v>
      </c>
      <c r="AN5" s="83">
        <f>IF(AN4&gt;Assumptions!$G$5,DAY('Monthly Revenue'!AN4),0)</f>
        <v>31</v>
      </c>
    </row>
    <row r="6" spans="1:40" s="83" customFormat="1" x14ac:dyDescent="0.35">
      <c r="A6" t="s">
        <v>107</v>
      </c>
      <c r="B6"/>
      <c r="C6"/>
      <c r="D6"/>
      <c r="E6" s="83">
        <f>IF(E5&gt;0,NETWORKDAYS(D4+1,E4),0)</f>
        <v>0</v>
      </c>
      <c r="F6" s="83">
        <f>IF(F5&gt;0,NETWORKDAYS(E4+1,F4),0)</f>
        <v>0</v>
      </c>
      <c r="G6" s="83">
        <f>IF(G5&gt;0,NETWORKDAYS(F4+1,G4),0)</f>
        <v>0</v>
      </c>
      <c r="H6" s="83">
        <f>IF(H5&gt;0,NETWORKDAYS(G4+1,H4),0)</f>
        <v>23</v>
      </c>
      <c r="I6" s="83">
        <f>IF(I5&gt;0,NETWORKDAYS(H4+1,I4),0)</f>
        <v>21</v>
      </c>
      <c r="J6" s="83">
        <f t="shared" ref="J6:Q6" si="2">IF(J5&gt;0,NETWORKDAYS(I4+1,J4),0)</f>
        <v>22</v>
      </c>
      <c r="K6" s="83">
        <f t="shared" si="2"/>
        <v>22</v>
      </c>
      <c r="L6" s="83">
        <f t="shared" si="2"/>
        <v>21</v>
      </c>
      <c r="M6" s="83">
        <f t="shared" si="2"/>
        <v>23</v>
      </c>
      <c r="N6" s="83">
        <f t="shared" si="2"/>
        <v>21</v>
      </c>
      <c r="O6" s="83">
        <f t="shared" si="2"/>
        <v>20</v>
      </c>
      <c r="P6" s="83">
        <f t="shared" si="2"/>
        <v>23</v>
      </c>
      <c r="Q6" s="83">
        <f t="shared" si="2"/>
        <v>22</v>
      </c>
      <c r="R6" s="83">
        <f t="shared" ref="R6" si="3">IF(R5&gt;0,NETWORKDAYS(Q4+1,R4),0)</f>
        <v>21</v>
      </c>
      <c r="S6" s="83">
        <f t="shared" ref="S6" si="4">IF(S5&gt;0,NETWORKDAYS(R4+1,S4),0)</f>
        <v>22</v>
      </c>
      <c r="T6" s="83">
        <f t="shared" ref="T6" si="5">IF(T5&gt;0,NETWORKDAYS(S4+1,T4),0)</f>
        <v>22</v>
      </c>
      <c r="U6" s="83">
        <f t="shared" ref="U6" si="6">IF(U5&gt;0,NETWORKDAYS(T4+1,U4),0)</f>
        <v>22</v>
      </c>
      <c r="V6" s="83">
        <f t="shared" ref="V6" si="7">IF(V5&gt;0,NETWORKDAYS(U4+1,V4),0)</f>
        <v>22</v>
      </c>
      <c r="W6" s="83">
        <f t="shared" ref="W6" si="8">IF(W5&gt;0,NETWORKDAYS(V4+1,W4),0)</f>
        <v>21</v>
      </c>
      <c r="X6" s="83">
        <f t="shared" ref="X6:Y6" si="9">IF(X5&gt;0,NETWORKDAYS(W4+1,X4),0)</f>
        <v>22</v>
      </c>
      <c r="Y6" s="83">
        <f t="shared" si="9"/>
        <v>23</v>
      </c>
      <c r="Z6" s="83">
        <f t="shared" ref="Z6" si="10">IF(Z5&gt;0,NETWORKDAYS(Y4+1,Z4),0)</f>
        <v>21</v>
      </c>
      <c r="AA6" s="83">
        <f t="shared" ref="AA6" si="11">IF(AA5&gt;0,NETWORKDAYS(Z4+1,AA4),0)</f>
        <v>20</v>
      </c>
      <c r="AB6" s="83">
        <f t="shared" ref="AB6" si="12">IF(AB5&gt;0,NETWORKDAYS(AA4+1,AB4),0)</f>
        <v>23</v>
      </c>
      <c r="AC6" s="83">
        <f t="shared" ref="AC6" si="13">IF(AC5&gt;0,NETWORKDAYS(AB4+1,AC4),0)</f>
        <v>21</v>
      </c>
      <c r="AD6" s="83">
        <f t="shared" ref="AD6" si="14">IF(AD5&gt;0,NETWORKDAYS(AC4+1,AD4),0)</f>
        <v>22</v>
      </c>
      <c r="AE6" s="83">
        <f t="shared" ref="AE6" si="15">IF(AE5&gt;0,NETWORKDAYS(AD4+1,AE4),0)</f>
        <v>22</v>
      </c>
      <c r="AF6" s="83">
        <f t="shared" ref="AF6:AG6" si="16">IF(AF5&gt;0,NETWORKDAYS(AE4+1,AF4),0)</f>
        <v>21</v>
      </c>
      <c r="AG6" s="83">
        <f t="shared" si="16"/>
        <v>23</v>
      </c>
      <c r="AH6" s="83">
        <f t="shared" ref="AH6" si="17">IF(AH5&gt;0,NETWORKDAYS(AG4+1,AH4),0)</f>
        <v>22</v>
      </c>
      <c r="AI6" s="83">
        <f t="shared" ref="AI6" si="18">IF(AI5&gt;0,NETWORKDAYS(AH4+1,AI4),0)</f>
        <v>21</v>
      </c>
      <c r="AJ6" s="83">
        <f t="shared" ref="AJ6" si="19">IF(AJ5&gt;0,NETWORKDAYS(AI4+1,AJ4),0)</f>
        <v>22</v>
      </c>
      <c r="AK6" s="83">
        <f t="shared" ref="AK6" si="20">IF(AK5&gt;0,NETWORKDAYS(AJ4+1,AK4),0)</f>
        <v>22</v>
      </c>
      <c r="AL6" s="83">
        <f t="shared" ref="AL6" si="21">IF(AL5&gt;0,NETWORKDAYS(AK4+1,AL4),0)</f>
        <v>22</v>
      </c>
      <c r="AM6" s="83">
        <f t="shared" ref="AM6" si="22">IF(AM5&gt;0,NETWORKDAYS(AL4+1,AM4),0)</f>
        <v>20</v>
      </c>
      <c r="AN6" s="83">
        <f t="shared" ref="AN6" si="23">IF(AN5&gt;0,NETWORKDAYS(AM4+1,AN4),0)</f>
        <v>23</v>
      </c>
    </row>
    <row r="7" spans="1:40" s="83" customFormat="1" x14ac:dyDescent="0.35">
      <c r="A7" t="s">
        <v>108</v>
      </c>
      <c r="B7"/>
      <c r="C7"/>
      <c r="D7"/>
      <c r="E7" s="83">
        <f>E5-E6</f>
        <v>0</v>
      </c>
      <c r="F7" s="83">
        <f t="shared" ref="F7:S7" si="24">F5-F6</f>
        <v>0</v>
      </c>
      <c r="G7" s="83">
        <f t="shared" si="24"/>
        <v>0</v>
      </c>
      <c r="H7" s="83">
        <f t="shared" si="24"/>
        <v>8</v>
      </c>
      <c r="I7" s="83">
        <f t="shared" si="24"/>
        <v>10</v>
      </c>
      <c r="J7" s="83">
        <f t="shared" si="24"/>
        <v>8</v>
      </c>
      <c r="K7" s="83">
        <f t="shared" si="24"/>
        <v>9</v>
      </c>
      <c r="L7" s="83">
        <f t="shared" si="24"/>
        <v>9</v>
      </c>
      <c r="M7" s="83">
        <f t="shared" si="24"/>
        <v>8</v>
      </c>
      <c r="N7" s="83">
        <f t="shared" si="24"/>
        <v>10</v>
      </c>
      <c r="O7" s="83">
        <f t="shared" si="24"/>
        <v>8</v>
      </c>
      <c r="P7" s="83">
        <f t="shared" si="24"/>
        <v>8</v>
      </c>
      <c r="Q7" s="83">
        <f t="shared" si="24"/>
        <v>8</v>
      </c>
      <c r="R7" s="83">
        <f t="shared" si="24"/>
        <v>10</v>
      </c>
      <c r="S7" s="83">
        <f t="shared" si="24"/>
        <v>8</v>
      </c>
      <c r="T7" s="83">
        <f t="shared" ref="T7" si="25">T5-T6</f>
        <v>9</v>
      </c>
      <c r="U7" s="83">
        <f t="shared" ref="U7" si="26">U5-U6</f>
        <v>9</v>
      </c>
      <c r="V7" s="83">
        <f t="shared" ref="V7" si="27">V5-V6</f>
        <v>8</v>
      </c>
      <c r="W7" s="83">
        <f t="shared" ref="W7" si="28">W5-W6</f>
        <v>10</v>
      </c>
      <c r="X7" s="83">
        <f t="shared" ref="X7" si="29">X5-X6</f>
        <v>8</v>
      </c>
      <c r="Y7" s="83">
        <f t="shared" ref="Y7" si="30">Y5-Y6</f>
        <v>8</v>
      </c>
      <c r="Z7" s="83">
        <f t="shared" ref="Z7" si="31">Z5-Z6</f>
        <v>10</v>
      </c>
      <c r="AA7" s="83">
        <f t="shared" ref="AA7" si="32">AA5-AA6</f>
        <v>8</v>
      </c>
      <c r="AB7" s="83">
        <f t="shared" ref="AB7" si="33">AB5-AB6</f>
        <v>8</v>
      </c>
      <c r="AC7" s="83">
        <f t="shared" ref="AC7" si="34">AC5-AC6</f>
        <v>9</v>
      </c>
      <c r="AD7" s="83">
        <f t="shared" ref="AD7" si="35">AD5-AD6</f>
        <v>9</v>
      </c>
      <c r="AE7" s="83">
        <f t="shared" ref="AE7" si="36">AE5-AE6</f>
        <v>8</v>
      </c>
      <c r="AF7" s="83">
        <f t="shared" ref="AF7:AG7" si="37">AF5-AF6</f>
        <v>10</v>
      </c>
      <c r="AG7" s="83">
        <f t="shared" si="37"/>
        <v>8</v>
      </c>
      <c r="AH7" s="83">
        <f t="shared" ref="AH7" si="38">AH5-AH6</f>
        <v>8</v>
      </c>
      <c r="AI7" s="83">
        <f t="shared" ref="AI7" si="39">AI5-AI6</f>
        <v>10</v>
      </c>
      <c r="AJ7" s="83">
        <f t="shared" ref="AJ7" si="40">AJ5-AJ6</f>
        <v>8</v>
      </c>
      <c r="AK7" s="83">
        <f t="shared" ref="AK7" si="41">AK5-AK6</f>
        <v>9</v>
      </c>
      <c r="AL7" s="83">
        <f t="shared" ref="AL7" si="42">AL5-AL6</f>
        <v>9</v>
      </c>
      <c r="AM7" s="83">
        <f t="shared" ref="AM7" si="43">AM5-AM6</f>
        <v>8</v>
      </c>
      <c r="AN7" s="83">
        <f t="shared" ref="AN7" si="44">AN5-AN6</f>
        <v>8</v>
      </c>
    </row>
    <row r="9" spans="1:40" x14ac:dyDescent="0.35">
      <c r="A9" s="85" t="s">
        <v>110</v>
      </c>
    </row>
    <row r="10" spans="1:40" x14ac:dyDescent="0.35">
      <c r="A10" s="84" t="s">
        <v>2</v>
      </c>
    </row>
    <row r="11" spans="1:40" x14ac:dyDescent="0.35">
      <c r="A11" t="s">
        <v>4</v>
      </c>
      <c r="E11" s="90">
        <f>IF(E$6&gt;0,MIN(MAX(Assumptions!$B$19*Assumptions!$B$18,'Monthly Revenue'!D11*(1+Assumptions!$B$20)),Assumptions!$B$21),0)</f>
        <v>0</v>
      </c>
      <c r="F11" s="90">
        <f>IF(F$6&gt;0,MIN(MAX(Assumptions!$B$19*Assumptions!$B$18,'Monthly Revenue'!E11*(1+Assumptions!$B$20)),Assumptions!$B$21),0)</f>
        <v>0</v>
      </c>
      <c r="G11" s="90">
        <f>IF(G$6&gt;0,MIN(MAX(Assumptions!$B$19*Assumptions!$B$18,'Monthly Revenue'!F11*(1+Assumptions!$B$20)),Assumptions!$B$21),0)</f>
        <v>0</v>
      </c>
      <c r="H11" s="90">
        <f>IF(H$6&gt;0,MIN(MAX(Assumptions!$B$19*Assumptions!$B$18,'Monthly Revenue'!G11*(1+Assumptions!$B$20)),Assumptions!$B$21),0)</f>
        <v>20</v>
      </c>
      <c r="I11" s="90">
        <f>IF(I$6&gt;0,MIN(MAX(Assumptions!$B$19*Assumptions!$B$18,'Monthly Revenue'!H11*(1+Assumptions!$B$20)),Assumptions!$B$21),0)</f>
        <v>20.399999999999999</v>
      </c>
      <c r="J11" s="90">
        <f>IF(J$6&gt;0,MIN(MAX(Assumptions!$B$19*Assumptions!$B$18,'Monthly Revenue'!I11*(1+Assumptions!$B$20)),Assumptions!$B$21),0)</f>
        <v>20.808</v>
      </c>
      <c r="K11" s="90">
        <f>IF(K$6&gt;0,MIN(MAX(Assumptions!$B$19*Assumptions!$B$18,'Monthly Revenue'!J11*(1+Assumptions!$B$20)),Assumptions!$B$21),0)</f>
        <v>21.224160000000001</v>
      </c>
      <c r="L11" s="90">
        <f>IF(L$6&gt;0,MIN(MAX(Assumptions!$B$19*Assumptions!$B$18,'Monthly Revenue'!K11*(1+Assumptions!$B$20)),Assumptions!$B$21),0)</f>
        <v>21.648643200000002</v>
      </c>
      <c r="M11" s="90">
        <f>IF(M$6&gt;0,MIN(MAX(Assumptions!$B$19*Assumptions!$B$18,'Monthly Revenue'!L11*(1+Assumptions!$B$20)),Assumptions!$B$21),0)</f>
        <v>22.081616064000002</v>
      </c>
      <c r="N11" s="90">
        <f>IF(N$6&gt;0,MIN(MAX(Assumptions!$B$19*Assumptions!$B$18,'Monthly Revenue'!M11*(1+Assumptions!$B$20)),Assumptions!$B$21),0)</f>
        <v>22.523248385280002</v>
      </c>
      <c r="O11" s="90">
        <f>IF(O$6&gt;0,MIN(MAX(Assumptions!$B$19*Assumptions!$B$18,'Monthly Revenue'!N11*(1+Assumptions!$B$20)),Assumptions!$B$21),0)</f>
        <v>22.973713352985602</v>
      </c>
      <c r="P11" s="90">
        <f>IF(P$6&gt;0,MIN(MAX(Assumptions!$B$19*Assumptions!$B$18,'Monthly Revenue'!O11*(1+Assumptions!$B$20)),Assumptions!$B$21),0)</f>
        <v>23.433187620045313</v>
      </c>
      <c r="Q11" s="90">
        <f>IF(Q$6&gt;0,MIN(MAX(Assumptions!$B$19*Assumptions!$B$18,'Monthly Revenue'!P11*(1+Assumptions!$B$20)),Assumptions!$B$21),0)</f>
        <v>23.90185137244622</v>
      </c>
      <c r="R11" s="90">
        <f>IF(R$6&gt;0,MIN(MAX(Assumptions!$B$19*Assumptions!$B$18,'Monthly Revenue'!Q11*(1+Assumptions!$B$20)),Assumptions!$B$21),0)</f>
        <v>24.379888399895144</v>
      </c>
      <c r="S11" s="90">
        <f>IF(S$6&gt;0,MIN(MAX(Assumptions!$B$19*Assumptions!$B$18,'Monthly Revenue'!R11*(1+Assumptions!$B$20)),Assumptions!$B$21),0)</f>
        <v>24.867486167893048</v>
      </c>
      <c r="T11" s="90">
        <f>IF(T$6&gt;0,MIN(MAX(Assumptions!$B$19*Assumptions!$B$18,'Monthly Revenue'!S11*(1+Assumptions!$B$20)),Assumptions!$B$21),0)</f>
        <v>25.364835891250909</v>
      </c>
      <c r="U11" s="90">
        <f>IF(U$6&gt;0,MIN(MAX(Assumptions!$B$19*Assumptions!$B$18,'Monthly Revenue'!T11*(1+Assumptions!$B$20)),Assumptions!$B$21),0)</f>
        <v>25.872132609075926</v>
      </c>
      <c r="V11" s="90">
        <f>IF(V$6&gt;0,MIN(MAX(Assumptions!$B$19*Assumptions!$B$18,'Monthly Revenue'!U11*(1+Assumptions!$B$20)),Assumptions!$B$21),0)</f>
        <v>26.389575261257445</v>
      </c>
      <c r="W11" s="90">
        <f>IF(W$6&gt;0,MIN(MAX(Assumptions!$B$19*Assumptions!$B$18,'Monthly Revenue'!V11*(1+Assumptions!$B$20)),Assumptions!$B$21),0)</f>
        <v>26.917366766482594</v>
      </c>
      <c r="X11" s="90">
        <f>IF(X$6&gt;0,MIN(MAX(Assumptions!$B$19*Assumptions!$B$18,'Monthly Revenue'!W11*(1+Assumptions!$B$20)),Assumptions!$B$21),0)</f>
        <v>27.455714101812248</v>
      </c>
      <c r="Y11" s="90">
        <f>IF(Y$6&gt;0,MIN(MAX(Assumptions!$B$19*Assumptions!$B$18,'Monthly Revenue'!X11*(1+Assumptions!$B$20)),Assumptions!$B$21),0)</f>
        <v>28.004828383848494</v>
      </c>
      <c r="Z11" s="90">
        <f>IF(Z$6&gt;0,MIN(MAX(Assumptions!$B$19*Assumptions!$B$18,'Monthly Revenue'!Y11*(1+Assumptions!$B$20)),Assumptions!$B$21),0)</f>
        <v>28.564924951525466</v>
      </c>
      <c r="AA11" s="90">
        <f>IF(AA$6&gt;0,MIN(MAX(Assumptions!$B$19*Assumptions!$B$18,'Monthly Revenue'!Z11*(1+Assumptions!$B$20)),Assumptions!$B$21),0)</f>
        <v>29.136223450555974</v>
      </c>
      <c r="AB11" s="90">
        <f>IF(AB$6&gt;0,MIN(MAX(Assumptions!$B$19*Assumptions!$B$18,'Monthly Revenue'!AA11*(1+Assumptions!$B$20)),Assumptions!$B$21),0)</f>
        <v>29.718947919567093</v>
      </c>
      <c r="AC11" s="90">
        <f>IF(AC$6&gt;0,MIN(MAX(Assumptions!$B$19*Assumptions!$B$18,'Monthly Revenue'!AB11*(1+Assumptions!$B$20)),Assumptions!$B$21),0)</f>
        <v>30.313326877958435</v>
      </c>
      <c r="AD11" s="90">
        <f>IF(AD$6&gt;0,MIN(MAX(Assumptions!$B$19*Assumptions!$B$18,'Monthly Revenue'!AC11*(1+Assumptions!$B$20)),Assumptions!$B$21),0)</f>
        <v>30.919593415517603</v>
      </c>
      <c r="AE11" s="90">
        <f>IF(AE$6&gt;0,MIN(MAX(Assumptions!$B$19*Assumptions!$B$18,'Monthly Revenue'!AD11*(1+Assumptions!$B$20)),Assumptions!$B$21),0)</f>
        <v>31.537985283827958</v>
      </c>
      <c r="AF11" s="90">
        <f>IF(AF$6&gt;0,MIN(MAX(Assumptions!$B$19*Assumptions!$B$18,'Monthly Revenue'!AE11*(1+Assumptions!$B$20)),Assumptions!$B$21),0)</f>
        <v>32.168744989504518</v>
      </c>
      <c r="AG11" s="90">
        <f>IF(AG$6&gt;0,MIN(MAX(Assumptions!$B$19*Assumptions!$B$18,'Monthly Revenue'!AF11*(1+Assumptions!$B$20)),Assumptions!$B$21),0)</f>
        <v>32.812119889294607</v>
      </c>
      <c r="AH11" s="90">
        <f>IF(AH$6&gt;0,MIN(MAX(Assumptions!$B$19*Assumptions!$B$18,'Monthly Revenue'!AG11*(1+Assumptions!$B$20)),Assumptions!$B$21),0)</f>
        <v>33.468362287080502</v>
      </c>
      <c r="AI11" s="90">
        <f>IF(AI$6&gt;0,MIN(MAX(Assumptions!$B$19*Assumptions!$B$18,'Monthly Revenue'!AH11*(1+Assumptions!$B$20)),Assumptions!$B$21),0)</f>
        <v>34.137729532822114</v>
      </c>
      <c r="AJ11" s="90">
        <f>IF(AJ$6&gt;0,MIN(MAX(Assumptions!$B$19*Assumptions!$B$18,'Monthly Revenue'!AI11*(1+Assumptions!$B$20)),Assumptions!$B$21),0)</f>
        <v>34.820484123478558</v>
      </c>
      <c r="AK11" s="90">
        <f>IF(AK$6&gt;0,MIN(MAX(Assumptions!$B$19*Assumptions!$B$18,'Monthly Revenue'!AJ11*(1+Assumptions!$B$20)),Assumptions!$B$21),0)</f>
        <v>35.516893805948129</v>
      </c>
      <c r="AL11" s="90">
        <f>IF(AL$6&gt;0,MIN(MAX(Assumptions!$B$19*Assumptions!$B$18,'Monthly Revenue'!AK11*(1+Assumptions!$B$20)),Assumptions!$B$21),0)</f>
        <v>36.227231682067092</v>
      </c>
      <c r="AM11" s="90">
        <f>IF(AM$6&gt;0,MIN(MAX(Assumptions!$B$19*Assumptions!$B$18,'Monthly Revenue'!AL11*(1+Assumptions!$B$20)),Assumptions!$B$21),0)</f>
        <v>36.951776315708436</v>
      </c>
      <c r="AN11" s="90">
        <f>IF(AN$6&gt;0,MIN(MAX(Assumptions!$B$19*Assumptions!$B$18,'Monthly Revenue'!AM11*(1+Assumptions!$B$20)),Assumptions!$B$21),0)</f>
        <v>37.690811842022605</v>
      </c>
    </row>
    <row r="12" spans="1:40" x14ac:dyDescent="0.35">
      <c r="A12" t="s">
        <v>16</v>
      </c>
      <c r="E12" s="90">
        <f>IF(E$6&gt;0,MIN(MAX(Assumptions!$F$19*Assumptions!$F$18,'Monthly Revenue'!D12*(1+Assumptions!$F$20)),Assumptions!$F$21),0)</f>
        <v>0</v>
      </c>
      <c r="F12" s="90">
        <f>IF(F$6&gt;0,MIN(MAX(Assumptions!$F$19*Assumptions!$F$18,'Monthly Revenue'!E12*(1+Assumptions!$F$20)),Assumptions!$F$21),0)</f>
        <v>0</v>
      </c>
      <c r="G12" s="90">
        <f>IF(G$6&gt;0,MIN(MAX(Assumptions!$F$19*Assumptions!$F$18,'Monthly Revenue'!F12*(1+Assumptions!$F$20)),Assumptions!$F$21),0)</f>
        <v>0</v>
      </c>
      <c r="H12" s="90">
        <f>IF(H$6&gt;0,MIN(MAX(Assumptions!$F$19*Assumptions!$F$18,'Monthly Revenue'!G12*(1+Assumptions!$F$20)),Assumptions!$F$21),0)</f>
        <v>26</v>
      </c>
      <c r="I12" s="90">
        <f>IF(I$6&gt;0,MIN(MAX(Assumptions!$F$19*Assumptions!$F$18,'Monthly Revenue'!H12*(1+Assumptions!$F$20)),Assumptions!$F$21),0)</f>
        <v>26.52</v>
      </c>
      <c r="J12" s="90">
        <f>IF(J$6&gt;0,MIN(MAX(Assumptions!$F$19*Assumptions!$F$18,'Monthly Revenue'!I12*(1+Assumptions!$F$20)),Assumptions!$F$21),0)</f>
        <v>27.0504</v>
      </c>
      <c r="K12" s="90">
        <f>IF(K$6&gt;0,MIN(MAX(Assumptions!$F$19*Assumptions!$F$18,'Monthly Revenue'!J12*(1+Assumptions!$F$20)),Assumptions!$F$21),0)</f>
        <v>27.591408000000001</v>
      </c>
      <c r="L12" s="90">
        <f>IF(L$6&gt;0,MIN(MAX(Assumptions!$F$19*Assumptions!$F$18,'Monthly Revenue'!K12*(1+Assumptions!$F$20)),Assumptions!$F$21),0)</f>
        <v>28.143236160000001</v>
      </c>
      <c r="M12" s="90">
        <f>IF(M$6&gt;0,MIN(MAX(Assumptions!$F$19*Assumptions!$F$18,'Monthly Revenue'!L12*(1+Assumptions!$F$20)),Assumptions!$F$21),0)</f>
        <v>28.706100883200001</v>
      </c>
      <c r="N12" s="90">
        <f>IF(N$6&gt;0,MIN(MAX(Assumptions!$F$19*Assumptions!$F$18,'Monthly Revenue'!M12*(1+Assumptions!$F$20)),Assumptions!$F$21),0)</f>
        <v>29.280222900864</v>
      </c>
      <c r="O12" s="90">
        <f>IF(O$6&gt;0,MIN(MAX(Assumptions!$F$19*Assumptions!$F$18,'Monthly Revenue'!N12*(1+Assumptions!$F$20)),Assumptions!$F$21),0)</f>
        <v>29.86582735888128</v>
      </c>
      <c r="P12" s="90">
        <f>IF(P$6&gt;0,MIN(MAX(Assumptions!$F$19*Assumptions!$F$18,'Monthly Revenue'!O12*(1+Assumptions!$F$20)),Assumptions!$F$21),0)</f>
        <v>30.463143906058907</v>
      </c>
      <c r="Q12" s="90">
        <f>IF(Q$6&gt;0,MIN(MAX(Assumptions!$F$19*Assumptions!$F$18,'Monthly Revenue'!P12*(1+Assumptions!$F$20)),Assumptions!$F$21),0)</f>
        <v>31.072406784180085</v>
      </c>
      <c r="R12" s="90">
        <f>IF(R$6&gt;0,MIN(MAX(Assumptions!$F$19*Assumptions!$F$18,'Monthly Revenue'!Q12*(1+Assumptions!$F$20)),Assumptions!$F$21),0)</f>
        <v>31.693854919863689</v>
      </c>
      <c r="S12" s="90">
        <f>IF(S$6&gt;0,MIN(MAX(Assumptions!$F$19*Assumptions!$F$18,'Monthly Revenue'!R12*(1+Assumptions!$F$20)),Assumptions!$F$21),0)</f>
        <v>32.32773201826096</v>
      </c>
      <c r="T12" s="90">
        <f>IF(T$6&gt;0,MIN(MAX(Assumptions!$F$19*Assumptions!$F$18,'Monthly Revenue'!S12*(1+Assumptions!$F$20)),Assumptions!$F$21),0)</f>
        <v>32.974286658626177</v>
      </c>
      <c r="U12" s="90">
        <f>IF(U$6&gt;0,MIN(MAX(Assumptions!$F$19*Assumptions!$F$18,'Monthly Revenue'!T12*(1+Assumptions!$F$20)),Assumptions!$F$21),0)</f>
        <v>33.633772391798701</v>
      </c>
      <c r="V12" s="90">
        <f>IF(V$6&gt;0,MIN(MAX(Assumptions!$F$19*Assumptions!$F$18,'Monthly Revenue'!U12*(1+Assumptions!$F$20)),Assumptions!$F$21),0)</f>
        <v>34.306447839634679</v>
      </c>
      <c r="W12" s="90">
        <f>IF(W$6&gt;0,MIN(MAX(Assumptions!$F$19*Assumptions!$F$18,'Monthly Revenue'!V12*(1+Assumptions!$F$20)),Assumptions!$F$21),0)</f>
        <v>34.992576796427372</v>
      </c>
      <c r="X12" s="90">
        <f>IF(X$6&gt;0,MIN(MAX(Assumptions!$F$19*Assumptions!$F$18,'Monthly Revenue'!W12*(1+Assumptions!$F$20)),Assumptions!$F$21),0)</f>
        <v>35.692428332355917</v>
      </c>
      <c r="Y12" s="90">
        <f>IF(Y$6&gt;0,MIN(MAX(Assumptions!$F$19*Assumptions!$F$18,'Monthly Revenue'!X12*(1+Assumptions!$F$20)),Assumptions!$F$21),0)</f>
        <v>36.406276899003032</v>
      </c>
      <c r="Z12" s="90">
        <f>IF(Z$6&gt;0,MIN(MAX(Assumptions!$F$19*Assumptions!$F$18,'Monthly Revenue'!Y12*(1+Assumptions!$F$20)),Assumptions!$F$21),0)</f>
        <v>37.134402436983095</v>
      </c>
      <c r="AA12" s="90">
        <f>IF(AA$6&gt;0,MIN(MAX(Assumptions!$F$19*Assumptions!$F$18,'Monthly Revenue'!Z12*(1+Assumptions!$F$20)),Assumptions!$F$21),0)</f>
        <v>37.877090485722761</v>
      </c>
      <c r="AB12" s="90">
        <f>IF(AB$6&gt;0,MIN(MAX(Assumptions!$F$19*Assumptions!$F$18,'Monthly Revenue'!AA12*(1+Assumptions!$F$20)),Assumptions!$F$21),0)</f>
        <v>38.634632295437214</v>
      </c>
      <c r="AC12" s="90">
        <f>IF(AC$6&gt;0,MIN(MAX(Assumptions!$F$19*Assumptions!$F$18,'Monthly Revenue'!AB12*(1+Assumptions!$F$20)),Assumptions!$F$21),0)</f>
        <v>39.407324941345962</v>
      </c>
      <c r="AD12" s="90">
        <f>IF(AD$6&gt;0,MIN(MAX(Assumptions!$F$19*Assumptions!$F$18,'Monthly Revenue'!AC12*(1+Assumptions!$F$20)),Assumptions!$F$21),0)</f>
        <v>40.195471440172881</v>
      </c>
      <c r="AE12" s="90">
        <f>IF(AE$6&gt;0,MIN(MAX(Assumptions!$F$19*Assumptions!$F$18,'Monthly Revenue'!AD12*(1+Assumptions!$F$20)),Assumptions!$F$21),0)</f>
        <v>40.999380868976338</v>
      </c>
      <c r="AF12" s="90">
        <f>IF(AF$6&gt;0,MIN(MAX(Assumptions!$F$19*Assumptions!$F$18,'Monthly Revenue'!AE12*(1+Assumptions!$F$20)),Assumptions!$F$21),0)</f>
        <v>41.819368486355863</v>
      </c>
      <c r="AG12" s="90">
        <f>IF(AG$6&gt;0,MIN(MAX(Assumptions!$F$19*Assumptions!$F$18,'Monthly Revenue'!AF12*(1+Assumptions!$F$20)),Assumptions!$F$21),0)</f>
        <v>42.655755856082983</v>
      </c>
      <c r="AH12" s="90">
        <f>IF(AH$6&gt;0,MIN(MAX(Assumptions!$F$19*Assumptions!$F$18,'Monthly Revenue'!AG12*(1+Assumptions!$F$20)),Assumptions!$F$21),0)</f>
        <v>43.508870973204644</v>
      </c>
      <c r="AI12" s="90">
        <f>IF(AI$6&gt;0,MIN(MAX(Assumptions!$F$19*Assumptions!$F$18,'Monthly Revenue'!AH12*(1+Assumptions!$F$20)),Assumptions!$F$21),0)</f>
        <v>44.379048392668736</v>
      </c>
      <c r="AJ12" s="90">
        <f>IF(AJ$6&gt;0,MIN(MAX(Assumptions!$F$19*Assumptions!$F$18,'Monthly Revenue'!AI12*(1+Assumptions!$F$20)),Assumptions!$F$21),0)</f>
        <v>45.26662936052211</v>
      </c>
      <c r="AK12" s="90">
        <f>IF(AK$6&gt;0,MIN(MAX(Assumptions!$F$19*Assumptions!$F$18,'Monthly Revenue'!AJ12*(1+Assumptions!$F$20)),Assumptions!$F$21),0)</f>
        <v>46.171961947732555</v>
      </c>
      <c r="AL12" s="90">
        <f>IF(AL$6&gt;0,MIN(MAX(Assumptions!$F$19*Assumptions!$F$18,'Monthly Revenue'!AK12*(1+Assumptions!$F$20)),Assumptions!$F$21),0)</f>
        <v>47.095401186687205</v>
      </c>
      <c r="AM12" s="90">
        <f>IF(AM$6&gt;0,MIN(MAX(Assumptions!$F$19*Assumptions!$F$18,'Monthly Revenue'!AL12*(1+Assumptions!$F$20)),Assumptions!$F$21),0)</f>
        <v>48.03730921042095</v>
      </c>
      <c r="AN12" s="90">
        <f>IF(AN$6&gt;0,MIN(MAX(Assumptions!$F$19*Assumptions!$F$18,'Monthly Revenue'!AM12*(1+Assumptions!$F$20)),Assumptions!$F$21),0)</f>
        <v>48.998055394629368</v>
      </c>
    </row>
    <row r="14" spans="1:40" x14ac:dyDescent="0.35">
      <c r="A14" s="84" t="s">
        <v>109</v>
      </c>
    </row>
    <row r="15" spans="1:40" x14ac:dyDescent="0.35">
      <c r="A15" t="s">
        <v>4</v>
      </c>
      <c r="E15" s="90">
        <f>IF(E$7&gt;0,MIN(MAX(Assumptions!$C$19*Assumptions!$C$18,'Monthly Revenue'!D15*(1+Assumptions!$C$20)),Assumptions!$C$21),0)</f>
        <v>0</v>
      </c>
      <c r="F15" s="90">
        <f>IF(F$6&gt;0,MIN(MAX(Assumptions!$C$19*Assumptions!$C$18,'Monthly Revenue'!E15*(1+Assumptions!$C$20)),Assumptions!$C$21),0)</f>
        <v>0</v>
      </c>
      <c r="G15" s="90">
        <f>IF(G$6&gt;0,MIN(MAX(Assumptions!$C$19*Assumptions!$C$18,'Monthly Revenue'!F15*(1+Assumptions!$C$20)),Assumptions!$C$21),0)</f>
        <v>0</v>
      </c>
      <c r="H15" s="90">
        <f>IF(H$6&gt;0,MIN(MAX(Assumptions!$C$19*Assumptions!$C$18,'Monthly Revenue'!G15*(1+Assumptions!$C$20)),Assumptions!$C$21),0)</f>
        <v>26</v>
      </c>
      <c r="I15" s="90">
        <f>IF(I$6&gt;0,MIN(MAX(Assumptions!$C$19*Assumptions!$C$18,'Monthly Revenue'!H15*(1+Assumptions!$C$20)),Assumptions!$C$21),0)</f>
        <v>27.04</v>
      </c>
      <c r="J15" s="90">
        <f>IF(J$6&gt;0,MIN(MAX(Assumptions!$C$19*Assumptions!$C$18,'Monthly Revenue'!I15*(1+Assumptions!$C$20)),Assumptions!$C$21),0)</f>
        <v>28.121600000000001</v>
      </c>
      <c r="K15" s="90">
        <f>IF(K$6&gt;0,MIN(MAX(Assumptions!$C$19*Assumptions!$C$18,'Monthly Revenue'!J15*(1+Assumptions!$C$20)),Assumptions!$C$21),0)</f>
        <v>29.246464000000003</v>
      </c>
      <c r="L15" s="90">
        <f>IF(L$6&gt;0,MIN(MAX(Assumptions!$C$19*Assumptions!$C$18,'Monthly Revenue'!K15*(1+Assumptions!$C$20)),Assumptions!$C$21),0)</f>
        <v>30.416322560000005</v>
      </c>
      <c r="M15" s="90">
        <f>IF(M$6&gt;0,MIN(MAX(Assumptions!$C$19*Assumptions!$C$18,'Monthly Revenue'!L15*(1+Assumptions!$C$20)),Assumptions!$C$21),0)</f>
        <v>31.632975462400005</v>
      </c>
      <c r="N15" s="90">
        <f>IF(N$6&gt;0,MIN(MAX(Assumptions!$C$19*Assumptions!$C$18,'Monthly Revenue'!M15*(1+Assumptions!$C$20)),Assumptions!$C$21),0)</f>
        <v>32.898294480896006</v>
      </c>
      <c r="O15" s="90">
        <f>IF(O$6&gt;0,MIN(MAX(Assumptions!$C$19*Assumptions!$C$18,'Monthly Revenue'!N15*(1+Assumptions!$C$20)),Assumptions!$C$21),0)</f>
        <v>34.214226260131845</v>
      </c>
      <c r="P15" s="90">
        <f>IF(P$6&gt;0,MIN(MAX(Assumptions!$C$19*Assumptions!$C$18,'Monthly Revenue'!O15*(1+Assumptions!$C$20)),Assumptions!$C$21),0)</f>
        <v>35.582795310537122</v>
      </c>
      <c r="Q15" s="90">
        <f>IF(Q$6&gt;0,MIN(MAX(Assumptions!$C$19*Assumptions!$C$18,'Monthly Revenue'!P15*(1+Assumptions!$C$20)),Assumptions!$C$21),0)</f>
        <v>37.00610712295861</v>
      </c>
      <c r="R15" s="90">
        <f>IF(R$6&gt;0,MIN(MAX(Assumptions!$C$19*Assumptions!$C$18,'Monthly Revenue'!Q15*(1+Assumptions!$C$20)),Assumptions!$C$21),0)</f>
        <v>38.48635140787696</v>
      </c>
      <c r="S15" s="90">
        <f>IF(S$6&gt;0,MIN(MAX(Assumptions!$C$19*Assumptions!$C$18,'Monthly Revenue'!R15*(1+Assumptions!$C$20)),Assumptions!$C$21),0)</f>
        <v>40.02580546419204</v>
      </c>
      <c r="T15" s="90">
        <f>IF(T$6&gt;0,MIN(MAX(Assumptions!$C$19*Assumptions!$C$18,'Monthly Revenue'!S15*(1+Assumptions!$C$20)),Assumptions!$C$21),0)</f>
        <v>41.626837682759721</v>
      </c>
      <c r="U15" s="90">
        <f>IF(U$6&gt;0,MIN(MAX(Assumptions!$C$19*Assumptions!$C$18,'Monthly Revenue'!T15*(1+Assumptions!$C$20)),Assumptions!$C$21),0)</f>
        <v>43.29191119007011</v>
      </c>
      <c r="V15" s="90">
        <f>IF(V$6&gt;0,MIN(MAX(Assumptions!$C$19*Assumptions!$C$18,'Monthly Revenue'!U15*(1+Assumptions!$C$20)),Assumptions!$C$21),0)</f>
        <v>45.023587637672918</v>
      </c>
      <c r="W15" s="90">
        <f>IF(W$6&gt;0,MIN(MAX(Assumptions!$C$19*Assumptions!$C$18,'Monthly Revenue'!V15*(1+Assumptions!$C$20)),Assumptions!$C$21),0)</f>
        <v>46.82453114317984</v>
      </c>
      <c r="X15" s="90">
        <f>IF(X$6&gt;0,MIN(MAX(Assumptions!$C$19*Assumptions!$C$18,'Monthly Revenue'!W15*(1+Assumptions!$C$20)),Assumptions!$C$21),0)</f>
        <v>48.697512388907036</v>
      </c>
      <c r="Y15" s="90">
        <f>IF(Y$6&gt;0,MIN(MAX(Assumptions!$C$19*Assumptions!$C$18,'Monthly Revenue'!X15*(1+Assumptions!$C$20)),Assumptions!$C$21),0)</f>
        <v>50.645412884463319</v>
      </c>
      <c r="Z15" s="90">
        <f>IF(Z$6&gt;0,MIN(MAX(Assumptions!$C$19*Assumptions!$C$18,'Monthly Revenue'!Y15*(1+Assumptions!$C$20)),Assumptions!$C$21),0)</f>
        <v>52.671229399841856</v>
      </c>
      <c r="AA15" s="90">
        <f>IF(AA$6&gt;0,MIN(MAX(Assumptions!$C$19*Assumptions!$C$18,'Monthly Revenue'!Z15*(1+Assumptions!$C$20)),Assumptions!$C$21),0)</f>
        <v>54.778078575835529</v>
      </c>
      <c r="AB15" s="90">
        <f>IF(AB$6&gt;0,MIN(MAX(Assumptions!$C$19*Assumptions!$C$18,'Monthly Revenue'!AA15*(1+Assumptions!$C$20)),Assumptions!$C$21),0)</f>
        <v>56.969201718868952</v>
      </c>
      <c r="AC15" s="90">
        <f>IF(AC$6&gt;0,MIN(MAX(Assumptions!$C$19*Assumptions!$C$18,'Monthly Revenue'!AB15*(1+Assumptions!$C$20)),Assumptions!$C$21),0)</f>
        <v>59.24796978762371</v>
      </c>
      <c r="AD15" s="90">
        <f>IF(AD$6&gt;0,MIN(MAX(Assumptions!$C$19*Assumptions!$C$18,'Monthly Revenue'!AC15*(1+Assumptions!$C$20)),Assumptions!$C$21),0)</f>
        <v>61.61788857912866</v>
      </c>
      <c r="AE15" s="90">
        <f>IF(AE$6&gt;0,MIN(MAX(Assumptions!$C$19*Assumptions!$C$18,'Monthly Revenue'!AD15*(1+Assumptions!$C$20)),Assumptions!$C$21),0)</f>
        <v>64.082604122293816</v>
      </c>
      <c r="AF15" s="90">
        <f>IF(AF$6&gt;0,MIN(MAX(Assumptions!$C$19*Assumptions!$C$18,'Monthly Revenue'!AE15*(1+Assumptions!$C$20)),Assumptions!$C$21),0)</f>
        <v>66.645908287185577</v>
      </c>
      <c r="AG15" s="90">
        <f>IF(AG$6&gt;0,MIN(MAX(Assumptions!$C$19*Assumptions!$C$18,'Monthly Revenue'!AF15*(1+Assumptions!$C$20)),Assumptions!$C$21),0)</f>
        <v>69.311744618673004</v>
      </c>
      <c r="AH15" s="90">
        <f>IF(AH$6&gt;0,MIN(MAX(Assumptions!$C$19*Assumptions!$C$18,'Monthly Revenue'!AG15*(1+Assumptions!$C$20)),Assumptions!$C$21),0)</f>
        <v>72.084214403419921</v>
      </c>
      <c r="AI15" s="90">
        <f>IF(AI$6&gt;0,MIN(MAX(Assumptions!$C$19*Assumptions!$C$18,'Monthly Revenue'!AH15*(1+Assumptions!$C$20)),Assumptions!$C$21),0)</f>
        <v>74.967582979556724</v>
      </c>
      <c r="AJ15" s="90">
        <f>IF(AJ$6&gt;0,MIN(MAX(Assumptions!$C$19*Assumptions!$C$18,'Monthly Revenue'!AI15*(1+Assumptions!$C$20)),Assumptions!$C$21),0)</f>
        <v>77.966286298738993</v>
      </c>
      <c r="AK15" s="90">
        <f>IF(AK$6&gt;0,MIN(MAX(Assumptions!$C$19*Assumptions!$C$18,'Monthly Revenue'!AJ15*(1+Assumptions!$C$20)),Assumptions!$C$21),0)</f>
        <v>80</v>
      </c>
      <c r="AL15" s="90">
        <f>IF(AL$6&gt;0,MIN(MAX(Assumptions!$C$19*Assumptions!$C$18,'Monthly Revenue'!AK15*(1+Assumptions!$C$20)),Assumptions!$C$21),0)</f>
        <v>80</v>
      </c>
      <c r="AM15" s="90">
        <f>IF(AM$6&gt;0,MIN(MAX(Assumptions!$C$19*Assumptions!$C$18,'Monthly Revenue'!AL15*(1+Assumptions!$C$20)),Assumptions!$C$21),0)</f>
        <v>80</v>
      </c>
      <c r="AN15" s="90">
        <f>IF(AN$6&gt;0,MIN(MAX(Assumptions!$C$19*Assumptions!$C$18,'Monthly Revenue'!AM15*(1+Assumptions!$C$20)),Assumptions!$C$21),0)</f>
        <v>80</v>
      </c>
    </row>
    <row r="16" spans="1:40" x14ac:dyDescent="0.35">
      <c r="A16" t="s">
        <v>16</v>
      </c>
      <c r="E16" s="90">
        <f>IF(E$7&gt;0,MIN(MAX(Assumptions!$G$19*Assumptions!$G$18,'Monthly Revenue'!D16*(1+Assumptions!$G$20)),Assumptions!$G$21),0)</f>
        <v>0</v>
      </c>
      <c r="F16" s="90">
        <f>IF(F$7&gt;0,MIN(MAX(Assumptions!$G$19*Assumptions!$G$18,'Monthly Revenue'!E16*(1+Assumptions!$G$20)),Assumptions!$G$21),0)</f>
        <v>0</v>
      </c>
      <c r="G16" s="90">
        <f>IF(G$7&gt;0,MIN(MAX(Assumptions!$G$19*Assumptions!$G$18,'Monthly Revenue'!F16*(1+Assumptions!$G$20)),Assumptions!$G$21),0)</f>
        <v>0</v>
      </c>
      <c r="H16" s="90">
        <f>IF(H$7&gt;0,MIN(MAX(Assumptions!$G$19*Assumptions!$G$18,'Monthly Revenue'!G16*(1+Assumptions!$G$20)),Assumptions!$G$21),0)</f>
        <v>30</v>
      </c>
      <c r="I16" s="90">
        <f>IF(I$7&gt;0,MIN(MAX(Assumptions!$G$19*Assumptions!$G$18,'Monthly Revenue'!H16*(1+Assumptions!$G$20)),Assumptions!$G$21),0)</f>
        <v>31.200000000000003</v>
      </c>
      <c r="J16" s="90">
        <f>IF(J$7&gt;0,MIN(MAX(Assumptions!$G$19*Assumptions!$G$18,'Monthly Revenue'!I16*(1+Assumptions!$G$20)),Assumptions!$G$21),0)</f>
        <v>32.448000000000008</v>
      </c>
      <c r="K16" s="90">
        <f>IF(K$7&gt;0,MIN(MAX(Assumptions!$G$19*Assumptions!$G$18,'Monthly Revenue'!J16*(1+Assumptions!$G$20)),Assumptions!$G$21),0)</f>
        <v>33.745920000000012</v>
      </c>
      <c r="L16" s="90">
        <f>IF(L$7&gt;0,MIN(MAX(Assumptions!$G$19*Assumptions!$G$18,'Monthly Revenue'!K16*(1+Assumptions!$G$20)),Assumptions!$G$21),0)</f>
        <v>35.095756800000011</v>
      </c>
      <c r="M16" s="90">
        <f>IF(M$7&gt;0,MIN(MAX(Assumptions!$G$19*Assumptions!$G$18,'Monthly Revenue'!L16*(1+Assumptions!$G$20)),Assumptions!$G$21),0)</f>
        <v>36.499587072000011</v>
      </c>
      <c r="N16" s="90">
        <f>IF(N$7&gt;0,MIN(MAX(Assumptions!$G$19*Assumptions!$G$18,'Monthly Revenue'!M16*(1+Assumptions!$G$20)),Assumptions!$G$21),0)</f>
        <v>37.95957055488001</v>
      </c>
      <c r="O16" s="90">
        <f>IF(O$7&gt;0,MIN(MAX(Assumptions!$G$19*Assumptions!$G$18,'Monthly Revenue'!N16*(1+Assumptions!$G$20)),Assumptions!$G$21),0)</f>
        <v>39.47795337707521</v>
      </c>
      <c r="P16" s="90">
        <f>IF(P$7&gt;0,MIN(MAX(Assumptions!$G$19*Assumptions!$G$18,'Monthly Revenue'!O16*(1+Assumptions!$G$20)),Assumptions!$G$21),0)</f>
        <v>41.057071512158217</v>
      </c>
      <c r="Q16" s="90">
        <f>IF(Q$7&gt;0,MIN(MAX(Assumptions!$G$19*Assumptions!$G$18,'Monthly Revenue'!P16*(1+Assumptions!$G$20)),Assumptions!$G$21),0)</f>
        <v>42.699354372644549</v>
      </c>
      <c r="R16" s="90">
        <f>IF(R$7&gt;0,MIN(MAX(Assumptions!$G$19*Assumptions!$G$18,'Monthly Revenue'!Q16*(1+Assumptions!$G$20)),Assumptions!$G$21),0)</f>
        <v>44.407328547550335</v>
      </c>
      <c r="S16" s="90">
        <f>IF(S$7&gt;0,MIN(MAX(Assumptions!$G$19*Assumptions!$G$18,'Monthly Revenue'!R16*(1+Assumptions!$G$20)),Assumptions!$G$21),0)</f>
        <v>46.183621689452352</v>
      </c>
      <c r="T16" s="90">
        <f>IF(T$7&gt;0,MIN(MAX(Assumptions!$G$19*Assumptions!$G$18,'Monthly Revenue'!S16*(1+Assumptions!$G$20)),Assumptions!$G$21),0)</f>
        <v>48.030966557030446</v>
      </c>
      <c r="U16" s="90">
        <f>IF(U$7&gt;0,MIN(MAX(Assumptions!$G$19*Assumptions!$G$18,'Monthly Revenue'!T16*(1+Assumptions!$G$20)),Assumptions!$G$21),0)</f>
        <v>49.952205219311665</v>
      </c>
      <c r="V16" s="90">
        <f>IF(V$7&gt;0,MIN(MAX(Assumptions!$G$19*Assumptions!$G$18,'Monthly Revenue'!U16*(1+Assumptions!$G$20)),Assumptions!$G$21),0)</f>
        <v>51.95029342808413</v>
      </c>
      <c r="W16" s="90">
        <f>IF(W$7&gt;0,MIN(MAX(Assumptions!$G$19*Assumptions!$G$18,'Monthly Revenue'!V16*(1+Assumptions!$G$20)),Assumptions!$G$21),0)</f>
        <v>54.028305165207499</v>
      </c>
      <c r="X16" s="90">
        <f>IF(X$7&gt;0,MIN(MAX(Assumptions!$G$19*Assumptions!$G$18,'Monthly Revenue'!W16*(1+Assumptions!$G$20)),Assumptions!$G$21),0)</f>
        <v>56.189437371815799</v>
      </c>
      <c r="Y16" s="90">
        <f>IF(Y$7&gt;0,MIN(MAX(Assumptions!$G$19*Assumptions!$G$18,'Monthly Revenue'!X16*(1+Assumptions!$G$20)),Assumptions!$G$21),0)</f>
        <v>58.437014866688436</v>
      </c>
      <c r="Z16" s="90">
        <f>IF(Z$7&gt;0,MIN(MAX(Assumptions!$G$19*Assumptions!$G$18,'Monthly Revenue'!Y16*(1+Assumptions!$G$20)),Assumptions!$G$21),0)</f>
        <v>60.774495461355976</v>
      </c>
      <c r="AA16" s="90">
        <f>IF(AA$7&gt;0,MIN(MAX(Assumptions!$G$19*Assumptions!$G$18,'Monthly Revenue'!Z16*(1+Assumptions!$G$20)),Assumptions!$G$21),0)</f>
        <v>63.205475279810216</v>
      </c>
      <c r="AB16" s="90">
        <f>IF(AB$7&gt;0,MIN(MAX(Assumptions!$G$19*Assumptions!$G$18,'Monthly Revenue'!AA16*(1+Assumptions!$G$20)),Assumptions!$G$21),0)</f>
        <v>65.733694291002621</v>
      </c>
      <c r="AC16" s="90">
        <f>IF(AC$7&gt;0,MIN(MAX(Assumptions!$G$19*Assumptions!$G$18,'Monthly Revenue'!AB16*(1+Assumptions!$G$20)),Assumptions!$G$21),0)</f>
        <v>68.363042062642734</v>
      </c>
      <c r="AD16" s="90">
        <f>IF(AD$7&gt;0,MIN(MAX(Assumptions!$G$19*Assumptions!$G$18,'Monthly Revenue'!AC16*(1+Assumptions!$G$20)),Assumptions!$G$21),0)</f>
        <v>71.097563745148449</v>
      </c>
      <c r="AE16" s="90">
        <f>IF(AE$7&gt;0,MIN(MAX(Assumptions!$G$19*Assumptions!$G$18,'Monthly Revenue'!AD16*(1+Assumptions!$G$20)),Assumptions!$G$21),0)</f>
        <v>73.941466294954395</v>
      </c>
      <c r="AF16" s="90">
        <f>IF(AF$7&gt;0,MIN(MAX(Assumptions!$G$19*Assumptions!$G$18,'Monthly Revenue'!AE16*(1+Assumptions!$G$20)),Assumptions!$G$21),0)</f>
        <v>76.899124946752579</v>
      </c>
      <c r="AG16" s="90">
        <f>IF(AG$7&gt;0,MIN(MAX(Assumptions!$G$19*Assumptions!$G$18,'Monthly Revenue'!AF16*(1+Assumptions!$G$20)),Assumptions!$G$21),0)</f>
        <v>79.975089944622681</v>
      </c>
      <c r="AH16" s="90">
        <f>IF(AH$7&gt;0,MIN(MAX(Assumptions!$G$19*Assumptions!$G$18,'Monthly Revenue'!AG16*(1+Assumptions!$G$20)),Assumptions!$G$21),0)</f>
        <v>83.17409354240759</v>
      </c>
      <c r="AI16" s="90">
        <f>IF(AI$7&gt;0,MIN(MAX(Assumptions!$G$19*Assumptions!$G$18,'Monthly Revenue'!AH16*(1+Assumptions!$G$20)),Assumptions!$G$21),0)</f>
        <v>86.501057284103894</v>
      </c>
      <c r="AJ16" s="90">
        <f>IF(AJ$7&gt;0,MIN(MAX(Assumptions!$G$19*Assumptions!$G$18,'Monthly Revenue'!AI16*(1+Assumptions!$G$20)),Assumptions!$G$21),0)</f>
        <v>89.961099575468054</v>
      </c>
      <c r="AK16" s="90">
        <f>IF(AK$7&gt;0,MIN(MAX(Assumptions!$G$19*Assumptions!$G$18,'Monthly Revenue'!AJ16*(1+Assumptions!$G$20)),Assumptions!$G$21),0)</f>
        <v>90</v>
      </c>
      <c r="AL16" s="90">
        <f>IF(AL$7&gt;0,MIN(MAX(Assumptions!$G$19*Assumptions!$G$18,'Monthly Revenue'!AK16*(1+Assumptions!$G$20)),Assumptions!$G$21),0)</f>
        <v>90</v>
      </c>
      <c r="AM16" s="90">
        <f>IF(AM$7&gt;0,MIN(MAX(Assumptions!$G$19*Assumptions!$G$18,'Monthly Revenue'!AL16*(1+Assumptions!$G$20)),Assumptions!$G$21),0)</f>
        <v>90</v>
      </c>
      <c r="AN16" s="90">
        <f>IF(AN$7&gt;0,MIN(MAX(Assumptions!$G$19*Assumptions!$G$18,'Monthly Revenue'!AM16*(1+Assumptions!$G$20)),Assumptions!$G$21),0)</f>
        <v>90</v>
      </c>
    </row>
    <row r="18" spans="1:40" x14ac:dyDescent="0.35">
      <c r="A18" s="85" t="s">
        <v>5</v>
      </c>
    </row>
    <row r="19" spans="1:40" x14ac:dyDescent="0.35">
      <c r="A19" s="91" t="s">
        <v>111</v>
      </c>
    </row>
    <row r="20" spans="1:40" x14ac:dyDescent="0.35">
      <c r="A20" s="92" t="s">
        <v>4</v>
      </c>
    </row>
    <row r="21" spans="1:40" x14ac:dyDescent="0.35">
      <c r="A21" s="76" t="s">
        <v>6</v>
      </c>
      <c r="E21" s="90">
        <f>IF(MOD(E$3,12)=4,MAX(D21*(1+Assumptions!$B$14),Assumptions!$B11),'Monthly Revenue'!D21)</f>
        <v>0</v>
      </c>
      <c r="F21" s="90">
        <f>IF(MOD(F$3,12)=4,MAX(E21*(1+Assumptions!$B$14),Assumptions!$B$11),'Monthly Revenue'!E21)</f>
        <v>0</v>
      </c>
      <c r="G21" s="90">
        <f>IF(MOD(G$3,12)=4,MAX(F21*(1+Assumptions!$B$14),Assumptions!$B$11),'Monthly Revenue'!F21)</f>
        <v>0</v>
      </c>
      <c r="H21" s="90">
        <f>IF(MOD(H$3,12)=4,MAX(G21*(1+Assumptions!$B$14),Assumptions!$B$11),'Monthly Revenue'!G21)</f>
        <v>400</v>
      </c>
      <c r="I21" s="90">
        <f>IF(MOD(I$3,12)=4,MAX(H21*(1+Assumptions!$B$14),Assumptions!$B$11),'Monthly Revenue'!H21)</f>
        <v>400</v>
      </c>
      <c r="J21" s="90">
        <f>IF(MOD(J$3,12)=4,MAX(I21*(1+Assumptions!$B$14),Assumptions!$B$11),'Monthly Revenue'!I21)</f>
        <v>400</v>
      </c>
      <c r="K21" s="90">
        <f>IF(MOD(K$3,12)=4,MAX(J21*(1+Assumptions!$B$14),Assumptions!$B$11),'Monthly Revenue'!J21)</f>
        <v>400</v>
      </c>
      <c r="L21" s="90">
        <f>IF(MOD(L$3,12)=4,MAX(K21*(1+Assumptions!$B$14),Assumptions!$B$11),'Monthly Revenue'!K21)</f>
        <v>400</v>
      </c>
      <c r="M21" s="90">
        <f>IF(MOD(M$3,12)=4,MAX(L21*(1+Assumptions!$B$14),Assumptions!$B$11),'Monthly Revenue'!L21)</f>
        <v>400</v>
      </c>
      <c r="N21" s="90">
        <f>IF(MOD(N$3,12)=4,MAX(M21*(1+Assumptions!$B$14),Assumptions!$B$11),'Monthly Revenue'!M21)</f>
        <v>400</v>
      </c>
      <c r="O21" s="90">
        <f>IF(MOD(O$3,12)=4,MAX(N21*(1+Assumptions!$B$14),Assumptions!$B$11),'Monthly Revenue'!N21)</f>
        <v>400</v>
      </c>
      <c r="P21" s="90">
        <f>IF(MOD(P$3,12)=4,MAX(O21*(1+Assumptions!$B$14),Assumptions!$B$11),'Monthly Revenue'!O21)</f>
        <v>400</v>
      </c>
      <c r="Q21" s="90">
        <f>IF(MOD(Q$3,12)=4,MAX(P21*(1+Assumptions!$B$14),Assumptions!$B$11),'Monthly Revenue'!P21)</f>
        <v>400</v>
      </c>
      <c r="R21" s="90">
        <f>IF(MOD(R$3,12)=4,MAX(Q21*(1+Assumptions!$B$14),Assumptions!$B$11),'Monthly Revenue'!Q21)</f>
        <v>400</v>
      </c>
      <c r="S21" s="90">
        <f>IF(MOD(S$3,12)=4,MAX(R21*(1+Assumptions!$B$14),Assumptions!$B$11),'Monthly Revenue'!R21)</f>
        <v>400</v>
      </c>
      <c r="T21" s="90">
        <f>IF(MOD(T$3,12)=4,MAX(S21*(1+Assumptions!$B$14),Assumptions!$B$11),'Monthly Revenue'!S21)</f>
        <v>420</v>
      </c>
      <c r="U21" s="90">
        <f>IF(MOD(U$3,12)=4,MAX(T21*(1+Assumptions!$B$14),Assumptions!$B$11),'Monthly Revenue'!T21)</f>
        <v>420</v>
      </c>
      <c r="V21" s="90">
        <f>IF(MOD(V$3,12)=4,MAX(U21*(1+Assumptions!$B$14),Assumptions!$B$11),'Monthly Revenue'!U21)</f>
        <v>420</v>
      </c>
      <c r="W21" s="90">
        <f>IF(MOD(W$3,12)=4,MAX(V21*(1+Assumptions!$B$14),Assumptions!$B$11),'Monthly Revenue'!V21)</f>
        <v>420</v>
      </c>
      <c r="X21" s="90">
        <f>IF(MOD(X$3,12)=4,MAX(W21*(1+Assumptions!$B$14),Assumptions!$B$11),'Monthly Revenue'!W21)</f>
        <v>420</v>
      </c>
      <c r="Y21" s="90">
        <f>IF(MOD(Y$3,12)=4,MAX(X21*(1+Assumptions!$B$14),Assumptions!$B$11),'Monthly Revenue'!X21)</f>
        <v>420</v>
      </c>
      <c r="Z21" s="90">
        <f>IF(MOD(Z$3,12)=4,MAX(Y21*(1+Assumptions!$B$14),Assumptions!$B$11),'Monthly Revenue'!Y21)</f>
        <v>420</v>
      </c>
      <c r="AA21" s="90">
        <f>IF(MOD(AA$3,12)=4,MAX(Z21*(1+Assumptions!$B$14),Assumptions!$B$11),'Monthly Revenue'!Z21)</f>
        <v>420</v>
      </c>
      <c r="AB21" s="90">
        <f>IF(MOD(AB$3,12)=4,MAX(AA21*(1+Assumptions!$B$14),Assumptions!$B$11),'Monthly Revenue'!AA21)</f>
        <v>420</v>
      </c>
      <c r="AC21" s="90">
        <f>IF(MOD(AC$3,12)=4,MAX(AB21*(1+Assumptions!$B$14),Assumptions!$B$11),'Monthly Revenue'!AB21)</f>
        <v>420</v>
      </c>
      <c r="AD21" s="90">
        <f>IF(MOD(AD$3,12)=4,MAX(AC21*(1+Assumptions!$B$14),Assumptions!$B$11),'Monthly Revenue'!AC21)</f>
        <v>420</v>
      </c>
      <c r="AE21" s="90">
        <f>IF(MOD(AE$3,12)=4,MAX(AD21*(1+Assumptions!$B$14),Assumptions!$B$11),'Monthly Revenue'!AD21)</f>
        <v>420</v>
      </c>
      <c r="AF21" s="90">
        <f>IF(MOD(AF$3,12)=4,MAX(AE21*(1+Assumptions!$B$14),Assumptions!$B$11),'Monthly Revenue'!AE21)</f>
        <v>441</v>
      </c>
      <c r="AG21" s="90">
        <f>IF(MOD(AG$3,12)=4,MAX(AF21*(1+Assumptions!$B$14),Assumptions!$B$11),'Monthly Revenue'!AF21)</f>
        <v>441</v>
      </c>
      <c r="AH21" s="90">
        <f>IF(MOD(AH$3,12)=4,MAX(AG21*(1+Assumptions!$B$14),Assumptions!$B$11),'Monthly Revenue'!AG21)</f>
        <v>441</v>
      </c>
      <c r="AI21" s="90">
        <f>IF(MOD(AI$3,12)=4,MAX(AH21*(1+Assumptions!$B$14),Assumptions!$B$11),'Monthly Revenue'!AH21)</f>
        <v>441</v>
      </c>
      <c r="AJ21" s="90">
        <f>IF(MOD(AJ$3,12)=4,MAX(AI21*(1+Assumptions!$B$14),Assumptions!$B$11),'Monthly Revenue'!AI21)</f>
        <v>441</v>
      </c>
      <c r="AK21" s="90">
        <f>IF(MOD(AK$3,12)=4,MAX(AJ21*(1+Assumptions!$B$14),Assumptions!$B$11),'Monthly Revenue'!AJ21)</f>
        <v>441</v>
      </c>
      <c r="AL21" s="90">
        <f>IF(MOD(AL$3,12)=4,MAX(AK21*(1+Assumptions!$B$14),Assumptions!$B$11),'Monthly Revenue'!AK21)</f>
        <v>441</v>
      </c>
      <c r="AM21" s="90">
        <f>IF(MOD(AM$3,12)=4,MAX(AL21*(1+Assumptions!$B$14),Assumptions!$B$11),'Monthly Revenue'!AL21)</f>
        <v>441</v>
      </c>
      <c r="AN21" s="90">
        <f>IF(MOD(AN$3,12)=4,MAX(AM21*(1+Assumptions!$B$14),Assumptions!$B$11),'Monthly Revenue'!AM21)</f>
        <v>441</v>
      </c>
    </row>
    <row r="22" spans="1:40" x14ac:dyDescent="0.35">
      <c r="A22" s="76" t="s">
        <v>7</v>
      </c>
      <c r="E22" s="90">
        <f>IF(MOD(E$3,12)=4,MAX(D22*(1+Assumptions!$B$14),Assumptions!$B12),'Monthly Revenue'!D22)</f>
        <v>0</v>
      </c>
      <c r="F22" s="90">
        <f>IF(MOD(F$3,12)=4,MAX(E22*(1+Assumptions!$B$14),Assumptions!$B12),'Monthly Revenue'!E22)</f>
        <v>0</v>
      </c>
      <c r="G22" s="90">
        <f>IF(MOD(G$3,12)=4,MAX(F22*(1+Assumptions!$B$14),Assumptions!$B12),'Monthly Revenue'!F22)</f>
        <v>0</v>
      </c>
      <c r="H22" s="90">
        <f>IF(MOD(H$3,12)=4,MAX(G22*(1+Assumptions!$B$14),Assumptions!$B12),'Monthly Revenue'!G22)</f>
        <v>300</v>
      </c>
      <c r="I22" s="90">
        <f>IF(MOD(I$3,12)=4,MAX(H22*(1+Assumptions!$B$14),Assumptions!$B12),'Monthly Revenue'!H22)</f>
        <v>300</v>
      </c>
      <c r="J22" s="90">
        <f>IF(MOD(J$3,12)=4,MAX(I22*(1+Assumptions!$B$14),Assumptions!$B12),'Monthly Revenue'!I22)</f>
        <v>300</v>
      </c>
      <c r="K22" s="90">
        <f>IF(MOD(K$3,12)=4,MAX(J22*(1+Assumptions!$B$14),Assumptions!$B12),'Monthly Revenue'!J22)</f>
        <v>300</v>
      </c>
      <c r="L22" s="90">
        <f>IF(MOD(L$3,12)=4,MAX(K22*(1+Assumptions!$B$14),Assumptions!$B12),'Monthly Revenue'!K22)</f>
        <v>300</v>
      </c>
      <c r="M22" s="90">
        <f>IF(MOD(M$3,12)=4,MAX(L22*(1+Assumptions!$B$14),Assumptions!$B12),'Monthly Revenue'!L22)</f>
        <v>300</v>
      </c>
      <c r="N22" s="90">
        <f>IF(MOD(N$3,12)=4,MAX(M22*(1+Assumptions!$B$14),Assumptions!$B12),'Monthly Revenue'!M22)</f>
        <v>300</v>
      </c>
      <c r="O22" s="90">
        <f>IF(MOD(O$3,12)=4,MAX(N22*(1+Assumptions!$B$14),Assumptions!$B12),'Monthly Revenue'!N22)</f>
        <v>300</v>
      </c>
      <c r="P22" s="90">
        <f>IF(MOD(P$3,12)=4,MAX(O22*(1+Assumptions!$B$14),Assumptions!$B12),'Monthly Revenue'!O22)</f>
        <v>300</v>
      </c>
      <c r="Q22" s="90">
        <f>IF(MOD(Q$3,12)=4,MAX(P22*(1+Assumptions!$B$14),Assumptions!$B12),'Monthly Revenue'!P22)</f>
        <v>300</v>
      </c>
      <c r="R22" s="90">
        <f>IF(MOD(R$3,12)=4,MAX(Q22*(1+Assumptions!$B$14),Assumptions!$B12),'Monthly Revenue'!Q22)</f>
        <v>300</v>
      </c>
      <c r="S22" s="90">
        <f>IF(MOD(S$3,12)=4,MAX(R22*(1+Assumptions!$B$14),Assumptions!$B12),'Monthly Revenue'!R22)</f>
        <v>300</v>
      </c>
      <c r="T22" s="90">
        <f>IF(MOD(T$3,12)=4,MAX(S22*(1+Assumptions!$B$14),Assumptions!$B12),'Monthly Revenue'!S22)</f>
        <v>315</v>
      </c>
      <c r="U22" s="90">
        <f>IF(MOD(U$3,12)=4,MAX(T22*(1+Assumptions!$B$14),Assumptions!$B12),'Monthly Revenue'!T22)</f>
        <v>315</v>
      </c>
      <c r="V22" s="90">
        <f>IF(MOD(V$3,12)=4,MAX(U22*(1+Assumptions!$B$14),Assumptions!$B12),'Monthly Revenue'!U22)</f>
        <v>315</v>
      </c>
      <c r="W22" s="90">
        <f>IF(MOD(W$3,12)=4,MAX(V22*(1+Assumptions!$B$14),Assumptions!$B12),'Monthly Revenue'!V22)</f>
        <v>315</v>
      </c>
      <c r="X22" s="90">
        <f>IF(MOD(X$3,12)=4,MAX(W22*(1+Assumptions!$B$14),Assumptions!$B12),'Monthly Revenue'!W22)</f>
        <v>315</v>
      </c>
      <c r="Y22" s="90">
        <f>IF(MOD(Y$3,12)=4,MAX(X22*(1+Assumptions!$B$14),Assumptions!$B12),'Monthly Revenue'!X22)</f>
        <v>315</v>
      </c>
      <c r="Z22" s="90">
        <f>IF(MOD(Z$3,12)=4,MAX(Y22*(1+Assumptions!$B$14),Assumptions!$B12),'Monthly Revenue'!Y22)</f>
        <v>315</v>
      </c>
      <c r="AA22" s="90">
        <f>IF(MOD(AA$3,12)=4,MAX(Z22*(1+Assumptions!$B$14),Assumptions!$B12),'Monthly Revenue'!Z22)</f>
        <v>315</v>
      </c>
      <c r="AB22" s="90">
        <f>IF(MOD(AB$3,12)=4,MAX(AA22*(1+Assumptions!$B$14),Assumptions!$B12),'Monthly Revenue'!AA22)</f>
        <v>315</v>
      </c>
      <c r="AC22" s="90">
        <f>IF(MOD(AC$3,12)=4,MAX(AB22*(1+Assumptions!$B$14),Assumptions!$B12),'Monthly Revenue'!AB22)</f>
        <v>315</v>
      </c>
      <c r="AD22" s="90">
        <f>IF(MOD(AD$3,12)=4,MAX(AC22*(1+Assumptions!$B$14),Assumptions!$B12),'Monthly Revenue'!AC22)</f>
        <v>315</v>
      </c>
      <c r="AE22" s="90">
        <f>IF(MOD(AE$3,12)=4,MAX(AD22*(1+Assumptions!$B$14),Assumptions!$B12),'Monthly Revenue'!AD22)</f>
        <v>315</v>
      </c>
      <c r="AF22" s="90">
        <f>IF(MOD(AF$3,12)=4,MAX(AE22*(1+Assumptions!$B$14),Assumptions!$B12),'Monthly Revenue'!AE22)</f>
        <v>330.75</v>
      </c>
      <c r="AG22" s="90">
        <f>IF(MOD(AG$3,12)=4,MAX(AF22*(1+Assumptions!$B$14),Assumptions!$B12),'Monthly Revenue'!AF22)</f>
        <v>330.75</v>
      </c>
      <c r="AH22" s="90">
        <f>IF(MOD(AH$3,12)=4,MAX(AG22*(1+Assumptions!$B$14),Assumptions!$B12),'Monthly Revenue'!AG22)</f>
        <v>330.75</v>
      </c>
      <c r="AI22" s="90">
        <f>IF(MOD(AI$3,12)=4,MAX(AH22*(1+Assumptions!$B$14),Assumptions!$B12),'Monthly Revenue'!AH22)</f>
        <v>330.75</v>
      </c>
      <c r="AJ22" s="90">
        <f>IF(MOD(AJ$3,12)=4,MAX(AI22*(1+Assumptions!$B$14),Assumptions!$B12),'Monthly Revenue'!AI22)</f>
        <v>330.75</v>
      </c>
      <c r="AK22" s="90">
        <f>IF(MOD(AK$3,12)=4,MAX(AJ22*(1+Assumptions!$B$14),Assumptions!$B12),'Monthly Revenue'!AJ22)</f>
        <v>330.75</v>
      </c>
      <c r="AL22" s="90">
        <f>IF(MOD(AL$3,12)=4,MAX(AK22*(1+Assumptions!$B$14),Assumptions!$B12),'Monthly Revenue'!AK22)</f>
        <v>330.75</v>
      </c>
      <c r="AM22" s="90">
        <f>IF(MOD(AM$3,12)=4,MAX(AL22*(1+Assumptions!$B$14),Assumptions!$B12),'Monthly Revenue'!AL22)</f>
        <v>330.75</v>
      </c>
      <c r="AN22" s="90">
        <f>IF(MOD(AN$3,12)=4,MAX(AM22*(1+Assumptions!$B$14),Assumptions!$B12),'Monthly Revenue'!AM22)</f>
        <v>330.75</v>
      </c>
    </row>
    <row r="23" spans="1:40" x14ac:dyDescent="0.35">
      <c r="A23" s="76" t="s">
        <v>8</v>
      </c>
      <c r="E23" s="90">
        <f>IF(MOD(E$3,12)=4,MAX(D23*(1+Assumptions!$B$14),Assumptions!$B13),'Monthly Revenue'!D23)</f>
        <v>0</v>
      </c>
      <c r="F23" s="90">
        <f>IF(MOD(F$3,12)=4,MAX(E23*(1+Assumptions!$B$14),Assumptions!$B13),'Monthly Revenue'!E23)</f>
        <v>0</v>
      </c>
      <c r="G23" s="90">
        <f>IF(MOD(G$3,12)=4,MAX(F23*(1+Assumptions!$B$14),Assumptions!$B13),'Monthly Revenue'!F23)</f>
        <v>0</v>
      </c>
      <c r="H23" s="90">
        <f>IF(MOD(H$3,12)=4,MAX(G23*(1+Assumptions!$B$14),Assumptions!$B13),'Monthly Revenue'!G23)</f>
        <v>1200</v>
      </c>
      <c r="I23" s="90">
        <f>IF(MOD(I$3,12)=4,MAX(H23*(1+Assumptions!$B$14),Assumptions!$B13),'Monthly Revenue'!H23)</f>
        <v>1200</v>
      </c>
      <c r="J23" s="90">
        <f>IF(MOD(J$3,12)=4,MAX(I23*(1+Assumptions!$B$14),Assumptions!$B13),'Monthly Revenue'!I23)</f>
        <v>1200</v>
      </c>
      <c r="K23" s="90">
        <f>IF(MOD(K$3,12)=4,MAX(J23*(1+Assumptions!$B$14),Assumptions!$B13),'Monthly Revenue'!J23)</f>
        <v>1200</v>
      </c>
      <c r="L23" s="90">
        <f>IF(MOD(L$3,12)=4,MAX(K23*(1+Assumptions!$B$14),Assumptions!$B13),'Monthly Revenue'!K23)</f>
        <v>1200</v>
      </c>
      <c r="M23" s="90">
        <f>IF(MOD(M$3,12)=4,MAX(L23*(1+Assumptions!$B$14),Assumptions!$B13),'Monthly Revenue'!L23)</f>
        <v>1200</v>
      </c>
      <c r="N23" s="90">
        <f>IF(MOD(N$3,12)=4,MAX(M23*(1+Assumptions!$B$14),Assumptions!$B13),'Monthly Revenue'!M23)</f>
        <v>1200</v>
      </c>
      <c r="O23" s="90">
        <f>IF(MOD(O$3,12)=4,MAX(N23*(1+Assumptions!$B$14),Assumptions!$B13),'Monthly Revenue'!N23)</f>
        <v>1200</v>
      </c>
      <c r="P23" s="90">
        <f>IF(MOD(P$3,12)=4,MAX(O23*(1+Assumptions!$B$14),Assumptions!$B13),'Monthly Revenue'!O23)</f>
        <v>1200</v>
      </c>
      <c r="Q23" s="90">
        <f>IF(MOD(Q$3,12)=4,MAX(P23*(1+Assumptions!$B$14),Assumptions!$B13),'Monthly Revenue'!P23)</f>
        <v>1200</v>
      </c>
      <c r="R23" s="90">
        <f>IF(MOD(R$3,12)=4,MAX(Q23*(1+Assumptions!$B$14),Assumptions!$B13),'Monthly Revenue'!Q23)</f>
        <v>1200</v>
      </c>
      <c r="S23" s="90">
        <f>IF(MOD(S$3,12)=4,MAX(R23*(1+Assumptions!$B$14),Assumptions!$B13),'Monthly Revenue'!R23)</f>
        <v>1200</v>
      </c>
      <c r="T23" s="90">
        <f>IF(MOD(T$3,12)=4,MAX(S23*(1+Assumptions!$B$14),Assumptions!$B13),'Monthly Revenue'!S23)</f>
        <v>1260</v>
      </c>
      <c r="U23" s="90">
        <f>IF(MOD(U$3,12)=4,MAX(T23*(1+Assumptions!$B$14),Assumptions!$B13),'Monthly Revenue'!T23)</f>
        <v>1260</v>
      </c>
      <c r="V23" s="90">
        <f>IF(MOD(V$3,12)=4,MAX(U23*(1+Assumptions!$B$14),Assumptions!$B13),'Monthly Revenue'!U23)</f>
        <v>1260</v>
      </c>
      <c r="W23" s="90">
        <f>IF(MOD(W$3,12)=4,MAX(V23*(1+Assumptions!$B$14),Assumptions!$B13),'Monthly Revenue'!V23)</f>
        <v>1260</v>
      </c>
      <c r="X23" s="90">
        <f>IF(MOD(X$3,12)=4,MAX(W23*(1+Assumptions!$B$14),Assumptions!$B13),'Monthly Revenue'!W23)</f>
        <v>1260</v>
      </c>
      <c r="Y23" s="90">
        <f>IF(MOD(Y$3,12)=4,MAX(X23*(1+Assumptions!$B$14),Assumptions!$B13),'Monthly Revenue'!X23)</f>
        <v>1260</v>
      </c>
      <c r="Z23" s="90">
        <f>IF(MOD(Z$3,12)=4,MAX(Y23*(1+Assumptions!$B$14),Assumptions!$B13),'Monthly Revenue'!Y23)</f>
        <v>1260</v>
      </c>
      <c r="AA23" s="90">
        <f>IF(MOD(AA$3,12)=4,MAX(Z23*(1+Assumptions!$B$14),Assumptions!$B13),'Monthly Revenue'!Z23)</f>
        <v>1260</v>
      </c>
      <c r="AB23" s="90">
        <f>IF(MOD(AB$3,12)=4,MAX(AA23*(1+Assumptions!$B$14),Assumptions!$B13),'Monthly Revenue'!AA23)</f>
        <v>1260</v>
      </c>
      <c r="AC23" s="90">
        <f>IF(MOD(AC$3,12)=4,MAX(AB23*(1+Assumptions!$B$14),Assumptions!$B13),'Monthly Revenue'!AB23)</f>
        <v>1260</v>
      </c>
      <c r="AD23" s="90">
        <f>IF(MOD(AD$3,12)=4,MAX(AC23*(1+Assumptions!$B$14),Assumptions!$B13),'Monthly Revenue'!AC23)</f>
        <v>1260</v>
      </c>
      <c r="AE23" s="90">
        <f>IF(MOD(AE$3,12)=4,MAX(AD23*(1+Assumptions!$B$14),Assumptions!$B13),'Monthly Revenue'!AD23)</f>
        <v>1260</v>
      </c>
      <c r="AF23" s="90">
        <f>IF(MOD(AF$3,12)=4,MAX(AE23*(1+Assumptions!$B$14),Assumptions!$B13),'Monthly Revenue'!AE23)</f>
        <v>1323</v>
      </c>
      <c r="AG23" s="90">
        <f>IF(MOD(AG$3,12)=4,MAX(AF23*(1+Assumptions!$B$14),Assumptions!$B13),'Monthly Revenue'!AF23)</f>
        <v>1323</v>
      </c>
      <c r="AH23" s="90">
        <f>IF(MOD(AH$3,12)=4,MAX(AG23*(1+Assumptions!$B$14),Assumptions!$B13),'Monthly Revenue'!AG23)</f>
        <v>1323</v>
      </c>
      <c r="AI23" s="90">
        <f>IF(MOD(AI$3,12)=4,MAX(AH23*(1+Assumptions!$B$14),Assumptions!$B13),'Monthly Revenue'!AH23)</f>
        <v>1323</v>
      </c>
      <c r="AJ23" s="90">
        <f>IF(MOD(AJ$3,12)=4,MAX(AI23*(1+Assumptions!$B$14),Assumptions!$B13),'Monthly Revenue'!AI23)</f>
        <v>1323</v>
      </c>
      <c r="AK23" s="90">
        <f>IF(MOD(AK$3,12)=4,MAX(AJ23*(1+Assumptions!$B$14),Assumptions!$B13),'Monthly Revenue'!AJ23)</f>
        <v>1323</v>
      </c>
      <c r="AL23" s="90">
        <f>IF(MOD(AL$3,12)=4,MAX(AK23*(1+Assumptions!$B$14),Assumptions!$B13),'Monthly Revenue'!AK23)</f>
        <v>1323</v>
      </c>
      <c r="AM23" s="90">
        <f>IF(MOD(AM$3,12)=4,MAX(AL23*(1+Assumptions!$B$14),Assumptions!$B13),'Monthly Revenue'!AL23)</f>
        <v>1323</v>
      </c>
      <c r="AN23" s="90">
        <f>IF(MOD(AN$3,12)=4,MAX(AM23*(1+Assumptions!$B$14),Assumptions!$B13),'Monthly Revenue'!AM23)</f>
        <v>1323</v>
      </c>
    </row>
    <row r="24" spans="1:40" s="172" customFormat="1" x14ac:dyDescent="0.35">
      <c r="A24" s="164" t="s">
        <v>54</v>
      </c>
      <c r="B24" s="165"/>
      <c r="C24" s="165"/>
      <c r="D24" s="165"/>
      <c r="E24" s="167">
        <f>SUM(E21:E23)</f>
        <v>0</v>
      </c>
      <c r="F24" s="167">
        <f t="shared" ref="F24:AN24" si="45">SUM(F21:F23)</f>
        <v>0</v>
      </c>
      <c r="G24" s="167">
        <f t="shared" si="45"/>
        <v>0</v>
      </c>
      <c r="H24" s="167">
        <f t="shared" si="45"/>
        <v>1900</v>
      </c>
      <c r="I24" s="167">
        <f t="shared" si="45"/>
        <v>1900</v>
      </c>
      <c r="J24" s="167">
        <f t="shared" si="45"/>
        <v>1900</v>
      </c>
      <c r="K24" s="167">
        <f t="shared" si="45"/>
        <v>1900</v>
      </c>
      <c r="L24" s="167">
        <f t="shared" si="45"/>
        <v>1900</v>
      </c>
      <c r="M24" s="167">
        <f t="shared" si="45"/>
        <v>1900</v>
      </c>
      <c r="N24" s="167">
        <f t="shared" si="45"/>
        <v>1900</v>
      </c>
      <c r="O24" s="167">
        <f t="shared" si="45"/>
        <v>1900</v>
      </c>
      <c r="P24" s="167">
        <f t="shared" si="45"/>
        <v>1900</v>
      </c>
      <c r="Q24" s="167">
        <f t="shared" si="45"/>
        <v>1900</v>
      </c>
      <c r="R24" s="167">
        <f t="shared" si="45"/>
        <v>1900</v>
      </c>
      <c r="S24" s="167">
        <f t="shared" si="45"/>
        <v>1900</v>
      </c>
      <c r="T24" s="167">
        <f t="shared" si="45"/>
        <v>1995</v>
      </c>
      <c r="U24" s="167">
        <f t="shared" si="45"/>
        <v>1995</v>
      </c>
      <c r="V24" s="167">
        <f t="shared" si="45"/>
        <v>1995</v>
      </c>
      <c r="W24" s="167">
        <f t="shared" si="45"/>
        <v>1995</v>
      </c>
      <c r="X24" s="167">
        <f t="shared" si="45"/>
        <v>1995</v>
      </c>
      <c r="Y24" s="167">
        <f t="shared" si="45"/>
        <v>1995</v>
      </c>
      <c r="Z24" s="167">
        <f t="shared" si="45"/>
        <v>1995</v>
      </c>
      <c r="AA24" s="167">
        <f t="shared" si="45"/>
        <v>1995</v>
      </c>
      <c r="AB24" s="167">
        <f t="shared" si="45"/>
        <v>1995</v>
      </c>
      <c r="AC24" s="167">
        <f t="shared" si="45"/>
        <v>1995</v>
      </c>
      <c r="AD24" s="167">
        <f t="shared" si="45"/>
        <v>1995</v>
      </c>
      <c r="AE24" s="167">
        <f t="shared" si="45"/>
        <v>1995</v>
      </c>
      <c r="AF24" s="167">
        <f t="shared" si="45"/>
        <v>2094.75</v>
      </c>
      <c r="AG24" s="167">
        <f t="shared" si="45"/>
        <v>2094.75</v>
      </c>
      <c r="AH24" s="167">
        <f t="shared" si="45"/>
        <v>2094.75</v>
      </c>
      <c r="AI24" s="167">
        <f t="shared" si="45"/>
        <v>2094.75</v>
      </c>
      <c r="AJ24" s="167">
        <f t="shared" si="45"/>
        <v>2094.75</v>
      </c>
      <c r="AK24" s="167">
        <f t="shared" si="45"/>
        <v>2094.75</v>
      </c>
      <c r="AL24" s="167">
        <f t="shared" si="45"/>
        <v>2094.75</v>
      </c>
      <c r="AM24" s="167">
        <f t="shared" si="45"/>
        <v>2094.75</v>
      </c>
      <c r="AN24" s="167">
        <f t="shared" si="45"/>
        <v>2094.75</v>
      </c>
    </row>
    <row r="25" spans="1:40" x14ac:dyDescent="0.35">
      <c r="A25" s="93"/>
    </row>
    <row r="26" spans="1:40" x14ac:dyDescent="0.35">
      <c r="A26" s="94" t="s">
        <v>16</v>
      </c>
    </row>
    <row r="27" spans="1:40" x14ac:dyDescent="0.35">
      <c r="A27" s="76" t="s">
        <v>6</v>
      </c>
      <c r="E27" s="90">
        <f>IF(MOD(E$3,12)=4,MAX(D27*(1+Assumptions!$F$14),Assumptions!$F11),'Monthly Revenue'!D27)</f>
        <v>0</v>
      </c>
      <c r="F27" s="90">
        <f>IF(MOD(F$3,12)=4,MAX(E27*(1+Assumptions!$F$14),Assumptions!$F11),'Monthly Revenue'!E27)</f>
        <v>0</v>
      </c>
      <c r="G27" s="90">
        <f>IF(MOD(G$3,12)=4,MAX(F27*(1+Assumptions!$F$14),Assumptions!$F11),'Monthly Revenue'!F27)</f>
        <v>0</v>
      </c>
      <c r="H27" s="90">
        <f>IF(MOD(H$3,12)=4,MAX(G27*(1+Assumptions!$F$14),Assumptions!$F11),'Monthly Revenue'!G27)</f>
        <v>400</v>
      </c>
      <c r="I27" s="90">
        <f>IF(MOD(I$3,12)=4,MAX(H27*(1+Assumptions!$F$14),Assumptions!$F11),'Monthly Revenue'!H27)</f>
        <v>400</v>
      </c>
      <c r="J27" s="90">
        <f>IF(MOD(J$3,12)=4,MAX(I27*(1+Assumptions!$F$14),Assumptions!$F11),'Monthly Revenue'!I27)</f>
        <v>400</v>
      </c>
      <c r="K27" s="90">
        <f>IF(MOD(K$3,12)=4,MAX(J27*(1+Assumptions!$F$14),Assumptions!$F11),'Monthly Revenue'!J27)</f>
        <v>400</v>
      </c>
      <c r="L27" s="90">
        <f>IF(MOD(L$3,12)=4,MAX(K27*(1+Assumptions!$F$14),Assumptions!$F11),'Monthly Revenue'!K27)</f>
        <v>400</v>
      </c>
      <c r="M27" s="90">
        <f>IF(MOD(M$3,12)=4,MAX(L27*(1+Assumptions!$F$14),Assumptions!$F11),'Monthly Revenue'!L27)</f>
        <v>400</v>
      </c>
      <c r="N27" s="90">
        <f>IF(MOD(N$3,12)=4,MAX(M27*(1+Assumptions!$F$14),Assumptions!$F11),'Monthly Revenue'!M27)</f>
        <v>400</v>
      </c>
      <c r="O27" s="90">
        <f>IF(MOD(O$3,12)=4,MAX(N27*(1+Assumptions!$F$14),Assumptions!$F11),'Monthly Revenue'!N27)</f>
        <v>400</v>
      </c>
      <c r="P27" s="90">
        <f>IF(MOD(P$3,12)=4,MAX(O27*(1+Assumptions!$F$14),Assumptions!$F11),'Monthly Revenue'!O27)</f>
        <v>400</v>
      </c>
      <c r="Q27" s="90">
        <f>IF(MOD(Q$3,12)=4,MAX(P27*(1+Assumptions!$F$14),Assumptions!$F11),'Monthly Revenue'!P27)</f>
        <v>400</v>
      </c>
      <c r="R27" s="90">
        <f>IF(MOD(R$3,12)=4,MAX(Q27*(1+Assumptions!$F$14),Assumptions!$F11),'Monthly Revenue'!Q27)</f>
        <v>400</v>
      </c>
      <c r="S27" s="90">
        <f>IF(MOD(S$3,12)=4,MAX(R27*(1+Assumptions!$F$14),Assumptions!$F11),'Monthly Revenue'!R27)</f>
        <v>400</v>
      </c>
      <c r="T27" s="90">
        <f>IF(MOD(T$3,12)=4,MAX(S27*(1+Assumptions!$F$14),Assumptions!$F11),'Monthly Revenue'!S27)</f>
        <v>420</v>
      </c>
      <c r="U27" s="90">
        <f>IF(MOD(U$3,12)=4,MAX(T27*(1+Assumptions!$F$14),Assumptions!$F11),'Monthly Revenue'!T27)</f>
        <v>420</v>
      </c>
      <c r="V27" s="90">
        <f>IF(MOD(V$3,12)=4,MAX(U27*(1+Assumptions!$F$14),Assumptions!$F11),'Monthly Revenue'!U27)</f>
        <v>420</v>
      </c>
      <c r="W27" s="90">
        <f>IF(MOD(W$3,12)=4,MAX(V27*(1+Assumptions!$F$14),Assumptions!$F11),'Monthly Revenue'!V27)</f>
        <v>420</v>
      </c>
      <c r="X27" s="90">
        <f>IF(MOD(X$3,12)=4,MAX(W27*(1+Assumptions!$F$14),Assumptions!$F11),'Monthly Revenue'!W27)</f>
        <v>420</v>
      </c>
      <c r="Y27" s="90">
        <f>IF(MOD(Y$3,12)=4,MAX(X27*(1+Assumptions!$F$14),Assumptions!$F11),'Monthly Revenue'!X27)</f>
        <v>420</v>
      </c>
      <c r="Z27" s="90">
        <f>IF(MOD(Z$3,12)=4,MAX(Y27*(1+Assumptions!$F$14),Assumptions!$F11),'Monthly Revenue'!Y27)</f>
        <v>420</v>
      </c>
      <c r="AA27" s="90">
        <f>IF(MOD(AA$3,12)=4,MAX(Z27*(1+Assumptions!$F$14),Assumptions!$F11),'Monthly Revenue'!Z27)</f>
        <v>420</v>
      </c>
      <c r="AB27" s="90">
        <f>IF(MOD(AB$3,12)=4,MAX(AA27*(1+Assumptions!$F$14),Assumptions!$F11),'Monthly Revenue'!AA27)</f>
        <v>420</v>
      </c>
      <c r="AC27" s="90">
        <f>IF(MOD(AC$3,12)=4,MAX(AB27*(1+Assumptions!$F$14),Assumptions!$F11),'Monthly Revenue'!AB27)</f>
        <v>420</v>
      </c>
      <c r="AD27" s="90">
        <f>IF(MOD(AD$3,12)=4,MAX(AC27*(1+Assumptions!$F$14),Assumptions!$F11),'Monthly Revenue'!AC27)</f>
        <v>420</v>
      </c>
      <c r="AE27" s="90">
        <f>IF(MOD(AE$3,12)=4,MAX(AD27*(1+Assumptions!$F$14),Assumptions!$F11),'Monthly Revenue'!AD27)</f>
        <v>420</v>
      </c>
      <c r="AF27" s="90">
        <f>IF(MOD(AF$3,12)=4,MAX(AE27*(1+Assumptions!$F$14),Assumptions!$F11),'Monthly Revenue'!AE27)</f>
        <v>441</v>
      </c>
      <c r="AG27" s="90">
        <f>IF(MOD(AG$3,12)=4,MAX(AF27*(1+Assumptions!$F$14),Assumptions!$F11),'Monthly Revenue'!AF27)</f>
        <v>441</v>
      </c>
      <c r="AH27" s="90">
        <f>IF(MOD(AH$3,12)=4,MAX(AG27*(1+Assumptions!$F$14),Assumptions!$F11),'Monthly Revenue'!AG27)</f>
        <v>441</v>
      </c>
      <c r="AI27" s="90">
        <f>IF(MOD(AI$3,12)=4,MAX(AH27*(1+Assumptions!$F$14),Assumptions!$F11),'Monthly Revenue'!AH27)</f>
        <v>441</v>
      </c>
      <c r="AJ27" s="90">
        <f>IF(MOD(AJ$3,12)=4,MAX(AI27*(1+Assumptions!$F$14),Assumptions!$F11),'Monthly Revenue'!AI27)</f>
        <v>441</v>
      </c>
      <c r="AK27" s="90">
        <f>IF(MOD(AK$3,12)=4,MAX(AJ27*(1+Assumptions!$F$14),Assumptions!$F11),'Monthly Revenue'!AJ27)</f>
        <v>441</v>
      </c>
      <c r="AL27" s="90">
        <f>IF(MOD(AL$3,12)=4,MAX(AK27*(1+Assumptions!$F$14),Assumptions!$F11),'Monthly Revenue'!AK27)</f>
        <v>441</v>
      </c>
      <c r="AM27" s="90">
        <f>IF(MOD(AM$3,12)=4,MAX(AL27*(1+Assumptions!$F$14),Assumptions!$F11),'Monthly Revenue'!AL27)</f>
        <v>441</v>
      </c>
      <c r="AN27" s="90">
        <f>IF(MOD(AN$3,12)=4,MAX(AM27*(1+Assumptions!$F$14),Assumptions!$F11),'Monthly Revenue'!AM27)</f>
        <v>441</v>
      </c>
    </row>
    <row r="28" spans="1:40" x14ac:dyDescent="0.35">
      <c r="A28" s="76" t="s">
        <v>7</v>
      </c>
      <c r="E28" s="90">
        <f>IF(MOD(E$3,12)=4,MAX(D28*(1+Assumptions!$F$14),Assumptions!$F12),'Monthly Revenue'!D28)</f>
        <v>0</v>
      </c>
      <c r="F28" s="90">
        <f>IF(MOD(F$3,12)=4,MAX(E28*(1+Assumptions!$F$14),Assumptions!$F12),'Monthly Revenue'!E28)</f>
        <v>0</v>
      </c>
      <c r="G28" s="90">
        <f>IF(MOD(G$3,12)=4,MAX(F28*(1+Assumptions!$F$14),Assumptions!$F12),'Monthly Revenue'!F28)</f>
        <v>0</v>
      </c>
      <c r="H28" s="90">
        <f>IF(MOD(H$3,12)=4,MAX(G28*(1+Assumptions!$F$14),Assumptions!$F12),'Monthly Revenue'!G28)</f>
        <v>400</v>
      </c>
      <c r="I28" s="90">
        <f>IF(MOD(I$3,12)=4,MAX(H28*(1+Assumptions!$F$14),Assumptions!$F12),'Monthly Revenue'!H28)</f>
        <v>400</v>
      </c>
      <c r="J28" s="90">
        <f>IF(MOD(J$3,12)=4,MAX(I28*(1+Assumptions!$F$14),Assumptions!$F12),'Monthly Revenue'!I28)</f>
        <v>400</v>
      </c>
      <c r="K28" s="90">
        <f>IF(MOD(K$3,12)=4,MAX(J28*(1+Assumptions!$F$14),Assumptions!$F12),'Monthly Revenue'!J28)</f>
        <v>400</v>
      </c>
      <c r="L28" s="90">
        <f>IF(MOD(L$3,12)=4,MAX(K28*(1+Assumptions!$F$14),Assumptions!$F12),'Monthly Revenue'!K28)</f>
        <v>400</v>
      </c>
      <c r="M28" s="90">
        <f>IF(MOD(M$3,12)=4,MAX(L28*(1+Assumptions!$F$14),Assumptions!$F12),'Monthly Revenue'!L28)</f>
        <v>400</v>
      </c>
      <c r="N28" s="90">
        <f>IF(MOD(N$3,12)=4,MAX(M28*(1+Assumptions!$F$14),Assumptions!$F12),'Monthly Revenue'!M28)</f>
        <v>400</v>
      </c>
      <c r="O28" s="90">
        <f>IF(MOD(O$3,12)=4,MAX(N28*(1+Assumptions!$F$14),Assumptions!$F12),'Monthly Revenue'!N28)</f>
        <v>400</v>
      </c>
      <c r="P28" s="90">
        <f>IF(MOD(P$3,12)=4,MAX(O28*(1+Assumptions!$F$14),Assumptions!$F12),'Monthly Revenue'!O28)</f>
        <v>400</v>
      </c>
      <c r="Q28" s="90">
        <f>IF(MOD(Q$3,12)=4,MAX(P28*(1+Assumptions!$F$14),Assumptions!$F12),'Monthly Revenue'!P28)</f>
        <v>400</v>
      </c>
      <c r="R28" s="90">
        <f>IF(MOD(R$3,12)=4,MAX(Q28*(1+Assumptions!$F$14),Assumptions!$F12),'Monthly Revenue'!Q28)</f>
        <v>400</v>
      </c>
      <c r="S28" s="90">
        <f>IF(MOD(S$3,12)=4,MAX(R28*(1+Assumptions!$F$14),Assumptions!$F12),'Monthly Revenue'!R28)</f>
        <v>400</v>
      </c>
      <c r="T28" s="90">
        <f>IF(MOD(T$3,12)=4,MAX(S28*(1+Assumptions!$F$14),Assumptions!$F12),'Monthly Revenue'!S28)</f>
        <v>420</v>
      </c>
      <c r="U28" s="90">
        <f>IF(MOD(U$3,12)=4,MAX(T28*(1+Assumptions!$F$14),Assumptions!$F12),'Monthly Revenue'!T28)</f>
        <v>420</v>
      </c>
      <c r="V28" s="90">
        <f>IF(MOD(V$3,12)=4,MAX(U28*(1+Assumptions!$F$14),Assumptions!$F12),'Monthly Revenue'!U28)</f>
        <v>420</v>
      </c>
      <c r="W28" s="90">
        <f>IF(MOD(W$3,12)=4,MAX(V28*(1+Assumptions!$F$14),Assumptions!$F12),'Monthly Revenue'!V28)</f>
        <v>420</v>
      </c>
      <c r="X28" s="90">
        <f>IF(MOD(X$3,12)=4,MAX(W28*(1+Assumptions!$F$14),Assumptions!$F12),'Monthly Revenue'!W28)</f>
        <v>420</v>
      </c>
      <c r="Y28" s="90">
        <f>IF(MOD(Y$3,12)=4,MAX(X28*(1+Assumptions!$F$14),Assumptions!$F12),'Monthly Revenue'!X28)</f>
        <v>420</v>
      </c>
      <c r="Z28" s="90">
        <f>IF(MOD(Z$3,12)=4,MAX(Y28*(1+Assumptions!$F$14),Assumptions!$F12),'Monthly Revenue'!Y28)</f>
        <v>420</v>
      </c>
      <c r="AA28" s="90">
        <f>IF(MOD(AA$3,12)=4,MAX(Z28*(1+Assumptions!$F$14),Assumptions!$F12),'Monthly Revenue'!Z28)</f>
        <v>420</v>
      </c>
      <c r="AB28" s="90">
        <f>IF(MOD(AB$3,12)=4,MAX(AA28*(1+Assumptions!$F$14),Assumptions!$F12),'Monthly Revenue'!AA28)</f>
        <v>420</v>
      </c>
      <c r="AC28" s="90">
        <f>IF(MOD(AC$3,12)=4,MAX(AB28*(1+Assumptions!$F$14),Assumptions!$F12),'Monthly Revenue'!AB28)</f>
        <v>420</v>
      </c>
      <c r="AD28" s="90">
        <f>IF(MOD(AD$3,12)=4,MAX(AC28*(1+Assumptions!$F$14),Assumptions!$F12),'Monthly Revenue'!AC28)</f>
        <v>420</v>
      </c>
      <c r="AE28" s="90">
        <f>IF(MOD(AE$3,12)=4,MAX(AD28*(1+Assumptions!$F$14),Assumptions!$F12),'Monthly Revenue'!AD28)</f>
        <v>420</v>
      </c>
      <c r="AF28" s="90">
        <f>IF(MOD(AF$3,12)=4,MAX(AE28*(1+Assumptions!$F$14),Assumptions!$F12),'Monthly Revenue'!AE28)</f>
        <v>441</v>
      </c>
      <c r="AG28" s="90">
        <f>IF(MOD(AG$3,12)=4,MAX(AF28*(1+Assumptions!$F$14),Assumptions!$F12),'Monthly Revenue'!AF28)</f>
        <v>441</v>
      </c>
      <c r="AH28" s="90">
        <f>IF(MOD(AH$3,12)=4,MAX(AG28*(1+Assumptions!$F$14),Assumptions!$F12),'Monthly Revenue'!AG28)</f>
        <v>441</v>
      </c>
      <c r="AI28" s="90">
        <f>IF(MOD(AI$3,12)=4,MAX(AH28*(1+Assumptions!$F$14),Assumptions!$F12),'Monthly Revenue'!AH28)</f>
        <v>441</v>
      </c>
      <c r="AJ28" s="90">
        <f>IF(MOD(AJ$3,12)=4,MAX(AI28*(1+Assumptions!$F$14),Assumptions!$F12),'Monthly Revenue'!AI28)</f>
        <v>441</v>
      </c>
      <c r="AK28" s="90">
        <f>IF(MOD(AK$3,12)=4,MAX(AJ28*(1+Assumptions!$F$14),Assumptions!$F12),'Monthly Revenue'!AJ28)</f>
        <v>441</v>
      </c>
      <c r="AL28" s="90">
        <f>IF(MOD(AL$3,12)=4,MAX(AK28*(1+Assumptions!$F$14),Assumptions!$F12),'Monthly Revenue'!AK28)</f>
        <v>441</v>
      </c>
      <c r="AM28" s="90">
        <f>IF(MOD(AM$3,12)=4,MAX(AL28*(1+Assumptions!$F$14),Assumptions!$F12),'Monthly Revenue'!AL28)</f>
        <v>441</v>
      </c>
      <c r="AN28" s="90">
        <f>IF(MOD(AN$3,12)=4,MAX(AM28*(1+Assumptions!$F$14),Assumptions!$F12),'Monthly Revenue'!AM28)</f>
        <v>441</v>
      </c>
    </row>
    <row r="29" spans="1:40" x14ac:dyDescent="0.35">
      <c r="A29" s="76" t="s">
        <v>8</v>
      </c>
      <c r="E29" s="90">
        <f>IF(MOD(E$3,12)=4,MAX(D29*(1+Assumptions!$F$14),Assumptions!$F13),'Monthly Revenue'!D29)</f>
        <v>0</v>
      </c>
      <c r="F29" s="90">
        <f>IF(MOD(F$3,12)=4,MAX(E29*(1+Assumptions!$F$14),Assumptions!$F13),'Monthly Revenue'!E29)</f>
        <v>0</v>
      </c>
      <c r="G29" s="90">
        <f>IF(MOD(G$3,12)=4,MAX(F29*(1+Assumptions!$F$14),Assumptions!$F13),'Monthly Revenue'!F29)</f>
        <v>0</v>
      </c>
      <c r="H29" s="90">
        <f>IF(MOD(H$3,12)=4,MAX(G29*(1+Assumptions!$F$14),Assumptions!$F13),'Monthly Revenue'!G29)</f>
        <v>1200</v>
      </c>
      <c r="I29" s="90">
        <f>IF(MOD(I$3,12)=4,MAX(H29*(1+Assumptions!$F$14),Assumptions!$F13),'Monthly Revenue'!H29)</f>
        <v>1200</v>
      </c>
      <c r="J29" s="90">
        <f>IF(MOD(J$3,12)=4,MAX(I29*(1+Assumptions!$F$14),Assumptions!$F13),'Monthly Revenue'!I29)</f>
        <v>1200</v>
      </c>
      <c r="K29" s="90">
        <f>IF(MOD(K$3,12)=4,MAX(J29*(1+Assumptions!$F$14),Assumptions!$F13),'Monthly Revenue'!J29)</f>
        <v>1200</v>
      </c>
      <c r="L29" s="90">
        <f>IF(MOD(L$3,12)=4,MAX(K29*(1+Assumptions!$F$14),Assumptions!$F13),'Monthly Revenue'!K29)</f>
        <v>1200</v>
      </c>
      <c r="M29" s="90">
        <f>IF(MOD(M$3,12)=4,MAX(L29*(1+Assumptions!$F$14),Assumptions!$F13),'Monthly Revenue'!L29)</f>
        <v>1200</v>
      </c>
      <c r="N29" s="90">
        <f>IF(MOD(N$3,12)=4,MAX(M29*(1+Assumptions!$F$14),Assumptions!$F13),'Monthly Revenue'!M29)</f>
        <v>1200</v>
      </c>
      <c r="O29" s="90">
        <f>IF(MOD(O$3,12)=4,MAX(N29*(1+Assumptions!$F$14),Assumptions!$F13),'Monthly Revenue'!N29)</f>
        <v>1200</v>
      </c>
      <c r="P29" s="90">
        <f>IF(MOD(P$3,12)=4,MAX(O29*(1+Assumptions!$F$14),Assumptions!$F13),'Monthly Revenue'!O29)</f>
        <v>1200</v>
      </c>
      <c r="Q29" s="90">
        <f>IF(MOD(Q$3,12)=4,MAX(P29*(1+Assumptions!$F$14),Assumptions!$F13),'Monthly Revenue'!P29)</f>
        <v>1200</v>
      </c>
      <c r="R29" s="90">
        <f>IF(MOD(R$3,12)=4,MAX(Q29*(1+Assumptions!$F$14),Assumptions!$F13),'Monthly Revenue'!Q29)</f>
        <v>1200</v>
      </c>
      <c r="S29" s="90">
        <f>IF(MOD(S$3,12)=4,MAX(R29*(1+Assumptions!$F$14),Assumptions!$F13),'Monthly Revenue'!R29)</f>
        <v>1200</v>
      </c>
      <c r="T29" s="90">
        <f>IF(MOD(T$3,12)=4,MAX(S29*(1+Assumptions!$F$14),Assumptions!$F13),'Monthly Revenue'!S29)</f>
        <v>1260</v>
      </c>
      <c r="U29" s="90">
        <f>IF(MOD(U$3,12)=4,MAX(T29*(1+Assumptions!$F$14),Assumptions!$F13),'Monthly Revenue'!T29)</f>
        <v>1260</v>
      </c>
      <c r="V29" s="90">
        <f>IF(MOD(V$3,12)=4,MAX(U29*(1+Assumptions!$F$14),Assumptions!$F13),'Monthly Revenue'!U29)</f>
        <v>1260</v>
      </c>
      <c r="W29" s="90">
        <f>IF(MOD(W$3,12)=4,MAX(V29*(1+Assumptions!$F$14),Assumptions!$F13),'Monthly Revenue'!V29)</f>
        <v>1260</v>
      </c>
      <c r="X29" s="90">
        <f>IF(MOD(X$3,12)=4,MAX(W29*(1+Assumptions!$F$14),Assumptions!$F13),'Monthly Revenue'!W29)</f>
        <v>1260</v>
      </c>
      <c r="Y29" s="90">
        <f>IF(MOD(Y$3,12)=4,MAX(X29*(1+Assumptions!$F$14),Assumptions!$F13),'Monthly Revenue'!X29)</f>
        <v>1260</v>
      </c>
      <c r="Z29" s="90">
        <f>IF(MOD(Z$3,12)=4,MAX(Y29*(1+Assumptions!$F$14),Assumptions!$F13),'Monthly Revenue'!Y29)</f>
        <v>1260</v>
      </c>
      <c r="AA29" s="90">
        <f>IF(MOD(AA$3,12)=4,MAX(Z29*(1+Assumptions!$F$14),Assumptions!$F13),'Monthly Revenue'!Z29)</f>
        <v>1260</v>
      </c>
      <c r="AB29" s="90">
        <f>IF(MOD(AB$3,12)=4,MAX(AA29*(1+Assumptions!$F$14),Assumptions!$F13),'Monthly Revenue'!AA29)</f>
        <v>1260</v>
      </c>
      <c r="AC29" s="90">
        <f>IF(MOD(AC$3,12)=4,MAX(AB29*(1+Assumptions!$F$14),Assumptions!$F13),'Monthly Revenue'!AB29)</f>
        <v>1260</v>
      </c>
      <c r="AD29" s="90">
        <f>IF(MOD(AD$3,12)=4,MAX(AC29*(1+Assumptions!$F$14),Assumptions!$F13),'Monthly Revenue'!AC29)</f>
        <v>1260</v>
      </c>
      <c r="AE29" s="90">
        <f>IF(MOD(AE$3,12)=4,MAX(AD29*(1+Assumptions!$F$14),Assumptions!$F13),'Monthly Revenue'!AD29)</f>
        <v>1260</v>
      </c>
      <c r="AF29" s="90">
        <f>IF(MOD(AF$3,12)=4,MAX(AE29*(1+Assumptions!$F$14),Assumptions!$F13),'Monthly Revenue'!AE29)</f>
        <v>1323</v>
      </c>
      <c r="AG29" s="90">
        <f>IF(MOD(AG$3,12)=4,MAX(AF29*(1+Assumptions!$F$14),Assumptions!$F13),'Monthly Revenue'!AF29)</f>
        <v>1323</v>
      </c>
      <c r="AH29" s="90">
        <f>IF(MOD(AH$3,12)=4,MAX(AG29*(1+Assumptions!$F$14),Assumptions!$F13),'Monthly Revenue'!AG29)</f>
        <v>1323</v>
      </c>
      <c r="AI29" s="90">
        <f>IF(MOD(AI$3,12)=4,MAX(AH29*(1+Assumptions!$F$14),Assumptions!$F13),'Monthly Revenue'!AH29)</f>
        <v>1323</v>
      </c>
      <c r="AJ29" s="90">
        <f>IF(MOD(AJ$3,12)=4,MAX(AI29*(1+Assumptions!$F$14),Assumptions!$F13),'Monthly Revenue'!AI29)</f>
        <v>1323</v>
      </c>
      <c r="AK29" s="90">
        <f>IF(MOD(AK$3,12)=4,MAX(AJ29*(1+Assumptions!$F$14),Assumptions!$F13),'Monthly Revenue'!AJ29)</f>
        <v>1323</v>
      </c>
      <c r="AL29" s="90">
        <f>IF(MOD(AL$3,12)=4,MAX(AK29*(1+Assumptions!$F$14),Assumptions!$F13),'Monthly Revenue'!AK29)</f>
        <v>1323</v>
      </c>
      <c r="AM29" s="90">
        <f>IF(MOD(AM$3,12)=4,MAX(AL29*(1+Assumptions!$F$14),Assumptions!$F13),'Monthly Revenue'!AL29)</f>
        <v>1323</v>
      </c>
      <c r="AN29" s="90">
        <f>IF(MOD(AN$3,12)=4,MAX(AM29*(1+Assumptions!$F$14),Assumptions!$F13),'Monthly Revenue'!AM29)</f>
        <v>1323</v>
      </c>
    </row>
    <row r="30" spans="1:40" s="171" customFormat="1" x14ac:dyDescent="0.35">
      <c r="A30" s="164" t="s">
        <v>54</v>
      </c>
      <c r="B30" s="165"/>
      <c r="C30" s="165"/>
      <c r="D30" s="165"/>
      <c r="E30" s="167">
        <f>SUM(E27:E29)</f>
        <v>0</v>
      </c>
      <c r="F30" s="167">
        <f t="shared" ref="F30" si="46">SUM(F27:F29)</f>
        <v>0</v>
      </c>
      <c r="G30" s="167">
        <f t="shared" ref="G30" si="47">SUM(G27:G29)</f>
        <v>0</v>
      </c>
      <c r="H30" s="167">
        <f t="shared" ref="H30" si="48">SUM(H27:H29)</f>
        <v>2000</v>
      </c>
      <c r="I30" s="167">
        <f t="shared" ref="I30" si="49">SUM(I27:I29)</f>
        <v>2000</v>
      </c>
      <c r="J30" s="167">
        <f t="shared" ref="J30" si="50">SUM(J27:J29)</f>
        <v>2000</v>
      </c>
      <c r="K30" s="167">
        <f t="shared" ref="K30" si="51">SUM(K27:K29)</f>
        <v>2000</v>
      </c>
      <c r="L30" s="167">
        <f t="shared" ref="L30" si="52">SUM(L27:L29)</f>
        <v>2000</v>
      </c>
      <c r="M30" s="167">
        <f t="shared" ref="M30" si="53">SUM(M27:M29)</f>
        <v>2000</v>
      </c>
      <c r="N30" s="167">
        <f t="shared" ref="N30" si="54">SUM(N27:N29)</f>
        <v>2000</v>
      </c>
      <c r="O30" s="167">
        <f t="shared" ref="O30" si="55">SUM(O27:O29)</f>
        <v>2000</v>
      </c>
      <c r="P30" s="167">
        <f t="shared" ref="P30" si="56">SUM(P27:P29)</f>
        <v>2000</v>
      </c>
      <c r="Q30" s="167">
        <f t="shared" ref="Q30" si="57">SUM(Q27:Q29)</f>
        <v>2000</v>
      </c>
      <c r="R30" s="167">
        <f t="shared" ref="R30" si="58">SUM(R27:R29)</f>
        <v>2000</v>
      </c>
      <c r="S30" s="167">
        <f t="shared" ref="S30" si="59">SUM(S27:S29)</f>
        <v>2000</v>
      </c>
      <c r="T30" s="167">
        <f t="shared" ref="T30" si="60">SUM(T27:T29)</f>
        <v>2100</v>
      </c>
      <c r="U30" s="167">
        <f t="shared" ref="U30" si="61">SUM(U27:U29)</f>
        <v>2100</v>
      </c>
      <c r="V30" s="167">
        <f t="shared" ref="V30" si="62">SUM(V27:V29)</f>
        <v>2100</v>
      </c>
      <c r="W30" s="167">
        <f t="shared" ref="W30" si="63">SUM(W27:W29)</f>
        <v>2100</v>
      </c>
      <c r="X30" s="167">
        <f t="shared" ref="X30" si="64">SUM(X27:X29)</f>
        <v>2100</v>
      </c>
      <c r="Y30" s="167">
        <f t="shared" ref="Y30" si="65">SUM(Y27:Y29)</f>
        <v>2100</v>
      </c>
      <c r="Z30" s="167">
        <f t="shared" ref="Z30" si="66">SUM(Z27:Z29)</f>
        <v>2100</v>
      </c>
      <c r="AA30" s="167">
        <f t="shared" ref="AA30" si="67">SUM(AA27:AA29)</f>
        <v>2100</v>
      </c>
      <c r="AB30" s="167">
        <f t="shared" ref="AB30" si="68">SUM(AB27:AB29)</f>
        <v>2100</v>
      </c>
      <c r="AC30" s="167">
        <f t="shared" ref="AC30" si="69">SUM(AC27:AC29)</f>
        <v>2100</v>
      </c>
      <c r="AD30" s="167">
        <f t="shared" ref="AD30" si="70">SUM(AD27:AD29)</f>
        <v>2100</v>
      </c>
      <c r="AE30" s="167">
        <f t="shared" ref="AE30" si="71">SUM(AE27:AE29)</f>
        <v>2100</v>
      </c>
      <c r="AF30" s="167">
        <f t="shared" ref="AF30" si="72">SUM(AF27:AF29)</f>
        <v>2205</v>
      </c>
      <c r="AG30" s="167">
        <f t="shared" ref="AG30" si="73">SUM(AG27:AG29)</f>
        <v>2205</v>
      </c>
      <c r="AH30" s="167">
        <f t="shared" ref="AH30" si="74">SUM(AH27:AH29)</f>
        <v>2205</v>
      </c>
      <c r="AI30" s="167">
        <f t="shared" ref="AI30" si="75">SUM(AI27:AI29)</f>
        <v>2205</v>
      </c>
      <c r="AJ30" s="167">
        <f t="shared" ref="AJ30" si="76">SUM(AJ27:AJ29)</f>
        <v>2205</v>
      </c>
      <c r="AK30" s="167">
        <f t="shared" ref="AK30" si="77">SUM(AK27:AK29)</f>
        <v>2205</v>
      </c>
      <c r="AL30" s="167">
        <f t="shared" ref="AL30" si="78">SUM(AL27:AL29)</f>
        <v>2205</v>
      </c>
      <c r="AM30" s="167">
        <f t="shared" ref="AM30" si="79">SUM(AM27:AM29)</f>
        <v>2205</v>
      </c>
      <c r="AN30" s="167">
        <f t="shared" ref="AN30" si="80">SUM(AN27:AN29)</f>
        <v>2205</v>
      </c>
    </row>
    <row r="31" spans="1:40" x14ac:dyDescent="0.35">
      <c r="A31" s="93"/>
    </row>
    <row r="32" spans="1:40" x14ac:dyDescent="0.35">
      <c r="A32" s="91" t="s">
        <v>112</v>
      </c>
    </row>
    <row r="33" spans="1:40 16312:16312" x14ac:dyDescent="0.35">
      <c r="A33" s="92" t="s">
        <v>4</v>
      </c>
    </row>
    <row r="34" spans="1:40 16312:16312" x14ac:dyDescent="0.35">
      <c r="A34" s="76" t="s">
        <v>6</v>
      </c>
      <c r="E34" s="90">
        <f>IF(MOD(E$3,12)=4,MAX(D34*(1+Assumptions!$C$14),Assumptions!$C11),'Monthly Revenue'!D34)</f>
        <v>0</v>
      </c>
      <c r="F34" s="90">
        <f>IF(MOD(F$3,12)=4,MAX(E34*(1+Assumptions!$C$14),Assumptions!$C11),'Monthly Revenue'!E34)</f>
        <v>0</v>
      </c>
      <c r="G34" s="90">
        <f>IF(MOD(G$3,12)=4,MAX(F34*(1+Assumptions!$C$14),Assumptions!$C11),'Monthly Revenue'!F34)</f>
        <v>0</v>
      </c>
      <c r="H34" s="90">
        <f>IF(MOD(H$3,12)=4,MAX(G34*(1+Assumptions!$C$14),Assumptions!$C11),'Monthly Revenue'!G34)</f>
        <v>500</v>
      </c>
      <c r="I34" s="90">
        <f>IF(MOD(I$3,12)=4,MAX(H34*(1+Assumptions!$C$14),Assumptions!$C11),'Monthly Revenue'!H34)</f>
        <v>500</v>
      </c>
      <c r="J34" s="90">
        <f>IF(MOD(J$3,12)=4,MAX(I34*(1+Assumptions!$C$14),Assumptions!$C11),'Monthly Revenue'!I34)</f>
        <v>500</v>
      </c>
      <c r="K34" s="90">
        <f>IF(MOD(K$3,12)=4,MAX(J34*(1+Assumptions!$C$14),Assumptions!$C11),'Monthly Revenue'!J34)</f>
        <v>500</v>
      </c>
      <c r="L34" s="90">
        <f>IF(MOD(L$3,12)=4,MAX(K34*(1+Assumptions!$C$14),Assumptions!$C11),'Monthly Revenue'!K34)</f>
        <v>500</v>
      </c>
      <c r="M34" s="90">
        <f>IF(MOD(M$3,12)=4,MAX(L34*(1+Assumptions!$C$14),Assumptions!$C11),'Monthly Revenue'!L34)</f>
        <v>500</v>
      </c>
      <c r="N34" s="90">
        <f>IF(MOD(N$3,12)=4,MAX(M34*(1+Assumptions!$C$14),Assumptions!$C11),'Monthly Revenue'!M34)</f>
        <v>500</v>
      </c>
      <c r="O34" s="90">
        <f>IF(MOD(O$3,12)=4,MAX(N34*(1+Assumptions!$C$14),Assumptions!$C11),'Monthly Revenue'!N34)</f>
        <v>500</v>
      </c>
      <c r="P34" s="90">
        <f>IF(MOD(P$3,12)=4,MAX(O34*(1+Assumptions!$C$14),Assumptions!$C11),'Monthly Revenue'!O34)</f>
        <v>500</v>
      </c>
      <c r="Q34" s="90">
        <f>IF(MOD(Q$3,12)=4,MAX(P34*(1+Assumptions!$C$14),Assumptions!$C11),'Monthly Revenue'!P34)</f>
        <v>500</v>
      </c>
      <c r="R34" s="90">
        <f>IF(MOD(R$3,12)=4,MAX(Q34*(1+Assumptions!$C$14),Assumptions!$C11),'Monthly Revenue'!Q34)</f>
        <v>500</v>
      </c>
      <c r="S34" s="90">
        <f>IF(MOD(S$3,12)=4,MAX(R34*(1+Assumptions!$C$14),Assumptions!$C11),'Monthly Revenue'!R34)</f>
        <v>500</v>
      </c>
      <c r="T34" s="90">
        <f>IF(MOD(T$3,12)=4,MAX(S34*(1+Assumptions!$C$14),Assumptions!$C11),'Monthly Revenue'!S34)</f>
        <v>525</v>
      </c>
      <c r="U34" s="90">
        <f>IF(MOD(U$3,12)=4,MAX(T34*(1+Assumptions!$C$14),Assumptions!$C11),'Monthly Revenue'!T34)</f>
        <v>525</v>
      </c>
      <c r="V34" s="90">
        <f>IF(MOD(V$3,12)=4,MAX(U34*(1+Assumptions!$C$14),Assumptions!$C11),'Monthly Revenue'!U34)</f>
        <v>525</v>
      </c>
      <c r="W34" s="90">
        <f>IF(MOD(W$3,12)=4,MAX(V34*(1+Assumptions!$C$14),Assumptions!$C11),'Monthly Revenue'!V34)</f>
        <v>525</v>
      </c>
      <c r="X34" s="90">
        <f>IF(MOD(X$3,12)=4,MAX(W34*(1+Assumptions!$C$14),Assumptions!$C11),'Monthly Revenue'!W34)</f>
        <v>525</v>
      </c>
      <c r="Y34" s="90">
        <f>IF(MOD(Y$3,12)=4,MAX(X34*(1+Assumptions!$C$14),Assumptions!$C11),'Monthly Revenue'!X34)</f>
        <v>525</v>
      </c>
      <c r="Z34" s="90">
        <f>IF(MOD(Z$3,12)=4,MAX(Y34*(1+Assumptions!$C$14),Assumptions!$C11),'Monthly Revenue'!Y34)</f>
        <v>525</v>
      </c>
      <c r="AA34" s="90">
        <f>IF(MOD(AA$3,12)=4,MAX(Z34*(1+Assumptions!$C$14),Assumptions!$C11),'Monthly Revenue'!Z34)</f>
        <v>525</v>
      </c>
      <c r="AB34" s="90">
        <f>IF(MOD(AB$3,12)=4,MAX(AA34*(1+Assumptions!$C$14),Assumptions!$C11),'Monthly Revenue'!AA34)</f>
        <v>525</v>
      </c>
      <c r="AC34" s="90">
        <f>IF(MOD(AC$3,12)=4,MAX(AB34*(1+Assumptions!$C$14),Assumptions!$C11),'Monthly Revenue'!AB34)</f>
        <v>525</v>
      </c>
      <c r="AD34" s="90">
        <f>IF(MOD(AD$3,12)=4,MAX(AC34*(1+Assumptions!$C$14),Assumptions!$C11),'Monthly Revenue'!AC34)</f>
        <v>525</v>
      </c>
      <c r="AE34" s="90">
        <f>IF(MOD(AE$3,12)=4,MAX(AD34*(1+Assumptions!$C$14),Assumptions!$C11),'Monthly Revenue'!AD34)</f>
        <v>525</v>
      </c>
      <c r="AF34" s="90">
        <f>IF(MOD(AF$3,12)=4,MAX(AE34*(1+Assumptions!$C$14),Assumptions!$C11),'Monthly Revenue'!AE34)</f>
        <v>551.25</v>
      </c>
      <c r="AG34" s="90">
        <f>IF(MOD(AG$3,12)=4,MAX(AF34*(1+Assumptions!$C$14),Assumptions!$C11),'Monthly Revenue'!AF34)</f>
        <v>551.25</v>
      </c>
      <c r="AH34" s="90">
        <f>IF(MOD(AH$3,12)=4,MAX(AG34*(1+Assumptions!$C$14),Assumptions!$C11),'Monthly Revenue'!AG34)</f>
        <v>551.25</v>
      </c>
      <c r="AI34" s="90">
        <f>IF(MOD(AI$3,12)=4,MAX(AH34*(1+Assumptions!$C$14),Assumptions!$C11),'Monthly Revenue'!AH34)</f>
        <v>551.25</v>
      </c>
      <c r="AJ34" s="90">
        <f>IF(MOD(AJ$3,12)=4,MAX(AI34*(1+Assumptions!$C$14),Assumptions!$C11),'Monthly Revenue'!AI34)</f>
        <v>551.25</v>
      </c>
      <c r="AK34" s="90">
        <f>IF(MOD(AK$3,12)=4,MAX(AJ34*(1+Assumptions!$C$14),Assumptions!$C11),'Monthly Revenue'!AJ34)</f>
        <v>551.25</v>
      </c>
      <c r="AL34" s="90">
        <f>IF(MOD(AL$3,12)=4,MAX(AK34*(1+Assumptions!$C$14),Assumptions!$C11),'Monthly Revenue'!AK34)</f>
        <v>551.25</v>
      </c>
      <c r="AM34" s="90">
        <f>IF(MOD(AM$3,12)=4,MAX(AL34*(1+Assumptions!$C$14),Assumptions!$C11),'Monthly Revenue'!AL34)</f>
        <v>551.25</v>
      </c>
      <c r="AN34" s="90">
        <f>IF(MOD(AN$3,12)=4,MAX(AM34*(1+Assumptions!$C$14),Assumptions!$C11),'Monthly Revenue'!AM34)</f>
        <v>551.25</v>
      </c>
    </row>
    <row r="35" spans="1:40 16312:16312" x14ac:dyDescent="0.35">
      <c r="A35" s="76" t="s">
        <v>7</v>
      </c>
      <c r="E35" s="90">
        <f>IF(MOD(E$3,12)=4,MAX(D35*(1+Assumptions!$C$14),Assumptions!$C12),'Monthly Revenue'!D35)</f>
        <v>0</v>
      </c>
      <c r="F35" s="90">
        <f>IF(MOD(F$3,12)=4,MAX(E35*(1+Assumptions!$C$14),Assumptions!$C12),'Monthly Revenue'!E35)</f>
        <v>0</v>
      </c>
      <c r="G35" s="90">
        <f>IF(MOD(G$3,12)=4,MAX(F35*(1+Assumptions!$C$14),Assumptions!$C12),'Monthly Revenue'!F35)</f>
        <v>0</v>
      </c>
      <c r="H35" s="90">
        <f>IF(MOD(H$3,12)=4,MAX(G35*(1+Assumptions!$C$14),Assumptions!$C12),'Monthly Revenue'!G35)</f>
        <v>400</v>
      </c>
      <c r="I35" s="90">
        <f>IF(MOD(I$3,12)=4,MAX(H35*(1+Assumptions!$C$14),Assumptions!$C12),'Monthly Revenue'!H35)</f>
        <v>400</v>
      </c>
      <c r="J35" s="90">
        <f>IF(MOD(J$3,12)=4,MAX(I35*(1+Assumptions!$C$14),Assumptions!$C12),'Monthly Revenue'!I35)</f>
        <v>400</v>
      </c>
      <c r="K35" s="90">
        <f>IF(MOD(K$3,12)=4,MAX(J35*(1+Assumptions!$C$14),Assumptions!$C12),'Monthly Revenue'!J35)</f>
        <v>400</v>
      </c>
      <c r="L35" s="90">
        <f>IF(MOD(L$3,12)=4,MAX(K35*(1+Assumptions!$C$14),Assumptions!$C12),'Monthly Revenue'!K35)</f>
        <v>400</v>
      </c>
      <c r="M35" s="90">
        <f>IF(MOD(M$3,12)=4,MAX(L35*(1+Assumptions!$C$14),Assumptions!$C12),'Monthly Revenue'!L35)</f>
        <v>400</v>
      </c>
      <c r="N35" s="90">
        <f>IF(MOD(N$3,12)=4,MAX(M35*(1+Assumptions!$C$14),Assumptions!$C12),'Monthly Revenue'!M35)</f>
        <v>400</v>
      </c>
      <c r="O35" s="90">
        <f>IF(MOD(O$3,12)=4,MAX(N35*(1+Assumptions!$C$14),Assumptions!$C12),'Monthly Revenue'!N35)</f>
        <v>400</v>
      </c>
      <c r="P35" s="90">
        <f>IF(MOD(P$3,12)=4,MAX(O35*(1+Assumptions!$C$14),Assumptions!$C12),'Monthly Revenue'!O35)</f>
        <v>400</v>
      </c>
      <c r="Q35" s="90">
        <f>IF(MOD(Q$3,12)=4,MAX(P35*(1+Assumptions!$C$14),Assumptions!$C12),'Monthly Revenue'!P35)</f>
        <v>400</v>
      </c>
      <c r="R35" s="90">
        <f>IF(MOD(R$3,12)=4,MAX(Q35*(1+Assumptions!$C$14),Assumptions!$C12),'Monthly Revenue'!Q35)</f>
        <v>400</v>
      </c>
      <c r="S35" s="90">
        <f>IF(MOD(S$3,12)=4,MAX(R35*(1+Assumptions!$C$14),Assumptions!$C12),'Monthly Revenue'!R35)</f>
        <v>400</v>
      </c>
      <c r="T35" s="90">
        <f>IF(MOD(T$3,12)=4,MAX(S35*(1+Assumptions!$C$14),Assumptions!$C12),'Monthly Revenue'!S35)</f>
        <v>420</v>
      </c>
      <c r="U35" s="90">
        <f>IF(MOD(U$3,12)=4,MAX(T35*(1+Assumptions!$C$14),Assumptions!$C12),'Monthly Revenue'!T35)</f>
        <v>420</v>
      </c>
      <c r="V35" s="90">
        <f>IF(MOD(V$3,12)=4,MAX(U35*(1+Assumptions!$C$14),Assumptions!$C12),'Monthly Revenue'!U35)</f>
        <v>420</v>
      </c>
      <c r="W35" s="90">
        <f>IF(MOD(W$3,12)=4,MAX(V35*(1+Assumptions!$C$14),Assumptions!$C12),'Monthly Revenue'!V35)</f>
        <v>420</v>
      </c>
      <c r="X35" s="90">
        <f>IF(MOD(X$3,12)=4,MAX(W35*(1+Assumptions!$C$14),Assumptions!$C12),'Monthly Revenue'!W35)</f>
        <v>420</v>
      </c>
      <c r="Y35" s="90">
        <f>IF(MOD(Y$3,12)=4,MAX(X35*(1+Assumptions!$C$14),Assumptions!$C12),'Monthly Revenue'!X35)</f>
        <v>420</v>
      </c>
      <c r="Z35" s="90">
        <f>IF(MOD(Z$3,12)=4,MAX(Y35*(1+Assumptions!$C$14),Assumptions!$C12),'Monthly Revenue'!Y35)</f>
        <v>420</v>
      </c>
      <c r="AA35" s="90">
        <f>IF(MOD(AA$3,12)=4,MAX(Z35*(1+Assumptions!$C$14),Assumptions!$C12),'Monthly Revenue'!Z35)</f>
        <v>420</v>
      </c>
      <c r="AB35" s="90">
        <f>IF(MOD(AB$3,12)=4,MAX(AA35*(1+Assumptions!$C$14),Assumptions!$C12),'Monthly Revenue'!AA35)</f>
        <v>420</v>
      </c>
      <c r="AC35" s="90">
        <f>IF(MOD(AC$3,12)=4,MAX(AB35*(1+Assumptions!$C$14),Assumptions!$C12),'Monthly Revenue'!AB35)</f>
        <v>420</v>
      </c>
      <c r="AD35" s="90">
        <f>IF(MOD(AD$3,12)=4,MAX(AC35*(1+Assumptions!$C$14),Assumptions!$C12),'Monthly Revenue'!AC35)</f>
        <v>420</v>
      </c>
      <c r="AE35" s="90">
        <f>IF(MOD(AE$3,12)=4,MAX(AD35*(1+Assumptions!$C$14),Assumptions!$C12),'Monthly Revenue'!AD35)</f>
        <v>420</v>
      </c>
      <c r="AF35" s="90">
        <f>IF(MOD(AF$3,12)=4,MAX(AE35*(1+Assumptions!$C$14),Assumptions!$C12),'Monthly Revenue'!AE35)</f>
        <v>441</v>
      </c>
      <c r="AG35" s="90">
        <f>IF(MOD(AG$3,12)=4,MAX(AF35*(1+Assumptions!$C$14),Assumptions!$C12),'Monthly Revenue'!AF35)</f>
        <v>441</v>
      </c>
      <c r="AH35" s="90">
        <f>IF(MOD(AH$3,12)=4,MAX(AG35*(1+Assumptions!$C$14),Assumptions!$C12),'Monthly Revenue'!AG35)</f>
        <v>441</v>
      </c>
      <c r="AI35" s="90">
        <f>IF(MOD(AI$3,12)=4,MAX(AH35*(1+Assumptions!$C$14),Assumptions!$C12),'Monthly Revenue'!AH35)</f>
        <v>441</v>
      </c>
      <c r="AJ35" s="90">
        <f>IF(MOD(AJ$3,12)=4,MAX(AI35*(1+Assumptions!$C$14),Assumptions!$C12),'Monthly Revenue'!AI35)</f>
        <v>441</v>
      </c>
      <c r="AK35" s="90">
        <f>IF(MOD(AK$3,12)=4,MAX(AJ35*(1+Assumptions!$C$14),Assumptions!$C12),'Monthly Revenue'!AJ35)</f>
        <v>441</v>
      </c>
      <c r="AL35" s="90">
        <f>IF(MOD(AL$3,12)=4,MAX(AK35*(1+Assumptions!$C$14),Assumptions!$C12),'Monthly Revenue'!AK35)</f>
        <v>441</v>
      </c>
      <c r="AM35" s="90">
        <f>IF(MOD(AM$3,12)=4,MAX(AL35*(1+Assumptions!$C$14),Assumptions!$C12),'Monthly Revenue'!AL35)</f>
        <v>441</v>
      </c>
      <c r="AN35" s="90">
        <f>IF(MOD(AN$3,12)=4,MAX(AM35*(1+Assumptions!$C$14),Assumptions!$C12),'Monthly Revenue'!AM35)</f>
        <v>441</v>
      </c>
    </row>
    <row r="36" spans="1:40 16312:16312" x14ac:dyDescent="0.35">
      <c r="A36" s="76" t="s">
        <v>8</v>
      </c>
      <c r="E36" s="90">
        <f>IF(MOD(E$3,12)=4,MAX(D36*(1+Assumptions!$C$14),Assumptions!$C13),'Monthly Revenue'!D36)</f>
        <v>0</v>
      </c>
      <c r="F36" s="90">
        <f>IF(MOD(F$3,12)=4,MAX(E36*(1+Assumptions!$C$14),Assumptions!$C13),'Monthly Revenue'!E36)</f>
        <v>0</v>
      </c>
      <c r="G36" s="90">
        <f>IF(MOD(G$3,12)=4,MAX(F36*(1+Assumptions!$C$14),Assumptions!$C13),'Monthly Revenue'!F36)</f>
        <v>0</v>
      </c>
      <c r="H36" s="90">
        <f>IF(MOD(H$3,12)=4,MAX(G36*(1+Assumptions!$C$14),Assumptions!$C13),'Monthly Revenue'!G36)</f>
        <v>1200</v>
      </c>
      <c r="I36" s="90">
        <f>IF(MOD(I$3,12)=4,MAX(H36*(1+Assumptions!$C$14),Assumptions!$C13),'Monthly Revenue'!H36)</f>
        <v>1200</v>
      </c>
      <c r="J36" s="90">
        <f>IF(MOD(J$3,12)=4,MAX(I36*(1+Assumptions!$C$14),Assumptions!$C13),'Monthly Revenue'!I36)</f>
        <v>1200</v>
      </c>
      <c r="K36" s="90">
        <f>IF(MOD(K$3,12)=4,MAX(J36*(1+Assumptions!$C$14),Assumptions!$C13),'Monthly Revenue'!J36)</f>
        <v>1200</v>
      </c>
      <c r="L36" s="90">
        <f>IF(MOD(L$3,12)=4,MAX(K36*(1+Assumptions!$C$14),Assumptions!$C13),'Monthly Revenue'!K36)</f>
        <v>1200</v>
      </c>
      <c r="M36" s="90">
        <f>IF(MOD(M$3,12)=4,MAX(L36*(1+Assumptions!$C$14),Assumptions!$C13),'Monthly Revenue'!L36)</f>
        <v>1200</v>
      </c>
      <c r="N36" s="90">
        <f>IF(MOD(N$3,12)=4,MAX(M36*(1+Assumptions!$C$14),Assumptions!$C13),'Monthly Revenue'!M36)</f>
        <v>1200</v>
      </c>
      <c r="O36" s="90">
        <f>IF(MOD(O$3,12)=4,MAX(N36*(1+Assumptions!$C$14),Assumptions!$C13),'Monthly Revenue'!N36)</f>
        <v>1200</v>
      </c>
      <c r="P36" s="90">
        <f>IF(MOD(P$3,12)=4,MAX(O36*(1+Assumptions!$C$14),Assumptions!$C13),'Monthly Revenue'!O36)</f>
        <v>1200</v>
      </c>
      <c r="Q36" s="90">
        <f>IF(MOD(Q$3,12)=4,MAX(P36*(1+Assumptions!$C$14),Assumptions!$C13),'Monthly Revenue'!P36)</f>
        <v>1200</v>
      </c>
      <c r="R36" s="90">
        <f>IF(MOD(R$3,12)=4,MAX(Q36*(1+Assumptions!$C$14),Assumptions!$C13),'Monthly Revenue'!Q36)</f>
        <v>1200</v>
      </c>
      <c r="S36" s="90">
        <f>IF(MOD(S$3,12)=4,MAX(R36*(1+Assumptions!$C$14),Assumptions!$C13),'Monthly Revenue'!R36)</f>
        <v>1200</v>
      </c>
      <c r="T36" s="90">
        <f>IF(MOD(T$3,12)=4,MAX(S36*(1+Assumptions!$C$14),Assumptions!$C13),'Monthly Revenue'!S36)</f>
        <v>1260</v>
      </c>
      <c r="U36" s="90">
        <f>IF(MOD(U$3,12)=4,MAX(T36*(1+Assumptions!$C$14),Assumptions!$C13),'Monthly Revenue'!T36)</f>
        <v>1260</v>
      </c>
      <c r="V36" s="90">
        <f>IF(MOD(V$3,12)=4,MAX(U36*(1+Assumptions!$C$14),Assumptions!$C13),'Monthly Revenue'!U36)</f>
        <v>1260</v>
      </c>
      <c r="W36" s="90">
        <f>IF(MOD(W$3,12)=4,MAX(V36*(1+Assumptions!$C$14),Assumptions!$C13),'Monthly Revenue'!V36)</f>
        <v>1260</v>
      </c>
      <c r="X36" s="90">
        <f>IF(MOD(X$3,12)=4,MAX(W36*(1+Assumptions!$C$14),Assumptions!$C13),'Monthly Revenue'!W36)</f>
        <v>1260</v>
      </c>
      <c r="Y36" s="90">
        <f>IF(MOD(Y$3,12)=4,MAX(X36*(1+Assumptions!$C$14),Assumptions!$C13),'Monthly Revenue'!X36)</f>
        <v>1260</v>
      </c>
      <c r="Z36" s="90">
        <f>IF(MOD(Z$3,12)=4,MAX(Y36*(1+Assumptions!$C$14),Assumptions!$C13),'Monthly Revenue'!Y36)</f>
        <v>1260</v>
      </c>
      <c r="AA36" s="90">
        <f>IF(MOD(AA$3,12)=4,MAX(Z36*(1+Assumptions!$C$14),Assumptions!$C13),'Monthly Revenue'!Z36)</f>
        <v>1260</v>
      </c>
      <c r="AB36" s="90">
        <f>IF(MOD(AB$3,12)=4,MAX(AA36*(1+Assumptions!$C$14),Assumptions!$C13),'Monthly Revenue'!AA36)</f>
        <v>1260</v>
      </c>
      <c r="AC36" s="90">
        <f>IF(MOD(AC$3,12)=4,MAX(AB36*(1+Assumptions!$C$14),Assumptions!$C13),'Monthly Revenue'!AB36)</f>
        <v>1260</v>
      </c>
      <c r="AD36" s="90">
        <f>IF(MOD(AD$3,12)=4,MAX(AC36*(1+Assumptions!$C$14),Assumptions!$C13),'Monthly Revenue'!AC36)</f>
        <v>1260</v>
      </c>
      <c r="AE36" s="90">
        <f>IF(MOD(AE$3,12)=4,MAX(AD36*(1+Assumptions!$C$14),Assumptions!$C13),'Monthly Revenue'!AD36)</f>
        <v>1260</v>
      </c>
      <c r="AF36" s="90">
        <f>IF(MOD(AF$3,12)=4,MAX(AE36*(1+Assumptions!$C$14),Assumptions!$C13),'Monthly Revenue'!AE36)</f>
        <v>1323</v>
      </c>
      <c r="AG36" s="90">
        <f>IF(MOD(AG$3,12)=4,MAX(AF36*(1+Assumptions!$C$14),Assumptions!$C13),'Monthly Revenue'!AF36)</f>
        <v>1323</v>
      </c>
      <c r="AH36" s="90">
        <f>IF(MOD(AH$3,12)=4,MAX(AG36*(1+Assumptions!$C$14),Assumptions!$C13),'Monthly Revenue'!AG36)</f>
        <v>1323</v>
      </c>
      <c r="AI36" s="90">
        <f>IF(MOD(AI$3,12)=4,MAX(AH36*(1+Assumptions!$C$14),Assumptions!$C13),'Monthly Revenue'!AH36)</f>
        <v>1323</v>
      </c>
      <c r="AJ36" s="90">
        <f>IF(MOD(AJ$3,12)=4,MAX(AI36*(1+Assumptions!$C$14),Assumptions!$C13),'Monthly Revenue'!AI36)</f>
        <v>1323</v>
      </c>
      <c r="AK36" s="90">
        <f>IF(MOD(AK$3,12)=4,MAX(AJ36*(1+Assumptions!$C$14),Assumptions!$C13),'Monthly Revenue'!AJ36)</f>
        <v>1323</v>
      </c>
      <c r="AL36" s="90">
        <f>IF(MOD(AL$3,12)=4,MAX(AK36*(1+Assumptions!$C$14),Assumptions!$C13),'Monthly Revenue'!AK36)</f>
        <v>1323</v>
      </c>
      <c r="AM36" s="90">
        <f>IF(MOD(AM$3,12)=4,MAX(AL36*(1+Assumptions!$C$14),Assumptions!$C13),'Monthly Revenue'!AL36)</f>
        <v>1323</v>
      </c>
      <c r="AN36" s="90">
        <f>IF(MOD(AN$3,12)=4,MAX(AM36*(1+Assumptions!$C$14),Assumptions!$C13),'Monthly Revenue'!AM36)</f>
        <v>1323</v>
      </c>
    </row>
    <row r="37" spans="1:40 16312:16312" s="171" customFormat="1" x14ac:dyDescent="0.35">
      <c r="A37" s="164" t="s">
        <v>54</v>
      </c>
      <c r="B37" s="165"/>
      <c r="C37" s="165"/>
      <c r="D37" s="165"/>
      <c r="E37" s="167">
        <f>SUM(E34:E36)</f>
        <v>0</v>
      </c>
      <c r="F37" s="167">
        <f t="shared" ref="F37" si="81">SUM(F34:F36)</f>
        <v>0</v>
      </c>
      <c r="G37" s="167">
        <f t="shared" ref="G37" si="82">SUM(G34:G36)</f>
        <v>0</v>
      </c>
      <c r="H37" s="167">
        <f t="shared" ref="H37" si="83">SUM(H34:H36)</f>
        <v>2100</v>
      </c>
      <c r="I37" s="167">
        <f t="shared" ref="I37" si="84">SUM(I34:I36)</f>
        <v>2100</v>
      </c>
      <c r="J37" s="167">
        <f t="shared" ref="J37" si="85">SUM(J34:J36)</f>
        <v>2100</v>
      </c>
      <c r="K37" s="167">
        <f t="shared" ref="K37" si="86">SUM(K34:K36)</f>
        <v>2100</v>
      </c>
      <c r="L37" s="167">
        <f t="shared" ref="L37" si="87">SUM(L34:L36)</f>
        <v>2100</v>
      </c>
      <c r="M37" s="167">
        <f t="shared" ref="M37" si="88">SUM(M34:M36)</f>
        <v>2100</v>
      </c>
      <c r="N37" s="167">
        <f t="shared" ref="N37" si="89">SUM(N34:N36)</f>
        <v>2100</v>
      </c>
      <c r="O37" s="167">
        <f t="shared" ref="O37" si="90">SUM(O34:O36)</f>
        <v>2100</v>
      </c>
      <c r="P37" s="167">
        <f t="shared" ref="P37" si="91">SUM(P34:P36)</f>
        <v>2100</v>
      </c>
      <c r="Q37" s="167">
        <f t="shared" ref="Q37" si="92">SUM(Q34:Q36)</f>
        <v>2100</v>
      </c>
      <c r="R37" s="167">
        <f t="shared" ref="R37" si="93">SUM(R34:R36)</f>
        <v>2100</v>
      </c>
      <c r="S37" s="167">
        <f t="shared" ref="S37" si="94">SUM(S34:S36)</f>
        <v>2100</v>
      </c>
      <c r="T37" s="167">
        <f t="shared" ref="T37" si="95">SUM(T34:T36)</f>
        <v>2205</v>
      </c>
      <c r="U37" s="167">
        <f t="shared" ref="U37" si="96">SUM(U34:U36)</f>
        <v>2205</v>
      </c>
      <c r="V37" s="167">
        <f t="shared" ref="V37" si="97">SUM(V34:V36)</f>
        <v>2205</v>
      </c>
      <c r="W37" s="167">
        <f t="shared" ref="W37" si="98">SUM(W34:W36)</f>
        <v>2205</v>
      </c>
      <c r="X37" s="167">
        <f t="shared" ref="X37" si="99">SUM(X34:X36)</f>
        <v>2205</v>
      </c>
      <c r="Y37" s="167">
        <f t="shared" ref="Y37" si="100">SUM(Y34:Y36)</f>
        <v>2205</v>
      </c>
      <c r="Z37" s="167">
        <f t="shared" ref="Z37" si="101">SUM(Z34:Z36)</f>
        <v>2205</v>
      </c>
      <c r="AA37" s="167">
        <f t="shared" ref="AA37" si="102">SUM(AA34:AA36)</f>
        <v>2205</v>
      </c>
      <c r="AB37" s="167">
        <f t="shared" ref="AB37" si="103">SUM(AB34:AB36)</f>
        <v>2205</v>
      </c>
      <c r="AC37" s="167">
        <f t="shared" ref="AC37" si="104">SUM(AC34:AC36)</f>
        <v>2205</v>
      </c>
      <c r="AD37" s="167">
        <f t="shared" ref="AD37" si="105">SUM(AD34:AD36)</f>
        <v>2205</v>
      </c>
      <c r="AE37" s="167">
        <f t="shared" ref="AE37" si="106">SUM(AE34:AE36)</f>
        <v>2205</v>
      </c>
      <c r="AF37" s="167">
        <f t="shared" ref="AF37" si="107">SUM(AF34:AF36)</f>
        <v>2315.25</v>
      </c>
      <c r="AG37" s="167">
        <f t="shared" ref="AG37" si="108">SUM(AG34:AG36)</f>
        <v>2315.25</v>
      </c>
      <c r="AH37" s="167">
        <f t="shared" ref="AH37" si="109">SUM(AH34:AH36)</f>
        <v>2315.25</v>
      </c>
      <c r="AI37" s="167">
        <f t="shared" ref="AI37" si="110">SUM(AI34:AI36)</f>
        <v>2315.25</v>
      </c>
      <c r="AJ37" s="167">
        <f t="shared" ref="AJ37" si="111">SUM(AJ34:AJ36)</f>
        <v>2315.25</v>
      </c>
      <c r="AK37" s="167">
        <f t="shared" ref="AK37" si="112">SUM(AK34:AK36)</f>
        <v>2315.25</v>
      </c>
      <c r="AL37" s="167">
        <f t="shared" ref="AL37" si="113">SUM(AL34:AL36)</f>
        <v>2315.25</v>
      </c>
      <c r="AM37" s="167">
        <f t="shared" ref="AM37" si="114">SUM(AM34:AM36)</f>
        <v>2315.25</v>
      </c>
      <c r="AN37" s="167">
        <f t="shared" ref="AN37" si="115">SUM(AN34:AN36)</f>
        <v>2315.25</v>
      </c>
    </row>
    <row r="38" spans="1:40 16312:16312" x14ac:dyDescent="0.35">
      <c r="A38" s="93"/>
    </row>
    <row r="39" spans="1:40 16312:16312" x14ac:dyDescent="0.35">
      <c r="A39" s="94" t="s">
        <v>16</v>
      </c>
    </row>
    <row r="40" spans="1:40 16312:16312" x14ac:dyDescent="0.35">
      <c r="A40" s="76" t="s">
        <v>6</v>
      </c>
      <c r="E40" s="90">
        <f>IF(MOD(E$3,12)=4,MAX(D40*(1+Assumptions!$G$14),Assumptions!$G11),'Monthly Revenue'!D40)</f>
        <v>0</v>
      </c>
      <c r="F40" s="90">
        <f>IF(MOD(F$3,12)=4,MAX(E40*(1+Assumptions!$G$14),Assumptions!$G11),'Monthly Revenue'!E40)</f>
        <v>0</v>
      </c>
      <c r="G40" s="90">
        <f>IF(MOD(G$3,12)=4,MAX(F40*(1+Assumptions!$G$14),Assumptions!$G11),'Monthly Revenue'!F40)</f>
        <v>0</v>
      </c>
      <c r="H40" s="90">
        <f>IF(MOD(H$3,12)=4,MAX(G40*(1+Assumptions!$G$14),Assumptions!$G11),'Monthly Revenue'!G40)</f>
        <v>650</v>
      </c>
      <c r="I40" s="90">
        <f>IF(MOD(I$3,12)=4,MAX(H40*(1+Assumptions!$G$14),Assumptions!$G11),'Monthly Revenue'!H40)</f>
        <v>650</v>
      </c>
      <c r="J40" s="90">
        <f>IF(MOD(J$3,12)=4,MAX(I40*(1+Assumptions!$G$14),Assumptions!$G11),'Monthly Revenue'!I40)</f>
        <v>650</v>
      </c>
      <c r="K40" s="90">
        <f>IF(MOD(K$3,12)=4,MAX(J40*(1+Assumptions!$G$14),Assumptions!$G11),'Monthly Revenue'!J40)</f>
        <v>650</v>
      </c>
      <c r="L40" s="90">
        <f>IF(MOD(L$3,12)=4,MAX(K40*(1+Assumptions!$G$14),Assumptions!$G11),'Monthly Revenue'!K40)</f>
        <v>650</v>
      </c>
      <c r="M40" s="90">
        <f>IF(MOD(M$3,12)=4,MAX(L40*(1+Assumptions!$G$14),Assumptions!$G11),'Monthly Revenue'!L40)</f>
        <v>650</v>
      </c>
      <c r="N40" s="90">
        <f>IF(MOD(N$3,12)=4,MAX(M40*(1+Assumptions!$G$14),Assumptions!$G11),'Monthly Revenue'!M40)</f>
        <v>650</v>
      </c>
      <c r="O40" s="90">
        <f>IF(MOD(O$3,12)=4,MAX(N40*(1+Assumptions!$G$14),Assumptions!$G11),'Monthly Revenue'!N40)</f>
        <v>650</v>
      </c>
      <c r="P40" s="90">
        <f>IF(MOD(P$3,12)=4,MAX(O40*(1+Assumptions!$G$14),Assumptions!$G11),'Monthly Revenue'!O40)</f>
        <v>650</v>
      </c>
      <c r="Q40" s="90">
        <f>IF(MOD(Q$3,12)=4,MAX(P40*(1+Assumptions!$G$14),Assumptions!$G11),'Monthly Revenue'!P40)</f>
        <v>650</v>
      </c>
      <c r="R40" s="90">
        <f>IF(MOD(R$3,12)=4,MAX(Q40*(1+Assumptions!$G$14),Assumptions!$G11),'Monthly Revenue'!Q40)</f>
        <v>650</v>
      </c>
      <c r="S40" s="90">
        <f>IF(MOD(S$3,12)=4,MAX(R40*(1+Assumptions!$G$14),Assumptions!$G11),'Monthly Revenue'!R40)</f>
        <v>650</v>
      </c>
      <c r="T40" s="90">
        <f>IF(MOD(T$3,12)=4,MAX(S40*(1+Assumptions!$G$14),Assumptions!$G11),'Monthly Revenue'!S40)</f>
        <v>682.5</v>
      </c>
      <c r="U40" s="90">
        <f>IF(MOD(U$3,12)=4,MAX(T40*(1+Assumptions!$G$14),Assumptions!$G11),'Monthly Revenue'!T40)</f>
        <v>682.5</v>
      </c>
      <c r="V40" s="90">
        <f>IF(MOD(V$3,12)=4,MAX(U40*(1+Assumptions!$G$14),Assumptions!$G11),'Monthly Revenue'!U40)</f>
        <v>682.5</v>
      </c>
      <c r="W40" s="90">
        <f>IF(MOD(W$3,12)=4,MAX(V40*(1+Assumptions!$G$14),Assumptions!$G11),'Monthly Revenue'!V40)</f>
        <v>682.5</v>
      </c>
      <c r="X40" s="90">
        <f>IF(MOD(X$3,12)=4,MAX(W40*(1+Assumptions!$G$14),Assumptions!$G11),'Monthly Revenue'!W40)</f>
        <v>682.5</v>
      </c>
      <c r="Y40" s="90">
        <f>IF(MOD(Y$3,12)=4,MAX(X40*(1+Assumptions!$G$14),Assumptions!$G11),'Monthly Revenue'!X40)</f>
        <v>682.5</v>
      </c>
      <c r="Z40" s="90">
        <f>IF(MOD(Z$3,12)=4,MAX(Y40*(1+Assumptions!$G$14),Assumptions!$G11),'Monthly Revenue'!Y40)</f>
        <v>682.5</v>
      </c>
      <c r="AA40" s="90">
        <f>IF(MOD(AA$3,12)=4,MAX(Z40*(1+Assumptions!$G$14),Assumptions!$G11),'Monthly Revenue'!Z40)</f>
        <v>682.5</v>
      </c>
      <c r="AB40" s="90">
        <f>IF(MOD(AB$3,12)=4,MAX(AA40*(1+Assumptions!$G$14),Assumptions!$G11),'Monthly Revenue'!AA40)</f>
        <v>682.5</v>
      </c>
      <c r="AC40" s="90">
        <f>IF(MOD(AC$3,12)=4,MAX(AB40*(1+Assumptions!$G$14),Assumptions!$G11),'Monthly Revenue'!AB40)</f>
        <v>682.5</v>
      </c>
      <c r="AD40" s="90">
        <f>IF(MOD(AD$3,12)=4,MAX(AC40*(1+Assumptions!$G$14),Assumptions!$G11),'Monthly Revenue'!AC40)</f>
        <v>682.5</v>
      </c>
      <c r="AE40" s="90">
        <f>IF(MOD(AE$3,12)=4,MAX(AD40*(1+Assumptions!$G$14),Assumptions!$G11),'Monthly Revenue'!AD40)</f>
        <v>682.5</v>
      </c>
      <c r="AF40" s="90">
        <f>IF(MOD(AF$3,12)=4,MAX(AE40*(1+Assumptions!$G$14),Assumptions!$G11),'Monthly Revenue'!AE40)</f>
        <v>716.625</v>
      </c>
      <c r="AG40" s="90">
        <f>IF(MOD(AG$3,12)=4,MAX(AF40*(1+Assumptions!$G$14),Assumptions!$G11),'Monthly Revenue'!AF40)</f>
        <v>716.625</v>
      </c>
      <c r="AH40" s="90">
        <f>IF(MOD(AH$3,12)=4,MAX(AG40*(1+Assumptions!$G$14),Assumptions!$G11),'Monthly Revenue'!AG40)</f>
        <v>716.625</v>
      </c>
      <c r="AI40" s="90">
        <f>IF(MOD(AI$3,12)=4,MAX(AH40*(1+Assumptions!$G$14),Assumptions!$G11),'Monthly Revenue'!AH40)</f>
        <v>716.625</v>
      </c>
      <c r="AJ40" s="90">
        <f>IF(MOD(AJ$3,12)=4,MAX(AI40*(1+Assumptions!$G$14),Assumptions!$G11),'Monthly Revenue'!AI40)</f>
        <v>716.625</v>
      </c>
      <c r="AK40" s="90">
        <f>IF(MOD(AK$3,12)=4,MAX(AJ40*(1+Assumptions!$G$14),Assumptions!$G11),'Monthly Revenue'!AJ40)</f>
        <v>716.625</v>
      </c>
      <c r="AL40" s="90">
        <f>IF(MOD(AL$3,12)=4,MAX(AK40*(1+Assumptions!$G$14),Assumptions!$G11),'Monthly Revenue'!AK40)</f>
        <v>716.625</v>
      </c>
      <c r="AM40" s="90">
        <f>IF(MOD(AM$3,12)=4,MAX(AL40*(1+Assumptions!$G$14),Assumptions!$G11),'Monthly Revenue'!AL40)</f>
        <v>716.625</v>
      </c>
      <c r="AN40" s="90">
        <f>IF(MOD(AN$3,12)=4,MAX(AM40*(1+Assumptions!$G$14),Assumptions!$G11),'Monthly Revenue'!AM40)</f>
        <v>716.625</v>
      </c>
    </row>
    <row r="41" spans="1:40 16312:16312" x14ac:dyDescent="0.35">
      <c r="A41" s="76" t="s">
        <v>7</v>
      </c>
      <c r="E41" s="90">
        <f>IF(MOD(E$3,12)=4,MAX(D41*(1+Assumptions!$G$14),Assumptions!$G12),'Monthly Revenue'!D41)</f>
        <v>0</v>
      </c>
      <c r="F41" s="90">
        <f>IF(MOD(F$3,12)=4,MAX(E41*(1+Assumptions!$G$14),Assumptions!$G12),'Monthly Revenue'!E41)</f>
        <v>0</v>
      </c>
      <c r="G41" s="90">
        <f>IF(MOD(G$3,12)=4,MAX(F41*(1+Assumptions!$G$14),Assumptions!$G12),'Monthly Revenue'!F41)</f>
        <v>0</v>
      </c>
      <c r="H41" s="90">
        <f>IF(MOD(H$3,12)=4,MAX(G41*(1+Assumptions!$G$14),Assumptions!$G12),'Monthly Revenue'!G41)</f>
        <v>450</v>
      </c>
      <c r="I41" s="90">
        <f>IF(MOD(I$3,12)=4,MAX(H41*(1+Assumptions!$G$14),Assumptions!$G12),'Monthly Revenue'!H41)</f>
        <v>450</v>
      </c>
      <c r="J41" s="90">
        <f>IF(MOD(J$3,12)=4,MAX(I41*(1+Assumptions!$G$14),Assumptions!$G12),'Monthly Revenue'!I41)</f>
        <v>450</v>
      </c>
      <c r="K41" s="90">
        <f>IF(MOD(K$3,12)=4,MAX(J41*(1+Assumptions!$G$14),Assumptions!$G12),'Monthly Revenue'!J41)</f>
        <v>450</v>
      </c>
      <c r="L41" s="90">
        <f>IF(MOD(L$3,12)=4,MAX(K41*(1+Assumptions!$G$14),Assumptions!$G12),'Monthly Revenue'!K41)</f>
        <v>450</v>
      </c>
      <c r="M41" s="90">
        <f>IF(MOD(M$3,12)=4,MAX(L41*(1+Assumptions!$G$14),Assumptions!$G12),'Monthly Revenue'!L41)</f>
        <v>450</v>
      </c>
      <c r="N41" s="90">
        <f>IF(MOD(N$3,12)=4,MAX(M41*(1+Assumptions!$G$14),Assumptions!$G12),'Monthly Revenue'!M41)</f>
        <v>450</v>
      </c>
      <c r="O41" s="90">
        <f>IF(MOD(O$3,12)=4,MAX(N41*(1+Assumptions!$G$14),Assumptions!$G12),'Monthly Revenue'!N41)</f>
        <v>450</v>
      </c>
      <c r="P41" s="90">
        <f>IF(MOD(P$3,12)=4,MAX(O41*(1+Assumptions!$G$14),Assumptions!$G12),'Monthly Revenue'!O41)</f>
        <v>450</v>
      </c>
      <c r="Q41" s="90">
        <f>IF(MOD(Q$3,12)=4,MAX(P41*(1+Assumptions!$G$14),Assumptions!$G12),'Monthly Revenue'!P41)</f>
        <v>450</v>
      </c>
      <c r="R41" s="90">
        <f>IF(MOD(R$3,12)=4,MAX(Q41*(1+Assumptions!$G$14),Assumptions!$G12),'Monthly Revenue'!Q41)</f>
        <v>450</v>
      </c>
      <c r="S41" s="90">
        <f>IF(MOD(S$3,12)=4,MAX(R41*(1+Assumptions!$G$14),Assumptions!$G12),'Monthly Revenue'!R41)</f>
        <v>450</v>
      </c>
      <c r="T41" s="90">
        <f>IF(MOD(T$3,12)=4,MAX(S41*(1+Assumptions!$G$14),Assumptions!$G12),'Monthly Revenue'!S41)</f>
        <v>472.5</v>
      </c>
      <c r="U41" s="90">
        <f>IF(MOD(U$3,12)=4,MAX(T41*(1+Assumptions!$G$14),Assumptions!$G12),'Monthly Revenue'!T41)</f>
        <v>472.5</v>
      </c>
      <c r="V41" s="90">
        <f>IF(MOD(V$3,12)=4,MAX(U41*(1+Assumptions!$G$14),Assumptions!$G12),'Monthly Revenue'!U41)</f>
        <v>472.5</v>
      </c>
      <c r="W41" s="90">
        <f>IF(MOD(W$3,12)=4,MAX(V41*(1+Assumptions!$G$14),Assumptions!$G12),'Monthly Revenue'!V41)</f>
        <v>472.5</v>
      </c>
      <c r="X41" s="90">
        <f>IF(MOD(X$3,12)=4,MAX(W41*(1+Assumptions!$G$14),Assumptions!$G12),'Monthly Revenue'!W41)</f>
        <v>472.5</v>
      </c>
      <c r="Y41" s="90">
        <f>IF(MOD(Y$3,12)=4,MAX(X41*(1+Assumptions!$G$14),Assumptions!$G12),'Monthly Revenue'!X41)</f>
        <v>472.5</v>
      </c>
      <c r="Z41" s="90">
        <f>IF(MOD(Z$3,12)=4,MAX(Y41*(1+Assumptions!$G$14),Assumptions!$G12),'Monthly Revenue'!Y41)</f>
        <v>472.5</v>
      </c>
      <c r="AA41" s="90">
        <f>IF(MOD(AA$3,12)=4,MAX(Z41*(1+Assumptions!$G$14),Assumptions!$G12),'Monthly Revenue'!Z41)</f>
        <v>472.5</v>
      </c>
      <c r="AB41" s="90">
        <f>IF(MOD(AB$3,12)=4,MAX(AA41*(1+Assumptions!$G$14),Assumptions!$G12),'Monthly Revenue'!AA41)</f>
        <v>472.5</v>
      </c>
      <c r="AC41" s="90">
        <f>IF(MOD(AC$3,12)=4,MAX(AB41*(1+Assumptions!$G$14),Assumptions!$G12),'Monthly Revenue'!AB41)</f>
        <v>472.5</v>
      </c>
      <c r="AD41" s="90">
        <f>IF(MOD(AD$3,12)=4,MAX(AC41*(1+Assumptions!$G$14),Assumptions!$G12),'Monthly Revenue'!AC41)</f>
        <v>472.5</v>
      </c>
      <c r="AE41" s="90">
        <f>IF(MOD(AE$3,12)=4,MAX(AD41*(1+Assumptions!$G$14),Assumptions!$G12),'Monthly Revenue'!AD41)</f>
        <v>472.5</v>
      </c>
      <c r="AF41" s="90">
        <f>IF(MOD(AF$3,12)=4,MAX(AE41*(1+Assumptions!$G$14),Assumptions!$G12),'Monthly Revenue'!AE41)</f>
        <v>496.125</v>
      </c>
      <c r="AG41" s="90">
        <f>IF(MOD(AG$3,12)=4,MAX(AF41*(1+Assumptions!$G$14),Assumptions!$G12),'Monthly Revenue'!AF41)</f>
        <v>496.125</v>
      </c>
      <c r="AH41" s="90">
        <f>IF(MOD(AH$3,12)=4,MAX(AG41*(1+Assumptions!$G$14),Assumptions!$G12),'Monthly Revenue'!AG41)</f>
        <v>496.125</v>
      </c>
      <c r="AI41" s="90">
        <f>IF(MOD(AI$3,12)=4,MAX(AH41*(1+Assumptions!$G$14),Assumptions!$G12),'Monthly Revenue'!AH41)</f>
        <v>496.125</v>
      </c>
      <c r="AJ41" s="90">
        <f>IF(MOD(AJ$3,12)=4,MAX(AI41*(1+Assumptions!$G$14),Assumptions!$G12),'Monthly Revenue'!AI41)</f>
        <v>496.125</v>
      </c>
      <c r="AK41" s="90">
        <f>IF(MOD(AK$3,12)=4,MAX(AJ41*(1+Assumptions!$G$14),Assumptions!$G12),'Monthly Revenue'!AJ41)</f>
        <v>496.125</v>
      </c>
      <c r="AL41" s="90">
        <f>IF(MOD(AL$3,12)=4,MAX(AK41*(1+Assumptions!$G$14),Assumptions!$G12),'Monthly Revenue'!AK41)</f>
        <v>496.125</v>
      </c>
      <c r="AM41" s="90">
        <f>IF(MOD(AM$3,12)=4,MAX(AL41*(1+Assumptions!$G$14),Assumptions!$G12),'Monthly Revenue'!AL41)</f>
        <v>496.125</v>
      </c>
      <c r="AN41" s="90">
        <f>IF(MOD(AN$3,12)=4,MAX(AM41*(1+Assumptions!$G$14),Assumptions!$G12),'Monthly Revenue'!AM41)</f>
        <v>496.125</v>
      </c>
    </row>
    <row r="42" spans="1:40 16312:16312" x14ac:dyDescent="0.35">
      <c r="A42" s="76" t="s">
        <v>8</v>
      </c>
      <c r="E42" s="90">
        <f>IF(MOD(E$3,12)=4,MAX(D42*(1+Assumptions!$G$14),Assumptions!$G13),'Monthly Revenue'!D42)</f>
        <v>0</v>
      </c>
      <c r="F42" s="90">
        <f>IF(MOD(F$3,12)=4,MAX(E42*(1+Assumptions!$G$14),Assumptions!$G13),'Monthly Revenue'!E42)</f>
        <v>0</v>
      </c>
      <c r="G42" s="90">
        <f>IF(MOD(G$3,12)=4,MAX(F42*(1+Assumptions!$G$14),Assumptions!$G13),'Monthly Revenue'!F42)</f>
        <v>0</v>
      </c>
      <c r="H42" s="90">
        <f>IF(MOD(H$3,12)=4,MAX(G42*(1+Assumptions!$G$14),Assumptions!$G13),'Monthly Revenue'!G42)</f>
        <v>1200</v>
      </c>
      <c r="I42" s="90">
        <f>IF(MOD(I$3,12)=4,MAX(H42*(1+Assumptions!$G$14),Assumptions!$G13),'Monthly Revenue'!H42)</f>
        <v>1200</v>
      </c>
      <c r="J42" s="90">
        <f>IF(MOD(J$3,12)=4,MAX(I42*(1+Assumptions!$G$14),Assumptions!$G13),'Monthly Revenue'!I42)</f>
        <v>1200</v>
      </c>
      <c r="K42" s="90">
        <f>IF(MOD(K$3,12)=4,MAX(J42*(1+Assumptions!$G$14),Assumptions!$G13),'Monthly Revenue'!J42)</f>
        <v>1200</v>
      </c>
      <c r="L42" s="90">
        <f>IF(MOD(L$3,12)=4,MAX(K42*(1+Assumptions!$G$14),Assumptions!$G13),'Monthly Revenue'!K42)</f>
        <v>1200</v>
      </c>
      <c r="M42" s="90">
        <f>IF(MOD(M$3,12)=4,MAX(L42*(1+Assumptions!$G$14),Assumptions!$G13),'Monthly Revenue'!L42)</f>
        <v>1200</v>
      </c>
      <c r="N42" s="90">
        <f>IF(MOD(N$3,12)=4,MAX(M42*(1+Assumptions!$G$14),Assumptions!$G13),'Monthly Revenue'!M42)</f>
        <v>1200</v>
      </c>
      <c r="O42" s="90">
        <f>IF(MOD(O$3,12)=4,MAX(N42*(1+Assumptions!$G$14),Assumptions!$G13),'Monthly Revenue'!N42)</f>
        <v>1200</v>
      </c>
      <c r="P42" s="90">
        <f>IF(MOD(P$3,12)=4,MAX(O42*(1+Assumptions!$G$14),Assumptions!$G13),'Monthly Revenue'!O42)</f>
        <v>1200</v>
      </c>
      <c r="Q42" s="90">
        <f>IF(MOD(Q$3,12)=4,MAX(P42*(1+Assumptions!$G$14),Assumptions!$G13),'Monthly Revenue'!P42)</f>
        <v>1200</v>
      </c>
      <c r="R42" s="90">
        <f>IF(MOD(R$3,12)=4,MAX(Q42*(1+Assumptions!$G$14),Assumptions!$G13),'Monthly Revenue'!Q42)</f>
        <v>1200</v>
      </c>
      <c r="S42" s="90">
        <f>IF(MOD(S$3,12)=4,MAX(R42*(1+Assumptions!$G$14),Assumptions!$G13),'Monthly Revenue'!R42)</f>
        <v>1200</v>
      </c>
      <c r="T42" s="90">
        <f>IF(MOD(T$3,12)=4,MAX(S42*(1+Assumptions!$G$14),Assumptions!$G13),'Monthly Revenue'!S42)</f>
        <v>1260</v>
      </c>
      <c r="U42" s="90">
        <f>IF(MOD(U$3,12)=4,MAX(T42*(1+Assumptions!$G$14),Assumptions!$G13),'Monthly Revenue'!T42)</f>
        <v>1260</v>
      </c>
      <c r="V42" s="90">
        <f>IF(MOD(V$3,12)=4,MAX(U42*(1+Assumptions!$G$14),Assumptions!$G13),'Monthly Revenue'!U42)</f>
        <v>1260</v>
      </c>
      <c r="W42" s="90">
        <f>IF(MOD(W$3,12)=4,MAX(V42*(1+Assumptions!$G$14),Assumptions!$G13),'Monthly Revenue'!V42)</f>
        <v>1260</v>
      </c>
      <c r="X42" s="90">
        <f>IF(MOD(X$3,12)=4,MAX(W42*(1+Assumptions!$G$14),Assumptions!$G13),'Monthly Revenue'!W42)</f>
        <v>1260</v>
      </c>
      <c r="Y42" s="90">
        <f>IF(MOD(Y$3,12)=4,MAX(X42*(1+Assumptions!$G$14),Assumptions!$G13),'Monthly Revenue'!X42)</f>
        <v>1260</v>
      </c>
      <c r="Z42" s="90">
        <f>IF(MOD(Z$3,12)=4,MAX(Y42*(1+Assumptions!$G$14),Assumptions!$G13),'Monthly Revenue'!Y42)</f>
        <v>1260</v>
      </c>
      <c r="AA42" s="90">
        <f>IF(MOD(AA$3,12)=4,MAX(Z42*(1+Assumptions!$G$14),Assumptions!$G13),'Monthly Revenue'!Z42)</f>
        <v>1260</v>
      </c>
      <c r="AB42" s="90">
        <f>IF(MOD(AB$3,12)=4,MAX(AA42*(1+Assumptions!$G$14),Assumptions!$G13),'Monthly Revenue'!AA42)</f>
        <v>1260</v>
      </c>
      <c r="AC42" s="90">
        <f>IF(MOD(AC$3,12)=4,MAX(AB42*(1+Assumptions!$G$14),Assumptions!$G13),'Monthly Revenue'!AB42)</f>
        <v>1260</v>
      </c>
      <c r="AD42" s="90">
        <f>IF(MOD(AD$3,12)=4,MAX(AC42*(1+Assumptions!$G$14),Assumptions!$G13),'Monthly Revenue'!AC42)</f>
        <v>1260</v>
      </c>
      <c r="AE42" s="90">
        <f>IF(MOD(AE$3,12)=4,MAX(AD42*(1+Assumptions!$G$14),Assumptions!$G13),'Monthly Revenue'!AD42)</f>
        <v>1260</v>
      </c>
      <c r="AF42" s="90">
        <f>IF(MOD(AF$3,12)=4,MAX(AE42*(1+Assumptions!$G$14),Assumptions!$G13),'Monthly Revenue'!AE42)</f>
        <v>1323</v>
      </c>
      <c r="AG42" s="90">
        <f>IF(MOD(AG$3,12)=4,MAX(AF42*(1+Assumptions!$G$14),Assumptions!$G13),'Monthly Revenue'!AF42)</f>
        <v>1323</v>
      </c>
      <c r="AH42" s="90">
        <f>IF(MOD(AH$3,12)=4,MAX(AG42*(1+Assumptions!$G$14),Assumptions!$G13),'Monthly Revenue'!AG42)</f>
        <v>1323</v>
      </c>
      <c r="AI42" s="90">
        <f>IF(MOD(AI$3,12)=4,MAX(AH42*(1+Assumptions!$G$14),Assumptions!$G13),'Monthly Revenue'!AH42)</f>
        <v>1323</v>
      </c>
      <c r="AJ42" s="90">
        <f>IF(MOD(AJ$3,12)=4,MAX(AI42*(1+Assumptions!$G$14),Assumptions!$G13),'Monthly Revenue'!AI42)</f>
        <v>1323</v>
      </c>
      <c r="AK42" s="90">
        <f>IF(MOD(AK$3,12)=4,MAX(AJ42*(1+Assumptions!$G$14),Assumptions!$G13),'Monthly Revenue'!AJ42)</f>
        <v>1323</v>
      </c>
      <c r="AL42" s="90">
        <f>IF(MOD(AL$3,12)=4,MAX(AK42*(1+Assumptions!$G$14),Assumptions!$G13),'Monthly Revenue'!AK42)</f>
        <v>1323</v>
      </c>
      <c r="AM42" s="90">
        <f>IF(MOD(AM$3,12)=4,MAX(AL42*(1+Assumptions!$G$14),Assumptions!$G13),'Monthly Revenue'!AL42)</f>
        <v>1323</v>
      </c>
      <c r="AN42" s="90">
        <f>IF(MOD(AN$3,12)=4,MAX(AM42*(1+Assumptions!$G$14),Assumptions!$G13),'Monthly Revenue'!AM42)</f>
        <v>1323</v>
      </c>
    </row>
    <row r="43" spans="1:40 16312:16312" s="172" customFormat="1" x14ac:dyDescent="0.35">
      <c r="A43" s="164" t="s">
        <v>54</v>
      </c>
      <c r="B43" s="165"/>
      <c r="C43" s="165"/>
      <c r="D43" s="165"/>
      <c r="E43" s="167">
        <f>SUM(E40:E42)</f>
        <v>0</v>
      </c>
      <c r="F43" s="167">
        <f t="shared" ref="F43" si="116">SUM(F40:F42)</f>
        <v>0</v>
      </c>
      <c r="G43" s="167">
        <f t="shared" ref="G43" si="117">SUM(G40:G42)</f>
        <v>0</v>
      </c>
      <c r="H43" s="167">
        <f t="shared" ref="H43" si="118">SUM(H40:H42)</f>
        <v>2300</v>
      </c>
      <c r="I43" s="167">
        <f t="shared" ref="I43" si="119">SUM(I40:I42)</f>
        <v>2300</v>
      </c>
      <c r="J43" s="167">
        <f t="shared" ref="J43" si="120">SUM(J40:J42)</f>
        <v>2300</v>
      </c>
      <c r="K43" s="167">
        <f t="shared" ref="K43" si="121">SUM(K40:K42)</f>
        <v>2300</v>
      </c>
      <c r="L43" s="167">
        <f t="shared" ref="L43" si="122">SUM(L40:L42)</f>
        <v>2300</v>
      </c>
      <c r="M43" s="167">
        <f t="shared" ref="M43" si="123">SUM(M40:M42)</f>
        <v>2300</v>
      </c>
      <c r="N43" s="167">
        <f t="shared" ref="N43" si="124">SUM(N40:N42)</f>
        <v>2300</v>
      </c>
      <c r="O43" s="167">
        <f t="shared" ref="O43" si="125">SUM(O40:O42)</f>
        <v>2300</v>
      </c>
      <c r="P43" s="167">
        <f t="shared" ref="P43" si="126">SUM(P40:P42)</f>
        <v>2300</v>
      </c>
      <c r="Q43" s="167">
        <f t="shared" ref="Q43" si="127">SUM(Q40:Q42)</f>
        <v>2300</v>
      </c>
      <c r="R43" s="167">
        <f t="shared" ref="R43" si="128">SUM(R40:R42)</f>
        <v>2300</v>
      </c>
      <c r="S43" s="167">
        <f t="shared" ref="S43" si="129">SUM(S40:S42)</f>
        <v>2300</v>
      </c>
      <c r="T43" s="167">
        <f t="shared" ref="T43" si="130">SUM(T40:T42)</f>
        <v>2415</v>
      </c>
      <c r="U43" s="167">
        <f t="shared" ref="U43" si="131">SUM(U40:U42)</f>
        <v>2415</v>
      </c>
      <c r="V43" s="167">
        <f t="shared" ref="V43" si="132">SUM(V40:V42)</f>
        <v>2415</v>
      </c>
      <c r="W43" s="167">
        <f t="shared" ref="W43" si="133">SUM(W40:W42)</f>
        <v>2415</v>
      </c>
      <c r="X43" s="167">
        <f t="shared" ref="X43" si="134">SUM(X40:X42)</f>
        <v>2415</v>
      </c>
      <c r="Y43" s="167">
        <f t="shared" ref="Y43" si="135">SUM(Y40:Y42)</f>
        <v>2415</v>
      </c>
      <c r="Z43" s="167">
        <f t="shared" ref="Z43" si="136">SUM(Z40:Z42)</f>
        <v>2415</v>
      </c>
      <c r="AA43" s="167">
        <f t="shared" ref="AA43" si="137">SUM(AA40:AA42)</f>
        <v>2415</v>
      </c>
      <c r="AB43" s="167">
        <f t="shared" ref="AB43" si="138">SUM(AB40:AB42)</f>
        <v>2415</v>
      </c>
      <c r="AC43" s="167">
        <f t="shared" ref="AC43" si="139">SUM(AC40:AC42)</f>
        <v>2415</v>
      </c>
      <c r="AD43" s="167">
        <f t="shared" ref="AD43" si="140">SUM(AD40:AD42)</f>
        <v>2415</v>
      </c>
      <c r="AE43" s="167">
        <f t="shared" ref="AE43" si="141">SUM(AE40:AE42)</f>
        <v>2415</v>
      </c>
      <c r="AF43" s="167">
        <f t="shared" ref="AF43" si="142">SUM(AF40:AF42)</f>
        <v>2535.75</v>
      </c>
      <c r="AG43" s="167">
        <f t="shared" ref="AG43" si="143">SUM(AG40:AG42)</f>
        <v>2535.75</v>
      </c>
      <c r="AH43" s="167">
        <f t="shared" ref="AH43" si="144">SUM(AH40:AH42)</f>
        <v>2535.75</v>
      </c>
      <c r="AI43" s="167">
        <f t="shared" ref="AI43" si="145">SUM(AI40:AI42)</f>
        <v>2535.75</v>
      </c>
      <c r="AJ43" s="167">
        <f t="shared" ref="AJ43" si="146">SUM(AJ40:AJ42)</f>
        <v>2535.75</v>
      </c>
      <c r="AK43" s="167">
        <f t="shared" ref="AK43" si="147">SUM(AK40:AK42)</f>
        <v>2535.75</v>
      </c>
      <c r="AL43" s="167">
        <f t="shared" ref="AL43" si="148">SUM(AL40:AL42)</f>
        <v>2535.75</v>
      </c>
      <c r="AM43" s="167">
        <f t="shared" ref="AM43" si="149">SUM(AM40:AM42)</f>
        <v>2535.75</v>
      </c>
      <c r="AN43" s="167">
        <f t="shared" ref="AN43" si="150">SUM(AN40:AN42)</f>
        <v>2535.75</v>
      </c>
    </row>
    <row r="44" spans="1:40 16312:16312" x14ac:dyDescent="0.35">
      <c r="A44" s="93"/>
      <c r="XCJ44" s="171"/>
    </row>
    <row r="45" spans="1:40 16312:16312" x14ac:dyDescent="0.35">
      <c r="A45" s="96" t="s">
        <v>113</v>
      </c>
    </row>
    <row r="46" spans="1:40 16312:16312" x14ac:dyDescent="0.35">
      <c r="A46" s="95" t="s">
        <v>2</v>
      </c>
    </row>
    <row r="47" spans="1:40 16312:16312" x14ac:dyDescent="0.35">
      <c r="A47" s="92" t="s">
        <v>4</v>
      </c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</row>
    <row r="48" spans="1:40 16312:16312" x14ac:dyDescent="0.35">
      <c r="A48" s="76" t="s">
        <v>6</v>
      </c>
      <c r="E48" s="83">
        <f t="shared" ref="E48:AN48" si="151">E$6*E$11*E$21/deno</f>
        <v>0</v>
      </c>
      <c r="F48" s="83">
        <f t="shared" si="151"/>
        <v>0</v>
      </c>
      <c r="G48" s="83">
        <f t="shared" si="151"/>
        <v>0</v>
      </c>
      <c r="H48" s="83">
        <f t="shared" si="151"/>
        <v>1.84</v>
      </c>
      <c r="I48" s="83">
        <f t="shared" si="151"/>
        <v>1.7136</v>
      </c>
      <c r="J48" s="83">
        <f t="shared" si="151"/>
        <v>1.8311039999999998</v>
      </c>
      <c r="K48" s="83">
        <f t="shared" si="151"/>
        <v>1.8677260800000002</v>
      </c>
      <c r="L48" s="83">
        <f t="shared" si="151"/>
        <v>1.8184860288000002</v>
      </c>
      <c r="M48" s="83">
        <f t="shared" si="151"/>
        <v>2.031508677888</v>
      </c>
      <c r="N48" s="83">
        <f t="shared" si="151"/>
        <v>1.8919528643635199</v>
      </c>
      <c r="O48" s="83">
        <f t="shared" si="151"/>
        <v>1.837897068238848</v>
      </c>
      <c r="P48" s="83">
        <f t="shared" si="151"/>
        <v>2.155853261044169</v>
      </c>
      <c r="Q48" s="83">
        <f t="shared" si="151"/>
        <v>2.1033629207752673</v>
      </c>
      <c r="R48" s="83">
        <f t="shared" si="151"/>
        <v>2.0479106255911921</v>
      </c>
      <c r="S48" s="83">
        <f t="shared" si="151"/>
        <v>2.1883387827745882</v>
      </c>
      <c r="T48" s="83">
        <f t="shared" si="151"/>
        <v>2.3437108363515837</v>
      </c>
      <c r="U48" s="83">
        <f t="shared" si="151"/>
        <v>2.3905850530786159</v>
      </c>
      <c r="V48" s="83">
        <f t="shared" si="151"/>
        <v>2.4383967541401876</v>
      </c>
      <c r="W48" s="83">
        <f t="shared" si="151"/>
        <v>2.3741117488037649</v>
      </c>
      <c r="X48" s="83">
        <f t="shared" si="151"/>
        <v>2.5369079830074517</v>
      </c>
      <c r="Y48" s="83">
        <f t="shared" si="151"/>
        <v>2.7052664218797644</v>
      </c>
      <c r="Z48" s="83">
        <f t="shared" si="151"/>
        <v>2.5194263807245458</v>
      </c>
      <c r="AA48" s="83">
        <f t="shared" si="151"/>
        <v>2.4474427698467016</v>
      </c>
      <c r="AB48" s="83">
        <f t="shared" si="151"/>
        <v>2.8708503690301805</v>
      </c>
      <c r="AC48" s="83">
        <f t="shared" si="151"/>
        <v>2.6736354306359345</v>
      </c>
      <c r="AD48" s="83">
        <f t="shared" si="151"/>
        <v>2.8569704315938265</v>
      </c>
      <c r="AE48" s="83">
        <f t="shared" si="151"/>
        <v>2.9141098402257031</v>
      </c>
      <c r="AF48" s="83">
        <f t="shared" si="151"/>
        <v>2.9791474734780135</v>
      </c>
      <c r="AG48" s="83">
        <f t="shared" si="151"/>
        <v>3.3281333203711516</v>
      </c>
      <c r="AH48" s="83">
        <f t="shared" si="151"/>
        <v>3.2471005090925504</v>
      </c>
      <c r="AI48" s="83">
        <f t="shared" si="151"/>
        <v>3.161495132034656</v>
      </c>
      <c r="AJ48" s="83">
        <f t="shared" si="151"/>
        <v>3.3782833696598895</v>
      </c>
      <c r="AK48" s="83">
        <f t="shared" si="151"/>
        <v>3.4458490370530872</v>
      </c>
      <c r="AL48" s="83">
        <f t="shared" si="151"/>
        <v>3.5147660177941491</v>
      </c>
      <c r="AM48" s="83">
        <f t="shared" si="151"/>
        <v>3.2591466710454835</v>
      </c>
      <c r="AN48" s="83">
        <f t="shared" si="151"/>
        <v>3.8229790451363526</v>
      </c>
    </row>
    <row r="49" spans="1:40 16312:16384" x14ac:dyDescent="0.35">
      <c r="A49" s="76" t="s">
        <v>7</v>
      </c>
      <c r="E49" s="83">
        <f>E$6*E$11*E$22/deno</f>
        <v>0</v>
      </c>
      <c r="F49" s="83">
        <f>F$6*F$11*F$22/Converter!$D$1</f>
        <v>0</v>
      </c>
      <c r="G49" s="83">
        <f>G$6*G$11*G$22/Converter!$D$1</f>
        <v>0</v>
      </c>
      <c r="H49" s="83">
        <f>H$6*H$11*H$22/Converter!$D$1</f>
        <v>1.38</v>
      </c>
      <c r="I49" s="83">
        <f>I$6*I$11*I$22/Converter!$D$1</f>
        <v>1.2851999999999999</v>
      </c>
      <c r="J49" s="83">
        <f>J$6*J$11*J$22/Converter!$D$1</f>
        <v>1.3733280000000001</v>
      </c>
      <c r="K49" s="83">
        <f>K$6*K$11*K$22/Converter!$D$1</f>
        <v>1.40079456</v>
      </c>
      <c r="L49" s="83">
        <f>L$6*L$11*L$22/Converter!$D$1</f>
        <v>1.3638645216</v>
      </c>
      <c r="M49" s="83">
        <f>M$6*M$11*M$22/Converter!$D$1</f>
        <v>1.5236315084160004</v>
      </c>
      <c r="N49" s="83">
        <f>N$6*N$11*N$22/Converter!$D$1</f>
        <v>1.4189646482726401</v>
      </c>
      <c r="O49" s="83">
        <f>O$6*O$11*O$22/Converter!$D$1</f>
        <v>1.3784228011791362</v>
      </c>
      <c r="P49" s="83">
        <f>P$6*P$11*P$22/Converter!$D$1</f>
        <v>1.6168899457831267</v>
      </c>
      <c r="Q49" s="83">
        <f>Q$6*Q$11*Q$22/Converter!$D$1</f>
        <v>1.5775221905814507</v>
      </c>
      <c r="R49" s="83">
        <f>R$6*R$11*R$22/Converter!$D$1</f>
        <v>1.5359329691933938</v>
      </c>
      <c r="S49" s="83">
        <f>S$6*S$11*S$22/Converter!$D$1</f>
        <v>1.6412540870809413</v>
      </c>
      <c r="T49" s="83">
        <f>T$6*T$11*T$22/Converter!$D$1</f>
        <v>1.7577831272636877</v>
      </c>
      <c r="U49" s="83">
        <f>U$6*U$11*U$22/Converter!$D$1</f>
        <v>1.7929387898089617</v>
      </c>
      <c r="V49" s="83">
        <f>V$6*V$11*V$22/Converter!$D$1</f>
        <v>1.8287975656051407</v>
      </c>
      <c r="W49" s="83">
        <f>W$6*W$11*W$22/Converter!$D$1</f>
        <v>1.7805838116028236</v>
      </c>
      <c r="X49" s="83">
        <f>X$6*X$11*X$22/Converter!$D$1</f>
        <v>1.9026809872555888</v>
      </c>
      <c r="Y49" s="83">
        <f>Y$6*Y$11*Y$22/Converter!$D$1</f>
        <v>2.0289498164098232</v>
      </c>
      <c r="Z49" s="83">
        <f>Z$6*Z$11*Z$22/Converter!$D$1</f>
        <v>1.8895697855434095</v>
      </c>
      <c r="AA49" s="83">
        <f>AA$6*AA$11*AA$22/Converter!$D$1</f>
        <v>1.8355820773850264</v>
      </c>
      <c r="AB49" s="83">
        <f>AB$6*AB$11*AB$22/Converter!$D$1</f>
        <v>2.1531377767726356</v>
      </c>
      <c r="AC49" s="83">
        <f>AC$6*AC$11*AC$22/Converter!$D$1</f>
        <v>2.0052265729769507</v>
      </c>
      <c r="AD49" s="83">
        <f>AD$6*AD$11*AD$22/Converter!$D$1</f>
        <v>2.14272782369537</v>
      </c>
      <c r="AE49" s="83">
        <f>AE$6*AE$11*AE$22/Converter!$D$1</f>
        <v>2.1855823801692775</v>
      </c>
      <c r="AF49" s="83">
        <f>AF$6*AF$11*AF$22/Converter!$D$1</f>
        <v>2.2343606051085101</v>
      </c>
      <c r="AG49" s="83">
        <f>AG$6*AG$11*AG$22/Converter!$D$1</f>
        <v>2.4960999902783638</v>
      </c>
      <c r="AH49" s="83">
        <f>AH$6*AH$11*AH$22/Converter!$D$1</f>
        <v>2.4353253818194127</v>
      </c>
      <c r="AI49" s="83">
        <f>AI$6*AI$11*AI$22/Converter!$D$1</f>
        <v>2.3711213490259921</v>
      </c>
      <c r="AJ49" s="83">
        <f>AJ$6*AJ$11*AJ$22/Converter!$D$1</f>
        <v>2.5337125272449175</v>
      </c>
      <c r="AK49" s="83">
        <f>AK$6*AK$11*AK$22/Converter!$D$1</f>
        <v>2.5843867777898155</v>
      </c>
      <c r="AL49" s="83">
        <f>AL$6*AL$11*AL$22/Converter!$D$1</f>
        <v>2.636074513345612</v>
      </c>
      <c r="AM49" s="83">
        <f>AM$6*AM$11*AM$22/Converter!$D$1</f>
        <v>2.4443600032841131</v>
      </c>
      <c r="AN49" s="83">
        <f>AN$6*AN$11*AN$22/Converter!$D$1</f>
        <v>2.8672342838522646</v>
      </c>
    </row>
    <row r="50" spans="1:40 16312:16384" x14ac:dyDescent="0.35">
      <c r="A50" s="76" t="s">
        <v>8</v>
      </c>
      <c r="E50" s="83">
        <f>E$6*E$11*E$23/deno</f>
        <v>0</v>
      </c>
      <c r="F50" s="83">
        <f>F$6*F$11*F$23/Converter!$D$1</f>
        <v>0</v>
      </c>
      <c r="G50" s="83">
        <f>G$6*G$11*G$23/Converter!$D$1</f>
        <v>0</v>
      </c>
      <c r="H50" s="83">
        <f>H$6*H$11*H$23/Converter!$D$1</f>
        <v>5.52</v>
      </c>
      <c r="I50" s="83">
        <f>I$6*I$11*I$23/Converter!$D$1</f>
        <v>5.1407999999999996</v>
      </c>
      <c r="J50" s="83">
        <f>J$6*J$11*J$23/Converter!$D$1</f>
        <v>5.4933120000000004</v>
      </c>
      <c r="K50" s="83">
        <f>K$6*K$11*K$23/Converter!$D$1</f>
        <v>5.6031782400000001</v>
      </c>
      <c r="L50" s="83">
        <f>L$6*L$11*L$23/Converter!$D$1</f>
        <v>5.4554580864000002</v>
      </c>
      <c r="M50" s="83">
        <f>M$6*M$11*M$23/Converter!$D$1</f>
        <v>6.0945260336640015</v>
      </c>
      <c r="N50" s="83">
        <f>N$6*N$11*N$23/Converter!$D$1</f>
        <v>5.6758585930905605</v>
      </c>
      <c r="O50" s="83">
        <f>O$6*O$11*O$23/Converter!$D$1</f>
        <v>5.5136912047165447</v>
      </c>
      <c r="P50" s="83">
        <f>P$6*P$11*P$23/Converter!$D$1</f>
        <v>6.4675597831325069</v>
      </c>
      <c r="Q50" s="83">
        <f>Q$6*Q$11*Q$23/Converter!$D$1</f>
        <v>6.3100887623258028</v>
      </c>
      <c r="R50" s="83">
        <f>R$6*R$11*R$23/Converter!$D$1</f>
        <v>6.1437318767735754</v>
      </c>
      <c r="S50" s="83">
        <f>S$6*S$11*S$23/Converter!$D$1</f>
        <v>6.5650163483237653</v>
      </c>
      <c r="T50" s="83">
        <f>T$6*T$11*T$23/Converter!$D$1</f>
        <v>7.0311325090547507</v>
      </c>
      <c r="U50" s="83">
        <f>U$6*U$11*U$23/Converter!$D$1</f>
        <v>7.1717551592358468</v>
      </c>
      <c r="V50" s="83">
        <f>V$6*V$11*V$23/Converter!$D$1</f>
        <v>7.3151902624205629</v>
      </c>
      <c r="W50" s="83">
        <f>W$6*W$11*W$23/Converter!$D$1</f>
        <v>7.1223352464112946</v>
      </c>
      <c r="X50" s="83">
        <f>X$6*X$11*X$23/Converter!$D$1</f>
        <v>7.6107239490223551</v>
      </c>
      <c r="Y50" s="83">
        <f>Y$6*Y$11*Y$23/Converter!$D$1</f>
        <v>8.1157992656392928</v>
      </c>
      <c r="Z50" s="83">
        <f>Z$6*Z$11*Z$23/Converter!$D$1</f>
        <v>7.5582791421736379</v>
      </c>
      <c r="AA50" s="83">
        <f>AA$6*AA$11*AA$23/Converter!$D$1</f>
        <v>7.3423283095401057</v>
      </c>
      <c r="AB50" s="83">
        <f>AB$6*AB$11*AB$23/Converter!$D$1</f>
        <v>8.6125511070905425</v>
      </c>
      <c r="AC50" s="83">
        <f>AC$6*AC$11*AC$23/Converter!$D$1</f>
        <v>8.0209062919078029</v>
      </c>
      <c r="AD50" s="83">
        <f>AD$6*AD$11*AD$23/Converter!$D$1</f>
        <v>8.5709112947814798</v>
      </c>
      <c r="AE50" s="83">
        <f>AE$6*AE$11*AE$23/Converter!$D$1</f>
        <v>8.7423295206771101</v>
      </c>
      <c r="AF50" s="83">
        <f>AF$6*AF$11*AF$23/Converter!$D$1</f>
        <v>8.9374424204340404</v>
      </c>
      <c r="AG50" s="83">
        <f>AG$6*AG$11*AG$23/Converter!$D$1</f>
        <v>9.9843999611134553</v>
      </c>
      <c r="AH50" s="83">
        <f>AH$6*AH$11*AH$23/Converter!$D$1</f>
        <v>9.7413015272776509</v>
      </c>
      <c r="AI50" s="83">
        <f>AI$6*AI$11*AI$23/Converter!$D$1</f>
        <v>9.4844853961039686</v>
      </c>
      <c r="AJ50" s="83">
        <f>AJ$6*AJ$11*AJ$23/Converter!$D$1</f>
        <v>10.13485010897967</v>
      </c>
      <c r="AK50" s="83">
        <f>AK$6*AK$11*AK$23/Converter!$D$1</f>
        <v>10.337547111159262</v>
      </c>
      <c r="AL50" s="83">
        <f>AL$6*AL$11*AL$23/Converter!$D$1</f>
        <v>10.544298053382448</v>
      </c>
      <c r="AM50" s="83">
        <f>AM$6*AM$11*AM$23/Converter!$D$1</f>
        <v>9.7774400131364523</v>
      </c>
      <c r="AN50" s="83">
        <f>AN$6*AN$11*AN$23/Converter!$D$1</f>
        <v>11.468937135409059</v>
      </c>
      <c r="XCJ50" s="171"/>
      <c r="XCK50" s="171"/>
      <c r="XCL50" s="171"/>
      <c r="XCM50" s="171"/>
      <c r="XCN50" s="171"/>
      <c r="XCO50" s="171"/>
      <c r="XCP50" s="171"/>
      <c r="XCQ50" s="171"/>
      <c r="XCR50" s="171"/>
      <c r="XCS50" s="171"/>
      <c r="XCT50" s="171"/>
      <c r="XCU50" s="171"/>
      <c r="XCV50" s="171"/>
      <c r="XCW50" s="171"/>
      <c r="XCX50" s="171"/>
      <c r="XCY50" s="171"/>
      <c r="XCZ50" s="171"/>
      <c r="XDA50" s="171"/>
      <c r="XDB50" s="171"/>
      <c r="XDC50" s="171"/>
      <c r="XDD50" s="171"/>
      <c r="XDE50" s="171"/>
      <c r="XDF50" s="171"/>
      <c r="XDG50" s="171"/>
      <c r="XDH50" s="171"/>
      <c r="XDI50" s="171"/>
      <c r="XDJ50" s="171"/>
      <c r="XDK50" s="171"/>
      <c r="XDL50" s="171"/>
      <c r="XDM50" s="171"/>
      <c r="XDN50" s="171"/>
      <c r="XDO50" s="171"/>
      <c r="XDP50" s="171"/>
      <c r="XDQ50" s="171"/>
      <c r="XDR50" s="171"/>
      <c r="XDS50" s="171"/>
      <c r="XDT50" s="171"/>
      <c r="XDU50" s="171"/>
      <c r="XDV50" s="171"/>
      <c r="XDW50" s="171"/>
      <c r="XDX50" s="171"/>
      <c r="XDY50" s="171"/>
      <c r="XDZ50" s="171"/>
      <c r="XEA50" s="171"/>
      <c r="XEB50" s="171"/>
      <c r="XEC50" s="171"/>
      <c r="XED50" s="171"/>
      <c r="XEE50" s="171"/>
      <c r="XEF50" s="171"/>
      <c r="XEG50" s="171"/>
      <c r="XEH50" s="171"/>
      <c r="XEI50" s="171"/>
      <c r="XEJ50" s="171"/>
      <c r="XEK50" s="171"/>
      <c r="XEL50" s="171"/>
      <c r="XEM50" s="171"/>
      <c r="XEN50" s="171"/>
      <c r="XEO50" s="171"/>
      <c r="XEP50" s="171"/>
      <c r="XEQ50" s="171"/>
      <c r="XER50" s="171"/>
      <c r="XES50" s="171"/>
      <c r="XET50" s="171"/>
      <c r="XEU50" s="171"/>
      <c r="XEV50" s="171"/>
      <c r="XEW50" s="171"/>
      <c r="XEX50" s="171"/>
      <c r="XEY50" s="171"/>
      <c r="XEZ50" s="171"/>
      <c r="XFA50" s="171"/>
      <c r="XFB50" s="171"/>
      <c r="XFC50" s="171"/>
      <c r="XFD50" s="171"/>
    </row>
    <row r="51" spans="1:40 16312:16384" s="172" customFormat="1" x14ac:dyDescent="0.35">
      <c r="A51" s="164" t="s">
        <v>54</v>
      </c>
      <c r="B51" s="165"/>
      <c r="C51" s="165"/>
      <c r="D51" s="165"/>
      <c r="E51" s="166">
        <f>SUM(E48:E50)</f>
        <v>0</v>
      </c>
      <c r="F51" s="166">
        <f t="shared" ref="F51" si="152">SUM(F48:F50)</f>
        <v>0</v>
      </c>
      <c r="G51" s="166">
        <f t="shared" ref="G51" si="153">SUM(G48:G50)</f>
        <v>0</v>
      </c>
      <c r="H51" s="166">
        <f t="shared" ref="H51" si="154">SUM(H48:H50)</f>
        <v>8.7399999999999984</v>
      </c>
      <c r="I51" s="166">
        <f t="shared" ref="I51" si="155">SUM(I48:I50)</f>
        <v>8.1395999999999997</v>
      </c>
      <c r="J51" s="166">
        <f t="shared" ref="J51" si="156">SUM(J48:J50)</f>
        <v>8.6977440000000001</v>
      </c>
      <c r="K51" s="166">
        <f t="shared" ref="K51" si="157">SUM(K48:K50)</f>
        <v>8.8716988800000003</v>
      </c>
      <c r="L51" s="166">
        <f t="shared" ref="L51" si="158">SUM(L48:L50)</f>
        <v>8.6378086368000009</v>
      </c>
      <c r="M51" s="166">
        <f t="shared" ref="M51" si="159">SUM(M48:M50)</f>
        <v>9.649666219968001</v>
      </c>
      <c r="N51" s="166">
        <f t="shared" ref="N51" si="160">SUM(N48:N50)</f>
        <v>8.9867761057267206</v>
      </c>
      <c r="O51" s="166">
        <f t="shared" ref="O51" si="161">SUM(O48:O50)</f>
        <v>8.7300110741345289</v>
      </c>
      <c r="P51" s="166">
        <f t="shared" ref="P51" si="162">SUM(P48:P50)</f>
        <v>10.240302989959803</v>
      </c>
      <c r="Q51" s="166">
        <f t="shared" ref="Q51" si="163">SUM(Q48:Q50)</f>
        <v>9.9909738736825204</v>
      </c>
      <c r="R51" s="166">
        <f t="shared" ref="R51" si="164">SUM(R48:R50)</f>
        <v>9.7275754715581613</v>
      </c>
      <c r="S51" s="166">
        <f t="shared" ref="S51" si="165">SUM(S48:S50)</f>
        <v>10.394609218179294</v>
      </c>
      <c r="T51" s="166">
        <f t="shared" ref="T51" si="166">SUM(T48:T50)</f>
        <v>11.132626472670022</v>
      </c>
      <c r="U51" s="166">
        <f t="shared" ref="U51" si="167">SUM(U48:U50)</f>
        <v>11.355279002123424</v>
      </c>
      <c r="V51" s="166">
        <f t="shared" ref="V51" si="168">SUM(V48:V50)</f>
        <v>11.582384582165892</v>
      </c>
      <c r="W51" s="166">
        <f t="shared" ref="W51" si="169">SUM(W48:W50)</f>
        <v>11.277030806817884</v>
      </c>
      <c r="X51" s="166">
        <f t="shared" ref="X51" si="170">SUM(X48:X50)</f>
        <v>12.050312919285396</v>
      </c>
      <c r="Y51" s="166">
        <f t="shared" ref="Y51" si="171">SUM(Y48:Y50)</f>
        <v>12.85001550392888</v>
      </c>
      <c r="Z51" s="166">
        <f t="shared" ref="Z51" si="172">SUM(Z48:Z50)</f>
        <v>11.967275308441593</v>
      </c>
      <c r="AA51" s="166">
        <f t="shared" ref="AA51" si="173">SUM(AA48:AA50)</f>
        <v>11.625353156771833</v>
      </c>
      <c r="AB51" s="166">
        <f t="shared" ref="AB51" si="174">SUM(AB48:AB50)</f>
        <v>13.636539252893359</v>
      </c>
      <c r="AC51" s="166">
        <f t="shared" ref="AC51" si="175">SUM(AC48:AC50)</f>
        <v>12.699768295520688</v>
      </c>
      <c r="AD51" s="166">
        <f t="shared" ref="AD51" si="176">SUM(AD48:AD50)</f>
        <v>13.570609550070676</v>
      </c>
      <c r="AE51" s="166">
        <f t="shared" ref="AE51" si="177">SUM(AE48:AE50)</f>
        <v>13.842021741072092</v>
      </c>
      <c r="AF51" s="166">
        <f t="shared" ref="AF51" si="178">SUM(AF48:AF50)</f>
        <v>14.150950499020563</v>
      </c>
      <c r="AG51" s="166">
        <f t="shared" ref="AG51" si="179">SUM(AG48:AG50)</f>
        <v>15.808633271762972</v>
      </c>
      <c r="AH51" s="166">
        <f t="shared" ref="AH51" si="180">SUM(AH48:AH50)</f>
        <v>15.423727418189614</v>
      </c>
      <c r="AI51" s="166">
        <f t="shared" ref="AI51" si="181">SUM(AI48:AI50)</f>
        <v>15.017101877164617</v>
      </c>
      <c r="AJ51" s="166">
        <f t="shared" ref="AJ51" si="182">SUM(AJ48:AJ50)</f>
        <v>16.046846005884476</v>
      </c>
      <c r="AK51" s="166">
        <f t="shared" ref="AK51" si="183">SUM(AK48:AK50)</f>
        <v>16.367782926002164</v>
      </c>
      <c r="AL51" s="166">
        <f t="shared" ref="AL51" si="184">SUM(AL48:AL50)</f>
        <v>16.695138584522208</v>
      </c>
      <c r="AM51" s="166">
        <f t="shared" ref="AM51" si="185">SUM(AM48:AM50)</f>
        <v>15.480946687466048</v>
      </c>
      <c r="AN51" s="166">
        <f t="shared" ref="AN51" si="186">SUM(AN48:AN50)</f>
        <v>18.159150464397676</v>
      </c>
    </row>
    <row r="52" spans="1:40 16312:16384" s="98" customFormat="1" x14ac:dyDescent="0.35">
      <c r="A52" s="77"/>
      <c r="B52" s="97"/>
      <c r="C52" s="97"/>
      <c r="D52" s="97"/>
    </row>
    <row r="53" spans="1:40 16312:16384" x14ac:dyDescent="0.35">
      <c r="A53" s="94" t="s">
        <v>16</v>
      </c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3"/>
      <c r="AC53" s="83"/>
      <c r="AD53" s="83"/>
      <c r="AE53" s="83"/>
      <c r="AF53" s="83"/>
      <c r="AG53" s="83"/>
      <c r="AH53" s="83"/>
      <c r="AI53" s="83"/>
      <c r="AJ53" s="83"/>
      <c r="AK53" s="83"/>
      <c r="AL53" s="83"/>
      <c r="AM53" s="83"/>
      <c r="AN53" s="83"/>
    </row>
    <row r="54" spans="1:40 16312:16384" x14ac:dyDescent="0.35">
      <c r="A54" s="76" t="s">
        <v>6</v>
      </c>
      <c r="E54" s="83">
        <f>E$6*E$12*E$27/Converter!$D$1</f>
        <v>0</v>
      </c>
      <c r="F54" s="83">
        <f>F$6*F$12*F$27/Converter!$D$1</f>
        <v>0</v>
      </c>
      <c r="G54" s="83">
        <f>G$6*G$12*G$27/Converter!$D$1</f>
        <v>0</v>
      </c>
      <c r="H54" s="83">
        <f>H$6*H$12*H$27/Converter!$D$1</f>
        <v>2.3919999999999999</v>
      </c>
      <c r="I54" s="83">
        <f>I$6*I$12*I$27/Converter!$D$1</f>
        <v>2.2276799999999999</v>
      </c>
      <c r="J54" s="83">
        <f>J$6*J$12*J$27/Converter!$D$1</f>
        <v>2.3804352</v>
      </c>
      <c r="K54" s="83">
        <f>K$6*K$12*K$27/Converter!$D$1</f>
        <v>2.4280439039999999</v>
      </c>
      <c r="L54" s="83">
        <f>L$6*L$12*L$27/Converter!$D$1</f>
        <v>2.3640318374399998</v>
      </c>
      <c r="M54" s="83">
        <f>M$6*M$12*M$27/Converter!$D$1</f>
        <v>2.6409612812543997</v>
      </c>
      <c r="N54" s="83">
        <f>N$6*N$12*N$27/Converter!$D$1</f>
        <v>2.4595387236725759</v>
      </c>
      <c r="O54" s="83">
        <f>O$6*O$12*O$27/Converter!$D$1</f>
        <v>2.3892661887105024</v>
      </c>
      <c r="P54" s="83">
        <f>P$6*P$12*P$27/Converter!$D$1</f>
        <v>2.8026092393574196</v>
      </c>
      <c r="Q54" s="83">
        <f>Q$6*Q$12*Q$27/Converter!$D$1</f>
        <v>2.7343717970078472</v>
      </c>
      <c r="R54" s="83">
        <f>R$6*R$12*R$27/Converter!$D$1</f>
        <v>2.6622838132685498</v>
      </c>
      <c r="S54" s="83">
        <f>S$6*S$12*S$27/Converter!$D$1</f>
        <v>2.8448404176069646</v>
      </c>
      <c r="T54" s="83">
        <f>T$6*T$12*T$27/Converter!$D$1</f>
        <v>3.0468240872570589</v>
      </c>
      <c r="U54" s="83">
        <f>U$6*U$12*U$27/Converter!$D$1</f>
        <v>3.1077605690021999</v>
      </c>
      <c r="V54" s="83">
        <f>V$6*V$12*V$27/Converter!$D$1</f>
        <v>3.1699157803822442</v>
      </c>
      <c r="W54" s="83">
        <f>W$6*W$12*W$27/Converter!$D$1</f>
        <v>3.086345273444894</v>
      </c>
      <c r="X54" s="83">
        <f>X$6*X$12*X$27/Converter!$D$1</f>
        <v>3.2979803779096866</v>
      </c>
      <c r="Y54" s="83">
        <f>Y$6*Y$12*Y$27/Converter!$D$1</f>
        <v>3.5168463484436927</v>
      </c>
      <c r="Z54" s="83">
        <f>Z$6*Z$12*Z$27/Converter!$D$1</f>
        <v>3.275254294941909</v>
      </c>
      <c r="AA54" s="83">
        <f>AA$6*AA$12*AA$27/Converter!$D$1</f>
        <v>3.1816756008007121</v>
      </c>
      <c r="AB54" s="83">
        <f>AB$6*AB$12*AB$27/Converter!$D$1</f>
        <v>3.7321054797392352</v>
      </c>
      <c r="AC54" s="83">
        <f>AC$6*AC$12*AC$27/Converter!$D$1</f>
        <v>3.4757260598267137</v>
      </c>
      <c r="AD54" s="83">
        <f>AD$6*AD$12*AD$27/Converter!$D$1</f>
        <v>3.7140615610719747</v>
      </c>
      <c r="AE54" s="83">
        <f>AE$6*AE$12*AE$27/Converter!$D$1</f>
        <v>3.7883427922934136</v>
      </c>
      <c r="AF54" s="83">
        <f>AF$6*AF$12*AF$27/Converter!$D$1</f>
        <v>3.8728917155214164</v>
      </c>
      <c r="AG54" s="83">
        <f>AG$6*AG$12*AG$27/Converter!$D$1</f>
        <v>4.3265733164824969</v>
      </c>
      <c r="AH54" s="83">
        <f>AH$6*AH$12*AH$27/Converter!$D$1</f>
        <v>4.2212306618203144</v>
      </c>
      <c r="AI54" s="83">
        <f>AI$6*AI$12*AI$27/Converter!$D$1</f>
        <v>4.1099436716450519</v>
      </c>
      <c r="AJ54" s="83">
        <f>AJ$6*AJ$12*AJ$27/Converter!$D$1</f>
        <v>4.3917683805578553</v>
      </c>
      <c r="AK54" s="83">
        <f>AK$6*AK$12*AK$27/Converter!$D$1</f>
        <v>4.479603748169013</v>
      </c>
      <c r="AL54" s="83">
        <f>AL$6*AL$12*AL$27/Converter!$D$1</f>
        <v>4.569195823132393</v>
      </c>
      <c r="AM54" s="83">
        <f>AM$6*AM$12*AM$27/Converter!$D$1</f>
        <v>4.2368906723591282</v>
      </c>
      <c r="AN54" s="83">
        <f>AN$6*AN$12*AN$27/Converter!$D$1</f>
        <v>4.9698727586772566</v>
      </c>
    </row>
    <row r="55" spans="1:40 16312:16384" x14ac:dyDescent="0.35">
      <c r="A55" s="76" t="s">
        <v>7</v>
      </c>
      <c r="E55" s="83">
        <f>E$6*E$12*E$28/Converter!$D$1</f>
        <v>0</v>
      </c>
      <c r="F55" s="83">
        <f>F$6*F$12*F$28/Converter!$D$1</f>
        <v>0</v>
      </c>
      <c r="G55" s="83">
        <f>G$6*G$12*G$28/Converter!$D$1</f>
        <v>0</v>
      </c>
      <c r="H55" s="83">
        <f>H$6*H$12*H$28/Converter!$D$1</f>
        <v>2.3919999999999999</v>
      </c>
      <c r="I55" s="83">
        <f>I$6*I$12*I$28/Converter!$D$1</f>
        <v>2.2276799999999999</v>
      </c>
      <c r="J55" s="83">
        <f>J$6*J$12*J$28/Converter!$D$1</f>
        <v>2.3804352</v>
      </c>
      <c r="K55" s="83">
        <f>K$6*K$12*K$28/Converter!$D$1</f>
        <v>2.4280439039999999</v>
      </c>
      <c r="L55" s="83">
        <f>L$6*L$12*L$28/Converter!$D$1</f>
        <v>2.3640318374399998</v>
      </c>
      <c r="M55" s="83">
        <f>M$6*M$12*M$28/Converter!$D$1</f>
        <v>2.6409612812543997</v>
      </c>
      <c r="N55" s="83">
        <f>N$6*N$12*N$28/Converter!$D$1</f>
        <v>2.4595387236725759</v>
      </c>
      <c r="O55" s="83">
        <f>O$6*O$12*O$28/Converter!$D$1</f>
        <v>2.3892661887105024</v>
      </c>
      <c r="P55" s="83">
        <f>P$6*P$12*P$28/Converter!$D$1</f>
        <v>2.8026092393574196</v>
      </c>
      <c r="Q55" s="83">
        <f>Q$6*Q$12*Q$28/Converter!$D$1</f>
        <v>2.7343717970078472</v>
      </c>
      <c r="R55" s="83">
        <f>R$6*R$12*R$28/Converter!$D$1</f>
        <v>2.6622838132685498</v>
      </c>
      <c r="S55" s="83">
        <f>S$6*S$12*S$28/Converter!$D$1</f>
        <v>2.8448404176069646</v>
      </c>
      <c r="T55" s="83">
        <f>T$6*T$12*T$28/Converter!$D$1</f>
        <v>3.0468240872570589</v>
      </c>
      <c r="U55" s="83">
        <f>U$6*U$12*U$28/Converter!$D$1</f>
        <v>3.1077605690021999</v>
      </c>
      <c r="V55" s="83">
        <f>V$6*V$12*V$28/Converter!$D$1</f>
        <v>3.1699157803822442</v>
      </c>
      <c r="W55" s="83">
        <f>W$6*W$12*W$28/Converter!$D$1</f>
        <v>3.086345273444894</v>
      </c>
      <c r="X55" s="83">
        <f>X$6*X$12*X$28/Converter!$D$1</f>
        <v>3.2979803779096866</v>
      </c>
      <c r="Y55" s="83">
        <f>Y$6*Y$12*Y$28/Converter!$D$1</f>
        <v>3.5168463484436927</v>
      </c>
      <c r="Z55" s="83">
        <f>Z$6*Z$12*Z$28/Converter!$D$1</f>
        <v>3.275254294941909</v>
      </c>
      <c r="AA55" s="83">
        <f>AA$6*AA$12*AA$28/Converter!$D$1</f>
        <v>3.1816756008007121</v>
      </c>
      <c r="AB55" s="83">
        <f>AB$6*AB$12*AB$28/Converter!$D$1</f>
        <v>3.7321054797392352</v>
      </c>
      <c r="AC55" s="83">
        <f>AC$6*AC$12*AC$28/Converter!$D$1</f>
        <v>3.4757260598267137</v>
      </c>
      <c r="AD55" s="83">
        <f>AD$6*AD$12*AD$28/Converter!$D$1</f>
        <v>3.7140615610719747</v>
      </c>
      <c r="AE55" s="83">
        <f>AE$6*AE$12*AE$28/Converter!$D$1</f>
        <v>3.7883427922934136</v>
      </c>
      <c r="AF55" s="83">
        <f>AF$6*AF$12*AF$28/Converter!$D$1</f>
        <v>3.8728917155214164</v>
      </c>
      <c r="AG55" s="83">
        <f>AG$6*AG$12*AG$28/Converter!$D$1</f>
        <v>4.3265733164824969</v>
      </c>
      <c r="AH55" s="83">
        <f>AH$6*AH$12*AH$28/Converter!$D$1</f>
        <v>4.2212306618203144</v>
      </c>
      <c r="AI55" s="83">
        <f>AI$6*AI$12*AI$28/Converter!$D$1</f>
        <v>4.1099436716450519</v>
      </c>
      <c r="AJ55" s="83">
        <f>AJ$6*AJ$12*AJ$28/Converter!$D$1</f>
        <v>4.3917683805578553</v>
      </c>
      <c r="AK55" s="83">
        <f>AK$6*AK$12*AK$28/Converter!$D$1</f>
        <v>4.479603748169013</v>
      </c>
      <c r="AL55" s="83">
        <f>AL$6*AL$12*AL$28/Converter!$D$1</f>
        <v>4.569195823132393</v>
      </c>
      <c r="AM55" s="83">
        <f>AM$6*AM$12*AM$28/Converter!$D$1</f>
        <v>4.2368906723591282</v>
      </c>
      <c r="AN55" s="83">
        <f>AN$6*AN$12*AN$28/Converter!$D$1</f>
        <v>4.9698727586772566</v>
      </c>
    </row>
    <row r="56" spans="1:40 16312:16384" x14ac:dyDescent="0.35">
      <c r="A56" s="76" t="s">
        <v>8</v>
      </c>
      <c r="E56" s="83">
        <f>E$6*E$12*E$29/Converter!$D$1</f>
        <v>0</v>
      </c>
      <c r="F56" s="83">
        <f>F$6*F$12*F$29/Converter!$D$1</f>
        <v>0</v>
      </c>
      <c r="G56" s="83">
        <f>G$6*G$12*G$29/Converter!$D$1</f>
        <v>0</v>
      </c>
      <c r="H56" s="83">
        <f>H$6*H$12*H$29/Converter!$D$1</f>
        <v>7.1760000000000002</v>
      </c>
      <c r="I56" s="83">
        <f>I$6*I$12*I$29/Converter!$D$1</f>
        <v>6.6830400000000001</v>
      </c>
      <c r="J56" s="83">
        <f>J$6*J$12*J$29/Converter!$D$1</f>
        <v>7.141305599999999</v>
      </c>
      <c r="K56" s="83">
        <f>K$6*K$12*K$29/Converter!$D$1</f>
        <v>7.2841317119999998</v>
      </c>
      <c r="L56" s="83">
        <f>L$6*L$12*L$29/Converter!$D$1</f>
        <v>7.0920955123200002</v>
      </c>
      <c r="M56" s="83">
        <f>M$6*M$12*M$29/Converter!$D$1</f>
        <v>7.9228838437632003</v>
      </c>
      <c r="N56" s="83">
        <f>N$6*N$12*N$29/Converter!$D$1</f>
        <v>7.378616171017728</v>
      </c>
      <c r="O56" s="83">
        <f>O$6*O$12*O$29/Converter!$D$1</f>
        <v>7.1677985661315065</v>
      </c>
      <c r="P56" s="83">
        <f>P$6*P$12*P$29/Converter!$D$1</f>
        <v>8.4078277180722587</v>
      </c>
      <c r="Q56" s="83">
        <f>Q$6*Q$12*Q$29/Converter!$D$1</f>
        <v>8.2031153910235428</v>
      </c>
      <c r="R56" s="83">
        <f>R$6*R$12*R$29/Converter!$D$1</f>
        <v>7.9868514398056494</v>
      </c>
      <c r="S56" s="83">
        <f>S$6*S$12*S$29/Converter!$D$1</f>
        <v>8.5345212528208929</v>
      </c>
      <c r="T56" s="83">
        <f>T$6*T$12*T$29/Converter!$D$1</f>
        <v>9.1404722617711762</v>
      </c>
      <c r="U56" s="83">
        <f>U$6*U$12*U$29/Converter!$D$1</f>
        <v>9.3232817070066005</v>
      </c>
      <c r="V56" s="83">
        <f>V$6*V$12*V$29/Converter!$D$1</f>
        <v>9.509747341146733</v>
      </c>
      <c r="W56" s="83">
        <f>W$6*W$12*W$29/Converter!$D$1</f>
        <v>9.2590358203346828</v>
      </c>
      <c r="X56" s="83">
        <f>X$6*X$12*X$29/Converter!$D$1</f>
        <v>9.8939411337290597</v>
      </c>
      <c r="Y56" s="83">
        <f>Y$6*Y$12*Y$29/Converter!$D$1</f>
        <v>10.550539045331078</v>
      </c>
      <c r="Z56" s="83">
        <f>Z$6*Z$12*Z$29/Converter!$D$1</f>
        <v>9.8257628848257283</v>
      </c>
      <c r="AA56" s="83">
        <f>AA$6*AA$12*AA$29/Converter!$D$1</f>
        <v>9.5450268024021359</v>
      </c>
      <c r="AB56" s="83">
        <f>AB$6*AB$12*AB$29/Converter!$D$1</f>
        <v>11.196316439217703</v>
      </c>
      <c r="AC56" s="83">
        <f>AC$6*AC$12*AC$29/Converter!$D$1</f>
        <v>10.427178179480141</v>
      </c>
      <c r="AD56" s="83">
        <f>AD$6*AD$12*AD$29/Converter!$D$1</f>
        <v>11.142184683215923</v>
      </c>
      <c r="AE56" s="83">
        <f>AE$6*AE$12*AE$29/Converter!$D$1</f>
        <v>11.365028376880241</v>
      </c>
      <c r="AF56" s="83">
        <f>AF$6*AF$12*AF$29/Converter!$D$1</f>
        <v>11.61867514656425</v>
      </c>
      <c r="AG56" s="83">
        <f>AG$6*AG$12*AG$29/Converter!$D$1</f>
        <v>12.979719949447492</v>
      </c>
      <c r="AH56" s="83">
        <f>AH$6*AH$12*AH$29/Converter!$D$1</f>
        <v>12.663691985460943</v>
      </c>
      <c r="AI56" s="83">
        <f>AI$6*AI$12*AI$29/Converter!$D$1</f>
        <v>12.329831014935156</v>
      </c>
      <c r="AJ56" s="83">
        <f>AJ$6*AJ$12*AJ$29/Converter!$D$1</f>
        <v>13.175305141673565</v>
      </c>
      <c r="AK56" s="83">
        <f>AK$6*AK$12*AK$29/Converter!$D$1</f>
        <v>13.438811244507038</v>
      </c>
      <c r="AL56" s="83">
        <f>AL$6*AL$12*AL$29/Converter!$D$1</f>
        <v>13.707587469397181</v>
      </c>
      <c r="AM56" s="83">
        <f>AM$6*AM$12*AM$29/Converter!$D$1</f>
        <v>12.710672017077382</v>
      </c>
      <c r="AN56" s="83">
        <f>AN$6*AN$12*AN$29/Converter!$D$1</f>
        <v>14.90961827603177</v>
      </c>
    </row>
    <row r="57" spans="1:40 16312:16384" s="172" customFormat="1" x14ac:dyDescent="0.35">
      <c r="A57" s="164" t="s">
        <v>54</v>
      </c>
      <c r="B57" s="165"/>
      <c r="C57" s="165"/>
      <c r="D57" s="165"/>
      <c r="E57" s="166">
        <f>SUM(E54:E56)</f>
        <v>0</v>
      </c>
      <c r="F57" s="166">
        <f t="shared" ref="F57" si="187">SUM(F54:F56)</f>
        <v>0</v>
      </c>
      <c r="G57" s="166">
        <f t="shared" ref="G57" si="188">SUM(G54:G56)</f>
        <v>0</v>
      </c>
      <c r="H57" s="166">
        <f t="shared" ref="H57" si="189">SUM(H54:H56)</f>
        <v>11.96</v>
      </c>
      <c r="I57" s="166">
        <f t="shared" ref="I57" si="190">SUM(I54:I56)</f>
        <v>11.138400000000001</v>
      </c>
      <c r="J57" s="166">
        <f t="shared" ref="J57" si="191">SUM(J54:J56)</f>
        <v>11.902175999999999</v>
      </c>
      <c r="K57" s="166">
        <f t="shared" ref="K57" si="192">SUM(K54:K56)</f>
        <v>12.140219519999999</v>
      </c>
      <c r="L57" s="166">
        <f t="shared" ref="L57" si="193">SUM(L54:L56)</f>
        <v>11.8201591872</v>
      </c>
      <c r="M57" s="166">
        <f t="shared" ref="M57" si="194">SUM(M54:M56)</f>
        <v>13.204806406271999</v>
      </c>
      <c r="N57" s="166">
        <f t="shared" ref="N57" si="195">SUM(N54:N56)</f>
        <v>12.29769361836288</v>
      </c>
      <c r="O57" s="166">
        <f t="shared" ref="O57" si="196">SUM(O54:O56)</f>
        <v>11.94633094355251</v>
      </c>
      <c r="P57" s="166">
        <f t="shared" ref="P57" si="197">SUM(P54:P56)</f>
        <v>14.013046196787098</v>
      </c>
      <c r="Q57" s="166">
        <f t="shared" ref="Q57" si="198">SUM(Q54:Q56)</f>
        <v>13.671858985039236</v>
      </c>
      <c r="R57" s="166">
        <f t="shared" ref="R57" si="199">SUM(R54:R56)</f>
        <v>13.311419066342749</v>
      </c>
      <c r="S57" s="166">
        <f t="shared" ref="S57" si="200">SUM(S54:S56)</f>
        <v>14.224202088034822</v>
      </c>
      <c r="T57" s="166">
        <f t="shared" ref="T57" si="201">SUM(T54:T56)</f>
        <v>15.234120436285295</v>
      </c>
      <c r="U57" s="166">
        <f t="shared" ref="U57" si="202">SUM(U54:U56)</f>
        <v>15.538802845011</v>
      </c>
      <c r="V57" s="166">
        <f t="shared" ref="V57" si="203">SUM(V54:V56)</f>
        <v>15.849578901911222</v>
      </c>
      <c r="W57" s="166">
        <f t="shared" ref="W57" si="204">SUM(W54:W56)</f>
        <v>15.431726367224471</v>
      </c>
      <c r="X57" s="166">
        <f t="shared" ref="X57" si="205">SUM(X54:X56)</f>
        <v>16.489901889548435</v>
      </c>
      <c r="Y57" s="166">
        <f t="shared" ref="Y57" si="206">SUM(Y54:Y56)</f>
        <v>17.584231742218464</v>
      </c>
      <c r="Z57" s="166">
        <f t="shared" ref="Z57" si="207">SUM(Z54:Z56)</f>
        <v>16.376271474709547</v>
      </c>
      <c r="AA57" s="166">
        <f t="shared" ref="AA57" si="208">SUM(AA54:AA56)</f>
        <v>15.908378004003559</v>
      </c>
      <c r="AB57" s="166">
        <f t="shared" ref="AB57" si="209">SUM(AB54:AB56)</f>
        <v>18.660527398696175</v>
      </c>
      <c r="AC57" s="166">
        <f t="shared" ref="AC57" si="210">SUM(AC54:AC56)</f>
        <v>17.378630299133569</v>
      </c>
      <c r="AD57" s="166">
        <f t="shared" ref="AD57" si="211">SUM(AD54:AD56)</f>
        <v>18.570307805359874</v>
      </c>
      <c r="AE57" s="166">
        <f t="shared" ref="AE57" si="212">SUM(AE54:AE56)</f>
        <v>18.94171396146707</v>
      </c>
      <c r="AF57" s="166">
        <f t="shared" ref="AF57" si="213">SUM(AF54:AF56)</f>
        <v>19.364458577607081</v>
      </c>
      <c r="AG57" s="166">
        <f t="shared" ref="AG57" si="214">SUM(AG54:AG56)</f>
        <v>21.632866582412486</v>
      </c>
      <c r="AH57" s="166">
        <f t="shared" ref="AH57" si="215">SUM(AH54:AH56)</f>
        <v>21.106153309101572</v>
      </c>
      <c r="AI57" s="166">
        <f t="shared" ref="AI57" si="216">SUM(AI54:AI56)</f>
        <v>20.54971835822526</v>
      </c>
      <c r="AJ57" s="166">
        <f t="shared" ref="AJ57" si="217">SUM(AJ54:AJ56)</f>
        <v>21.958841902789274</v>
      </c>
      <c r="AK57" s="166">
        <f t="shared" ref="AK57" si="218">SUM(AK54:AK56)</f>
        <v>22.398018740845064</v>
      </c>
      <c r="AL57" s="166">
        <f t="shared" ref="AL57" si="219">SUM(AL54:AL56)</f>
        <v>22.845979115661969</v>
      </c>
      <c r="AM57" s="166">
        <f t="shared" ref="AM57" si="220">SUM(AM54:AM56)</f>
        <v>21.18445336179564</v>
      </c>
      <c r="AN57" s="166">
        <f t="shared" ref="AN57" si="221">SUM(AN54:AN56)</f>
        <v>24.849363793386281</v>
      </c>
    </row>
    <row r="58" spans="1:40 16312:16384" s="98" customFormat="1" x14ac:dyDescent="0.35">
      <c r="A58" s="77"/>
      <c r="B58" s="97"/>
      <c r="C58" s="97"/>
      <c r="D58" s="97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100"/>
      <c r="AB58" s="100"/>
      <c r="AC58" s="100"/>
      <c r="AD58" s="100"/>
      <c r="AE58" s="100"/>
      <c r="AF58" s="100"/>
      <c r="AG58" s="100"/>
      <c r="AH58" s="100"/>
      <c r="AI58" s="100"/>
      <c r="AJ58" s="100"/>
      <c r="AK58" s="100"/>
      <c r="AL58" s="100"/>
      <c r="AM58" s="100"/>
      <c r="AN58" s="100"/>
    </row>
    <row r="59" spans="1:40 16312:16384" x14ac:dyDescent="0.35">
      <c r="A59" s="95" t="s">
        <v>109</v>
      </c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83"/>
      <c r="AB59" s="83"/>
      <c r="AC59" s="83"/>
      <c r="AD59" s="83"/>
      <c r="AE59" s="83"/>
      <c r="AF59" s="83"/>
      <c r="AG59" s="83"/>
      <c r="AH59" s="83"/>
      <c r="AI59" s="83"/>
      <c r="AJ59" s="83"/>
      <c r="AK59" s="83"/>
      <c r="AL59" s="83"/>
      <c r="AM59" s="83"/>
      <c r="AN59" s="83"/>
    </row>
    <row r="60" spans="1:40 16312:16384" x14ac:dyDescent="0.35">
      <c r="A60" s="95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83"/>
      <c r="AB60" s="83"/>
      <c r="AC60" s="83"/>
      <c r="AD60" s="83"/>
      <c r="AE60" s="83"/>
      <c r="AF60" s="83"/>
      <c r="AG60" s="83"/>
      <c r="AH60" s="83"/>
      <c r="AI60" s="83"/>
      <c r="AJ60" s="83"/>
      <c r="AK60" s="83"/>
      <c r="AL60" s="83"/>
      <c r="AM60" s="83"/>
      <c r="AN60" s="83"/>
    </row>
    <row r="61" spans="1:40 16312:16384" x14ac:dyDescent="0.35">
      <c r="A61" s="92" t="s">
        <v>4</v>
      </c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83"/>
      <c r="AB61" s="83"/>
      <c r="AC61" s="83"/>
      <c r="AD61" s="83"/>
      <c r="AE61" s="83"/>
      <c r="AF61" s="83"/>
      <c r="AG61" s="83"/>
      <c r="AH61" s="83"/>
      <c r="AI61" s="83"/>
      <c r="AJ61" s="83"/>
      <c r="AK61" s="83"/>
      <c r="AL61" s="83"/>
      <c r="AM61" s="83"/>
      <c r="AN61" s="83"/>
    </row>
    <row r="62" spans="1:40 16312:16384" x14ac:dyDescent="0.35">
      <c r="A62" s="76" t="s">
        <v>6</v>
      </c>
      <c r="E62" s="83">
        <f t="shared" ref="E62:AN62" si="222">E34*E15*E7/deno</f>
        <v>0</v>
      </c>
      <c r="F62" s="83">
        <f t="shared" si="222"/>
        <v>0</v>
      </c>
      <c r="G62" s="83">
        <f t="shared" si="222"/>
        <v>0</v>
      </c>
      <c r="H62" s="83">
        <f t="shared" si="222"/>
        <v>1.04</v>
      </c>
      <c r="I62" s="83">
        <f t="shared" si="222"/>
        <v>1.3520000000000001</v>
      </c>
      <c r="J62" s="83">
        <f t="shared" si="222"/>
        <v>1.1248640000000001</v>
      </c>
      <c r="K62" s="83">
        <f t="shared" si="222"/>
        <v>1.3160908800000002</v>
      </c>
      <c r="L62" s="83">
        <f t="shared" si="222"/>
        <v>1.3687345152000003</v>
      </c>
      <c r="M62" s="83">
        <f t="shared" si="222"/>
        <v>1.2653190184960001</v>
      </c>
      <c r="N62" s="83">
        <f t="shared" si="222"/>
        <v>1.6449147240448003</v>
      </c>
      <c r="O62" s="83">
        <f t="shared" si="222"/>
        <v>1.3685690504052737</v>
      </c>
      <c r="P62" s="83">
        <f t="shared" si="222"/>
        <v>1.4233118124214847</v>
      </c>
      <c r="Q62" s="83">
        <f t="shared" si="222"/>
        <v>1.4802442849183444</v>
      </c>
      <c r="R62" s="83">
        <f t="shared" si="222"/>
        <v>1.924317570393848</v>
      </c>
      <c r="S62" s="83">
        <f t="shared" si="222"/>
        <v>1.6010322185676815</v>
      </c>
      <c r="T62" s="83">
        <f t="shared" si="222"/>
        <v>1.9668680805103966</v>
      </c>
      <c r="U62" s="83">
        <f t="shared" si="222"/>
        <v>2.0455428037308128</v>
      </c>
      <c r="V62" s="83">
        <f t="shared" si="222"/>
        <v>1.8909906807822627</v>
      </c>
      <c r="W62" s="83">
        <f t="shared" si="222"/>
        <v>2.4582878850169414</v>
      </c>
      <c r="X62" s="83">
        <f t="shared" si="222"/>
        <v>2.0452955203340957</v>
      </c>
      <c r="Y62" s="83">
        <f t="shared" si="222"/>
        <v>2.1271073411474597</v>
      </c>
      <c r="Z62" s="83">
        <f t="shared" si="222"/>
        <v>2.7652395434916972</v>
      </c>
      <c r="AA62" s="83">
        <f t="shared" si="222"/>
        <v>2.300679300185092</v>
      </c>
      <c r="AB62" s="83">
        <f t="shared" si="222"/>
        <v>2.3927064721924962</v>
      </c>
      <c r="AC62" s="83">
        <f t="shared" si="222"/>
        <v>2.7994665724652203</v>
      </c>
      <c r="AD62" s="83">
        <f t="shared" si="222"/>
        <v>2.9114452353638289</v>
      </c>
      <c r="AE62" s="83">
        <f t="shared" si="222"/>
        <v>2.6914693731363402</v>
      </c>
      <c r="AF62" s="83">
        <f t="shared" si="222"/>
        <v>3.6738556943311051</v>
      </c>
      <c r="AG62" s="83">
        <f t="shared" si="222"/>
        <v>3.0566479376834792</v>
      </c>
      <c r="AH62" s="83">
        <f t="shared" si="222"/>
        <v>3.1789138551908183</v>
      </c>
      <c r="AI62" s="83">
        <f t="shared" si="222"/>
        <v>4.132588011748064</v>
      </c>
      <c r="AJ62" s="83">
        <f t="shared" si="222"/>
        <v>3.4383132257743894</v>
      </c>
      <c r="AK62" s="83">
        <f t="shared" si="222"/>
        <v>3.9689999999999999</v>
      </c>
      <c r="AL62" s="83">
        <f t="shared" si="222"/>
        <v>3.9689999999999999</v>
      </c>
      <c r="AM62" s="83">
        <f t="shared" si="222"/>
        <v>3.528</v>
      </c>
      <c r="AN62" s="83">
        <f t="shared" si="222"/>
        <v>3.528</v>
      </c>
    </row>
    <row r="63" spans="1:40 16312:16384" x14ac:dyDescent="0.35">
      <c r="A63" s="76" t="s">
        <v>7</v>
      </c>
      <c r="E63" s="83">
        <f t="shared" ref="E63:AN63" si="223">E35*E15*E7/deno</f>
        <v>0</v>
      </c>
      <c r="F63" s="83">
        <f t="shared" si="223"/>
        <v>0</v>
      </c>
      <c r="G63" s="83">
        <f t="shared" si="223"/>
        <v>0</v>
      </c>
      <c r="H63" s="83">
        <f t="shared" si="223"/>
        <v>0.83199999999999996</v>
      </c>
      <c r="I63" s="83">
        <f t="shared" si="223"/>
        <v>1.0815999999999999</v>
      </c>
      <c r="J63" s="83">
        <f t="shared" si="223"/>
        <v>0.8998912</v>
      </c>
      <c r="K63" s="83">
        <f t="shared" si="223"/>
        <v>1.0528727040000003</v>
      </c>
      <c r="L63" s="83">
        <f t="shared" si="223"/>
        <v>1.0949876121600002</v>
      </c>
      <c r="M63" s="83">
        <f t="shared" si="223"/>
        <v>1.0122552147968</v>
      </c>
      <c r="N63" s="83">
        <f t="shared" si="223"/>
        <v>1.3159317792358403</v>
      </c>
      <c r="O63" s="83">
        <f t="shared" si="223"/>
        <v>1.0948552403242191</v>
      </c>
      <c r="P63" s="83">
        <f t="shared" si="223"/>
        <v>1.138649449937188</v>
      </c>
      <c r="Q63" s="83">
        <f t="shared" si="223"/>
        <v>1.1841954279346756</v>
      </c>
      <c r="R63" s="83">
        <f t="shared" si="223"/>
        <v>1.5394540563150783</v>
      </c>
      <c r="S63" s="83">
        <f t="shared" si="223"/>
        <v>1.2808257748541452</v>
      </c>
      <c r="T63" s="83">
        <f t="shared" si="223"/>
        <v>1.5734944644083175</v>
      </c>
      <c r="U63" s="83">
        <f t="shared" si="223"/>
        <v>1.6364342429846501</v>
      </c>
      <c r="V63" s="83">
        <f t="shared" si="223"/>
        <v>1.5127925446258101</v>
      </c>
      <c r="W63" s="83">
        <f t="shared" si="223"/>
        <v>1.9666303080135534</v>
      </c>
      <c r="X63" s="83">
        <f t="shared" si="223"/>
        <v>1.6362364162672765</v>
      </c>
      <c r="Y63" s="83">
        <f t="shared" si="223"/>
        <v>1.7016858729179676</v>
      </c>
      <c r="Z63" s="83">
        <f t="shared" si="223"/>
        <v>2.2121916347933581</v>
      </c>
      <c r="AA63" s="83">
        <f t="shared" si="223"/>
        <v>1.8405434401480738</v>
      </c>
      <c r="AB63" s="83">
        <f t="shared" si="223"/>
        <v>1.9141651777539967</v>
      </c>
      <c r="AC63" s="83">
        <f t="shared" si="223"/>
        <v>2.2395732579721761</v>
      </c>
      <c r="AD63" s="83">
        <f t="shared" si="223"/>
        <v>2.3291561882910634</v>
      </c>
      <c r="AE63" s="83">
        <f t="shared" si="223"/>
        <v>2.1531754985090723</v>
      </c>
      <c r="AF63" s="83">
        <f t="shared" si="223"/>
        <v>2.9390845554648841</v>
      </c>
      <c r="AG63" s="83">
        <f t="shared" si="223"/>
        <v>2.4453183501467834</v>
      </c>
      <c r="AH63" s="83">
        <f t="shared" si="223"/>
        <v>2.5431310841526549</v>
      </c>
      <c r="AI63" s="83">
        <f t="shared" si="223"/>
        <v>3.3060704093984516</v>
      </c>
      <c r="AJ63" s="83">
        <f t="shared" si="223"/>
        <v>2.7506505806195118</v>
      </c>
      <c r="AK63" s="83">
        <f t="shared" si="223"/>
        <v>3.1751999999999998</v>
      </c>
      <c r="AL63" s="83">
        <f t="shared" si="223"/>
        <v>3.1751999999999998</v>
      </c>
      <c r="AM63" s="83">
        <f t="shared" si="223"/>
        <v>2.8224</v>
      </c>
      <c r="AN63" s="83">
        <f t="shared" si="223"/>
        <v>2.8224</v>
      </c>
    </row>
    <row r="64" spans="1:40 16312:16384" x14ac:dyDescent="0.35">
      <c r="A64" s="76" t="s">
        <v>8</v>
      </c>
      <c r="E64" s="83">
        <f t="shared" ref="E64:AN64" si="224">E36*E15*E7/deno</f>
        <v>0</v>
      </c>
      <c r="F64" s="83">
        <f t="shared" si="224"/>
        <v>0</v>
      </c>
      <c r="G64" s="83">
        <f t="shared" si="224"/>
        <v>0</v>
      </c>
      <c r="H64" s="83">
        <f t="shared" si="224"/>
        <v>2.496</v>
      </c>
      <c r="I64" s="83">
        <f t="shared" si="224"/>
        <v>3.2448000000000001</v>
      </c>
      <c r="J64" s="83">
        <f t="shared" si="224"/>
        <v>2.6996735999999997</v>
      </c>
      <c r="K64" s="83">
        <f t="shared" si="224"/>
        <v>3.1586181120000001</v>
      </c>
      <c r="L64" s="83">
        <f t="shared" si="224"/>
        <v>3.2849628364800005</v>
      </c>
      <c r="M64" s="83">
        <f t="shared" si="224"/>
        <v>3.0367656443904001</v>
      </c>
      <c r="N64" s="83">
        <f t="shared" si="224"/>
        <v>3.9477953377075208</v>
      </c>
      <c r="O64" s="83">
        <f t="shared" si="224"/>
        <v>3.2845657209726569</v>
      </c>
      <c r="P64" s="83">
        <f t="shared" si="224"/>
        <v>3.4159483498115639</v>
      </c>
      <c r="Q64" s="83">
        <f t="shared" si="224"/>
        <v>3.5525862838040267</v>
      </c>
      <c r="R64" s="83">
        <f t="shared" si="224"/>
        <v>4.618362168945235</v>
      </c>
      <c r="S64" s="83">
        <f t="shared" si="224"/>
        <v>3.8424773245624362</v>
      </c>
      <c r="T64" s="83">
        <f t="shared" si="224"/>
        <v>4.7204833932249519</v>
      </c>
      <c r="U64" s="83">
        <f t="shared" si="224"/>
        <v>4.9093027289539499</v>
      </c>
      <c r="V64" s="83">
        <f t="shared" si="224"/>
        <v>4.5383776338774302</v>
      </c>
      <c r="W64" s="83">
        <f t="shared" si="224"/>
        <v>5.8998909240406601</v>
      </c>
      <c r="X64" s="83">
        <f t="shared" si="224"/>
        <v>4.9087092488018289</v>
      </c>
      <c r="Y64" s="83">
        <f t="shared" si="224"/>
        <v>5.1050576187539027</v>
      </c>
      <c r="Z64" s="83">
        <f t="shared" si="224"/>
        <v>6.6365749043800744</v>
      </c>
      <c r="AA64" s="83">
        <f t="shared" si="224"/>
        <v>5.5216303204442214</v>
      </c>
      <c r="AB64" s="83">
        <f t="shared" si="224"/>
        <v>5.7424955332619909</v>
      </c>
      <c r="AC64" s="83">
        <f t="shared" si="224"/>
        <v>6.7187197739165274</v>
      </c>
      <c r="AD64" s="83">
        <f t="shared" si="224"/>
        <v>6.9874685648731898</v>
      </c>
      <c r="AE64" s="83">
        <f t="shared" si="224"/>
        <v>6.459526495527216</v>
      </c>
      <c r="AF64" s="83">
        <f t="shared" si="224"/>
        <v>8.8172536663946524</v>
      </c>
      <c r="AG64" s="83">
        <f t="shared" si="224"/>
        <v>7.3359550504403499</v>
      </c>
      <c r="AH64" s="83">
        <f t="shared" si="224"/>
        <v>7.6293932524579651</v>
      </c>
      <c r="AI64" s="83">
        <f t="shared" si="224"/>
        <v>9.9182112281953554</v>
      </c>
      <c r="AJ64" s="83">
        <f t="shared" si="224"/>
        <v>8.2519517418585338</v>
      </c>
      <c r="AK64" s="83">
        <f t="shared" si="224"/>
        <v>9.5256000000000007</v>
      </c>
      <c r="AL64" s="83">
        <f t="shared" si="224"/>
        <v>9.5256000000000007</v>
      </c>
      <c r="AM64" s="83">
        <f t="shared" si="224"/>
        <v>8.4672000000000001</v>
      </c>
      <c r="AN64" s="83">
        <f t="shared" si="224"/>
        <v>8.4672000000000001</v>
      </c>
    </row>
    <row r="65" spans="1:40 16313:16313" s="172" customFormat="1" x14ac:dyDescent="0.35">
      <c r="A65" s="164" t="s">
        <v>54</v>
      </c>
      <c r="B65" s="165"/>
      <c r="C65" s="165"/>
      <c r="D65" s="165"/>
      <c r="E65" s="166">
        <f>SUM(E62:E64)</f>
        <v>0</v>
      </c>
      <c r="F65" s="166">
        <f t="shared" ref="F65" si="225">SUM(F62:F64)</f>
        <v>0</v>
      </c>
      <c r="G65" s="166">
        <f t="shared" ref="G65" si="226">SUM(G62:G64)</f>
        <v>0</v>
      </c>
      <c r="H65" s="166">
        <f t="shared" ref="H65" si="227">SUM(H62:H64)</f>
        <v>4.3680000000000003</v>
      </c>
      <c r="I65" s="166">
        <f t="shared" ref="I65" si="228">SUM(I62:I64)</f>
        <v>5.6783999999999999</v>
      </c>
      <c r="J65" s="166">
        <f t="shared" ref="J65" si="229">SUM(J62:J64)</f>
        <v>4.7244288000000001</v>
      </c>
      <c r="K65" s="166">
        <f t="shared" ref="K65" si="230">SUM(K62:K64)</f>
        <v>5.5275816960000004</v>
      </c>
      <c r="L65" s="166">
        <f t="shared" ref="L65" si="231">SUM(L62:L64)</f>
        <v>5.7486849638400006</v>
      </c>
      <c r="M65" s="166">
        <f t="shared" ref="M65" si="232">SUM(M62:M64)</f>
        <v>5.3143398776832003</v>
      </c>
      <c r="N65" s="166">
        <f t="shared" ref="N65" si="233">SUM(N62:N64)</f>
        <v>6.9086418409881611</v>
      </c>
      <c r="O65" s="166">
        <f t="shared" ref="O65" si="234">SUM(O62:O64)</f>
        <v>5.7479900117021501</v>
      </c>
      <c r="P65" s="166">
        <f t="shared" ref="P65" si="235">SUM(P62:P64)</f>
        <v>5.9779096121702366</v>
      </c>
      <c r="Q65" s="166">
        <f t="shared" ref="Q65" si="236">SUM(Q62:Q64)</f>
        <v>6.2170259966570462</v>
      </c>
      <c r="R65" s="166">
        <f t="shared" ref="R65" si="237">SUM(R62:R64)</f>
        <v>8.0821337956541619</v>
      </c>
      <c r="S65" s="166">
        <f t="shared" ref="S65" si="238">SUM(S62:S64)</f>
        <v>6.7243353179842629</v>
      </c>
      <c r="T65" s="166">
        <f t="shared" ref="T65" si="239">SUM(T62:T64)</f>
        <v>8.2608459381436656</v>
      </c>
      <c r="U65" s="166">
        <f t="shared" ref="U65" si="240">SUM(U62:U64)</f>
        <v>8.5912797756694133</v>
      </c>
      <c r="V65" s="166">
        <f t="shared" ref="V65" si="241">SUM(V62:V64)</f>
        <v>7.9421608592855026</v>
      </c>
      <c r="W65" s="166">
        <f t="shared" ref="W65" si="242">SUM(W62:W64)</f>
        <v>10.324809117071155</v>
      </c>
      <c r="X65" s="166">
        <f t="shared" ref="X65" si="243">SUM(X62:X64)</f>
        <v>8.590241185403201</v>
      </c>
      <c r="Y65" s="166">
        <f t="shared" ref="Y65" si="244">SUM(Y62:Y64)</f>
        <v>8.9338508328193296</v>
      </c>
      <c r="Z65" s="166">
        <f t="shared" ref="Z65" si="245">SUM(Z62:Z64)</f>
        <v>11.61400608266513</v>
      </c>
      <c r="AA65" s="166">
        <f t="shared" ref="AA65" si="246">SUM(AA62:AA64)</f>
        <v>9.6628530607773868</v>
      </c>
      <c r="AB65" s="166">
        <f t="shared" ref="AB65" si="247">SUM(AB62:AB64)</f>
        <v>10.049367183208485</v>
      </c>
      <c r="AC65" s="166">
        <f t="shared" ref="AC65" si="248">SUM(AC62:AC64)</f>
        <v>11.757759604353923</v>
      </c>
      <c r="AD65" s="166">
        <f t="shared" ref="AD65" si="249">SUM(AD62:AD64)</f>
        <v>12.228069988528082</v>
      </c>
      <c r="AE65" s="166">
        <f t="shared" ref="AE65" si="250">SUM(AE62:AE64)</f>
        <v>11.304171367172628</v>
      </c>
      <c r="AF65" s="166">
        <f t="shared" ref="AF65" si="251">SUM(AF62:AF64)</f>
        <v>15.430193916190643</v>
      </c>
      <c r="AG65" s="166">
        <f t="shared" ref="AG65" si="252">SUM(AG62:AG64)</f>
        <v>12.837921338270611</v>
      </c>
      <c r="AH65" s="166">
        <f t="shared" ref="AH65" si="253">SUM(AH62:AH64)</f>
        <v>13.351438191801439</v>
      </c>
      <c r="AI65" s="166">
        <f t="shared" ref="AI65" si="254">SUM(AI62:AI64)</f>
        <v>17.356869649341871</v>
      </c>
      <c r="AJ65" s="166">
        <f t="shared" ref="AJ65" si="255">SUM(AJ62:AJ64)</f>
        <v>14.440915548252434</v>
      </c>
      <c r="AK65" s="166">
        <f t="shared" ref="AK65" si="256">SUM(AK62:AK64)</f>
        <v>16.669800000000002</v>
      </c>
      <c r="AL65" s="166">
        <f t="shared" ref="AL65" si="257">SUM(AL62:AL64)</f>
        <v>16.669800000000002</v>
      </c>
      <c r="AM65" s="166">
        <f t="shared" ref="AM65" si="258">SUM(AM62:AM64)</f>
        <v>14.817600000000001</v>
      </c>
      <c r="AN65" s="166">
        <f t="shared" ref="AN65" si="259">SUM(AN62:AN64)</f>
        <v>14.817600000000001</v>
      </c>
    </row>
    <row r="66" spans="1:40 16313:16313" s="98" customFormat="1" x14ac:dyDescent="0.35">
      <c r="A66" s="77"/>
      <c r="B66" s="97"/>
      <c r="C66" s="97"/>
      <c r="D66" s="97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100"/>
      <c r="AB66" s="100"/>
      <c r="AC66" s="100"/>
      <c r="AD66" s="100"/>
      <c r="AE66" s="100"/>
      <c r="AF66" s="100"/>
      <c r="AG66" s="100"/>
      <c r="AH66" s="100"/>
      <c r="AI66" s="100"/>
      <c r="AJ66" s="100"/>
      <c r="AK66" s="100"/>
      <c r="AL66" s="100"/>
      <c r="AM66" s="100"/>
      <c r="AN66" s="100"/>
      <c r="XCK66" s="173"/>
    </row>
    <row r="67" spans="1:40 16313:16313" x14ac:dyDescent="0.35">
      <c r="A67" s="94" t="s">
        <v>16</v>
      </c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  <c r="AA67" s="83"/>
      <c r="AB67" s="83"/>
      <c r="AC67" s="83"/>
      <c r="AD67" s="83"/>
      <c r="AE67" s="83"/>
      <c r="AF67" s="83"/>
      <c r="AG67" s="83"/>
      <c r="AH67" s="83"/>
      <c r="AI67" s="83"/>
      <c r="AJ67" s="83"/>
      <c r="AK67" s="83"/>
      <c r="AL67" s="83"/>
      <c r="AM67" s="83"/>
      <c r="AN67" s="83"/>
    </row>
    <row r="68" spans="1:40 16313:16313" x14ac:dyDescent="0.35">
      <c r="A68" s="76" t="s">
        <v>6</v>
      </c>
      <c r="E68" s="83">
        <f t="shared" ref="E68:AN68" si="260">E7*E16*E40/deno</f>
        <v>0</v>
      </c>
      <c r="F68" s="83">
        <f t="shared" si="260"/>
        <v>0</v>
      </c>
      <c r="G68" s="83">
        <f t="shared" si="260"/>
        <v>0</v>
      </c>
      <c r="H68" s="83">
        <f t="shared" si="260"/>
        <v>1.56</v>
      </c>
      <c r="I68" s="83">
        <f t="shared" si="260"/>
        <v>2.028</v>
      </c>
      <c r="J68" s="83">
        <f t="shared" si="260"/>
        <v>1.6872960000000004</v>
      </c>
      <c r="K68" s="83">
        <f t="shared" si="260"/>
        <v>1.9741363200000006</v>
      </c>
      <c r="L68" s="83">
        <f t="shared" si="260"/>
        <v>2.0531017728000007</v>
      </c>
      <c r="M68" s="83">
        <f t="shared" si="260"/>
        <v>1.8979785277440007</v>
      </c>
      <c r="N68" s="83">
        <f t="shared" si="260"/>
        <v>2.4673720860672006</v>
      </c>
      <c r="O68" s="83">
        <f t="shared" si="260"/>
        <v>2.0528535756079109</v>
      </c>
      <c r="P68" s="83">
        <f t="shared" si="260"/>
        <v>2.1349677186322271</v>
      </c>
      <c r="Q68" s="83">
        <f t="shared" si="260"/>
        <v>2.2203664273775163</v>
      </c>
      <c r="R68" s="83">
        <f t="shared" si="260"/>
        <v>2.8864763555907715</v>
      </c>
      <c r="S68" s="83">
        <f t="shared" si="260"/>
        <v>2.4015483278515224</v>
      </c>
      <c r="T68" s="83">
        <f t="shared" si="260"/>
        <v>2.9503021207655955</v>
      </c>
      <c r="U68" s="83">
        <f t="shared" si="260"/>
        <v>3.0683142055962196</v>
      </c>
      <c r="V68" s="83">
        <f t="shared" si="260"/>
        <v>2.8364860211733931</v>
      </c>
      <c r="W68" s="83">
        <f t="shared" si="260"/>
        <v>3.6874318275254114</v>
      </c>
      <c r="X68" s="83">
        <f t="shared" si="260"/>
        <v>3.0679432805011428</v>
      </c>
      <c r="Y68" s="83">
        <f t="shared" si="260"/>
        <v>3.1906610117211884</v>
      </c>
      <c r="Z68" s="83">
        <f t="shared" si="260"/>
        <v>4.1478593152375458</v>
      </c>
      <c r="AA68" s="83">
        <f t="shared" si="260"/>
        <v>3.4510189502776378</v>
      </c>
      <c r="AB68" s="83">
        <f t="shared" si="260"/>
        <v>3.5890597082887434</v>
      </c>
      <c r="AC68" s="83">
        <f t="shared" si="260"/>
        <v>4.1991998586978303</v>
      </c>
      <c r="AD68" s="83">
        <f t="shared" si="260"/>
        <v>4.3671678530457436</v>
      </c>
      <c r="AE68" s="83">
        <f t="shared" si="260"/>
        <v>4.0372040597045098</v>
      </c>
      <c r="AF68" s="83">
        <f t="shared" si="260"/>
        <v>5.5107835414966573</v>
      </c>
      <c r="AG68" s="83">
        <f t="shared" si="260"/>
        <v>4.5849719065252188</v>
      </c>
      <c r="AH68" s="83">
        <f t="shared" si="260"/>
        <v>4.7683707827862269</v>
      </c>
      <c r="AI68" s="83">
        <f t="shared" si="260"/>
        <v>6.1988820176220951</v>
      </c>
      <c r="AJ68" s="83">
        <f t="shared" si="260"/>
        <v>5.1574698386615836</v>
      </c>
      <c r="AK68" s="83">
        <f t="shared" si="260"/>
        <v>5.8046625000000001</v>
      </c>
      <c r="AL68" s="83">
        <f t="shared" si="260"/>
        <v>5.8046625000000001</v>
      </c>
      <c r="AM68" s="83">
        <f t="shared" si="260"/>
        <v>5.1597</v>
      </c>
      <c r="AN68" s="83">
        <f t="shared" si="260"/>
        <v>5.1597</v>
      </c>
    </row>
    <row r="69" spans="1:40 16313:16313" x14ac:dyDescent="0.35">
      <c r="A69" s="76" t="s">
        <v>7</v>
      </c>
      <c r="E69" s="83">
        <f t="shared" ref="E69:AN69" si="261">E7*E16*E41/deno</f>
        <v>0</v>
      </c>
      <c r="F69" s="83">
        <f t="shared" si="261"/>
        <v>0</v>
      </c>
      <c r="G69" s="83">
        <f t="shared" si="261"/>
        <v>0</v>
      </c>
      <c r="H69" s="83">
        <f t="shared" si="261"/>
        <v>1.08</v>
      </c>
      <c r="I69" s="83">
        <f t="shared" si="261"/>
        <v>1.4039999999999999</v>
      </c>
      <c r="J69" s="83">
        <f t="shared" si="261"/>
        <v>1.1681280000000003</v>
      </c>
      <c r="K69" s="83">
        <f t="shared" si="261"/>
        <v>1.3667097600000004</v>
      </c>
      <c r="L69" s="83">
        <f t="shared" si="261"/>
        <v>1.4213781504000005</v>
      </c>
      <c r="M69" s="83">
        <f t="shared" si="261"/>
        <v>1.3139851345920004</v>
      </c>
      <c r="N69" s="83">
        <f t="shared" si="261"/>
        <v>1.7081806749696005</v>
      </c>
      <c r="O69" s="83">
        <f t="shared" si="261"/>
        <v>1.4212063215747075</v>
      </c>
      <c r="P69" s="83">
        <f t="shared" si="261"/>
        <v>1.4780545744376958</v>
      </c>
      <c r="Q69" s="83">
        <f t="shared" si="261"/>
        <v>1.537176757415204</v>
      </c>
      <c r="R69" s="83">
        <f t="shared" si="261"/>
        <v>1.998329784639765</v>
      </c>
      <c r="S69" s="83">
        <f t="shared" si="261"/>
        <v>1.6626103808202848</v>
      </c>
      <c r="T69" s="83">
        <f t="shared" si="261"/>
        <v>2.04251685283772</v>
      </c>
      <c r="U69" s="83">
        <f t="shared" si="261"/>
        <v>2.1242175269512287</v>
      </c>
      <c r="V69" s="83">
        <f t="shared" si="261"/>
        <v>1.9637210915815801</v>
      </c>
      <c r="W69" s="83">
        <f t="shared" si="261"/>
        <v>2.5528374190560541</v>
      </c>
      <c r="X69" s="83">
        <f t="shared" si="261"/>
        <v>2.1239607326546373</v>
      </c>
      <c r="Y69" s="83">
        <f t="shared" si="261"/>
        <v>2.2089191619608228</v>
      </c>
      <c r="Z69" s="83">
        <f t="shared" si="261"/>
        <v>2.8715949105490703</v>
      </c>
      <c r="AA69" s="83">
        <f t="shared" si="261"/>
        <v>2.3891669655768264</v>
      </c>
      <c r="AB69" s="83">
        <f t="shared" si="261"/>
        <v>2.4847336441998991</v>
      </c>
      <c r="AC69" s="83">
        <f t="shared" si="261"/>
        <v>2.9071383637138823</v>
      </c>
      <c r="AD69" s="83">
        <f t="shared" si="261"/>
        <v>3.023423898262438</v>
      </c>
      <c r="AE69" s="83">
        <f t="shared" si="261"/>
        <v>2.7949874259492762</v>
      </c>
      <c r="AF69" s="83">
        <f t="shared" si="261"/>
        <v>3.8151578364207626</v>
      </c>
      <c r="AG69" s="83">
        <f t="shared" si="261"/>
        <v>3.1742113199020743</v>
      </c>
      <c r="AH69" s="83">
        <f t="shared" si="261"/>
        <v>3.3011797726981573</v>
      </c>
      <c r="AI69" s="83">
        <f t="shared" si="261"/>
        <v>4.2915337045076045</v>
      </c>
      <c r="AJ69" s="83">
        <f t="shared" si="261"/>
        <v>3.5705560421503271</v>
      </c>
      <c r="AK69" s="83">
        <f t="shared" si="261"/>
        <v>4.0186124999999997</v>
      </c>
      <c r="AL69" s="83">
        <f t="shared" si="261"/>
        <v>4.0186124999999997</v>
      </c>
      <c r="AM69" s="83">
        <f t="shared" si="261"/>
        <v>3.5720999999999998</v>
      </c>
      <c r="AN69" s="83">
        <f t="shared" si="261"/>
        <v>3.5720999999999998</v>
      </c>
    </row>
    <row r="70" spans="1:40 16313:16313" x14ac:dyDescent="0.35">
      <c r="A70" s="76" t="s">
        <v>8</v>
      </c>
      <c r="E70" s="83">
        <f t="shared" ref="E70:AN70" si="262">E7*E16*E42/deno</f>
        <v>0</v>
      </c>
      <c r="F70" s="83">
        <f t="shared" si="262"/>
        <v>0</v>
      </c>
      <c r="G70" s="83">
        <f t="shared" si="262"/>
        <v>0</v>
      </c>
      <c r="H70" s="83">
        <f t="shared" si="262"/>
        <v>2.88</v>
      </c>
      <c r="I70" s="83">
        <f t="shared" si="262"/>
        <v>3.7440000000000002</v>
      </c>
      <c r="J70" s="83">
        <f t="shared" si="262"/>
        <v>3.1150080000000004</v>
      </c>
      <c r="K70" s="83">
        <f t="shared" si="262"/>
        <v>3.6445593600000015</v>
      </c>
      <c r="L70" s="83">
        <f t="shared" si="262"/>
        <v>3.790341734400001</v>
      </c>
      <c r="M70" s="83">
        <f t="shared" si="262"/>
        <v>3.5039603589120012</v>
      </c>
      <c r="N70" s="83">
        <f t="shared" si="262"/>
        <v>4.5551484665856012</v>
      </c>
      <c r="O70" s="83">
        <f t="shared" si="262"/>
        <v>3.7898835241992201</v>
      </c>
      <c r="P70" s="83">
        <f t="shared" si="262"/>
        <v>3.941478865167189</v>
      </c>
      <c r="Q70" s="83">
        <f t="shared" si="262"/>
        <v>4.0991380197738767</v>
      </c>
      <c r="R70" s="83">
        <f t="shared" si="262"/>
        <v>5.3288794257060408</v>
      </c>
      <c r="S70" s="83">
        <f t="shared" si="262"/>
        <v>4.4336276821874261</v>
      </c>
      <c r="T70" s="83">
        <f t="shared" si="262"/>
        <v>5.4467116075672521</v>
      </c>
      <c r="U70" s="83">
        <f t="shared" si="262"/>
        <v>5.6645800718699428</v>
      </c>
      <c r="V70" s="83">
        <f t="shared" si="262"/>
        <v>5.2365895775508804</v>
      </c>
      <c r="W70" s="83">
        <f t="shared" si="262"/>
        <v>6.8075664508161449</v>
      </c>
      <c r="X70" s="83">
        <f t="shared" si="262"/>
        <v>5.6638952870790327</v>
      </c>
      <c r="Y70" s="83">
        <f t="shared" si="262"/>
        <v>5.8904510985621936</v>
      </c>
      <c r="Z70" s="83">
        <f t="shared" si="262"/>
        <v>7.6575864281308537</v>
      </c>
      <c r="AA70" s="83">
        <f t="shared" si="262"/>
        <v>6.3711119082048695</v>
      </c>
      <c r="AB70" s="83">
        <f t="shared" si="262"/>
        <v>6.6259563845330636</v>
      </c>
      <c r="AC70" s="83">
        <f t="shared" si="262"/>
        <v>7.752368969903686</v>
      </c>
      <c r="AD70" s="83">
        <f t="shared" si="262"/>
        <v>8.062463728699834</v>
      </c>
      <c r="AE70" s="83">
        <f t="shared" si="262"/>
        <v>7.4532998025314035</v>
      </c>
      <c r="AF70" s="83">
        <f t="shared" si="262"/>
        <v>10.173754230455366</v>
      </c>
      <c r="AG70" s="83">
        <f t="shared" si="262"/>
        <v>8.4645635197388653</v>
      </c>
      <c r="AH70" s="83">
        <f t="shared" si="262"/>
        <v>8.8031460605284195</v>
      </c>
      <c r="AI70" s="83">
        <f t="shared" si="262"/>
        <v>11.444089878686945</v>
      </c>
      <c r="AJ70" s="83">
        <f t="shared" si="262"/>
        <v>9.52148277906754</v>
      </c>
      <c r="AK70" s="83">
        <f t="shared" si="262"/>
        <v>10.7163</v>
      </c>
      <c r="AL70" s="83">
        <f t="shared" si="262"/>
        <v>10.7163</v>
      </c>
      <c r="AM70" s="83">
        <f t="shared" si="262"/>
        <v>9.5256000000000007</v>
      </c>
      <c r="AN70" s="83">
        <f t="shared" si="262"/>
        <v>9.5256000000000007</v>
      </c>
    </row>
    <row r="71" spans="1:40 16313:16313" s="172" customFormat="1" x14ac:dyDescent="0.35">
      <c r="A71" s="164" t="s">
        <v>54</v>
      </c>
      <c r="B71" s="165"/>
      <c r="C71" s="165"/>
      <c r="D71" s="165"/>
      <c r="E71" s="166">
        <f>SUM(E68:E70)</f>
        <v>0</v>
      </c>
      <c r="F71" s="166">
        <f t="shared" ref="F71" si="263">SUM(F68:F70)</f>
        <v>0</v>
      </c>
      <c r="G71" s="166">
        <f t="shared" ref="G71" si="264">SUM(G68:G70)</f>
        <v>0</v>
      </c>
      <c r="H71" s="166">
        <f t="shared" ref="H71" si="265">SUM(H68:H70)</f>
        <v>5.52</v>
      </c>
      <c r="I71" s="166">
        <f t="shared" ref="I71" si="266">SUM(I68:I70)</f>
        <v>7.1760000000000002</v>
      </c>
      <c r="J71" s="166">
        <f t="shared" ref="J71" si="267">SUM(J68:J70)</f>
        <v>5.9704320000000006</v>
      </c>
      <c r="K71" s="166">
        <f t="shared" ref="K71" si="268">SUM(K68:K70)</f>
        <v>6.9854054400000027</v>
      </c>
      <c r="L71" s="166">
        <f t="shared" ref="L71" si="269">SUM(L68:L70)</f>
        <v>7.2648216576000024</v>
      </c>
      <c r="M71" s="166">
        <f t="shared" ref="M71" si="270">SUM(M68:M70)</f>
        <v>6.7159240212480018</v>
      </c>
      <c r="N71" s="166">
        <f t="shared" ref="N71" si="271">SUM(N68:N70)</f>
        <v>8.7307012276224025</v>
      </c>
      <c r="O71" s="166">
        <f t="shared" ref="O71" si="272">SUM(O68:O70)</f>
        <v>7.263943421381839</v>
      </c>
      <c r="P71" s="166">
        <f t="shared" ref="P71" si="273">SUM(P68:P70)</f>
        <v>7.5545011582371124</v>
      </c>
      <c r="Q71" s="166">
        <f t="shared" ref="Q71" si="274">SUM(Q68:Q70)</f>
        <v>7.8566812045665966</v>
      </c>
      <c r="R71" s="166">
        <f t="shared" ref="R71" si="275">SUM(R68:R70)</f>
        <v>10.213685565936578</v>
      </c>
      <c r="S71" s="166">
        <f t="shared" ref="S71" si="276">SUM(S68:S70)</f>
        <v>8.4977863908592326</v>
      </c>
      <c r="T71" s="166">
        <f t="shared" ref="T71" si="277">SUM(T68:T70)</f>
        <v>10.439530581170567</v>
      </c>
      <c r="U71" s="166">
        <f t="shared" ref="U71" si="278">SUM(U68:U70)</f>
        <v>10.857111804417391</v>
      </c>
      <c r="V71" s="166">
        <f t="shared" ref="V71" si="279">SUM(V68:V70)</f>
        <v>10.036796690305854</v>
      </c>
      <c r="W71" s="166">
        <f t="shared" ref="W71" si="280">SUM(W68:W70)</f>
        <v>13.047835697397611</v>
      </c>
      <c r="X71" s="166">
        <f t="shared" ref="X71" si="281">SUM(X68:X70)</f>
        <v>10.855799300234812</v>
      </c>
      <c r="Y71" s="166">
        <f t="shared" ref="Y71" si="282">SUM(Y68:Y70)</f>
        <v>11.290031272244205</v>
      </c>
      <c r="Z71" s="166">
        <f t="shared" ref="Z71" si="283">SUM(Z68:Z70)</f>
        <v>14.677040653917469</v>
      </c>
      <c r="AA71" s="166">
        <f t="shared" ref="AA71" si="284">SUM(AA68:AA70)</f>
        <v>12.211297824059333</v>
      </c>
      <c r="AB71" s="166">
        <f t="shared" ref="AB71" si="285">SUM(AB68:AB70)</f>
        <v>12.699749737021707</v>
      </c>
      <c r="AC71" s="166">
        <f t="shared" ref="AC71" si="286">SUM(AC68:AC70)</f>
        <v>14.8587071923154</v>
      </c>
      <c r="AD71" s="166">
        <f t="shared" ref="AD71" si="287">SUM(AD68:AD70)</f>
        <v>15.453055480008015</v>
      </c>
      <c r="AE71" s="166">
        <f t="shared" ref="AE71" si="288">SUM(AE68:AE70)</f>
        <v>14.285491288185188</v>
      </c>
      <c r="AF71" s="166">
        <f t="shared" ref="AF71" si="289">SUM(AF68:AF70)</f>
        <v>19.499695608372786</v>
      </c>
      <c r="AG71" s="166">
        <f t="shared" ref="AG71" si="290">SUM(AG68:AG70)</f>
        <v>16.223746746166157</v>
      </c>
      <c r="AH71" s="166">
        <f t="shared" ref="AH71" si="291">SUM(AH68:AH70)</f>
        <v>16.872696616012803</v>
      </c>
      <c r="AI71" s="166">
        <f t="shared" ref="AI71" si="292">SUM(AI68:AI70)</f>
        <v>21.934505600816646</v>
      </c>
      <c r="AJ71" s="166">
        <f t="shared" ref="AJ71" si="293">SUM(AJ68:AJ70)</f>
        <v>18.249508659879453</v>
      </c>
      <c r="AK71" s="166">
        <f t="shared" ref="AK71" si="294">SUM(AK68:AK70)</f>
        <v>20.539574999999999</v>
      </c>
      <c r="AL71" s="166">
        <f t="shared" ref="AL71" si="295">SUM(AL68:AL70)</f>
        <v>20.539574999999999</v>
      </c>
      <c r="AM71" s="166">
        <f t="shared" ref="AM71" si="296">SUM(AM68:AM70)</f>
        <v>18.257400000000001</v>
      </c>
      <c r="AN71" s="166">
        <f t="shared" ref="AN71" si="297">SUM(AN68:AN70)</f>
        <v>18.257400000000001</v>
      </c>
    </row>
    <row r="72" spans="1:40 16313:16313" x14ac:dyDescent="0.35"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83"/>
      <c r="AE72" s="83"/>
      <c r="AF72" s="83"/>
      <c r="AG72" s="83"/>
      <c r="AH72" s="83"/>
      <c r="AI72" s="83"/>
      <c r="AJ72" s="83"/>
      <c r="AK72" s="83"/>
      <c r="AL72" s="83"/>
      <c r="AM72" s="83"/>
      <c r="AN72" s="83"/>
    </row>
    <row r="73" spans="1:40 16313:16313" ht="15.5" x14ac:dyDescent="0.35">
      <c r="A73" s="99" t="s">
        <v>114</v>
      </c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83"/>
      <c r="AB73" s="83"/>
      <c r="AC73" s="83"/>
      <c r="AD73" s="83"/>
      <c r="AE73" s="83"/>
      <c r="AF73" s="83"/>
      <c r="AG73" s="83"/>
      <c r="AH73" s="83"/>
      <c r="AI73" s="83"/>
      <c r="AJ73" s="83"/>
      <c r="AK73" s="83"/>
      <c r="AL73" s="83"/>
      <c r="AM73" s="83"/>
      <c r="AN73" s="83"/>
    </row>
    <row r="74" spans="1:40 16313:16313" x14ac:dyDescent="0.35">
      <c r="A74" s="76" t="s">
        <v>6</v>
      </c>
      <c r="E74" s="83">
        <f>SUM(E48+E54+E62+E68)</f>
        <v>0</v>
      </c>
      <c r="F74" s="83">
        <f t="shared" ref="F74:AN74" si="298">SUM(F48+F54+F62+F68)</f>
        <v>0</v>
      </c>
      <c r="G74" s="83">
        <f t="shared" si="298"/>
        <v>0</v>
      </c>
      <c r="H74" s="83">
        <f t="shared" si="298"/>
        <v>6.8320000000000007</v>
      </c>
      <c r="I74" s="83">
        <f t="shared" si="298"/>
        <v>7.3212799999999998</v>
      </c>
      <c r="J74" s="83">
        <f t="shared" si="298"/>
        <v>7.0236991999999994</v>
      </c>
      <c r="K74" s="83">
        <f t="shared" si="298"/>
        <v>7.585997184</v>
      </c>
      <c r="L74" s="83">
        <f t="shared" si="298"/>
        <v>7.6043541542400002</v>
      </c>
      <c r="M74" s="83">
        <f t="shared" si="298"/>
        <v>7.8357675053824005</v>
      </c>
      <c r="N74" s="83">
        <f t="shared" si="298"/>
        <v>8.4637783981480972</v>
      </c>
      <c r="O74" s="83">
        <f t="shared" si="298"/>
        <v>7.6485858829625357</v>
      </c>
      <c r="P74" s="83">
        <f t="shared" si="298"/>
        <v>8.5167420314553013</v>
      </c>
      <c r="Q74" s="83">
        <f t="shared" si="298"/>
        <v>8.5383454300789747</v>
      </c>
      <c r="R74" s="83">
        <f t="shared" si="298"/>
        <v>9.5209883648443618</v>
      </c>
      <c r="S74" s="83">
        <f t="shared" si="298"/>
        <v>9.0357597468007569</v>
      </c>
      <c r="T74" s="83">
        <f t="shared" si="298"/>
        <v>10.307705124884635</v>
      </c>
      <c r="U74" s="83">
        <f t="shared" si="298"/>
        <v>10.612202631407849</v>
      </c>
      <c r="V74" s="83">
        <f t="shared" si="298"/>
        <v>10.335789236478087</v>
      </c>
      <c r="W74" s="83">
        <f t="shared" si="298"/>
        <v>11.606176734791012</v>
      </c>
      <c r="X74" s="83">
        <f t="shared" si="298"/>
        <v>10.948127161752378</v>
      </c>
      <c r="Y74" s="83">
        <f t="shared" si="298"/>
        <v>11.539881123192105</v>
      </c>
      <c r="Z74" s="83">
        <f t="shared" si="298"/>
        <v>12.707779534395698</v>
      </c>
      <c r="AA74" s="83">
        <f t="shared" si="298"/>
        <v>11.380816621110142</v>
      </c>
      <c r="AB74" s="83">
        <f t="shared" si="298"/>
        <v>12.584722029250656</v>
      </c>
      <c r="AC74" s="83">
        <f t="shared" si="298"/>
        <v>13.148027921625697</v>
      </c>
      <c r="AD74" s="83">
        <f t="shared" si="298"/>
        <v>13.849645081075373</v>
      </c>
      <c r="AE74" s="83">
        <f t="shared" si="298"/>
        <v>13.431126065359969</v>
      </c>
      <c r="AF74" s="83">
        <f t="shared" si="298"/>
        <v>16.036678424827194</v>
      </c>
      <c r="AG74" s="83">
        <f t="shared" si="298"/>
        <v>15.296326481062346</v>
      </c>
      <c r="AH74" s="83">
        <f t="shared" si="298"/>
        <v>15.41561580888991</v>
      </c>
      <c r="AI74" s="83">
        <f t="shared" si="298"/>
        <v>17.602908833049867</v>
      </c>
      <c r="AJ74" s="83">
        <f t="shared" si="298"/>
        <v>16.365834814653716</v>
      </c>
      <c r="AK74" s="83">
        <f t="shared" si="298"/>
        <v>17.699115285222099</v>
      </c>
      <c r="AL74" s="83">
        <f t="shared" si="298"/>
        <v>17.857624340926542</v>
      </c>
      <c r="AM74" s="83">
        <f t="shared" si="298"/>
        <v>16.183737343404612</v>
      </c>
      <c r="AN74" s="83">
        <f t="shared" si="298"/>
        <v>17.480551803813608</v>
      </c>
    </row>
    <row r="75" spans="1:40 16313:16313" x14ac:dyDescent="0.35">
      <c r="A75" s="76" t="s">
        <v>7</v>
      </c>
      <c r="E75" s="83">
        <f>SUM(E49+E55+E63+E69)</f>
        <v>0</v>
      </c>
      <c r="F75" s="83">
        <f t="shared" ref="F75:AN75" si="299">SUM(F49+F55+F63+F69)</f>
        <v>0</v>
      </c>
      <c r="G75" s="83">
        <f t="shared" si="299"/>
        <v>0</v>
      </c>
      <c r="H75" s="83">
        <f t="shared" si="299"/>
        <v>5.6840000000000002</v>
      </c>
      <c r="I75" s="83">
        <f t="shared" si="299"/>
        <v>5.9984799999999998</v>
      </c>
      <c r="J75" s="83">
        <f t="shared" si="299"/>
        <v>5.8217824</v>
      </c>
      <c r="K75" s="83">
        <f t="shared" si="299"/>
        <v>6.2484209280000016</v>
      </c>
      <c r="L75" s="83">
        <f t="shared" si="299"/>
        <v>6.2442621216000003</v>
      </c>
      <c r="M75" s="83">
        <f t="shared" si="299"/>
        <v>6.4908331390592</v>
      </c>
      <c r="N75" s="83">
        <f t="shared" si="299"/>
        <v>6.9026158261506572</v>
      </c>
      <c r="O75" s="83">
        <f t="shared" si="299"/>
        <v>6.2837505517885646</v>
      </c>
      <c r="P75" s="83">
        <f t="shared" si="299"/>
        <v>7.0362032095154303</v>
      </c>
      <c r="Q75" s="83">
        <f t="shared" si="299"/>
        <v>7.0332661729391779</v>
      </c>
      <c r="R75" s="83">
        <f t="shared" si="299"/>
        <v>7.7360006234167864</v>
      </c>
      <c r="S75" s="83">
        <f t="shared" si="299"/>
        <v>7.4295306603623361</v>
      </c>
      <c r="T75" s="83">
        <f t="shared" si="299"/>
        <v>8.4206185317667845</v>
      </c>
      <c r="U75" s="83">
        <f t="shared" si="299"/>
        <v>8.6613511287470413</v>
      </c>
      <c r="V75" s="83">
        <f t="shared" si="299"/>
        <v>8.4752269821947763</v>
      </c>
      <c r="W75" s="83">
        <f t="shared" si="299"/>
        <v>9.3863968121173258</v>
      </c>
      <c r="X75" s="83">
        <f t="shared" si="299"/>
        <v>8.9608585140871888</v>
      </c>
      <c r="Y75" s="83">
        <f t="shared" si="299"/>
        <v>9.4564011997323068</v>
      </c>
      <c r="Z75" s="83">
        <f t="shared" si="299"/>
        <v>10.248610625827746</v>
      </c>
      <c r="AA75" s="83">
        <f t="shared" si="299"/>
        <v>9.2469680839106392</v>
      </c>
      <c r="AB75" s="83">
        <f t="shared" si="299"/>
        <v>10.284142078465766</v>
      </c>
      <c r="AC75" s="83">
        <f t="shared" si="299"/>
        <v>10.627664254489723</v>
      </c>
      <c r="AD75" s="83">
        <f t="shared" si="299"/>
        <v>11.209369471320846</v>
      </c>
      <c r="AE75" s="83">
        <f t="shared" si="299"/>
        <v>10.922088096921041</v>
      </c>
      <c r="AF75" s="83">
        <f t="shared" si="299"/>
        <v>12.861494712515574</v>
      </c>
      <c r="AG75" s="83">
        <f t="shared" si="299"/>
        <v>12.442202976809718</v>
      </c>
      <c r="AH75" s="83">
        <f t="shared" si="299"/>
        <v>12.500866900490539</v>
      </c>
      <c r="AI75" s="83">
        <f t="shared" si="299"/>
        <v>14.078669134577101</v>
      </c>
      <c r="AJ75" s="83">
        <f t="shared" si="299"/>
        <v>13.246687530572613</v>
      </c>
      <c r="AK75" s="83">
        <f t="shared" si="299"/>
        <v>14.257803025958829</v>
      </c>
      <c r="AL75" s="83">
        <f t="shared" si="299"/>
        <v>14.399082836478005</v>
      </c>
      <c r="AM75" s="83">
        <f t="shared" si="299"/>
        <v>13.075750675643242</v>
      </c>
      <c r="AN75" s="83">
        <f t="shared" si="299"/>
        <v>14.231607042529522</v>
      </c>
    </row>
    <row r="76" spans="1:40 16313:16313" x14ac:dyDescent="0.35">
      <c r="A76" s="76" t="s">
        <v>8</v>
      </c>
      <c r="E76" s="83">
        <f>SUM(E50+E56+E64+E70)</f>
        <v>0</v>
      </c>
      <c r="F76" s="83">
        <f t="shared" ref="F76:AN76" si="300">SUM(F50+F56+F64+F70)</f>
        <v>0</v>
      </c>
      <c r="G76" s="83">
        <f t="shared" si="300"/>
        <v>0</v>
      </c>
      <c r="H76" s="83">
        <f t="shared" si="300"/>
        <v>18.071999999999999</v>
      </c>
      <c r="I76" s="83">
        <f t="shared" si="300"/>
        <v>18.812640000000002</v>
      </c>
      <c r="J76" s="83">
        <f t="shared" si="300"/>
        <v>18.449299199999999</v>
      </c>
      <c r="K76" s="83">
        <f t="shared" si="300"/>
        <v>19.690487424000001</v>
      </c>
      <c r="L76" s="83">
        <f t="shared" si="300"/>
        <v>19.622858169600001</v>
      </c>
      <c r="M76" s="83">
        <f t="shared" si="300"/>
        <v>20.558135880729601</v>
      </c>
      <c r="N76" s="83">
        <f t="shared" si="300"/>
        <v>21.55741856840141</v>
      </c>
      <c r="O76" s="83">
        <f t="shared" si="300"/>
        <v>19.755939016019926</v>
      </c>
      <c r="P76" s="83">
        <f t="shared" si="300"/>
        <v>22.232814716183519</v>
      </c>
      <c r="Q76" s="83">
        <f t="shared" si="300"/>
        <v>22.16492845692725</v>
      </c>
      <c r="R76" s="83">
        <f t="shared" si="300"/>
        <v>24.077824911230501</v>
      </c>
      <c r="S76" s="83">
        <f t="shared" si="300"/>
        <v>23.37564260789452</v>
      </c>
      <c r="T76" s="83">
        <f t="shared" si="300"/>
        <v>26.338799771618131</v>
      </c>
      <c r="U76" s="83">
        <f t="shared" si="300"/>
        <v>27.068919667066339</v>
      </c>
      <c r="V76" s="83">
        <f t="shared" si="300"/>
        <v>26.599904814995607</v>
      </c>
      <c r="W76" s="83">
        <f t="shared" si="300"/>
        <v>29.088828441602786</v>
      </c>
      <c r="X76" s="83">
        <f t="shared" si="300"/>
        <v>28.077269618632275</v>
      </c>
      <c r="Y76" s="83">
        <f t="shared" si="300"/>
        <v>29.661847028286466</v>
      </c>
      <c r="Z76" s="83">
        <f t="shared" si="300"/>
        <v>31.678203359510299</v>
      </c>
      <c r="AA76" s="83">
        <f t="shared" si="300"/>
        <v>28.780097340591333</v>
      </c>
      <c r="AB76" s="83">
        <f t="shared" si="300"/>
        <v>32.177319464103299</v>
      </c>
      <c r="AC76" s="83">
        <f t="shared" si="300"/>
        <v>32.919173215208154</v>
      </c>
      <c r="AD76" s="83">
        <f t="shared" si="300"/>
        <v>34.763028271570427</v>
      </c>
      <c r="AE76" s="83">
        <f t="shared" si="300"/>
        <v>34.020184195615968</v>
      </c>
      <c r="AF76" s="83">
        <f t="shared" si="300"/>
        <v>39.547125463848303</v>
      </c>
      <c r="AG76" s="83">
        <f t="shared" si="300"/>
        <v>38.76463848074016</v>
      </c>
      <c r="AH76" s="83">
        <f t="shared" si="300"/>
        <v>38.837532825724978</v>
      </c>
      <c r="AI76" s="83">
        <f t="shared" si="300"/>
        <v>43.176617517921422</v>
      </c>
      <c r="AJ76" s="83">
        <f t="shared" si="300"/>
        <v>41.083589771579312</v>
      </c>
      <c r="AK76" s="83">
        <f t="shared" si="300"/>
        <v>44.018258355666305</v>
      </c>
      <c r="AL76" s="83">
        <f t="shared" si="300"/>
        <v>44.493785522779632</v>
      </c>
      <c r="AM76" s="83">
        <f t="shared" si="300"/>
        <v>40.48091203021383</v>
      </c>
      <c r="AN76" s="83">
        <f t="shared" si="300"/>
        <v>44.371355411440831</v>
      </c>
    </row>
    <row r="77" spans="1:40 16313:16313" s="172" customFormat="1" x14ac:dyDescent="0.35">
      <c r="A77" s="164" t="s">
        <v>54</v>
      </c>
      <c r="B77" s="165"/>
      <c r="C77" s="165"/>
      <c r="D77" s="165"/>
      <c r="E77" s="166">
        <f>SUM(E74:E76)</f>
        <v>0</v>
      </c>
      <c r="F77" s="166">
        <f t="shared" ref="F77:I77" si="301">SUM(F74:F76)</f>
        <v>0</v>
      </c>
      <c r="G77" s="166">
        <f t="shared" si="301"/>
        <v>0</v>
      </c>
      <c r="H77" s="166">
        <f t="shared" si="301"/>
        <v>30.588000000000001</v>
      </c>
      <c r="I77" s="166">
        <f t="shared" si="301"/>
        <v>32.132400000000004</v>
      </c>
      <c r="J77" s="166">
        <f t="shared" ref="J77" si="302">SUM(J74:J76)</f>
        <v>31.294780799999998</v>
      </c>
      <c r="K77" s="166">
        <f t="shared" ref="K77" si="303">SUM(K74:K76)</f>
        <v>33.524905536000006</v>
      </c>
      <c r="L77" s="166">
        <f t="shared" ref="L77:M77" si="304">SUM(L74:L76)</f>
        <v>33.471474445440002</v>
      </c>
      <c r="M77" s="166">
        <f t="shared" si="304"/>
        <v>34.884736525171206</v>
      </c>
      <c r="N77" s="166">
        <f t="shared" ref="N77" si="305">SUM(N74:N76)</f>
        <v>36.923812792700161</v>
      </c>
      <c r="O77" s="166">
        <f t="shared" ref="O77" si="306">SUM(O74:O76)</f>
        <v>33.68827545077103</v>
      </c>
      <c r="P77" s="166">
        <f t="shared" ref="P77:Q77" si="307">SUM(P74:P76)</f>
        <v>37.785759957154255</v>
      </c>
      <c r="Q77" s="166">
        <f t="shared" si="307"/>
        <v>37.736540059945398</v>
      </c>
      <c r="R77" s="166">
        <f t="shared" ref="R77" si="308">SUM(R74:R76)</f>
        <v>41.33481389949165</v>
      </c>
      <c r="S77" s="166">
        <f t="shared" ref="S77" si="309">SUM(S74:S76)</f>
        <v>39.840933015057615</v>
      </c>
      <c r="T77" s="166">
        <f t="shared" ref="T77:U77" si="310">SUM(T74:T76)</f>
        <v>45.067123428269554</v>
      </c>
      <c r="U77" s="166">
        <f t="shared" si="310"/>
        <v>46.342473427221229</v>
      </c>
      <c r="V77" s="166">
        <f t="shared" ref="V77" si="311">SUM(V74:V76)</f>
        <v>45.410921033668473</v>
      </c>
      <c r="W77" s="166">
        <f t="shared" ref="W77" si="312">SUM(W74:W76)</f>
        <v>50.081401988511125</v>
      </c>
      <c r="X77" s="166">
        <f t="shared" ref="X77:Y77" si="313">SUM(X74:X76)</f>
        <v>47.986255294471846</v>
      </c>
      <c r="Y77" s="166">
        <f t="shared" si="313"/>
        <v>50.658129351210874</v>
      </c>
      <c r="Z77" s="166">
        <f t="shared" ref="Z77" si="314">SUM(Z74:Z76)</f>
        <v>54.634593519733741</v>
      </c>
      <c r="AA77" s="166">
        <f t="shared" ref="AA77" si="315">SUM(AA74:AA76)</f>
        <v>49.407882045612112</v>
      </c>
      <c r="AB77" s="166">
        <f t="shared" ref="AB77:AC77" si="316">SUM(AB74:AB76)</f>
        <v>55.046183571819725</v>
      </c>
      <c r="AC77" s="166">
        <f t="shared" si="316"/>
        <v>56.694865391323574</v>
      </c>
      <c r="AD77" s="166">
        <f t="shared" ref="AD77" si="317">SUM(AD74:AD76)</f>
        <v>59.822042823966648</v>
      </c>
      <c r="AE77" s="166">
        <f t="shared" ref="AE77" si="318">SUM(AE74:AE76)</f>
        <v>58.373398357896974</v>
      </c>
      <c r="AF77" s="166">
        <f t="shared" ref="AF77:AG77" si="319">SUM(AF74:AF76)</f>
        <v>68.44529860119107</v>
      </c>
      <c r="AG77" s="166">
        <f t="shared" si="319"/>
        <v>66.503167938612222</v>
      </c>
      <c r="AH77" s="166">
        <f t="shared" ref="AH77" si="320">SUM(AH74:AH76)</f>
        <v>66.754015535105424</v>
      </c>
      <c r="AI77" s="166">
        <f t="shared" ref="AI77" si="321">SUM(AI74:AI76)</f>
        <v>74.858195485548393</v>
      </c>
      <c r="AJ77" s="166">
        <f t="shared" ref="AJ77:AK77" si="322">SUM(AJ74:AJ76)</f>
        <v>70.696112116805637</v>
      </c>
      <c r="AK77" s="166">
        <f t="shared" si="322"/>
        <v>75.975176666847233</v>
      </c>
      <c r="AL77" s="166">
        <f t="shared" ref="AL77" si="323">SUM(AL74:AL76)</f>
        <v>76.750492700184182</v>
      </c>
      <c r="AM77" s="166">
        <f t="shared" ref="AM77" si="324">SUM(AM74:AM76)</f>
        <v>69.74040004926168</v>
      </c>
      <c r="AN77" s="166">
        <f t="shared" ref="AN77" si="325">SUM(AN74:AN76)</f>
        <v>76.08351425778396</v>
      </c>
    </row>
    <row r="78" spans="1:40 16313:16313" x14ac:dyDescent="0.35"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83"/>
      <c r="AH78" s="83"/>
      <c r="AI78" s="83"/>
      <c r="AJ78" s="83"/>
      <c r="AK78" s="83"/>
      <c r="AL78" s="83"/>
      <c r="AM78" s="83"/>
      <c r="AN78" s="83"/>
    </row>
    <row r="79" spans="1:40 16313:16313" s="171" customFormat="1" x14ac:dyDescent="0.35">
      <c r="A79" s="194" t="s">
        <v>91</v>
      </c>
      <c r="B79" s="194"/>
      <c r="C79" s="194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4"/>
      <c r="O79" s="194"/>
      <c r="P79" s="194"/>
      <c r="Q79" s="194"/>
      <c r="R79" s="194"/>
      <c r="S79" s="194"/>
      <c r="T79" s="194"/>
      <c r="U79" s="194"/>
      <c r="V79" s="194"/>
      <c r="W79" s="194"/>
      <c r="X79" s="194"/>
      <c r="Y79" s="194"/>
      <c r="Z79" s="194"/>
      <c r="AA79" s="194"/>
      <c r="AB79" s="194"/>
      <c r="AC79" s="194"/>
      <c r="AD79" s="194"/>
      <c r="AE79" s="194"/>
      <c r="AF79" s="194"/>
      <c r="AG79" s="194"/>
      <c r="AH79" s="194"/>
      <c r="AI79" s="194"/>
      <c r="AJ79" s="194"/>
      <c r="AK79" s="194"/>
      <c r="AL79" s="194"/>
      <c r="AM79" s="194"/>
      <c r="AN79" s="19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4"/>
  <sheetViews>
    <sheetView topLeftCell="A4" zoomScale="85" zoomScaleNormal="85" workbookViewId="0">
      <selection activeCell="A37" sqref="A37:AN37"/>
    </sheetView>
  </sheetViews>
  <sheetFormatPr defaultRowHeight="14.5" x14ac:dyDescent="0.35"/>
  <cols>
    <col min="1" max="1" width="37.7265625" customWidth="1"/>
    <col min="2" max="2" width="7.36328125" bestFit="1" customWidth="1"/>
    <col min="4" max="4" width="1.81640625" bestFit="1" customWidth="1"/>
    <col min="5" max="5" width="9.08984375" style="83" bestFit="1" customWidth="1"/>
    <col min="6" max="6" width="9.7265625" style="83" bestFit="1" customWidth="1"/>
    <col min="7" max="7" width="8.90625" style="83" bestFit="1" customWidth="1"/>
    <col min="8" max="19" width="10.08984375" style="83" bestFit="1" customWidth="1"/>
    <col min="20" max="40" width="11.54296875" style="83" bestFit="1" customWidth="1"/>
    <col min="41" max="16384" width="8.7265625" style="83"/>
  </cols>
  <sheetData>
    <row r="1" spans="1:41" customFormat="1" x14ac:dyDescent="0.35">
      <c r="A1" s="85" t="s">
        <v>105</v>
      </c>
      <c r="B1" s="86" t="str">
        <f>Converter!C1</f>
        <v>Lakhs</v>
      </c>
    </row>
    <row r="2" spans="1:41" customFormat="1" x14ac:dyDescent="0.35"/>
    <row r="3" spans="1:41" customFormat="1" x14ac:dyDescent="0.35">
      <c r="E3" s="87">
        <v>1</v>
      </c>
      <c r="F3" s="87">
        <f>E3+1</f>
        <v>2</v>
      </c>
      <c r="G3" s="87">
        <f t="shared" ref="G3:AN3" si="0">F3+1</f>
        <v>3</v>
      </c>
      <c r="H3" s="87">
        <f t="shared" si="0"/>
        <v>4</v>
      </c>
      <c r="I3" s="87">
        <f t="shared" si="0"/>
        <v>5</v>
      </c>
      <c r="J3" s="87">
        <f t="shared" si="0"/>
        <v>6</v>
      </c>
      <c r="K3" s="87">
        <f t="shared" si="0"/>
        <v>7</v>
      </c>
      <c r="L3" s="87">
        <f t="shared" si="0"/>
        <v>8</v>
      </c>
      <c r="M3" s="87">
        <f t="shared" si="0"/>
        <v>9</v>
      </c>
      <c r="N3" s="87">
        <f t="shared" si="0"/>
        <v>10</v>
      </c>
      <c r="O3" s="87">
        <f t="shared" si="0"/>
        <v>11</v>
      </c>
      <c r="P3" s="87">
        <f t="shared" si="0"/>
        <v>12</v>
      </c>
      <c r="Q3" s="87">
        <f t="shared" si="0"/>
        <v>13</v>
      </c>
      <c r="R3" s="87">
        <f t="shared" si="0"/>
        <v>14</v>
      </c>
      <c r="S3" s="87">
        <f t="shared" si="0"/>
        <v>15</v>
      </c>
      <c r="T3" s="87">
        <f t="shared" si="0"/>
        <v>16</v>
      </c>
      <c r="U3" s="87">
        <f t="shared" si="0"/>
        <v>17</v>
      </c>
      <c r="V3" s="87">
        <f t="shared" si="0"/>
        <v>18</v>
      </c>
      <c r="W3" s="87">
        <f t="shared" si="0"/>
        <v>19</v>
      </c>
      <c r="X3" s="87">
        <f t="shared" si="0"/>
        <v>20</v>
      </c>
      <c r="Y3" s="87">
        <f t="shared" si="0"/>
        <v>21</v>
      </c>
      <c r="Z3" s="87">
        <f t="shared" si="0"/>
        <v>22</v>
      </c>
      <c r="AA3" s="87">
        <f t="shared" si="0"/>
        <v>23</v>
      </c>
      <c r="AB3" s="87">
        <f t="shared" si="0"/>
        <v>24</v>
      </c>
      <c r="AC3" s="87">
        <f t="shared" si="0"/>
        <v>25</v>
      </c>
      <c r="AD3" s="87">
        <f t="shared" si="0"/>
        <v>26</v>
      </c>
      <c r="AE3" s="87">
        <f t="shared" si="0"/>
        <v>27</v>
      </c>
      <c r="AF3" s="87">
        <f t="shared" si="0"/>
        <v>28</v>
      </c>
      <c r="AG3" s="87">
        <f t="shared" si="0"/>
        <v>29</v>
      </c>
      <c r="AH3" s="87">
        <f t="shared" si="0"/>
        <v>30</v>
      </c>
      <c r="AI3" s="87">
        <f t="shared" si="0"/>
        <v>31</v>
      </c>
      <c r="AJ3" s="87">
        <f t="shared" si="0"/>
        <v>32</v>
      </c>
      <c r="AK3" s="87">
        <f t="shared" si="0"/>
        <v>33</v>
      </c>
      <c r="AL3" s="87">
        <f t="shared" si="0"/>
        <v>34</v>
      </c>
      <c r="AM3" s="87">
        <f t="shared" si="0"/>
        <v>35</v>
      </c>
      <c r="AN3" s="87">
        <f t="shared" si="0"/>
        <v>36</v>
      </c>
    </row>
    <row r="4" spans="1:41" customFormat="1" x14ac:dyDescent="0.35">
      <c r="E4" s="88">
        <f>EOMONTH(Assumptions!G3,0)</f>
        <v>43951</v>
      </c>
      <c r="F4" s="88">
        <f>EOMONTH(E4,1)</f>
        <v>43982</v>
      </c>
      <c r="G4" s="88">
        <f>EOMONTH(F4,1)</f>
        <v>44012</v>
      </c>
      <c r="H4" s="88">
        <f t="shared" ref="H4:AN4" si="1">EOMONTH(G4,1)</f>
        <v>44043</v>
      </c>
      <c r="I4" s="88">
        <f t="shared" si="1"/>
        <v>44074</v>
      </c>
      <c r="J4" s="88">
        <f t="shared" si="1"/>
        <v>44104</v>
      </c>
      <c r="K4" s="88">
        <f t="shared" si="1"/>
        <v>44135</v>
      </c>
      <c r="L4" s="88">
        <f t="shared" si="1"/>
        <v>44165</v>
      </c>
      <c r="M4" s="88">
        <f t="shared" si="1"/>
        <v>44196</v>
      </c>
      <c r="N4" s="88">
        <f t="shared" si="1"/>
        <v>44227</v>
      </c>
      <c r="O4" s="88">
        <f t="shared" si="1"/>
        <v>44255</v>
      </c>
      <c r="P4" s="88">
        <f t="shared" si="1"/>
        <v>44286</v>
      </c>
      <c r="Q4" s="88">
        <f t="shared" si="1"/>
        <v>44316</v>
      </c>
      <c r="R4" s="88">
        <f t="shared" si="1"/>
        <v>44347</v>
      </c>
      <c r="S4" s="88">
        <f t="shared" si="1"/>
        <v>44377</v>
      </c>
      <c r="T4" s="88">
        <f t="shared" si="1"/>
        <v>44408</v>
      </c>
      <c r="U4" s="88">
        <f t="shared" si="1"/>
        <v>44439</v>
      </c>
      <c r="V4" s="88">
        <f t="shared" si="1"/>
        <v>44469</v>
      </c>
      <c r="W4" s="88">
        <f t="shared" si="1"/>
        <v>44500</v>
      </c>
      <c r="X4" s="88">
        <f t="shared" si="1"/>
        <v>44530</v>
      </c>
      <c r="Y4" s="88">
        <f t="shared" si="1"/>
        <v>44561</v>
      </c>
      <c r="Z4" s="88">
        <f t="shared" si="1"/>
        <v>44592</v>
      </c>
      <c r="AA4" s="88">
        <f t="shared" si="1"/>
        <v>44620</v>
      </c>
      <c r="AB4" s="88">
        <f t="shared" si="1"/>
        <v>44651</v>
      </c>
      <c r="AC4" s="88">
        <f t="shared" si="1"/>
        <v>44681</v>
      </c>
      <c r="AD4" s="88">
        <f t="shared" si="1"/>
        <v>44712</v>
      </c>
      <c r="AE4" s="88">
        <f t="shared" si="1"/>
        <v>44742</v>
      </c>
      <c r="AF4" s="88">
        <f t="shared" si="1"/>
        <v>44773</v>
      </c>
      <c r="AG4" s="88">
        <f t="shared" si="1"/>
        <v>44804</v>
      </c>
      <c r="AH4" s="88">
        <f t="shared" si="1"/>
        <v>44834</v>
      </c>
      <c r="AI4" s="88">
        <f t="shared" si="1"/>
        <v>44865</v>
      </c>
      <c r="AJ4" s="88">
        <f t="shared" si="1"/>
        <v>44895</v>
      </c>
      <c r="AK4" s="88">
        <f t="shared" si="1"/>
        <v>44926</v>
      </c>
      <c r="AL4" s="88">
        <f t="shared" si="1"/>
        <v>44957</v>
      </c>
      <c r="AM4" s="88">
        <f t="shared" si="1"/>
        <v>44985</v>
      </c>
      <c r="AN4" s="88">
        <f t="shared" si="1"/>
        <v>45016</v>
      </c>
    </row>
    <row r="5" spans="1:41" x14ac:dyDescent="0.35">
      <c r="A5" s="85" t="s">
        <v>0</v>
      </c>
    </row>
    <row r="6" spans="1:41" x14ac:dyDescent="0.35">
      <c r="A6" t="str">
        <f>'Monthly Revenue'!A74</f>
        <v>Alcoholic Beverages</v>
      </c>
      <c r="E6" s="83">
        <f>'Monthly Revenue'!E74+'Monthly P&amp;L'!E73</f>
        <v>0</v>
      </c>
      <c r="F6" s="83">
        <f>'Monthly Revenue'!F74+'Monthly P&amp;L'!F73</f>
        <v>0</v>
      </c>
      <c r="G6" s="83">
        <f>'Monthly Revenue'!G74+'Monthly P&amp;L'!G73</f>
        <v>0</v>
      </c>
      <c r="H6" s="83">
        <f>'Monthly Revenue'!H74+'Monthly P&amp;L'!H73</f>
        <v>6.8320000000000007</v>
      </c>
      <c r="I6" s="83">
        <f>'Monthly Revenue'!I74+'Monthly P&amp;L'!I73</f>
        <v>7.3212799999999998</v>
      </c>
      <c r="J6" s="83">
        <f>'Monthly Revenue'!J74+'Monthly P&amp;L'!J73</f>
        <v>7.0236991999999994</v>
      </c>
      <c r="K6" s="83">
        <f>'Monthly Revenue'!K74+'Monthly P&amp;L'!K73</f>
        <v>7.585997184</v>
      </c>
      <c r="L6" s="83">
        <f>'Monthly Revenue'!L74+'Monthly P&amp;L'!L73</f>
        <v>7.6043541542400002</v>
      </c>
      <c r="M6" s="83">
        <f>'Monthly Revenue'!M74+'Monthly P&amp;L'!M73</f>
        <v>7.8357675053824005</v>
      </c>
      <c r="N6" s="83">
        <f>'Monthly Revenue'!N74+'Monthly P&amp;L'!N73</f>
        <v>8.4637783981480972</v>
      </c>
      <c r="O6" s="83">
        <f>'Monthly Revenue'!O74+'Monthly P&amp;L'!O73</f>
        <v>7.6485858829625357</v>
      </c>
      <c r="P6" s="83">
        <f>'Monthly Revenue'!P74+'Monthly P&amp;L'!P73</f>
        <v>8.5167420314553013</v>
      </c>
      <c r="Q6" s="83">
        <f>'Monthly Revenue'!Q74+'Monthly P&amp;L'!Q73</f>
        <v>8.5383454300789747</v>
      </c>
      <c r="R6" s="83">
        <f>'Monthly Revenue'!R74+'Monthly P&amp;L'!R73</f>
        <v>9.5209883648443618</v>
      </c>
      <c r="S6" s="83">
        <f>'Monthly Revenue'!S74+'Monthly P&amp;L'!S73</f>
        <v>9.0357597468007569</v>
      </c>
      <c r="T6" s="83">
        <f>'Monthly Revenue'!T74+'Monthly P&amp;L'!T73</f>
        <v>10.307705124884635</v>
      </c>
      <c r="U6" s="83">
        <f>'Monthly Revenue'!U74+'Monthly P&amp;L'!U73</f>
        <v>10.612202631407849</v>
      </c>
      <c r="V6" s="83">
        <f>'Monthly Revenue'!V74+'Monthly P&amp;L'!V73</f>
        <v>10.335789236478087</v>
      </c>
      <c r="W6" s="83">
        <f>'Monthly Revenue'!W74+'Monthly P&amp;L'!W73</f>
        <v>11.606176734791012</v>
      </c>
      <c r="X6" s="83">
        <f>'Monthly Revenue'!X74+'Monthly P&amp;L'!X73</f>
        <v>10.948127161752378</v>
      </c>
      <c r="Y6" s="83">
        <f>'Monthly Revenue'!Y74+'Monthly P&amp;L'!Y73</f>
        <v>11.539881123192105</v>
      </c>
      <c r="Z6" s="83">
        <f>'Monthly Revenue'!Z74+'Monthly P&amp;L'!Z73</f>
        <v>12.707779534395698</v>
      </c>
      <c r="AA6" s="83">
        <f>'Monthly Revenue'!AA74+'Monthly P&amp;L'!AA73</f>
        <v>11.380816621110142</v>
      </c>
      <c r="AB6" s="83">
        <f>'Monthly Revenue'!AB74+'Monthly P&amp;L'!AB73</f>
        <v>12.584722029250656</v>
      </c>
      <c r="AC6" s="83">
        <f>'Monthly Revenue'!AC74+'Monthly P&amp;L'!AC73</f>
        <v>13.148027921625697</v>
      </c>
      <c r="AD6" s="83">
        <f>'Monthly Revenue'!AD74+'Monthly P&amp;L'!AD73</f>
        <v>13.849645081075373</v>
      </c>
      <c r="AE6" s="83">
        <f>'Monthly Revenue'!AE74+'Monthly P&amp;L'!AE73</f>
        <v>13.431126065359969</v>
      </c>
      <c r="AF6" s="83">
        <f>'Monthly Revenue'!AF74+'Monthly P&amp;L'!AF73</f>
        <v>16.036678424827194</v>
      </c>
      <c r="AG6" s="83">
        <f>'Monthly Revenue'!AG74+'Monthly P&amp;L'!AG73</f>
        <v>15.296326481062346</v>
      </c>
      <c r="AH6" s="83">
        <f>'Monthly Revenue'!AH74+'Monthly P&amp;L'!AH73</f>
        <v>15.41561580888991</v>
      </c>
      <c r="AI6" s="83">
        <f>'Monthly Revenue'!AI74+'Monthly P&amp;L'!AI73</f>
        <v>17.602908833049867</v>
      </c>
      <c r="AJ6" s="83">
        <f>'Monthly Revenue'!AJ74+'Monthly P&amp;L'!AJ73</f>
        <v>16.365834814653716</v>
      </c>
      <c r="AK6" s="83">
        <f>'Monthly Revenue'!AK74+'Monthly P&amp;L'!AK73</f>
        <v>17.699115285222099</v>
      </c>
      <c r="AL6" s="83">
        <f>'Monthly Revenue'!AL74+'Monthly P&amp;L'!AL73</f>
        <v>17.857624340926542</v>
      </c>
      <c r="AM6" s="83">
        <f>'Monthly Revenue'!AM74+'Monthly P&amp;L'!AM73</f>
        <v>16.183737343404612</v>
      </c>
      <c r="AN6" s="83">
        <f>'Monthly Revenue'!AN74+'Monthly P&amp;L'!AN73</f>
        <v>17.480551803813608</v>
      </c>
    </row>
    <row r="7" spans="1:41" x14ac:dyDescent="0.35">
      <c r="A7" t="str">
        <f>'Monthly Revenue'!A75</f>
        <v>Non Alcoholic Beverages</v>
      </c>
      <c r="E7" s="83">
        <f>'Monthly Revenue'!E75+'Monthly P&amp;L'!E74</f>
        <v>0</v>
      </c>
      <c r="F7" s="83">
        <f>'Monthly Revenue'!F75+'Monthly P&amp;L'!F74</f>
        <v>0</v>
      </c>
      <c r="G7" s="83">
        <f>'Monthly Revenue'!G75+'Monthly P&amp;L'!G74</f>
        <v>0</v>
      </c>
      <c r="H7" s="83">
        <f>'Monthly Revenue'!H75+'Monthly P&amp;L'!H74</f>
        <v>5.6840000000000002</v>
      </c>
      <c r="I7" s="83">
        <f>'Monthly Revenue'!I75+'Monthly P&amp;L'!I74</f>
        <v>5.9984799999999998</v>
      </c>
      <c r="J7" s="83">
        <f>'Monthly Revenue'!J75+'Monthly P&amp;L'!J74</f>
        <v>5.8217824</v>
      </c>
      <c r="K7" s="83">
        <f>'Monthly Revenue'!K75+'Monthly P&amp;L'!K74</f>
        <v>6.2484209280000016</v>
      </c>
      <c r="L7" s="83">
        <f>'Monthly Revenue'!L75+'Monthly P&amp;L'!L74</f>
        <v>6.2442621216000003</v>
      </c>
      <c r="M7" s="83">
        <f>'Monthly Revenue'!M75+'Monthly P&amp;L'!M74</f>
        <v>6.4908331390592</v>
      </c>
      <c r="N7" s="83">
        <f>'Monthly Revenue'!N75+'Monthly P&amp;L'!N74</f>
        <v>6.9026158261506572</v>
      </c>
      <c r="O7" s="83">
        <f>'Monthly Revenue'!O75+'Monthly P&amp;L'!O74</f>
        <v>6.2837505517885646</v>
      </c>
      <c r="P7" s="83">
        <f>'Monthly Revenue'!P75+'Monthly P&amp;L'!P74</f>
        <v>7.0362032095154303</v>
      </c>
      <c r="Q7" s="83">
        <f>'Monthly Revenue'!Q75+'Monthly P&amp;L'!Q74</f>
        <v>7.0332661729391779</v>
      </c>
      <c r="R7" s="83">
        <f>'Monthly Revenue'!R75+'Monthly P&amp;L'!R74</f>
        <v>7.7360006234167864</v>
      </c>
      <c r="S7" s="83">
        <f>'Monthly Revenue'!S75+'Monthly P&amp;L'!S74</f>
        <v>7.4295306603623361</v>
      </c>
      <c r="T7" s="83">
        <f>'Monthly Revenue'!T75+'Monthly P&amp;L'!T74</f>
        <v>8.4206185317667845</v>
      </c>
      <c r="U7" s="83">
        <f>'Monthly Revenue'!U75+'Monthly P&amp;L'!U74</f>
        <v>8.6613511287470413</v>
      </c>
      <c r="V7" s="83">
        <f>'Monthly Revenue'!V75+'Monthly P&amp;L'!V74</f>
        <v>8.4752269821947763</v>
      </c>
      <c r="W7" s="83">
        <f>'Monthly Revenue'!W75+'Monthly P&amp;L'!W74</f>
        <v>9.3863968121173258</v>
      </c>
      <c r="X7" s="83">
        <f>'Monthly Revenue'!X75+'Monthly P&amp;L'!X74</f>
        <v>8.9608585140871888</v>
      </c>
      <c r="Y7" s="83">
        <f>'Monthly Revenue'!Y75+'Monthly P&amp;L'!Y74</f>
        <v>9.4564011997323068</v>
      </c>
      <c r="Z7" s="83">
        <f>'Monthly Revenue'!Z75+'Monthly P&amp;L'!Z74</f>
        <v>10.248610625827746</v>
      </c>
      <c r="AA7" s="83">
        <f>'Monthly Revenue'!AA75+'Monthly P&amp;L'!AA74</f>
        <v>9.2469680839106392</v>
      </c>
      <c r="AB7" s="83">
        <f>'Monthly Revenue'!AB75+'Monthly P&amp;L'!AB74</f>
        <v>10.284142078465766</v>
      </c>
      <c r="AC7" s="83">
        <f>'Monthly Revenue'!AC75+'Monthly P&amp;L'!AC74</f>
        <v>10.627664254489723</v>
      </c>
      <c r="AD7" s="83">
        <f>'Monthly Revenue'!AD75+'Monthly P&amp;L'!AD74</f>
        <v>11.209369471320846</v>
      </c>
      <c r="AE7" s="83">
        <f>'Monthly Revenue'!AE75+'Monthly P&amp;L'!AE74</f>
        <v>10.922088096921041</v>
      </c>
      <c r="AF7" s="83">
        <f>'Monthly Revenue'!AF75+'Monthly P&amp;L'!AF74</f>
        <v>12.861494712515574</v>
      </c>
      <c r="AG7" s="83">
        <f>'Monthly Revenue'!AG75+'Monthly P&amp;L'!AG74</f>
        <v>12.442202976809718</v>
      </c>
      <c r="AH7" s="83">
        <f>'Monthly Revenue'!AH75+'Monthly P&amp;L'!AH74</f>
        <v>12.500866900490539</v>
      </c>
      <c r="AI7" s="83">
        <f>'Monthly Revenue'!AI75+'Monthly P&amp;L'!AI74</f>
        <v>14.078669134577101</v>
      </c>
      <c r="AJ7" s="83">
        <f>'Monthly Revenue'!AJ75+'Monthly P&amp;L'!AJ74</f>
        <v>13.246687530572613</v>
      </c>
      <c r="AK7" s="83">
        <f>'Monthly Revenue'!AK75+'Monthly P&amp;L'!AK74</f>
        <v>14.257803025958829</v>
      </c>
      <c r="AL7" s="83">
        <f>'Monthly Revenue'!AL75+'Monthly P&amp;L'!AL74</f>
        <v>14.399082836478005</v>
      </c>
      <c r="AM7" s="83">
        <f>'Monthly Revenue'!AM75+'Monthly P&amp;L'!AM74</f>
        <v>13.075750675643242</v>
      </c>
      <c r="AN7" s="83">
        <f>'Monthly Revenue'!AN75+'Monthly P&amp;L'!AN74</f>
        <v>14.231607042529522</v>
      </c>
    </row>
    <row r="8" spans="1:41" ht="15" thickBot="1" x14ac:dyDescent="0.4">
      <c r="A8" t="str">
        <f>'Monthly Revenue'!A76</f>
        <v>Food</v>
      </c>
      <c r="E8" s="83">
        <f>'Monthly Revenue'!E76+'Monthly P&amp;L'!E75</f>
        <v>0</v>
      </c>
      <c r="F8" s="83">
        <f>'Monthly Revenue'!F76+'Monthly P&amp;L'!F75</f>
        <v>0</v>
      </c>
      <c r="G8" s="83">
        <f>'Monthly Revenue'!G76+'Monthly P&amp;L'!G75</f>
        <v>0</v>
      </c>
      <c r="H8" s="83">
        <f>'Monthly Revenue'!H76+'Monthly P&amp;L'!H75</f>
        <v>18.071999999999999</v>
      </c>
      <c r="I8" s="83">
        <f>'Monthly Revenue'!I76+'Monthly P&amp;L'!I75</f>
        <v>18.812640000000002</v>
      </c>
      <c r="J8" s="83">
        <f>'Monthly Revenue'!J76+'Monthly P&amp;L'!J75</f>
        <v>18.449299199999999</v>
      </c>
      <c r="K8" s="83">
        <f>'Monthly Revenue'!K76+'Monthly P&amp;L'!K75</f>
        <v>19.690487424000001</v>
      </c>
      <c r="L8" s="83">
        <f>'Monthly Revenue'!L76+'Monthly P&amp;L'!L75</f>
        <v>19.622858169600001</v>
      </c>
      <c r="M8" s="83">
        <f>'Monthly Revenue'!M76+'Monthly P&amp;L'!M75</f>
        <v>20.558135880729601</v>
      </c>
      <c r="N8" s="83">
        <f>'Monthly Revenue'!N76+'Monthly P&amp;L'!N75</f>
        <v>21.55741856840141</v>
      </c>
      <c r="O8" s="83">
        <f>'Monthly Revenue'!O76+'Monthly P&amp;L'!O75</f>
        <v>19.755939016019926</v>
      </c>
      <c r="P8" s="83">
        <f>'Monthly Revenue'!P76+'Monthly P&amp;L'!P75</f>
        <v>22.232814716183519</v>
      </c>
      <c r="Q8" s="83">
        <f>'Monthly Revenue'!Q76+'Monthly P&amp;L'!Q75</f>
        <v>22.16492845692725</v>
      </c>
      <c r="R8" s="83">
        <f>'Monthly Revenue'!R76+'Monthly P&amp;L'!R75</f>
        <v>24.077824911230501</v>
      </c>
      <c r="S8" s="83">
        <f>'Monthly Revenue'!S76+'Monthly P&amp;L'!S75</f>
        <v>23.37564260789452</v>
      </c>
      <c r="T8" s="83">
        <f>'Monthly Revenue'!T76+'Monthly P&amp;L'!T75</f>
        <v>26.338799771618131</v>
      </c>
      <c r="U8" s="83">
        <f>'Monthly Revenue'!U76+'Monthly P&amp;L'!U75</f>
        <v>27.068919667066339</v>
      </c>
      <c r="V8" s="83">
        <f>'Monthly Revenue'!V76+'Monthly P&amp;L'!V75</f>
        <v>26.599904814995607</v>
      </c>
      <c r="W8" s="83">
        <f>'Monthly Revenue'!W76+'Monthly P&amp;L'!W75</f>
        <v>29.088828441602786</v>
      </c>
      <c r="X8" s="83">
        <f>'Monthly Revenue'!X76+'Monthly P&amp;L'!X75</f>
        <v>28.077269618632275</v>
      </c>
      <c r="Y8" s="83">
        <f>'Monthly Revenue'!Y76+'Monthly P&amp;L'!Y75</f>
        <v>29.661847028286466</v>
      </c>
      <c r="Z8" s="83">
        <f>'Monthly Revenue'!Z76+'Monthly P&amp;L'!Z75</f>
        <v>31.678203359510299</v>
      </c>
      <c r="AA8" s="83">
        <f>'Monthly Revenue'!AA76+'Monthly P&amp;L'!AA75</f>
        <v>28.780097340591333</v>
      </c>
      <c r="AB8" s="83">
        <f>'Monthly Revenue'!AB76+'Monthly P&amp;L'!AB75</f>
        <v>32.177319464103299</v>
      </c>
      <c r="AC8" s="83">
        <f>'Monthly Revenue'!AC76+'Monthly P&amp;L'!AC75</f>
        <v>32.919173215208154</v>
      </c>
      <c r="AD8" s="83">
        <f>'Monthly Revenue'!AD76+'Monthly P&amp;L'!AD75</f>
        <v>34.763028271570427</v>
      </c>
      <c r="AE8" s="83">
        <f>'Monthly Revenue'!AE76+'Monthly P&amp;L'!AE75</f>
        <v>34.020184195615968</v>
      </c>
      <c r="AF8" s="83">
        <f>'Monthly Revenue'!AF76+'Monthly P&amp;L'!AF75</f>
        <v>39.547125463848303</v>
      </c>
      <c r="AG8" s="83">
        <f>'Monthly Revenue'!AG76+'Monthly P&amp;L'!AG75</f>
        <v>38.76463848074016</v>
      </c>
      <c r="AH8" s="83">
        <f>'Monthly Revenue'!AH76+'Monthly P&amp;L'!AH75</f>
        <v>38.837532825724978</v>
      </c>
      <c r="AI8" s="83">
        <f>'Monthly Revenue'!AI76+'Monthly P&amp;L'!AI75</f>
        <v>43.176617517921422</v>
      </c>
      <c r="AJ8" s="83">
        <f>'Monthly Revenue'!AJ76+'Monthly P&amp;L'!AJ75</f>
        <v>41.083589771579312</v>
      </c>
      <c r="AK8" s="83">
        <f>'Monthly Revenue'!AK76+'Monthly P&amp;L'!AK75</f>
        <v>44.018258355666305</v>
      </c>
      <c r="AL8" s="83">
        <f>'Monthly Revenue'!AL76+'Monthly P&amp;L'!AL75</f>
        <v>44.493785522779632</v>
      </c>
      <c r="AM8" s="83">
        <f>'Monthly Revenue'!AM76+'Monthly P&amp;L'!AM75</f>
        <v>40.48091203021383</v>
      </c>
      <c r="AN8" s="83">
        <f>'Monthly Revenue'!AN76+'Monthly P&amp;L'!AN75</f>
        <v>44.371355411440831</v>
      </c>
    </row>
    <row r="9" spans="1:41" s="156" customFormat="1" ht="15" thickBot="1" x14ac:dyDescent="0.4">
      <c r="A9" s="154" t="str">
        <f>'Monthly Revenue'!A77</f>
        <v>Total</v>
      </c>
      <c r="B9" s="155"/>
      <c r="C9" s="155"/>
      <c r="D9" s="155"/>
      <c r="E9" s="156">
        <f>'Monthly Revenue'!E77+'Monthly P&amp;L'!E76</f>
        <v>0</v>
      </c>
      <c r="F9" s="156">
        <f>'Monthly Revenue'!F77+'Monthly P&amp;L'!F76</f>
        <v>0</v>
      </c>
      <c r="G9" s="156">
        <f>'Monthly Revenue'!G77+'Monthly P&amp;L'!G76</f>
        <v>0</v>
      </c>
      <c r="H9" s="156">
        <f>'Monthly Revenue'!H77+'Monthly P&amp;L'!H76</f>
        <v>30.588000000000001</v>
      </c>
      <c r="I9" s="156">
        <f>'Monthly Revenue'!I77+'Monthly P&amp;L'!I76</f>
        <v>32.132400000000004</v>
      </c>
      <c r="J9" s="156">
        <f>'Monthly Revenue'!J77+'Monthly P&amp;L'!J76</f>
        <v>31.294780799999998</v>
      </c>
      <c r="K9" s="156">
        <f>'Monthly Revenue'!K77+'Monthly P&amp;L'!K76</f>
        <v>33.524905536000006</v>
      </c>
      <c r="L9" s="156">
        <f>'Monthly Revenue'!L77+'Monthly P&amp;L'!L76</f>
        <v>33.471474445440002</v>
      </c>
      <c r="M9" s="156">
        <f>'Monthly Revenue'!M77+'Monthly P&amp;L'!M76</f>
        <v>34.884736525171206</v>
      </c>
      <c r="N9" s="156">
        <f>'Monthly Revenue'!N77+'Monthly P&amp;L'!N76</f>
        <v>36.923812792700161</v>
      </c>
      <c r="O9" s="156">
        <f>'Monthly Revenue'!O77+'Monthly P&amp;L'!O76</f>
        <v>33.68827545077103</v>
      </c>
      <c r="P9" s="156">
        <f>'Monthly Revenue'!P77+'Monthly P&amp;L'!P76</f>
        <v>37.785759957154255</v>
      </c>
      <c r="Q9" s="156">
        <f>'Monthly Revenue'!Q77+'Monthly P&amp;L'!Q76</f>
        <v>37.736540059945398</v>
      </c>
      <c r="R9" s="156">
        <f>'Monthly Revenue'!R77+'Monthly P&amp;L'!R76</f>
        <v>41.33481389949165</v>
      </c>
      <c r="S9" s="156">
        <f>'Monthly Revenue'!S77+'Monthly P&amp;L'!S76</f>
        <v>39.840933015057615</v>
      </c>
      <c r="T9" s="156">
        <f>'Monthly Revenue'!T77+'Monthly P&amp;L'!T76</f>
        <v>45.067123428269554</v>
      </c>
      <c r="U9" s="156">
        <f>'Monthly Revenue'!U77+'Monthly P&amp;L'!U76</f>
        <v>46.342473427221229</v>
      </c>
      <c r="V9" s="156">
        <f>'Monthly Revenue'!V77+'Monthly P&amp;L'!V76</f>
        <v>45.410921033668473</v>
      </c>
      <c r="W9" s="156">
        <f>'Monthly Revenue'!W77+'Monthly P&amp;L'!W76</f>
        <v>50.081401988511125</v>
      </c>
      <c r="X9" s="156">
        <f>'Monthly Revenue'!X77+'Monthly P&amp;L'!X76</f>
        <v>47.986255294471846</v>
      </c>
      <c r="Y9" s="156">
        <f>'Monthly Revenue'!Y77+'Monthly P&amp;L'!Y76</f>
        <v>50.658129351210874</v>
      </c>
      <c r="Z9" s="156">
        <f>'Monthly Revenue'!Z77+'Monthly P&amp;L'!Z76</f>
        <v>54.634593519733741</v>
      </c>
      <c r="AA9" s="156">
        <f>'Monthly Revenue'!AA77+'Monthly P&amp;L'!AA76</f>
        <v>49.407882045612112</v>
      </c>
      <c r="AB9" s="156">
        <f>'Monthly Revenue'!AB77+'Monthly P&amp;L'!AB76</f>
        <v>55.046183571819725</v>
      </c>
      <c r="AC9" s="156">
        <f>'Monthly Revenue'!AC77+'Monthly P&amp;L'!AC76</f>
        <v>56.694865391323574</v>
      </c>
      <c r="AD9" s="156">
        <f>'Monthly Revenue'!AD77+'Monthly P&amp;L'!AD76</f>
        <v>59.822042823966648</v>
      </c>
      <c r="AE9" s="156">
        <f>'Monthly Revenue'!AE77+'Monthly P&amp;L'!AE76</f>
        <v>58.373398357896974</v>
      </c>
      <c r="AF9" s="156">
        <f>'Monthly Revenue'!AF77+'Monthly P&amp;L'!AF76</f>
        <v>68.44529860119107</v>
      </c>
      <c r="AG9" s="156">
        <f>'Monthly Revenue'!AG77+'Monthly P&amp;L'!AG76</f>
        <v>66.503167938612222</v>
      </c>
      <c r="AH9" s="156">
        <f>'Monthly Revenue'!AH77+'Monthly P&amp;L'!AH76</f>
        <v>66.754015535105424</v>
      </c>
      <c r="AI9" s="156">
        <f>'Monthly Revenue'!AI77+'Monthly P&amp;L'!AI76</f>
        <v>74.858195485548393</v>
      </c>
      <c r="AJ9" s="156">
        <f>'Monthly Revenue'!AJ77+'Monthly P&amp;L'!AJ76</f>
        <v>70.696112116805637</v>
      </c>
      <c r="AK9" s="156">
        <f>'Monthly Revenue'!AK77+'Monthly P&amp;L'!AK76</f>
        <v>75.975176666847233</v>
      </c>
      <c r="AL9" s="156">
        <f>'Monthly Revenue'!AL77+'Monthly P&amp;L'!AL76</f>
        <v>76.750492700184182</v>
      </c>
      <c r="AM9" s="156">
        <f>'Monthly Revenue'!AM77+'Monthly P&amp;L'!AM76</f>
        <v>69.74040004926168</v>
      </c>
      <c r="AN9" s="156">
        <f>'Monthly Revenue'!AN77+'Monthly P&amp;L'!AN76</f>
        <v>76.08351425778396</v>
      </c>
    </row>
    <row r="11" spans="1:41" x14ac:dyDescent="0.35">
      <c r="A11" s="84" t="s">
        <v>115</v>
      </c>
    </row>
    <row r="12" spans="1:41" x14ac:dyDescent="0.35">
      <c r="A12" t="str">
        <f>Assumptions!A25</f>
        <v>Alcoholic Beverage cost (% of revenue)</v>
      </c>
      <c r="E12" s="101">
        <f>E6*Assumptions!$G25</f>
        <v>0</v>
      </c>
      <c r="F12" s="101">
        <f>F6*Assumptions!$G25</f>
        <v>0</v>
      </c>
      <c r="G12" s="101">
        <f>G6*Assumptions!$G25</f>
        <v>0</v>
      </c>
      <c r="H12" s="101">
        <f>H6*Assumptions!$G25</f>
        <v>2.3912</v>
      </c>
      <c r="I12" s="101">
        <f>I6*Assumptions!$G25</f>
        <v>2.5624479999999998</v>
      </c>
      <c r="J12" s="101">
        <f>J6*Assumptions!$G25</f>
        <v>2.4582947199999996</v>
      </c>
      <c r="K12" s="101">
        <f>K6*Assumptions!$G25</f>
        <v>2.6550990143999997</v>
      </c>
      <c r="L12" s="101">
        <f>L6*Assumptions!$G25</f>
        <v>2.6615239539840001</v>
      </c>
      <c r="M12" s="101">
        <f>M6*Assumptions!$G25</f>
        <v>2.74251862688384</v>
      </c>
      <c r="N12" s="101">
        <f>N6*Assumptions!$G25</f>
        <v>2.9623224393518339</v>
      </c>
      <c r="O12" s="101">
        <f>O6*Assumptions!$G25</f>
        <v>2.6770050590368872</v>
      </c>
      <c r="P12" s="101">
        <f>P6*Assumptions!$G25</f>
        <v>2.9808597110093551</v>
      </c>
      <c r="Q12" s="101">
        <f>Q6*Assumptions!$G25</f>
        <v>2.988420900527641</v>
      </c>
      <c r="R12" s="101">
        <f>R6*Assumptions!$G25</f>
        <v>3.3323459276955263</v>
      </c>
      <c r="S12" s="101">
        <f>S6*Assumptions!$G25</f>
        <v>3.1625159113802646</v>
      </c>
      <c r="T12" s="101">
        <f>T6*Assumptions!$G25</f>
        <v>3.6076967937096218</v>
      </c>
      <c r="U12" s="101">
        <f>U6*Assumptions!$G25</f>
        <v>3.7142709209927469</v>
      </c>
      <c r="V12" s="101">
        <f>V6*Assumptions!$G25</f>
        <v>3.6175262327673301</v>
      </c>
      <c r="W12" s="101">
        <f>W6*Assumptions!$G25</f>
        <v>4.0621618571768536</v>
      </c>
      <c r="X12" s="101">
        <f>X6*Assumptions!$G25</f>
        <v>3.831844506613332</v>
      </c>
      <c r="Y12" s="101">
        <f>Y6*Assumptions!$G25</f>
        <v>4.0389583931172366</v>
      </c>
      <c r="Z12" s="101">
        <f>Z6*Assumptions!$G25</f>
        <v>4.4477228370384942</v>
      </c>
      <c r="AA12" s="101">
        <f>AA6*Assumptions!$G25</f>
        <v>3.9832858173885497</v>
      </c>
      <c r="AB12" s="101">
        <f>AB6*Assumptions!$G25</f>
        <v>4.4046527102377295</v>
      </c>
      <c r="AC12" s="101">
        <f>AC6*Assumptions!$G25</f>
        <v>4.6018097725689939</v>
      </c>
      <c r="AD12" s="101">
        <f>AD6*Assumptions!$G25</f>
        <v>4.8473757783763798</v>
      </c>
      <c r="AE12" s="101">
        <f>AE6*Assumptions!$G25</f>
        <v>4.7008941228759884</v>
      </c>
      <c r="AF12" s="101">
        <f>AF6*Assumptions!$G25</f>
        <v>5.6128374486895174</v>
      </c>
      <c r="AG12" s="101">
        <f>AG6*Assumptions!$G25</f>
        <v>5.3537142683718209</v>
      </c>
      <c r="AH12" s="101">
        <f>AH6*Assumptions!$G25</f>
        <v>5.3954655331114685</v>
      </c>
      <c r="AI12" s="101">
        <f>AI6*Assumptions!$G25</f>
        <v>6.1610180915674526</v>
      </c>
      <c r="AJ12" s="101">
        <f>AJ6*Assumptions!$G25</f>
        <v>5.7280421851288006</v>
      </c>
      <c r="AK12" s="101">
        <f>AK6*Assumptions!$G25</f>
        <v>6.1946903498277344</v>
      </c>
      <c r="AL12" s="101">
        <f>AL6*Assumptions!$G25</f>
        <v>6.2501685193242889</v>
      </c>
      <c r="AM12" s="101">
        <f>AM6*Assumptions!$G25</f>
        <v>5.6643080701916135</v>
      </c>
      <c r="AN12" s="101">
        <f>AN6*Assumptions!$G25</f>
        <v>6.1181931313347624</v>
      </c>
      <c r="AO12" s="101"/>
    </row>
    <row r="13" spans="1:41" x14ac:dyDescent="0.35">
      <c r="A13" t="str">
        <f>Assumptions!A26</f>
        <v>Non Alcoholic Beverages (% of revenue)</v>
      </c>
      <c r="E13" s="101">
        <f>E7*Assumptions!$G26</f>
        <v>0</v>
      </c>
      <c r="F13" s="101">
        <f>F7*Assumptions!$G26</f>
        <v>0</v>
      </c>
      <c r="G13" s="101">
        <f>G7*Assumptions!$G26</f>
        <v>0</v>
      </c>
      <c r="H13" s="101">
        <f>H7*Assumptions!$G26</f>
        <v>2.2736000000000001</v>
      </c>
      <c r="I13" s="101">
        <f>I7*Assumptions!$G26</f>
        <v>2.3993920000000002</v>
      </c>
      <c r="J13" s="101">
        <f>J7*Assumptions!$G26</f>
        <v>2.3287129600000003</v>
      </c>
      <c r="K13" s="101">
        <f>K7*Assumptions!$G26</f>
        <v>2.499368371200001</v>
      </c>
      <c r="L13" s="101">
        <f>L7*Assumptions!$G26</f>
        <v>2.4977048486400002</v>
      </c>
      <c r="M13" s="101">
        <f>M7*Assumptions!$G26</f>
        <v>2.59633325562368</v>
      </c>
      <c r="N13" s="101">
        <f>N7*Assumptions!$G26</f>
        <v>2.761046330460263</v>
      </c>
      <c r="O13" s="101">
        <f>O7*Assumptions!$G26</f>
        <v>2.513500220715426</v>
      </c>
      <c r="P13" s="101">
        <f>P7*Assumptions!$G26</f>
        <v>2.8144812838061721</v>
      </c>
      <c r="Q13" s="101">
        <f>Q7*Assumptions!$G26</f>
        <v>2.8133064691756715</v>
      </c>
      <c r="R13" s="101">
        <f>R7*Assumptions!$G26</f>
        <v>3.0944002493667147</v>
      </c>
      <c r="S13" s="101">
        <f>S7*Assumptions!$G26</f>
        <v>2.9718122641449347</v>
      </c>
      <c r="T13" s="101">
        <f>T7*Assumptions!$G26</f>
        <v>3.3682474127067139</v>
      </c>
      <c r="U13" s="101">
        <f>U7*Assumptions!$G26</f>
        <v>3.4645404514988165</v>
      </c>
      <c r="V13" s="101">
        <f>V7*Assumptions!$G26</f>
        <v>3.3900907928779107</v>
      </c>
      <c r="W13" s="101">
        <f>W7*Assumptions!$G26</f>
        <v>3.7545587248469303</v>
      </c>
      <c r="X13" s="101">
        <f>X7*Assumptions!$G26</f>
        <v>3.5843434056348755</v>
      </c>
      <c r="Y13" s="101">
        <f>Y7*Assumptions!$G26</f>
        <v>3.7825604798929229</v>
      </c>
      <c r="Z13" s="101">
        <f>Z7*Assumptions!$G26</f>
        <v>4.099444250331099</v>
      </c>
      <c r="AA13" s="101">
        <f>AA7*Assumptions!$G26</f>
        <v>3.6987872335642558</v>
      </c>
      <c r="AB13" s="101">
        <f>AB7*Assumptions!$G26</f>
        <v>4.1136568313863071</v>
      </c>
      <c r="AC13" s="101">
        <f>AC7*Assumptions!$G26</f>
        <v>4.2510657017958895</v>
      </c>
      <c r="AD13" s="101">
        <f>AD7*Assumptions!$G26</f>
        <v>4.4837477885283388</v>
      </c>
      <c r="AE13" s="101">
        <f>AE7*Assumptions!$G26</f>
        <v>4.3688352387684164</v>
      </c>
      <c r="AF13" s="101">
        <f>AF7*Assumptions!$G26</f>
        <v>5.1445978850062302</v>
      </c>
      <c r="AG13" s="101">
        <f>AG7*Assumptions!$G26</f>
        <v>4.976881190723887</v>
      </c>
      <c r="AH13" s="101">
        <f>AH7*Assumptions!$G26</f>
        <v>5.0003467601962157</v>
      </c>
      <c r="AI13" s="101">
        <f>AI7*Assumptions!$G26</f>
        <v>5.6314676538308408</v>
      </c>
      <c r="AJ13" s="101">
        <f>AJ7*Assumptions!$G26</f>
        <v>5.2986750122290456</v>
      </c>
      <c r="AK13" s="101">
        <f>AK7*Assumptions!$G26</f>
        <v>5.7031212103835323</v>
      </c>
      <c r="AL13" s="101">
        <f>AL7*Assumptions!$G26</f>
        <v>5.7596331345912022</v>
      </c>
      <c r="AM13" s="101">
        <f>AM7*Assumptions!$G26</f>
        <v>5.2303002702572972</v>
      </c>
      <c r="AN13" s="101">
        <f>AN7*Assumptions!$G26</f>
        <v>5.6926428170118086</v>
      </c>
      <c r="AO13" s="101"/>
    </row>
    <row r="14" spans="1:41" x14ac:dyDescent="0.35">
      <c r="A14" t="str">
        <f>Assumptions!A27</f>
        <v>Food (% of revenue)</v>
      </c>
      <c r="E14" s="101">
        <f>E8*Assumptions!$G27</f>
        <v>0</v>
      </c>
      <c r="F14" s="101">
        <f>F8*Assumptions!$G27</f>
        <v>0</v>
      </c>
      <c r="G14" s="101">
        <f>G8*Assumptions!$G27</f>
        <v>0</v>
      </c>
      <c r="H14" s="101">
        <f>H8*Assumptions!$G27</f>
        <v>5.4215999999999998</v>
      </c>
      <c r="I14" s="101">
        <f>I8*Assumptions!$G27</f>
        <v>5.6437920000000004</v>
      </c>
      <c r="J14" s="101">
        <f>J8*Assumptions!$G27</f>
        <v>5.5347897599999998</v>
      </c>
      <c r="K14" s="101">
        <f>K8*Assumptions!$G27</f>
        <v>5.9071462272000002</v>
      </c>
      <c r="L14" s="101">
        <f>L8*Assumptions!$G27</f>
        <v>5.88685745088</v>
      </c>
      <c r="M14" s="101">
        <f>M8*Assumptions!$G27</f>
        <v>6.1674407642188802</v>
      </c>
      <c r="N14" s="101">
        <f>N8*Assumptions!$G27</f>
        <v>6.4672255705204229</v>
      </c>
      <c r="O14" s="101">
        <f>O8*Assumptions!$G27</f>
        <v>5.9267817048059781</v>
      </c>
      <c r="P14" s="101">
        <f>P8*Assumptions!$G27</f>
        <v>6.6698444148550555</v>
      </c>
      <c r="Q14" s="101">
        <f>Q8*Assumptions!$G27</f>
        <v>6.649478537078175</v>
      </c>
      <c r="R14" s="101">
        <f>R8*Assumptions!$G27</f>
        <v>7.2233474733691496</v>
      </c>
      <c r="S14" s="101">
        <f>S8*Assumptions!$G27</f>
        <v>7.0126927823683554</v>
      </c>
      <c r="T14" s="101">
        <f>T8*Assumptions!$G27</f>
        <v>7.9016399314854393</v>
      </c>
      <c r="U14" s="101">
        <f>U8*Assumptions!$G27</f>
        <v>8.1206759001199007</v>
      </c>
      <c r="V14" s="101">
        <f>V8*Assumptions!$G27</f>
        <v>7.9799714444986822</v>
      </c>
      <c r="W14" s="101">
        <f>W8*Assumptions!$G27</f>
        <v>8.7266485324808354</v>
      </c>
      <c r="X14" s="101">
        <f>X8*Assumptions!$G27</f>
        <v>8.4231808855896819</v>
      </c>
      <c r="Y14" s="101">
        <f>Y8*Assumptions!$G27</f>
        <v>8.8985541084859392</v>
      </c>
      <c r="Z14" s="101">
        <f>Z8*Assumptions!$G27</f>
        <v>9.5034610078530886</v>
      </c>
      <c r="AA14" s="101">
        <f>AA8*Assumptions!$G27</f>
        <v>8.6340292021774001</v>
      </c>
      <c r="AB14" s="101">
        <f>AB8*Assumptions!$G27</f>
        <v>9.6531958392309889</v>
      </c>
      <c r="AC14" s="101">
        <f>AC8*Assumptions!$G27</f>
        <v>9.8757519645624452</v>
      </c>
      <c r="AD14" s="101">
        <f>AD8*Assumptions!$G27</f>
        <v>10.428908481471128</v>
      </c>
      <c r="AE14" s="101">
        <f>AE8*Assumptions!$G27</f>
        <v>10.20605525868479</v>
      </c>
      <c r="AF14" s="101">
        <f>AF8*Assumptions!$G27</f>
        <v>11.864137639154491</v>
      </c>
      <c r="AG14" s="101">
        <f>AG8*Assumptions!$G27</f>
        <v>11.629391544222047</v>
      </c>
      <c r="AH14" s="101">
        <f>AH8*Assumptions!$G27</f>
        <v>11.651259847717492</v>
      </c>
      <c r="AI14" s="101">
        <f>AI8*Assumptions!$G27</f>
        <v>12.952985255376426</v>
      </c>
      <c r="AJ14" s="101">
        <f>AJ8*Assumptions!$G27</f>
        <v>12.325076931473793</v>
      </c>
      <c r="AK14" s="101">
        <f>AK8*Assumptions!$G27</f>
        <v>13.205477506699891</v>
      </c>
      <c r="AL14" s="101">
        <f>AL8*Assumptions!$G27</f>
        <v>13.34813565683389</v>
      </c>
      <c r="AM14" s="101">
        <f>AM8*Assumptions!$G27</f>
        <v>12.144273609064149</v>
      </c>
      <c r="AN14" s="101">
        <f>AN8*Assumptions!$G27</f>
        <v>13.31140662343225</v>
      </c>
      <c r="AO14" s="101"/>
    </row>
    <row r="15" spans="1:41" ht="15" thickBot="1" x14ac:dyDescent="0.4">
      <c r="A15" t="s">
        <v>116</v>
      </c>
      <c r="E15" s="101">
        <f>IF(MOD(E$3,12)=4,MAX(D15*(1+Assumptions!$G$41),Assumptions!$G$40)/deno,'Monthly P&amp;L'!D15)</f>
        <v>0</v>
      </c>
      <c r="F15" s="101">
        <f>IF(MOD(F$3,12)=4,MAX(E15*(1+Assumptions!$G$41),Assumptions!$G$40)/deno,'Monthly P&amp;L'!E15)</f>
        <v>0</v>
      </c>
      <c r="G15" s="101">
        <f>IF(MOD(G$3,12)=4,MAX(F15*(1+Assumptions!$G$41),Assumptions!$G$40)/deno,'Monthly P&amp;L'!F15)</f>
        <v>0</v>
      </c>
      <c r="H15" s="101">
        <f>IF(MOD(H$3,12)=4,MAX(G15*(1+Assumptions!$G$41),Assumptions!$G$40)/deno,'Monthly P&amp;L'!G15)</f>
        <v>9.86</v>
      </c>
      <c r="I15" s="101">
        <f>IF(MOD(I$3,12)=4,MAX(H15*(1+Assumptions!$G$41),Assumptions!$G$40)/deno,'Monthly P&amp;L'!H15)</f>
        <v>9.86</v>
      </c>
      <c r="J15" s="101">
        <f>IF(MOD(J$3,12)=4,MAX(I15*(1+Assumptions!$G$41),Assumptions!$G$40)/deno,'Monthly P&amp;L'!I15)</f>
        <v>9.86</v>
      </c>
      <c r="K15" s="101">
        <f>IF(MOD(K$3,12)=4,MAX(J15*(1+Assumptions!$G$41),Assumptions!$G$40)/deno,'Monthly P&amp;L'!J15)</f>
        <v>9.86</v>
      </c>
      <c r="L15" s="101">
        <f>IF(MOD(L$3,12)=4,MAX(K15*(1+Assumptions!$G$41),Assumptions!$G$40)/deno,'Monthly P&amp;L'!K15)</f>
        <v>9.86</v>
      </c>
      <c r="M15" s="101">
        <f>IF(MOD(M$3,12)=4,MAX(L15*(1+Assumptions!$G$41),Assumptions!$G$40)/deno,'Monthly P&amp;L'!L15)</f>
        <v>9.86</v>
      </c>
      <c r="N15" s="101">
        <f>IF(MOD(N$3,12)=4,MAX(M15*(1+Assumptions!$G$41),Assumptions!$G$40)/deno,'Monthly P&amp;L'!M15)</f>
        <v>9.86</v>
      </c>
      <c r="O15" s="101">
        <f>IF(MOD(O$3,12)=4,MAX(N15*(1+Assumptions!$G$41),Assumptions!$G$40)/deno,'Monthly P&amp;L'!N15)</f>
        <v>9.86</v>
      </c>
      <c r="P15" s="101">
        <f>IF(MOD(P$3,12)=4,MAX(O15*(1+Assumptions!$G$41),Assumptions!$G$40)/deno,'Monthly P&amp;L'!O15)</f>
        <v>9.86</v>
      </c>
      <c r="Q15" s="101">
        <f>IF(MOD(Q$3,12)=4,MAX(P15*(1+Assumptions!$G$41),Assumptions!$G$40)/deno,'Monthly P&amp;L'!P15)</f>
        <v>9.86</v>
      </c>
      <c r="R15" s="101">
        <f>IF(MOD(R$3,12)=4,MAX(Q15*(1+Assumptions!$G$41),Assumptions!$G$40)/deno,'Monthly P&amp;L'!Q15)</f>
        <v>9.86</v>
      </c>
      <c r="S15" s="101">
        <f>IF(MOD(S$3,12)=4,MAX(R15*(1+Assumptions!$G$41),Assumptions!$G$40)/deno,'Monthly P&amp;L'!R15)</f>
        <v>9.86</v>
      </c>
      <c r="T15" s="101">
        <f>IF(MOD(T$3,12)=4,MAX(S15*(1+Assumptions!$G$41),Assumptions!$G$40)/deno,'Monthly P&amp;L'!S15)</f>
        <v>9.86</v>
      </c>
      <c r="U15" s="101">
        <f>IF(MOD(U$3,12)=4,MAX(T15*(1+Assumptions!$G$41),Assumptions!$G$40)/deno,'Monthly P&amp;L'!T15)</f>
        <v>9.86</v>
      </c>
      <c r="V15" s="101">
        <f>IF(MOD(V$3,12)=4,MAX(U15*(1+Assumptions!$G$41),Assumptions!$G$40)/deno,'Monthly P&amp;L'!U15)</f>
        <v>9.86</v>
      </c>
      <c r="W15" s="101">
        <f>IF(MOD(W$3,12)=4,MAX(V15*(1+Assumptions!$G$41),Assumptions!$G$40)/deno,'Monthly P&amp;L'!V15)</f>
        <v>9.86</v>
      </c>
      <c r="X15" s="101">
        <f>IF(MOD(X$3,12)=4,MAX(W15*(1+Assumptions!$G$41),Assumptions!$G$40)/deno,'Monthly P&amp;L'!W15)</f>
        <v>9.86</v>
      </c>
      <c r="Y15" s="101">
        <f>IF(MOD(Y$3,12)=4,MAX(X15*(1+Assumptions!$G$41),Assumptions!$G$40)/deno,'Monthly P&amp;L'!X15)</f>
        <v>9.86</v>
      </c>
      <c r="Z15" s="101">
        <f>IF(MOD(Z$3,12)=4,MAX(Y15*(1+Assumptions!$G$41),Assumptions!$G$40)/deno,'Monthly P&amp;L'!Y15)</f>
        <v>9.86</v>
      </c>
      <c r="AA15" s="101">
        <f>IF(MOD(AA$3,12)=4,MAX(Z15*(1+Assumptions!$G$41),Assumptions!$G$40)/deno,'Monthly P&amp;L'!Z15)</f>
        <v>9.86</v>
      </c>
      <c r="AB15" s="101">
        <f>IF(MOD(AB$3,12)=4,MAX(AA15*(1+Assumptions!$G$41),Assumptions!$G$40)/deno,'Monthly P&amp;L'!AA15)</f>
        <v>9.86</v>
      </c>
      <c r="AC15" s="101">
        <f>IF(MOD(AC$3,12)=4,MAX(AB15*(1+Assumptions!$G$41),Assumptions!$G$40)/deno,'Monthly P&amp;L'!AB15)</f>
        <v>9.86</v>
      </c>
      <c r="AD15" s="101">
        <f>IF(MOD(AD$3,12)=4,MAX(AC15*(1+Assumptions!$G$41),Assumptions!$G$40)/deno,'Monthly P&amp;L'!AC15)</f>
        <v>9.86</v>
      </c>
      <c r="AE15" s="101">
        <f>IF(MOD(AE$3,12)=4,MAX(AD15*(1+Assumptions!$G$41),Assumptions!$G$40)/deno,'Monthly P&amp;L'!AD15)</f>
        <v>9.86</v>
      </c>
      <c r="AF15" s="101">
        <f>IF(MOD(AF$3,12)=4,MAX(AE15*(1+Assumptions!$G$41),Assumptions!$G$40)/deno,'Monthly P&amp;L'!AE15)</f>
        <v>9.86</v>
      </c>
      <c r="AG15" s="101">
        <f>IF(MOD(AG$3,12)=4,MAX(AF15*(1+Assumptions!$G$41),Assumptions!$G$40)/deno,'Monthly P&amp;L'!AF15)</f>
        <v>9.86</v>
      </c>
      <c r="AH15" s="101">
        <f>IF(MOD(AH$3,12)=4,MAX(AG15*(1+Assumptions!$G$41),Assumptions!$G$40)/deno,'Monthly P&amp;L'!AG15)</f>
        <v>9.86</v>
      </c>
      <c r="AI15" s="101">
        <f>IF(MOD(AI$3,12)=4,MAX(AH15*(1+Assumptions!$G$41),Assumptions!$G$40)/deno,'Monthly P&amp;L'!AH15)</f>
        <v>9.86</v>
      </c>
      <c r="AJ15" s="101">
        <f>IF(MOD(AJ$3,12)=4,MAX(AI15*(1+Assumptions!$G$41),Assumptions!$G$40)/deno,'Monthly P&amp;L'!AI15)</f>
        <v>9.86</v>
      </c>
      <c r="AK15" s="101">
        <f>IF(MOD(AK$3,12)=4,MAX(AJ15*(1+Assumptions!$G$41),Assumptions!$G$40)/deno,'Monthly P&amp;L'!AJ15)</f>
        <v>9.86</v>
      </c>
      <c r="AL15" s="101">
        <f>IF(MOD(AL$3,12)=4,MAX(AK15*(1+Assumptions!$G$41),Assumptions!$G$40)/deno,'Monthly P&amp;L'!AK15)</f>
        <v>9.86</v>
      </c>
      <c r="AM15" s="101">
        <f>IF(MOD(AM$3,12)=4,MAX(AL15*(1+Assumptions!$G$41),Assumptions!$G$40)/deno,'Monthly P&amp;L'!AL15)</f>
        <v>9.86</v>
      </c>
      <c r="AN15" s="101">
        <f>IF(MOD(AN$3,12)=4,MAX(AM15*(1+Assumptions!$G$41),Assumptions!$G$40)/deno,'Monthly P&amp;L'!AM15)</f>
        <v>9.86</v>
      </c>
      <c r="AO15" s="101"/>
    </row>
    <row r="16" spans="1:41" s="162" customFormat="1" ht="15" thickBot="1" x14ac:dyDescent="0.4">
      <c r="A16" s="154" t="s">
        <v>117</v>
      </c>
      <c r="B16" s="157"/>
      <c r="C16" s="157"/>
      <c r="D16" s="157"/>
      <c r="E16" s="158">
        <f>SUM(E12:E15)</f>
        <v>0</v>
      </c>
      <c r="F16" s="158">
        <f>SUM(F12:F15)</f>
        <v>0</v>
      </c>
      <c r="G16" s="158">
        <f t="shared" ref="G16:AN16" si="2">SUM(G12:G15)</f>
        <v>0</v>
      </c>
      <c r="H16" s="158">
        <f t="shared" si="2"/>
        <v>19.946399999999997</v>
      </c>
      <c r="I16" s="158">
        <f t="shared" si="2"/>
        <v>20.465631999999999</v>
      </c>
      <c r="J16" s="158">
        <f t="shared" si="2"/>
        <v>20.18179744</v>
      </c>
      <c r="K16" s="158">
        <f t="shared" si="2"/>
        <v>20.921613612800002</v>
      </c>
      <c r="L16" s="158">
        <f t="shared" si="2"/>
        <v>20.906086253504</v>
      </c>
      <c r="M16" s="158">
        <f t="shared" si="2"/>
        <v>21.3662926467264</v>
      </c>
      <c r="N16" s="158">
        <f t="shared" si="2"/>
        <v>22.05059434033252</v>
      </c>
      <c r="O16" s="158">
        <f t="shared" si="2"/>
        <v>20.97728698455829</v>
      </c>
      <c r="P16" s="158">
        <f t="shared" si="2"/>
        <v>22.325185409670581</v>
      </c>
      <c r="Q16" s="158">
        <f t="shared" si="2"/>
        <v>22.311205906781488</v>
      </c>
      <c r="R16" s="158">
        <f t="shared" si="2"/>
        <v>23.51009365043139</v>
      </c>
      <c r="S16" s="158">
        <f t="shared" si="2"/>
        <v>23.007020957893555</v>
      </c>
      <c r="T16" s="158">
        <f t="shared" si="2"/>
        <v>24.737584137901774</v>
      </c>
      <c r="U16" s="158">
        <f t="shared" si="2"/>
        <v>25.159487272611464</v>
      </c>
      <c r="V16" s="158">
        <f t="shared" si="2"/>
        <v>24.847588470143922</v>
      </c>
      <c r="W16" s="158">
        <f t="shared" si="2"/>
        <v>26.403369114504621</v>
      </c>
      <c r="X16" s="158">
        <f t="shared" si="2"/>
        <v>25.699368797837888</v>
      </c>
      <c r="Y16" s="158">
        <f t="shared" si="2"/>
        <v>26.580072981496098</v>
      </c>
      <c r="Z16" s="158">
        <f t="shared" si="2"/>
        <v>27.910628095222684</v>
      </c>
      <c r="AA16" s="158">
        <f t="shared" si="2"/>
        <v>26.176102253130203</v>
      </c>
      <c r="AB16" s="158">
        <f t="shared" si="2"/>
        <v>28.031505380855023</v>
      </c>
      <c r="AC16" s="158">
        <f t="shared" si="2"/>
        <v>28.588627438927325</v>
      </c>
      <c r="AD16" s="158">
        <f t="shared" si="2"/>
        <v>29.620032048375847</v>
      </c>
      <c r="AE16" s="158">
        <f t="shared" si="2"/>
        <v>29.135784620329197</v>
      </c>
      <c r="AF16" s="158">
        <f t="shared" si="2"/>
        <v>32.481572972850238</v>
      </c>
      <c r="AG16" s="158">
        <f t="shared" si="2"/>
        <v>31.819987003317756</v>
      </c>
      <c r="AH16" s="158">
        <f t="shared" si="2"/>
        <v>31.907072141025175</v>
      </c>
      <c r="AI16" s="158">
        <f t="shared" si="2"/>
        <v>34.60547100077472</v>
      </c>
      <c r="AJ16" s="158">
        <f t="shared" si="2"/>
        <v>33.211794128831642</v>
      </c>
      <c r="AK16" s="158">
        <f t="shared" si="2"/>
        <v>34.963289066911159</v>
      </c>
      <c r="AL16" s="158">
        <f t="shared" si="2"/>
        <v>35.217937310749377</v>
      </c>
      <c r="AM16" s="159">
        <f t="shared" si="2"/>
        <v>32.898881949513061</v>
      </c>
      <c r="AN16" s="160">
        <f t="shared" si="2"/>
        <v>34.982242571778819</v>
      </c>
      <c r="AO16" s="161"/>
    </row>
    <row r="17" spans="1:41" x14ac:dyDescent="0.35"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</row>
    <row r="18" spans="1:41" x14ac:dyDescent="0.35">
      <c r="A18" s="84" t="s">
        <v>118</v>
      </c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</row>
    <row r="19" spans="1:41" x14ac:dyDescent="0.35">
      <c r="A19" t="s">
        <v>119</v>
      </c>
      <c r="E19" s="101">
        <f>IF(MOD(E3,12)=4,MAX(D19*(1+Assumptions!$G$41),Assumptions!$G$50/deno),'Monthly P&amp;L'!D19)</f>
        <v>0</v>
      </c>
      <c r="F19" s="101">
        <f>IF(MOD(F3,12)=4,MAX(E19*(1+Assumptions!$G$41),Assumptions!$G$50/deno),'Monthly P&amp;L'!E19)</f>
        <v>0</v>
      </c>
      <c r="G19" s="101">
        <f>IF(MOD(G3,12)=4,MAX(F19*(1+Assumptions!$G$41),Assumptions!$G$50/deno),'Monthly P&amp;L'!F19)</f>
        <v>0</v>
      </c>
      <c r="H19" s="101">
        <f>IF(MOD(H3,12)=4,MAX(G19*(1+Assumptions!$G$41),Assumptions!$G$50/deno),'Monthly P&amp;L'!G19)</f>
        <v>3.8</v>
      </c>
      <c r="I19" s="101">
        <f>IF(MOD(I3,12)=4,MAX(H19*(1+Assumptions!$G$41),Assumptions!$G$50/deno),'Monthly P&amp;L'!H19)</f>
        <v>3.8</v>
      </c>
      <c r="J19" s="101">
        <f>IF(MOD(J3,12)=4,MAX(I19*(1+Assumptions!$G$41),Assumptions!$G$50/deno),'Monthly P&amp;L'!I19)</f>
        <v>3.8</v>
      </c>
      <c r="K19" s="101">
        <f>IF(MOD(K3,12)=4,MAX(J19*(1+Assumptions!$G$41),Assumptions!$G$50/deno),'Monthly P&amp;L'!J19)</f>
        <v>3.8</v>
      </c>
      <c r="L19" s="101">
        <f>IF(MOD(L3,12)=4,MAX(K19*(1+Assumptions!$G$41),Assumptions!$G$50/deno),'Monthly P&amp;L'!K19)</f>
        <v>3.8</v>
      </c>
      <c r="M19" s="101">
        <f>IF(MOD(M3,12)=4,MAX(L19*(1+Assumptions!$G$41),Assumptions!$G$50/deno),'Monthly P&amp;L'!L19)</f>
        <v>3.8</v>
      </c>
      <c r="N19" s="101">
        <f>IF(MOD(N3,12)=4,MAX(M19*(1+Assumptions!$G$41),Assumptions!$G$50/deno),'Monthly P&amp;L'!M19)</f>
        <v>3.8</v>
      </c>
      <c r="O19" s="101">
        <f>IF(MOD(O3,12)=4,MAX(N19*(1+Assumptions!$G$41),Assumptions!$G$50/deno),'Monthly P&amp;L'!N19)</f>
        <v>3.8</v>
      </c>
      <c r="P19" s="101">
        <f>IF(MOD(P3,12)=4,MAX(O19*(1+Assumptions!$G$41),Assumptions!$G$50/deno),'Monthly P&amp;L'!O19)</f>
        <v>3.8</v>
      </c>
      <c r="Q19" s="101">
        <f>IF(MOD(Q3,12)=4,MAX(P19*(1+Assumptions!$G$41),Assumptions!$G$50/deno),'Monthly P&amp;L'!P19)</f>
        <v>3.8</v>
      </c>
      <c r="R19" s="101">
        <f>IF(MOD(R3,12)=4,MAX(Q19*(1+Assumptions!$G$41),Assumptions!$G$50/deno),'Monthly P&amp;L'!Q19)</f>
        <v>3.8</v>
      </c>
      <c r="S19" s="101">
        <f>IF(MOD(S3,12)=4,MAX(R19*(1+Assumptions!$G$41),Assumptions!$G$50/deno),'Monthly P&amp;L'!R19)</f>
        <v>3.8</v>
      </c>
      <c r="T19" s="101">
        <f>IF(MOD(T3,12)=4,MAX(S19*(1+Assumptions!$G$41),Assumptions!$G$50/deno),'Monthly P&amp;L'!S19)</f>
        <v>4.1040000000000001</v>
      </c>
      <c r="U19" s="101">
        <f>IF(MOD(U3,12)=4,MAX(T19*(1+Assumptions!$G$41),Assumptions!$G$50/deno),'Monthly P&amp;L'!T19)</f>
        <v>4.1040000000000001</v>
      </c>
      <c r="V19" s="101">
        <f>IF(MOD(V3,12)=4,MAX(U19*(1+Assumptions!$G$41),Assumptions!$G$50/deno),'Monthly P&amp;L'!U19)</f>
        <v>4.1040000000000001</v>
      </c>
      <c r="W19" s="101">
        <f>IF(MOD(W3,12)=4,MAX(V19*(1+Assumptions!$G$41),Assumptions!$G$50/deno),'Monthly P&amp;L'!V19)</f>
        <v>4.1040000000000001</v>
      </c>
      <c r="X19" s="101">
        <f>IF(MOD(X3,12)=4,MAX(W19*(1+Assumptions!$G$41),Assumptions!$G$50/deno),'Monthly P&amp;L'!W19)</f>
        <v>4.1040000000000001</v>
      </c>
      <c r="Y19" s="101">
        <f>IF(MOD(Y3,12)=4,MAX(X19*(1+Assumptions!$G$41),Assumptions!$G$50/deno),'Monthly P&amp;L'!X19)</f>
        <v>4.1040000000000001</v>
      </c>
      <c r="Z19" s="101">
        <f>IF(MOD(Z3,12)=4,MAX(Y19*(1+Assumptions!$G$41),Assumptions!$G$50/deno),'Monthly P&amp;L'!Y19)</f>
        <v>4.1040000000000001</v>
      </c>
      <c r="AA19" s="101">
        <f>IF(MOD(AA3,12)=4,MAX(Z19*(1+Assumptions!$G$41),Assumptions!$G$50/deno),'Monthly P&amp;L'!Z19)</f>
        <v>4.1040000000000001</v>
      </c>
      <c r="AB19" s="101">
        <f>IF(MOD(AB3,12)=4,MAX(AA19*(1+Assumptions!$G$41),Assumptions!$G$50/deno),'Monthly P&amp;L'!AA19)</f>
        <v>4.1040000000000001</v>
      </c>
      <c r="AC19" s="101">
        <f>IF(MOD(AC3,12)=4,MAX(AB19*(1+Assumptions!$G$41),Assumptions!$G$50/deno),'Monthly P&amp;L'!AB19)</f>
        <v>4.1040000000000001</v>
      </c>
      <c r="AD19" s="101">
        <f>IF(MOD(AD3,12)=4,MAX(AC19*(1+Assumptions!$G$41),Assumptions!$G$50/deno),'Monthly P&amp;L'!AC19)</f>
        <v>4.1040000000000001</v>
      </c>
      <c r="AE19" s="101">
        <f>IF(MOD(AE3,12)=4,MAX(AD19*(1+Assumptions!$G$41),Assumptions!$G$50/deno),'Monthly P&amp;L'!AD19)</f>
        <v>4.1040000000000001</v>
      </c>
      <c r="AF19" s="101">
        <f>IF(MOD(AF3,12)=4,MAX(AE19*(1+Assumptions!$G$41),Assumptions!$G$50/deno),'Monthly P&amp;L'!AE19)</f>
        <v>4.4323200000000007</v>
      </c>
      <c r="AG19" s="101">
        <f>IF(MOD(AG3,12)=4,MAX(AF19*(1+Assumptions!$G$41),Assumptions!$G$50/deno),'Monthly P&amp;L'!AF19)</f>
        <v>4.4323200000000007</v>
      </c>
      <c r="AH19" s="101">
        <f>IF(MOD(AH3,12)=4,MAX(AG19*(1+Assumptions!$G$41),Assumptions!$G$50/deno),'Monthly P&amp;L'!AG19)</f>
        <v>4.4323200000000007</v>
      </c>
      <c r="AI19" s="101">
        <f>IF(MOD(AI3,12)=4,MAX(AH19*(1+Assumptions!$G$41),Assumptions!$G$50/deno),'Monthly P&amp;L'!AH19)</f>
        <v>4.4323200000000007</v>
      </c>
      <c r="AJ19" s="101">
        <f>IF(MOD(AJ3,12)=4,MAX(AI19*(1+Assumptions!$G$41),Assumptions!$G$50/deno),'Monthly P&amp;L'!AI19)</f>
        <v>4.4323200000000007</v>
      </c>
      <c r="AK19" s="101">
        <f>IF(MOD(AK3,12)=4,MAX(AJ19*(1+Assumptions!$G$41),Assumptions!$G$50/deno),'Monthly P&amp;L'!AJ19)</f>
        <v>4.4323200000000007</v>
      </c>
      <c r="AL19" s="101">
        <f>IF(MOD(AL3,12)=4,MAX(AK19*(1+Assumptions!$G$41),Assumptions!$G$50/deno),'Monthly P&amp;L'!AK19)</f>
        <v>4.4323200000000007</v>
      </c>
      <c r="AM19" s="101">
        <f>IF(MOD(AM3,12)=4,MAX(AL19*(1+Assumptions!$G$41),Assumptions!$G$50/deno),'Monthly P&amp;L'!AL19)</f>
        <v>4.4323200000000007</v>
      </c>
      <c r="AN19" s="101">
        <f>IF(MOD(AN3,12)=4,MAX(AM19*(1+Assumptions!$G$41),Assumptions!$G$50/deno),'Monthly P&amp;L'!AM19)</f>
        <v>4.4323200000000007</v>
      </c>
      <c r="AO19" s="101"/>
    </row>
    <row r="20" spans="1:41" x14ac:dyDescent="0.35">
      <c r="A20" t="str">
        <f>Assumptions!A52</f>
        <v>Rotalty to brand (% Of Revenue)</v>
      </c>
      <c r="E20" s="101">
        <f>E9*Assumptions!$G$52</f>
        <v>0</v>
      </c>
      <c r="F20" s="101">
        <f>F9*Assumptions!$G$52</f>
        <v>0</v>
      </c>
      <c r="G20" s="101">
        <f>G9*Assumptions!$G$52</f>
        <v>0</v>
      </c>
      <c r="H20" s="101">
        <f>H9*Assumptions!$G$52</f>
        <v>1.5294000000000001</v>
      </c>
      <c r="I20" s="101">
        <f>I9*Assumptions!$G$52</f>
        <v>1.6066200000000004</v>
      </c>
      <c r="J20" s="101">
        <f>J9*Assumptions!$G$52</f>
        <v>1.5647390400000001</v>
      </c>
      <c r="K20" s="101">
        <f>K9*Assumptions!$G$52</f>
        <v>1.6762452768000005</v>
      </c>
      <c r="L20" s="101">
        <f>L9*Assumptions!$G$52</f>
        <v>1.6735737222720002</v>
      </c>
      <c r="M20" s="101">
        <f>M9*Assumptions!$G$52</f>
        <v>1.7442368262585604</v>
      </c>
      <c r="N20" s="101">
        <f>N9*Assumptions!$G$52</f>
        <v>1.8461906396350081</v>
      </c>
      <c r="O20" s="101">
        <f>O9*Assumptions!$G$52</f>
        <v>1.6844137725385515</v>
      </c>
      <c r="P20" s="101">
        <f>P9*Assumptions!$G$52</f>
        <v>1.8892879978577128</v>
      </c>
      <c r="Q20" s="101">
        <f>Q9*Assumptions!$G$52</f>
        <v>1.88682700299727</v>
      </c>
      <c r="R20" s="101">
        <f>R9*Assumptions!$G$52</f>
        <v>2.0667406949745826</v>
      </c>
      <c r="S20" s="101">
        <f>S9*Assumptions!$G$52</f>
        <v>1.9920466507528809</v>
      </c>
      <c r="T20" s="101">
        <f>T9*Assumptions!$G$52</f>
        <v>2.2533561714134778</v>
      </c>
      <c r="U20" s="101">
        <f>U9*Assumptions!$G$52</f>
        <v>2.3171236713610615</v>
      </c>
      <c r="V20" s="101">
        <f>V9*Assumptions!$G$52</f>
        <v>2.2705460516834237</v>
      </c>
      <c r="W20" s="101">
        <f>W9*Assumptions!$G$52</f>
        <v>2.5040700994255563</v>
      </c>
      <c r="X20" s="101">
        <f>X9*Assumptions!$G$52</f>
        <v>2.3993127647235926</v>
      </c>
      <c r="Y20" s="101">
        <f>Y9*Assumptions!$G$52</f>
        <v>2.5329064675605437</v>
      </c>
      <c r="Z20" s="101">
        <f>Z9*Assumptions!$G$52</f>
        <v>2.7317296759866871</v>
      </c>
      <c r="AA20" s="101">
        <f>AA9*Assumptions!$G$52</f>
        <v>2.470394102280606</v>
      </c>
      <c r="AB20" s="101">
        <f>AB9*Assumptions!$G$52</f>
        <v>2.7523091785909863</v>
      </c>
      <c r="AC20" s="101">
        <f>AC9*Assumptions!$G$52</f>
        <v>2.8347432695661787</v>
      </c>
      <c r="AD20" s="101">
        <f>AD9*Assumptions!$G$52</f>
        <v>2.9911021411983327</v>
      </c>
      <c r="AE20" s="101">
        <f>AE9*Assumptions!$G$52</f>
        <v>2.918669917894849</v>
      </c>
      <c r="AF20" s="101">
        <f>AF9*Assumptions!$G$52</f>
        <v>3.4222649300595536</v>
      </c>
      <c r="AG20" s="101">
        <f>AG9*Assumptions!$G$52</f>
        <v>3.3251583969306111</v>
      </c>
      <c r="AH20" s="101">
        <f>AH9*Assumptions!$G$52</f>
        <v>3.3377007767552715</v>
      </c>
      <c r="AI20" s="101">
        <f>AI9*Assumptions!$G$52</f>
        <v>3.74290977427742</v>
      </c>
      <c r="AJ20" s="101">
        <f>AJ9*Assumptions!$G$52</f>
        <v>3.5348056058402819</v>
      </c>
      <c r="AK20" s="101">
        <f>AK9*Assumptions!$G$52</f>
        <v>3.7987588333423616</v>
      </c>
      <c r="AL20" s="101">
        <f>AL9*Assumptions!$G$52</f>
        <v>3.8375246350092094</v>
      </c>
      <c r="AM20" s="101">
        <f>AM9*Assumptions!$G$52</f>
        <v>3.4870200024630842</v>
      </c>
      <c r="AN20" s="101">
        <f>AN9*Assumptions!$G$52</f>
        <v>3.8041757128891982</v>
      </c>
      <c r="AO20" s="101"/>
    </row>
    <row r="21" spans="1:41" x14ac:dyDescent="0.35">
      <c r="A21" t="str">
        <f>Assumptions!A53</f>
        <v>Rent (as per contract) (% of revenue)</v>
      </c>
      <c r="E21" s="101">
        <f>E9*Assumptions!$G$53</f>
        <v>0</v>
      </c>
      <c r="F21" s="101">
        <f>F9*Assumptions!$G$53</f>
        <v>0</v>
      </c>
      <c r="G21" s="101">
        <f>G9*Assumptions!$G$53</f>
        <v>0</v>
      </c>
      <c r="H21" s="101">
        <f>H9*Assumptions!$G$53</f>
        <v>3.0588000000000002</v>
      </c>
      <c r="I21" s="101">
        <f>I9*Assumptions!$G$53</f>
        <v>3.2132400000000008</v>
      </c>
      <c r="J21" s="101">
        <f>J9*Assumptions!$G$53</f>
        <v>3.1294780800000002</v>
      </c>
      <c r="K21" s="101">
        <f>K9*Assumptions!$G$53</f>
        <v>3.3524905536000009</v>
      </c>
      <c r="L21" s="101">
        <f>L9*Assumptions!$G$53</f>
        <v>3.3471474445440004</v>
      </c>
      <c r="M21" s="101">
        <f>M9*Assumptions!$G$53</f>
        <v>3.4884736525171207</v>
      </c>
      <c r="N21" s="101">
        <f>N9*Assumptions!$G$53</f>
        <v>3.6923812792700161</v>
      </c>
      <c r="O21" s="101">
        <f>O9*Assumptions!$G$53</f>
        <v>3.368827545077103</v>
      </c>
      <c r="P21" s="101">
        <f>P9*Assumptions!$G$53</f>
        <v>3.7785759957154257</v>
      </c>
      <c r="Q21" s="101">
        <f>Q9*Assumptions!$G$53</f>
        <v>3.77365400599454</v>
      </c>
      <c r="R21" s="101">
        <f>R9*Assumptions!$G$53</f>
        <v>4.1334813899491651</v>
      </c>
      <c r="S21" s="101">
        <f>S9*Assumptions!$G$53</f>
        <v>3.9840933015057618</v>
      </c>
      <c r="T21" s="101">
        <f>T9*Assumptions!$G$53</f>
        <v>4.5067123428269555</v>
      </c>
      <c r="U21" s="101">
        <f>U9*Assumptions!$G$53</f>
        <v>4.6342473427221229</v>
      </c>
      <c r="V21" s="101">
        <f>V9*Assumptions!$G$53</f>
        <v>4.5410921033668474</v>
      </c>
      <c r="W21" s="101">
        <f>W9*Assumptions!$G$53</f>
        <v>5.0081401988511125</v>
      </c>
      <c r="X21" s="101">
        <f>X9*Assumptions!$G$53</f>
        <v>4.7986255294471851</v>
      </c>
      <c r="Y21" s="101">
        <f>Y9*Assumptions!$G$53</f>
        <v>5.0658129351210874</v>
      </c>
      <c r="Z21" s="101">
        <f>Z9*Assumptions!$G$53</f>
        <v>5.4634593519733743</v>
      </c>
      <c r="AA21" s="101">
        <f>AA9*Assumptions!$G$53</f>
        <v>4.9407882045612119</v>
      </c>
      <c r="AB21" s="101">
        <f>AB9*Assumptions!$G$53</f>
        <v>5.5046183571819727</v>
      </c>
      <c r="AC21" s="101">
        <f>AC9*Assumptions!$G$53</f>
        <v>5.6694865391323574</v>
      </c>
      <c r="AD21" s="101">
        <f>AD9*Assumptions!$G$53</f>
        <v>5.9822042823966655</v>
      </c>
      <c r="AE21" s="101">
        <f>AE9*Assumptions!$G$53</f>
        <v>5.837339835789698</v>
      </c>
      <c r="AF21" s="101">
        <f>AF9*Assumptions!$G$53</f>
        <v>6.8445298601191071</v>
      </c>
      <c r="AG21" s="101">
        <f>AG9*Assumptions!$G$53</f>
        <v>6.6503167938612222</v>
      </c>
      <c r="AH21" s="101">
        <f>AH9*Assumptions!$G$53</f>
        <v>6.6754015535105431</v>
      </c>
      <c r="AI21" s="101">
        <f>AI9*Assumptions!$G$53</f>
        <v>7.48581954855484</v>
      </c>
      <c r="AJ21" s="101">
        <f>AJ9*Assumptions!$G$53</f>
        <v>7.0696112116805638</v>
      </c>
      <c r="AK21" s="101">
        <f>AK9*Assumptions!$G$53</f>
        <v>7.5975176666847233</v>
      </c>
      <c r="AL21" s="101">
        <f>AL9*Assumptions!$G$53</f>
        <v>7.6750492700184187</v>
      </c>
      <c r="AM21" s="101">
        <f>AM9*Assumptions!$G$53</f>
        <v>6.9740400049261684</v>
      </c>
      <c r="AN21" s="101">
        <f>AN9*Assumptions!$G$53</f>
        <v>7.6083514257783964</v>
      </c>
      <c r="AO21" s="101"/>
    </row>
    <row r="22" spans="1:41" x14ac:dyDescent="0.35">
      <c r="A22" t="str">
        <f>Assumptions!A54</f>
        <v>Water Cost (per month)</v>
      </c>
      <c r="E22" s="101">
        <f>IF(MOD(E$3,12)=4,MAX(D22*(1+Assumptions!$G$41),Assumptions!$G54/deno),'Monthly P&amp;L'!D22)</f>
        <v>0</v>
      </c>
      <c r="F22" s="101">
        <f>IF(MOD(F$3,12)=4,MAX(E22*(1+Assumptions!$G$41),Assumptions!$G54/deno),'Monthly P&amp;L'!E22)</f>
        <v>0</v>
      </c>
      <c r="G22" s="101">
        <f>IF(MOD(G$3,12)=4,MAX(F22*(1+Assumptions!$G$41),Assumptions!$G54/deno),'Monthly P&amp;L'!F22)</f>
        <v>0</v>
      </c>
      <c r="H22" s="101">
        <f>IF(MOD(H$3,12)=4,MAX(G22*(1+Assumptions!$G$41),Assumptions!$G54/deno),'Monthly P&amp;L'!G22)</f>
        <v>0.1</v>
      </c>
      <c r="I22" s="101">
        <f>IF(MOD(I$3,12)=4,MAX(H22*(1+Assumptions!$G$41),Assumptions!$G54/deno),'Monthly P&amp;L'!H22)</f>
        <v>0.1</v>
      </c>
      <c r="J22" s="101">
        <f>IF(MOD(J$3,12)=4,MAX(I22*(1+Assumptions!$G$41),Assumptions!$G54/deno),'Monthly P&amp;L'!I22)</f>
        <v>0.1</v>
      </c>
      <c r="K22" s="101">
        <f>IF(MOD(K$3,12)=4,MAX(J22*(1+Assumptions!$G$41),Assumptions!$G54/deno),'Monthly P&amp;L'!J22)</f>
        <v>0.1</v>
      </c>
      <c r="L22" s="101">
        <f>IF(MOD(L$3,12)=4,MAX(K22*(1+Assumptions!$G$41),Assumptions!$G54/deno),'Monthly P&amp;L'!K22)</f>
        <v>0.1</v>
      </c>
      <c r="M22" s="101">
        <f>IF(MOD(M$3,12)=4,MAX(L22*(1+Assumptions!$G$41),Assumptions!$G54/deno),'Monthly P&amp;L'!L22)</f>
        <v>0.1</v>
      </c>
      <c r="N22" s="101">
        <f>IF(MOD(N$3,12)=4,MAX(M22*(1+Assumptions!$G$41),Assumptions!$G54/deno),'Monthly P&amp;L'!M22)</f>
        <v>0.1</v>
      </c>
      <c r="O22" s="101">
        <f>IF(MOD(O$3,12)=4,MAX(N22*(1+Assumptions!$G$41),Assumptions!$G54/deno),'Monthly P&amp;L'!N22)</f>
        <v>0.1</v>
      </c>
      <c r="P22" s="101">
        <f>IF(MOD(P$3,12)=4,MAX(O22*(1+Assumptions!$G$41),Assumptions!$G54/deno),'Monthly P&amp;L'!O22)</f>
        <v>0.1</v>
      </c>
      <c r="Q22" s="101">
        <f>IF(MOD(Q$3,12)=4,MAX(P22*(1+Assumptions!$G$41),Assumptions!$G54/deno),'Monthly P&amp;L'!P22)</f>
        <v>0.1</v>
      </c>
      <c r="R22" s="101">
        <f>IF(MOD(R$3,12)=4,MAX(Q22*(1+Assumptions!$G$41),Assumptions!$G54/deno),'Monthly P&amp;L'!Q22)</f>
        <v>0.1</v>
      </c>
      <c r="S22" s="101">
        <f>IF(MOD(S$3,12)=4,MAX(R22*(1+Assumptions!$G$41),Assumptions!$G54/deno),'Monthly P&amp;L'!R22)</f>
        <v>0.1</v>
      </c>
      <c r="T22" s="101">
        <f>IF(MOD(T$3,12)=4,MAX(S22*(1+Assumptions!$G$41),Assumptions!$G54/deno),'Monthly P&amp;L'!S22)</f>
        <v>0.10800000000000001</v>
      </c>
      <c r="U22" s="101">
        <f>IF(MOD(U$3,12)=4,MAX(T22*(1+Assumptions!$G$41),Assumptions!$G54/deno),'Monthly P&amp;L'!T22)</f>
        <v>0.10800000000000001</v>
      </c>
      <c r="V22" s="101">
        <f>IF(MOD(V$3,12)=4,MAX(U22*(1+Assumptions!$G$41),Assumptions!$G54/deno),'Monthly P&amp;L'!U22)</f>
        <v>0.10800000000000001</v>
      </c>
      <c r="W22" s="101">
        <f>IF(MOD(W$3,12)=4,MAX(V22*(1+Assumptions!$G$41),Assumptions!$G54/deno),'Monthly P&amp;L'!V22)</f>
        <v>0.10800000000000001</v>
      </c>
      <c r="X22" s="101">
        <f>IF(MOD(X$3,12)=4,MAX(W22*(1+Assumptions!$G$41),Assumptions!$G54/deno),'Monthly P&amp;L'!W22)</f>
        <v>0.10800000000000001</v>
      </c>
      <c r="Y22" s="101">
        <f>IF(MOD(Y$3,12)=4,MAX(X22*(1+Assumptions!$G$41),Assumptions!$G54/deno),'Monthly P&amp;L'!X22)</f>
        <v>0.10800000000000001</v>
      </c>
      <c r="Z22" s="101">
        <f>IF(MOD(Z$3,12)=4,MAX(Y22*(1+Assumptions!$G$41),Assumptions!$G54/deno),'Monthly P&amp;L'!Y22)</f>
        <v>0.10800000000000001</v>
      </c>
      <c r="AA22" s="101">
        <f>IF(MOD(AA$3,12)=4,MAX(Z22*(1+Assumptions!$G$41),Assumptions!$G54/deno),'Monthly P&amp;L'!Z22)</f>
        <v>0.10800000000000001</v>
      </c>
      <c r="AB22" s="101">
        <f>IF(MOD(AB$3,12)=4,MAX(AA22*(1+Assumptions!$G$41),Assumptions!$G54/deno),'Monthly P&amp;L'!AA22)</f>
        <v>0.10800000000000001</v>
      </c>
      <c r="AC22" s="101">
        <f>IF(MOD(AC$3,12)=4,MAX(AB22*(1+Assumptions!$G$41),Assumptions!$G54/deno),'Monthly P&amp;L'!AB22)</f>
        <v>0.10800000000000001</v>
      </c>
      <c r="AD22" s="101">
        <f>IF(MOD(AD$3,12)=4,MAX(AC22*(1+Assumptions!$G$41),Assumptions!$G54/deno),'Monthly P&amp;L'!AC22)</f>
        <v>0.10800000000000001</v>
      </c>
      <c r="AE22" s="101">
        <f>IF(MOD(AE$3,12)=4,MAX(AD22*(1+Assumptions!$G$41),Assumptions!$G54/deno),'Monthly P&amp;L'!AD22)</f>
        <v>0.10800000000000001</v>
      </c>
      <c r="AF22" s="101">
        <f>IF(MOD(AF$3,12)=4,MAX(AE22*(1+Assumptions!$G$41),Assumptions!$G54/deno),'Monthly P&amp;L'!AE22)</f>
        <v>0.11664000000000002</v>
      </c>
      <c r="AG22" s="101">
        <f>IF(MOD(AG$3,12)=4,MAX(AF22*(1+Assumptions!$G$41),Assumptions!$G54/deno),'Monthly P&amp;L'!AF22)</f>
        <v>0.11664000000000002</v>
      </c>
      <c r="AH22" s="101">
        <f>IF(MOD(AH$3,12)=4,MAX(AG22*(1+Assumptions!$G$41),Assumptions!$G54/deno),'Monthly P&amp;L'!AG22)</f>
        <v>0.11664000000000002</v>
      </c>
      <c r="AI22" s="101">
        <f>IF(MOD(AI$3,12)=4,MAX(AH22*(1+Assumptions!$G$41),Assumptions!$G54/deno),'Monthly P&amp;L'!AH22)</f>
        <v>0.11664000000000002</v>
      </c>
      <c r="AJ22" s="101">
        <f>IF(MOD(AJ$3,12)=4,MAX(AI22*(1+Assumptions!$G$41),Assumptions!$G54/deno),'Monthly P&amp;L'!AI22)</f>
        <v>0.11664000000000002</v>
      </c>
      <c r="AK22" s="101">
        <f>IF(MOD(AK$3,12)=4,MAX(AJ22*(1+Assumptions!$G$41),Assumptions!$G54/deno),'Monthly P&amp;L'!AJ22)</f>
        <v>0.11664000000000002</v>
      </c>
      <c r="AL22" s="101">
        <f>IF(MOD(AL$3,12)=4,MAX(AK22*(1+Assumptions!$G$41),Assumptions!$G54/deno),'Monthly P&amp;L'!AK22)</f>
        <v>0.11664000000000002</v>
      </c>
      <c r="AM22" s="101">
        <f>IF(MOD(AM$3,12)=4,MAX(AL22*(1+Assumptions!$G$41),Assumptions!$G54/deno),'Monthly P&amp;L'!AL22)</f>
        <v>0.11664000000000002</v>
      </c>
      <c r="AN22" s="101">
        <f>IF(MOD(AN$3,12)=4,MAX(AM22*(1+Assumptions!$G$41),Assumptions!$G54/deno),'Monthly P&amp;L'!AM22)</f>
        <v>0.11664000000000002</v>
      </c>
      <c r="AO22" s="101"/>
    </row>
    <row r="23" spans="1:41" x14ac:dyDescent="0.35">
      <c r="A23" t="str">
        <f>Assumptions!A55</f>
        <v>Maintenance (per month)</v>
      </c>
      <c r="E23" s="101">
        <f>IF(MOD(E$3,12)=4,MAX(D23*(1+Assumptions!$G$41),Assumptions!$G55/deno),'Monthly P&amp;L'!D23)</f>
        <v>0</v>
      </c>
      <c r="F23" s="101">
        <f>IF(MOD(F$3,12)=4,MAX(E23*(1+Assumptions!$G$41),Assumptions!$G55/deno),'Monthly P&amp;L'!E23)</f>
        <v>0</v>
      </c>
      <c r="G23" s="101">
        <f>IF(MOD(G$3,12)=4,MAX(F23*(1+Assumptions!$G$41),Assumptions!$G55/deno),'Monthly P&amp;L'!F23)</f>
        <v>0</v>
      </c>
      <c r="H23" s="101">
        <f>IF(MOD(H$3,12)=4,MAX(G23*(1+Assumptions!$G$41),Assumptions!$G55/deno),'Monthly P&amp;L'!G23)</f>
        <v>0.5</v>
      </c>
      <c r="I23" s="101">
        <f>IF(MOD(I$3,12)=4,MAX(H23*(1+Assumptions!$G$41),Assumptions!$G55/deno),'Monthly P&amp;L'!H23)</f>
        <v>0.5</v>
      </c>
      <c r="J23" s="101">
        <f>IF(MOD(J$3,12)=4,MAX(I23*(1+Assumptions!$G$41),Assumptions!$G55/deno),'Monthly P&amp;L'!I23)</f>
        <v>0.5</v>
      </c>
      <c r="K23" s="101">
        <f>IF(MOD(K$3,12)=4,MAX(J23*(1+Assumptions!$G$41),Assumptions!$G55/deno),'Monthly P&amp;L'!J23)</f>
        <v>0.5</v>
      </c>
      <c r="L23" s="101">
        <f>IF(MOD(L$3,12)=4,MAX(K23*(1+Assumptions!$G$41),Assumptions!$G55/deno),'Monthly P&amp;L'!K23)</f>
        <v>0.5</v>
      </c>
      <c r="M23" s="101">
        <f>IF(MOD(M$3,12)=4,MAX(L23*(1+Assumptions!$G$41),Assumptions!$G55/deno),'Monthly P&amp;L'!L23)</f>
        <v>0.5</v>
      </c>
      <c r="N23" s="101">
        <f>IF(MOD(N$3,12)=4,MAX(M23*(1+Assumptions!$G$41),Assumptions!$G55/deno),'Monthly P&amp;L'!M23)</f>
        <v>0.5</v>
      </c>
      <c r="O23" s="101">
        <f>IF(MOD(O$3,12)=4,MAX(N23*(1+Assumptions!$G$41),Assumptions!$G55/deno),'Monthly P&amp;L'!N23)</f>
        <v>0.5</v>
      </c>
      <c r="P23" s="101">
        <f>IF(MOD(P$3,12)=4,MAX(O23*(1+Assumptions!$G$41),Assumptions!$G55/deno),'Monthly P&amp;L'!O23)</f>
        <v>0.5</v>
      </c>
      <c r="Q23" s="101">
        <f>IF(MOD(Q$3,12)=4,MAX(P23*(1+Assumptions!$G$41),Assumptions!$G55/deno),'Monthly P&amp;L'!P23)</f>
        <v>0.5</v>
      </c>
      <c r="R23" s="101">
        <f>IF(MOD(R$3,12)=4,MAX(Q23*(1+Assumptions!$G$41),Assumptions!$G55/deno),'Monthly P&amp;L'!Q23)</f>
        <v>0.5</v>
      </c>
      <c r="S23" s="101">
        <f>IF(MOD(S$3,12)=4,MAX(R23*(1+Assumptions!$G$41),Assumptions!$G55/deno),'Monthly P&amp;L'!R23)</f>
        <v>0.5</v>
      </c>
      <c r="T23" s="101">
        <f>IF(MOD(T$3,12)=4,MAX(S23*(1+Assumptions!$G$41),Assumptions!$G55/deno),'Monthly P&amp;L'!S23)</f>
        <v>0.54</v>
      </c>
      <c r="U23" s="101">
        <f>IF(MOD(U$3,12)=4,MAX(T23*(1+Assumptions!$G$41),Assumptions!$G55/deno),'Monthly P&amp;L'!T23)</f>
        <v>0.54</v>
      </c>
      <c r="V23" s="101">
        <f>IF(MOD(V$3,12)=4,MAX(U23*(1+Assumptions!$G$41),Assumptions!$G55/deno),'Monthly P&amp;L'!U23)</f>
        <v>0.54</v>
      </c>
      <c r="W23" s="101">
        <f>IF(MOD(W$3,12)=4,MAX(V23*(1+Assumptions!$G$41),Assumptions!$G55/deno),'Monthly P&amp;L'!V23)</f>
        <v>0.54</v>
      </c>
      <c r="X23" s="101">
        <f>IF(MOD(X$3,12)=4,MAX(W23*(1+Assumptions!$G$41),Assumptions!$G55/deno),'Monthly P&amp;L'!W23)</f>
        <v>0.54</v>
      </c>
      <c r="Y23" s="101">
        <f>IF(MOD(Y$3,12)=4,MAX(X23*(1+Assumptions!$G$41),Assumptions!$G55/deno),'Monthly P&amp;L'!X23)</f>
        <v>0.54</v>
      </c>
      <c r="Z23" s="101">
        <f>IF(MOD(Z$3,12)=4,MAX(Y23*(1+Assumptions!$G$41),Assumptions!$G55/deno),'Monthly P&amp;L'!Y23)</f>
        <v>0.54</v>
      </c>
      <c r="AA23" s="101">
        <f>IF(MOD(AA$3,12)=4,MAX(Z23*(1+Assumptions!$G$41),Assumptions!$G55/deno),'Monthly P&amp;L'!Z23)</f>
        <v>0.54</v>
      </c>
      <c r="AB23" s="101">
        <f>IF(MOD(AB$3,12)=4,MAX(AA23*(1+Assumptions!$G$41),Assumptions!$G55/deno),'Monthly P&amp;L'!AA23)</f>
        <v>0.54</v>
      </c>
      <c r="AC23" s="101">
        <f>IF(MOD(AC$3,12)=4,MAX(AB23*(1+Assumptions!$G$41),Assumptions!$G55/deno),'Monthly P&amp;L'!AB23)</f>
        <v>0.54</v>
      </c>
      <c r="AD23" s="101">
        <f>IF(MOD(AD$3,12)=4,MAX(AC23*(1+Assumptions!$G$41),Assumptions!$G55/deno),'Monthly P&amp;L'!AC23)</f>
        <v>0.54</v>
      </c>
      <c r="AE23" s="101">
        <f>IF(MOD(AE$3,12)=4,MAX(AD23*(1+Assumptions!$G$41),Assumptions!$G55/deno),'Monthly P&amp;L'!AD23)</f>
        <v>0.54</v>
      </c>
      <c r="AF23" s="101">
        <f>IF(MOD(AF$3,12)=4,MAX(AE23*(1+Assumptions!$G$41),Assumptions!$G55/deno),'Monthly P&amp;L'!AE23)</f>
        <v>0.58320000000000005</v>
      </c>
      <c r="AG23" s="101">
        <f>IF(MOD(AG$3,12)=4,MAX(AF23*(1+Assumptions!$G$41),Assumptions!$G55/deno),'Monthly P&amp;L'!AF23)</f>
        <v>0.58320000000000005</v>
      </c>
      <c r="AH23" s="101">
        <f>IF(MOD(AH$3,12)=4,MAX(AG23*(1+Assumptions!$G$41),Assumptions!$G55/deno),'Monthly P&amp;L'!AG23)</f>
        <v>0.58320000000000005</v>
      </c>
      <c r="AI23" s="101">
        <f>IF(MOD(AI$3,12)=4,MAX(AH23*(1+Assumptions!$G$41),Assumptions!$G55/deno),'Monthly P&amp;L'!AH23)</f>
        <v>0.58320000000000005</v>
      </c>
      <c r="AJ23" s="101">
        <f>IF(MOD(AJ$3,12)=4,MAX(AI23*(1+Assumptions!$G$41),Assumptions!$G55/deno),'Monthly P&amp;L'!AI23)</f>
        <v>0.58320000000000005</v>
      </c>
      <c r="AK23" s="101">
        <f>IF(MOD(AK$3,12)=4,MAX(AJ23*(1+Assumptions!$G$41),Assumptions!$G55/deno),'Monthly P&amp;L'!AJ23)</f>
        <v>0.58320000000000005</v>
      </c>
      <c r="AL23" s="101">
        <f>IF(MOD(AL$3,12)=4,MAX(AK23*(1+Assumptions!$G$41),Assumptions!$G55/deno),'Monthly P&amp;L'!AK23)</f>
        <v>0.58320000000000005</v>
      </c>
      <c r="AM23" s="101">
        <f>IF(MOD(AM$3,12)=4,MAX(AL23*(1+Assumptions!$G$41),Assumptions!$G55/deno),'Monthly P&amp;L'!AL23)</f>
        <v>0.58320000000000005</v>
      </c>
      <c r="AN23" s="101">
        <f>IF(MOD(AN$3,12)=4,MAX(AM23*(1+Assumptions!$G$41),Assumptions!$G55/deno),'Monthly P&amp;L'!AM23)</f>
        <v>0.58320000000000005</v>
      </c>
      <c r="AO23" s="101"/>
    </row>
    <row r="24" spans="1:41" x14ac:dyDescent="0.35">
      <c r="A24" t="str">
        <f>Assumptions!A56</f>
        <v>Marketing cost (per month)</v>
      </c>
      <c r="E24" s="101">
        <f>IF(MOD(E$3,12)=4,MAX(D24*(1+Assumptions!$G$41),Assumptions!$G56/deno),'Monthly P&amp;L'!D24)</f>
        <v>0</v>
      </c>
      <c r="F24" s="101">
        <f>IF(MOD(F$3,12)=4,MAX(E24*(1+Assumptions!$G$41),Assumptions!$G56/deno),'Monthly P&amp;L'!E24)</f>
        <v>0</v>
      </c>
      <c r="G24" s="101">
        <f>IF(MOD(G$3,12)=4,MAX(F24*(1+Assumptions!$G$41),Assumptions!$G56/deno),'Monthly P&amp;L'!F24)</f>
        <v>0</v>
      </c>
      <c r="H24" s="101">
        <f>IF(MOD(H$3,12)=4,MAX(G24*(1+Assumptions!$G$41),Assumptions!$G56/deno),'Monthly P&amp;L'!G24)</f>
        <v>0.25</v>
      </c>
      <c r="I24" s="101">
        <f>IF(MOD(I$3,12)=4,MAX(H24*(1+Assumptions!$G$41),Assumptions!$G56/deno),'Monthly P&amp;L'!H24)</f>
        <v>0.25</v>
      </c>
      <c r="J24" s="101">
        <f>IF(MOD(J$3,12)=4,MAX(I24*(1+Assumptions!$G$41),Assumptions!$G56/deno),'Monthly P&amp;L'!I24)</f>
        <v>0.25</v>
      </c>
      <c r="K24" s="101">
        <f>IF(MOD(K$3,12)=4,MAX(J24*(1+Assumptions!$G$41),Assumptions!$G56/deno),'Monthly P&amp;L'!J24)</f>
        <v>0.25</v>
      </c>
      <c r="L24" s="101">
        <f>IF(MOD(L$3,12)=4,MAX(K24*(1+Assumptions!$G$41),Assumptions!$G56/deno),'Monthly P&amp;L'!K24)</f>
        <v>0.25</v>
      </c>
      <c r="M24" s="101">
        <f>IF(MOD(M$3,12)=4,MAX(L24*(1+Assumptions!$G$41),Assumptions!$G56/deno),'Monthly P&amp;L'!L24)</f>
        <v>0.25</v>
      </c>
      <c r="N24" s="101">
        <f>IF(MOD(N$3,12)=4,MAX(M24*(1+Assumptions!$G$41),Assumptions!$G56/deno),'Monthly P&amp;L'!M24)</f>
        <v>0.25</v>
      </c>
      <c r="O24" s="101">
        <f>IF(MOD(O$3,12)=4,MAX(N24*(1+Assumptions!$G$41),Assumptions!$G56/deno),'Monthly P&amp;L'!N24)</f>
        <v>0.25</v>
      </c>
      <c r="P24" s="101">
        <f>IF(MOD(P$3,12)=4,MAX(O24*(1+Assumptions!$G$41),Assumptions!$G56/deno),'Monthly P&amp;L'!O24)</f>
        <v>0.25</v>
      </c>
      <c r="Q24" s="101">
        <f>IF(MOD(Q$3,12)=4,MAX(P24*(1+Assumptions!$G$41),Assumptions!$G56/deno),'Monthly P&amp;L'!P24)</f>
        <v>0.25</v>
      </c>
      <c r="R24" s="101">
        <f>IF(MOD(R$3,12)=4,MAX(Q24*(1+Assumptions!$G$41),Assumptions!$G56/deno),'Monthly P&amp;L'!Q24)</f>
        <v>0.25</v>
      </c>
      <c r="S24" s="101">
        <f>IF(MOD(S$3,12)=4,MAX(R24*(1+Assumptions!$G$41),Assumptions!$G56/deno),'Monthly P&amp;L'!R24)</f>
        <v>0.25</v>
      </c>
      <c r="T24" s="101">
        <f>IF(MOD(T$3,12)=4,MAX(S24*(1+Assumptions!$G$41),Assumptions!$G56/deno),'Monthly P&amp;L'!S24)</f>
        <v>0.27</v>
      </c>
      <c r="U24" s="101">
        <f>IF(MOD(U$3,12)=4,MAX(T24*(1+Assumptions!$G$41),Assumptions!$G56/deno),'Monthly P&amp;L'!T24)</f>
        <v>0.27</v>
      </c>
      <c r="V24" s="101">
        <f>IF(MOD(V$3,12)=4,MAX(U24*(1+Assumptions!$G$41),Assumptions!$G56/deno),'Monthly P&amp;L'!U24)</f>
        <v>0.27</v>
      </c>
      <c r="W24" s="101">
        <f>IF(MOD(W$3,12)=4,MAX(V24*(1+Assumptions!$G$41),Assumptions!$G56/deno),'Monthly P&amp;L'!V24)</f>
        <v>0.27</v>
      </c>
      <c r="X24" s="101">
        <f>IF(MOD(X$3,12)=4,MAX(W24*(1+Assumptions!$G$41),Assumptions!$G56/deno),'Monthly P&amp;L'!W24)</f>
        <v>0.27</v>
      </c>
      <c r="Y24" s="101">
        <f>IF(MOD(Y$3,12)=4,MAX(X24*(1+Assumptions!$G$41),Assumptions!$G56/deno),'Monthly P&amp;L'!X24)</f>
        <v>0.27</v>
      </c>
      <c r="Z24" s="101">
        <f>IF(MOD(Z$3,12)=4,MAX(Y24*(1+Assumptions!$G$41),Assumptions!$G56/deno),'Monthly P&amp;L'!Y24)</f>
        <v>0.27</v>
      </c>
      <c r="AA24" s="101">
        <f>IF(MOD(AA$3,12)=4,MAX(Z24*(1+Assumptions!$G$41),Assumptions!$G56/deno),'Monthly P&amp;L'!Z24)</f>
        <v>0.27</v>
      </c>
      <c r="AB24" s="101">
        <f>IF(MOD(AB$3,12)=4,MAX(AA24*(1+Assumptions!$G$41),Assumptions!$G56/deno),'Monthly P&amp;L'!AA24)</f>
        <v>0.27</v>
      </c>
      <c r="AC24" s="101">
        <f>IF(MOD(AC$3,12)=4,MAX(AB24*(1+Assumptions!$G$41),Assumptions!$G56/deno),'Monthly P&amp;L'!AB24)</f>
        <v>0.27</v>
      </c>
      <c r="AD24" s="101">
        <f>IF(MOD(AD$3,12)=4,MAX(AC24*(1+Assumptions!$G$41),Assumptions!$G56/deno),'Monthly P&amp;L'!AC24)</f>
        <v>0.27</v>
      </c>
      <c r="AE24" s="101">
        <f>IF(MOD(AE$3,12)=4,MAX(AD24*(1+Assumptions!$G$41),Assumptions!$G56/deno),'Monthly P&amp;L'!AD24)</f>
        <v>0.27</v>
      </c>
      <c r="AF24" s="101">
        <f>IF(MOD(AF$3,12)=4,MAX(AE24*(1+Assumptions!$G$41),Assumptions!$G56/deno),'Monthly P&amp;L'!AE24)</f>
        <v>0.29160000000000003</v>
      </c>
      <c r="AG24" s="101">
        <f>IF(MOD(AG$3,12)=4,MAX(AF24*(1+Assumptions!$G$41),Assumptions!$G56/deno),'Monthly P&amp;L'!AF24)</f>
        <v>0.29160000000000003</v>
      </c>
      <c r="AH24" s="101">
        <f>IF(MOD(AH$3,12)=4,MAX(AG24*(1+Assumptions!$G$41),Assumptions!$G56/deno),'Monthly P&amp;L'!AG24)</f>
        <v>0.29160000000000003</v>
      </c>
      <c r="AI24" s="101">
        <f>IF(MOD(AI$3,12)=4,MAX(AH24*(1+Assumptions!$G$41),Assumptions!$G56/deno),'Monthly P&amp;L'!AH24)</f>
        <v>0.29160000000000003</v>
      </c>
      <c r="AJ24" s="101">
        <f>IF(MOD(AJ$3,12)=4,MAX(AI24*(1+Assumptions!$G$41),Assumptions!$G56/deno),'Monthly P&amp;L'!AI24)</f>
        <v>0.29160000000000003</v>
      </c>
      <c r="AK24" s="101">
        <f>IF(MOD(AK$3,12)=4,MAX(AJ24*(1+Assumptions!$G$41),Assumptions!$G56/deno),'Monthly P&amp;L'!AJ24)</f>
        <v>0.29160000000000003</v>
      </c>
      <c r="AL24" s="101">
        <f>IF(MOD(AL$3,12)=4,MAX(AK24*(1+Assumptions!$G$41),Assumptions!$G56/deno),'Monthly P&amp;L'!AK24)</f>
        <v>0.29160000000000003</v>
      </c>
      <c r="AM24" s="101">
        <f>IF(MOD(AM$3,12)=4,MAX(AL24*(1+Assumptions!$G$41),Assumptions!$G56/deno),'Monthly P&amp;L'!AL24)</f>
        <v>0.29160000000000003</v>
      </c>
      <c r="AN24" s="101">
        <f>IF(MOD(AN$3,12)=4,MAX(AM24*(1+Assumptions!$G$41),Assumptions!$G56/deno),'Monthly P&amp;L'!AM24)</f>
        <v>0.29160000000000003</v>
      </c>
      <c r="AO24" s="101"/>
    </row>
    <row r="25" spans="1:41" x14ac:dyDescent="0.35">
      <c r="A25" t="str">
        <f>Assumptions!A57</f>
        <v>Electricity (Based on area Rs./sq. Ft.)</v>
      </c>
      <c r="E25" s="101">
        <f>IF(MOD(E$3,12)=4,MAX(D25*(1+Assumptions!$G$41),Assumptions!$G57*Assumptions!$G$67/deno),'Monthly P&amp;L'!D25)</f>
        <v>0</v>
      </c>
      <c r="F25" s="101">
        <f>IF(MOD(F$3,12)=4,MAX(E25*(1+Assumptions!$G$41),Assumptions!$G57*Assumptions!$G$67/deno),'Monthly P&amp;L'!E25)</f>
        <v>0</v>
      </c>
      <c r="G25" s="101">
        <f>IF(MOD(G$3,12)=4,MAX(F25*(1+Assumptions!$G$41),Assumptions!$G57*Assumptions!$G$67/deno),'Monthly P&amp;L'!F25)</f>
        <v>0</v>
      </c>
      <c r="H25" s="101">
        <f>IF(MOD(H$3,12)=4,MAX(G25*(1+Assumptions!$G$41),Assumptions!$G57*Assumptions!$G$67/deno),'Monthly P&amp;L'!G25)</f>
        <v>0.26600000000000001</v>
      </c>
      <c r="I25" s="101">
        <f>IF(MOD(I$3,12)=4,MAX(H25*(1+Assumptions!$G$41),Assumptions!$G57*Assumptions!$G$67/deno),'Monthly P&amp;L'!H25)</f>
        <v>0.26600000000000001</v>
      </c>
      <c r="J25" s="101">
        <f>IF(MOD(J$3,12)=4,MAX(I25*(1+Assumptions!$G$41),Assumptions!$G57*Assumptions!$G$67/deno),'Monthly P&amp;L'!I25)</f>
        <v>0.26600000000000001</v>
      </c>
      <c r="K25" s="101">
        <f>IF(MOD(K$3,12)=4,MAX(J25*(1+Assumptions!$G$41),Assumptions!$G57*Assumptions!$G$67/deno),'Monthly P&amp;L'!J25)</f>
        <v>0.26600000000000001</v>
      </c>
      <c r="L25" s="101">
        <f>IF(MOD(L$3,12)=4,MAX(K25*(1+Assumptions!$G$41),Assumptions!$G57*Assumptions!$G$67/deno),'Monthly P&amp;L'!K25)</f>
        <v>0.26600000000000001</v>
      </c>
      <c r="M25" s="101">
        <f>IF(MOD(M$3,12)=4,MAX(L25*(1+Assumptions!$G$41),Assumptions!$G57*Assumptions!$G$67/deno),'Monthly P&amp;L'!L25)</f>
        <v>0.26600000000000001</v>
      </c>
      <c r="N25" s="101">
        <f>IF(MOD(N$3,12)=4,MAX(M25*(1+Assumptions!$G$41),Assumptions!$G57*Assumptions!$G$67/deno),'Monthly P&amp;L'!M25)</f>
        <v>0.26600000000000001</v>
      </c>
      <c r="O25" s="101">
        <f>IF(MOD(O$3,12)=4,MAX(N25*(1+Assumptions!$G$41),Assumptions!$G57*Assumptions!$G$67/deno),'Monthly P&amp;L'!N25)</f>
        <v>0.26600000000000001</v>
      </c>
      <c r="P25" s="101">
        <f>IF(MOD(P$3,12)=4,MAX(O25*(1+Assumptions!$G$41),Assumptions!$G57*Assumptions!$G$67/deno),'Monthly P&amp;L'!O25)</f>
        <v>0.26600000000000001</v>
      </c>
      <c r="Q25" s="101">
        <f>IF(MOD(Q$3,12)=4,MAX(P25*(1+Assumptions!$G$41),Assumptions!$G57*Assumptions!$G$67/deno),'Monthly P&amp;L'!P25)</f>
        <v>0.26600000000000001</v>
      </c>
      <c r="R25" s="101">
        <f>IF(MOD(R$3,12)=4,MAX(Q25*(1+Assumptions!$G$41),Assumptions!$G57*Assumptions!$G$67/deno),'Monthly P&amp;L'!Q25)</f>
        <v>0.26600000000000001</v>
      </c>
      <c r="S25" s="101">
        <f>IF(MOD(S$3,12)=4,MAX(R25*(1+Assumptions!$G$41),Assumptions!$G57*Assumptions!$G$67/deno),'Monthly P&amp;L'!R25)</f>
        <v>0.26600000000000001</v>
      </c>
      <c r="T25" s="101">
        <f>IF(MOD(T$3,12)=4,MAX(S25*(1+Assumptions!$G$41),Assumptions!$G57*Assumptions!$G$67/deno),'Monthly P&amp;L'!S25)</f>
        <v>0.28728000000000004</v>
      </c>
      <c r="U25" s="101">
        <f>IF(MOD(U$3,12)=4,MAX(T25*(1+Assumptions!$G$41),Assumptions!$G57*Assumptions!$G$67/deno),'Monthly P&amp;L'!T25)</f>
        <v>0.28728000000000004</v>
      </c>
      <c r="V25" s="101">
        <f>IF(MOD(V$3,12)=4,MAX(U25*(1+Assumptions!$G$41),Assumptions!$G57*Assumptions!$G$67/deno),'Monthly P&amp;L'!U25)</f>
        <v>0.28728000000000004</v>
      </c>
      <c r="W25" s="101">
        <f>IF(MOD(W$3,12)=4,MAX(V25*(1+Assumptions!$G$41),Assumptions!$G57*Assumptions!$G$67/deno),'Monthly P&amp;L'!V25)</f>
        <v>0.28728000000000004</v>
      </c>
      <c r="X25" s="101">
        <f>IF(MOD(X$3,12)=4,MAX(W25*(1+Assumptions!$G$41),Assumptions!$G57*Assumptions!$G$67/deno),'Monthly P&amp;L'!W25)</f>
        <v>0.28728000000000004</v>
      </c>
      <c r="Y25" s="101">
        <f>IF(MOD(Y$3,12)=4,MAX(X25*(1+Assumptions!$G$41),Assumptions!$G57*Assumptions!$G$67/deno),'Monthly P&amp;L'!X25)</f>
        <v>0.28728000000000004</v>
      </c>
      <c r="Z25" s="101">
        <f>IF(MOD(Z$3,12)=4,MAX(Y25*(1+Assumptions!$G$41),Assumptions!$G57*Assumptions!$G$67/deno),'Monthly P&amp;L'!Y25)</f>
        <v>0.28728000000000004</v>
      </c>
      <c r="AA25" s="101">
        <f>IF(MOD(AA$3,12)=4,MAX(Z25*(1+Assumptions!$G$41),Assumptions!$G57*Assumptions!$G$67/deno),'Monthly P&amp;L'!Z25)</f>
        <v>0.28728000000000004</v>
      </c>
      <c r="AB25" s="101">
        <f>IF(MOD(AB$3,12)=4,MAX(AA25*(1+Assumptions!$G$41),Assumptions!$G57*Assumptions!$G$67/deno),'Monthly P&amp;L'!AA25)</f>
        <v>0.28728000000000004</v>
      </c>
      <c r="AC25" s="101">
        <f>IF(MOD(AC$3,12)=4,MAX(AB25*(1+Assumptions!$G$41),Assumptions!$G57*Assumptions!$G$67/deno),'Monthly P&amp;L'!AB25)</f>
        <v>0.28728000000000004</v>
      </c>
      <c r="AD25" s="101">
        <f>IF(MOD(AD$3,12)=4,MAX(AC25*(1+Assumptions!$G$41),Assumptions!$G57*Assumptions!$G$67/deno),'Monthly P&amp;L'!AC25)</f>
        <v>0.28728000000000004</v>
      </c>
      <c r="AE25" s="101">
        <f>IF(MOD(AE$3,12)=4,MAX(AD25*(1+Assumptions!$G$41),Assumptions!$G57*Assumptions!$G$67/deno),'Monthly P&amp;L'!AD25)</f>
        <v>0.28728000000000004</v>
      </c>
      <c r="AF25" s="101">
        <f>IF(MOD(AF$3,12)=4,MAX(AE25*(1+Assumptions!$G$41),Assumptions!$G57*Assumptions!$G$67/deno),'Monthly P&amp;L'!AE25)</f>
        <v>0.31026240000000005</v>
      </c>
      <c r="AG25" s="101">
        <f>IF(MOD(AG$3,12)=4,MAX(AF25*(1+Assumptions!$G$41),Assumptions!$G57*Assumptions!$G$67/deno),'Monthly P&amp;L'!AF25)</f>
        <v>0.31026240000000005</v>
      </c>
      <c r="AH25" s="101">
        <f>IF(MOD(AH$3,12)=4,MAX(AG25*(1+Assumptions!$G$41),Assumptions!$G57*Assumptions!$G$67/deno),'Monthly P&amp;L'!AG25)</f>
        <v>0.31026240000000005</v>
      </c>
      <c r="AI25" s="101">
        <f>IF(MOD(AI$3,12)=4,MAX(AH25*(1+Assumptions!$G$41),Assumptions!$G57*Assumptions!$G$67/deno),'Monthly P&amp;L'!AH25)</f>
        <v>0.31026240000000005</v>
      </c>
      <c r="AJ25" s="101">
        <f>IF(MOD(AJ$3,12)=4,MAX(AI25*(1+Assumptions!$G$41),Assumptions!$G57*Assumptions!$G$67/deno),'Monthly P&amp;L'!AI25)</f>
        <v>0.31026240000000005</v>
      </c>
      <c r="AK25" s="101">
        <f>IF(MOD(AK$3,12)=4,MAX(AJ25*(1+Assumptions!$G$41),Assumptions!$G57*Assumptions!$G$67/deno),'Monthly P&amp;L'!AJ25)</f>
        <v>0.31026240000000005</v>
      </c>
      <c r="AL25" s="101">
        <f>IF(MOD(AL$3,12)=4,MAX(AK25*(1+Assumptions!$G$41),Assumptions!$G57*Assumptions!$G$67/deno),'Monthly P&amp;L'!AK25)</f>
        <v>0.31026240000000005</v>
      </c>
      <c r="AM25" s="101">
        <f>IF(MOD(AM$3,12)=4,MAX(AL25*(1+Assumptions!$G$41),Assumptions!$G57*Assumptions!$G$67/deno),'Monthly P&amp;L'!AL25)</f>
        <v>0.31026240000000005</v>
      </c>
      <c r="AN25" s="101">
        <f>IF(MOD(AN$3,12)=4,MAX(AM25*(1+Assumptions!$G$41),Assumptions!$G57*Assumptions!$G$67/deno),'Monthly P&amp;L'!AM25)</f>
        <v>0.31026240000000005</v>
      </c>
      <c r="AO25" s="101"/>
    </row>
    <row r="26" spans="1:41" x14ac:dyDescent="0.35">
      <c r="A26" t="str">
        <f>Assumptions!A58</f>
        <v>Phone and internet (per month)</v>
      </c>
      <c r="E26" s="101">
        <f>IF(MOD(E$3,12)=4,MAX(D26*(1+Assumptions!$G$41),Assumptions!$G58/deno),'Monthly P&amp;L'!D26)</f>
        <v>0</v>
      </c>
      <c r="F26" s="101">
        <f>IF(MOD(F$3,12)=4,MAX(E26*(1+Assumptions!$G$41),Assumptions!$G58/deno),'Monthly P&amp;L'!E26)</f>
        <v>0</v>
      </c>
      <c r="G26" s="101">
        <f>IF(MOD(G$3,12)=4,MAX(F26*(1+Assumptions!$G$41),Assumptions!$G58/deno),'Monthly P&amp;L'!F26)</f>
        <v>0</v>
      </c>
      <c r="H26" s="101">
        <f>IF(MOD(H$3,12)=4,MAX(G26*(1+Assumptions!$G$41),Assumptions!$G58/deno),'Monthly P&amp;L'!G26)</f>
        <v>0.15</v>
      </c>
      <c r="I26" s="101">
        <f>IF(MOD(I$3,12)=4,MAX(H26*(1+Assumptions!$G$41),Assumptions!$G58/deno),'Monthly P&amp;L'!H26)</f>
        <v>0.15</v>
      </c>
      <c r="J26" s="101">
        <f>IF(MOD(J$3,12)=4,MAX(I26*(1+Assumptions!$G$41),Assumptions!$G58/deno),'Monthly P&amp;L'!I26)</f>
        <v>0.15</v>
      </c>
      <c r="K26" s="101">
        <f>IF(MOD(K$3,12)=4,MAX(J26*(1+Assumptions!$G$41),Assumptions!$G58/deno),'Monthly P&amp;L'!J26)</f>
        <v>0.15</v>
      </c>
      <c r="L26" s="101">
        <f>IF(MOD(L$3,12)=4,MAX(K26*(1+Assumptions!$G$41),Assumptions!$G58/deno),'Monthly P&amp;L'!K26)</f>
        <v>0.15</v>
      </c>
      <c r="M26" s="101">
        <f>IF(MOD(M$3,12)=4,MAX(L26*(1+Assumptions!$G$41),Assumptions!$G58/deno),'Monthly P&amp;L'!L26)</f>
        <v>0.15</v>
      </c>
      <c r="N26" s="101">
        <f>IF(MOD(N$3,12)=4,MAX(M26*(1+Assumptions!$G$41),Assumptions!$G58/deno),'Monthly P&amp;L'!M26)</f>
        <v>0.15</v>
      </c>
      <c r="O26" s="101">
        <f>IF(MOD(O$3,12)=4,MAX(N26*(1+Assumptions!$G$41),Assumptions!$G58/deno),'Monthly P&amp;L'!N26)</f>
        <v>0.15</v>
      </c>
      <c r="P26" s="101">
        <f>IF(MOD(P$3,12)=4,MAX(O26*(1+Assumptions!$G$41),Assumptions!$G58/deno),'Monthly P&amp;L'!O26)</f>
        <v>0.15</v>
      </c>
      <c r="Q26" s="101">
        <f>IF(MOD(Q$3,12)=4,MAX(P26*(1+Assumptions!$G$41),Assumptions!$G58/deno),'Monthly P&amp;L'!P26)</f>
        <v>0.15</v>
      </c>
      <c r="R26" s="101">
        <f>IF(MOD(R$3,12)=4,MAX(Q26*(1+Assumptions!$G$41),Assumptions!$G58/deno),'Monthly P&amp;L'!Q26)</f>
        <v>0.15</v>
      </c>
      <c r="S26" s="101">
        <f>IF(MOD(S$3,12)=4,MAX(R26*(1+Assumptions!$G$41),Assumptions!$G58/deno),'Monthly P&amp;L'!R26)</f>
        <v>0.15</v>
      </c>
      <c r="T26" s="101">
        <f>IF(MOD(T$3,12)=4,MAX(S26*(1+Assumptions!$G$41),Assumptions!$G58/deno),'Monthly P&amp;L'!S26)</f>
        <v>0.16200000000000001</v>
      </c>
      <c r="U26" s="101">
        <f>IF(MOD(U$3,12)=4,MAX(T26*(1+Assumptions!$G$41),Assumptions!$G58/deno),'Monthly P&amp;L'!T26)</f>
        <v>0.16200000000000001</v>
      </c>
      <c r="V26" s="101">
        <f>IF(MOD(V$3,12)=4,MAX(U26*(1+Assumptions!$G$41),Assumptions!$G58/deno),'Monthly P&amp;L'!U26)</f>
        <v>0.16200000000000001</v>
      </c>
      <c r="W26" s="101">
        <f>IF(MOD(W$3,12)=4,MAX(V26*(1+Assumptions!$G$41),Assumptions!$G58/deno),'Monthly P&amp;L'!V26)</f>
        <v>0.16200000000000001</v>
      </c>
      <c r="X26" s="101">
        <f>IF(MOD(X$3,12)=4,MAX(W26*(1+Assumptions!$G$41),Assumptions!$G58/deno),'Monthly P&amp;L'!W26)</f>
        <v>0.16200000000000001</v>
      </c>
      <c r="Y26" s="101">
        <f>IF(MOD(Y$3,12)=4,MAX(X26*(1+Assumptions!$G$41),Assumptions!$G58/deno),'Monthly P&amp;L'!X26)</f>
        <v>0.16200000000000001</v>
      </c>
      <c r="Z26" s="101">
        <f>IF(MOD(Z$3,12)=4,MAX(Y26*(1+Assumptions!$G$41),Assumptions!$G58/deno),'Monthly P&amp;L'!Y26)</f>
        <v>0.16200000000000001</v>
      </c>
      <c r="AA26" s="101">
        <f>IF(MOD(AA$3,12)=4,MAX(Z26*(1+Assumptions!$G$41),Assumptions!$G58/deno),'Monthly P&amp;L'!Z26)</f>
        <v>0.16200000000000001</v>
      </c>
      <c r="AB26" s="101">
        <f>IF(MOD(AB$3,12)=4,MAX(AA26*(1+Assumptions!$G$41),Assumptions!$G58/deno),'Monthly P&amp;L'!AA26)</f>
        <v>0.16200000000000001</v>
      </c>
      <c r="AC26" s="101">
        <f>IF(MOD(AC$3,12)=4,MAX(AB26*(1+Assumptions!$G$41),Assumptions!$G58/deno),'Monthly P&amp;L'!AB26)</f>
        <v>0.16200000000000001</v>
      </c>
      <c r="AD26" s="101">
        <f>IF(MOD(AD$3,12)=4,MAX(AC26*(1+Assumptions!$G$41),Assumptions!$G58/deno),'Monthly P&amp;L'!AC26)</f>
        <v>0.16200000000000001</v>
      </c>
      <c r="AE26" s="101">
        <f>IF(MOD(AE$3,12)=4,MAX(AD26*(1+Assumptions!$G$41),Assumptions!$G58/deno),'Monthly P&amp;L'!AD26)</f>
        <v>0.16200000000000001</v>
      </c>
      <c r="AF26" s="101">
        <f>IF(MOD(AF$3,12)=4,MAX(AE26*(1+Assumptions!$G$41),Assumptions!$G58/deno),'Monthly P&amp;L'!AE26)</f>
        <v>0.17496</v>
      </c>
      <c r="AG26" s="101">
        <f>IF(MOD(AG$3,12)=4,MAX(AF26*(1+Assumptions!$G$41),Assumptions!$G58/deno),'Monthly P&amp;L'!AF26)</f>
        <v>0.17496</v>
      </c>
      <c r="AH26" s="101">
        <f>IF(MOD(AH$3,12)=4,MAX(AG26*(1+Assumptions!$G$41),Assumptions!$G58/deno),'Monthly P&amp;L'!AG26)</f>
        <v>0.17496</v>
      </c>
      <c r="AI26" s="101">
        <f>IF(MOD(AI$3,12)=4,MAX(AH26*(1+Assumptions!$G$41),Assumptions!$G58/deno),'Monthly P&amp;L'!AH26)</f>
        <v>0.17496</v>
      </c>
      <c r="AJ26" s="101">
        <f>IF(MOD(AJ$3,12)=4,MAX(AI26*(1+Assumptions!$G$41),Assumptions!$G58/deno),'Monthly P&amp;L'!AI26)</f>
        <v>0.17496</v>
      </c>
      <c r="AK26" s="101">
        <f>IF(MOD(AK$3,12)=4,MAX(AJ26*(1+Assumptions!$G$41),Assumptions!$G58/deno),'Monthly P&amp;L'!AJ26)</f>
        <v>0.17496</v>
      </c>
      <c r="AL26" s="101">
        <f>IF(MOD(AL$3,12)=4,MAX(AK26*(1+Assumptions!$G$41),Assumptions!$G58/deno),'Monthly P&amp;L'!AK26)</f>
        <v>0.17496</v>
      </c>
      <c r="AM26" s="101">
        <f>IF(MOD(AM$3,12)=4,MAX(AL26*(1+Assumptions!$G$41),Assumptions!$G58/deno),'Monthly P&amp;L'!AL26)</f>
        <v>0.17496</v>
      </c>
      <c r="AN26" s="101">
        <f>IF(MOD(AN$3,12)=4,MAX(AM26*(1+Assumptions!$G$41),Assumptions!$G58/deno),'Monthly P&amp;L'!AM26)</f>
        <v>0.17496</v>
      </c>
      <c r="AO26" s="101"/>
    </row>
    <row r="27" spans="1:41" x14ac:dyDescent="0.35">
      <c r="A27" t="str">
        <f>Assumptions!A59</f>
        <v>Housekeeping  &amp; Consumables (% of revenue)</v>
      </c>
      <c r="E27" s="101">
        <f>E9*Assumptions!$G$59</f>
        <v>0</v>
      </c>
      <c r="F27" s="101">
        <f>F9*Assumptions!$G$59</f>
        <v>0</v>
      </c>
      <c r="G27" s="101">
        <f>G9*Assumptions!$G$59</f>
        <v>0</v>
      </c>
      <c r="H27" s="101">
        <f>H9*Assumptions!$G$59</f>
        <v>0.61176000000000008</v>
      </c>
      <c r="I27" s="101">
        <f>I9*Assumptions!$G$59</f>
        <v>0.64264800000000011</v>
      </c>
      <c r="J27" s="101">
        <f>J9*Assumptions!$G$59</f>
        <v>0.62589561599999999</v>
      </c>
      <c r="K27" s="101">
        <f>K9*Assumptions!$G$59</f>
        <v>0.6704981107200001</v>
      </c>
      <c r="L27" s="101">
        <f>L9*Assumptions!$G$59</f>
        <v>0.66942948890880005</v>
      </c>
      <c r="M27" s="101">
        <f>M9*Assumptions!$G$59</f>
        <v>0.69769473050342412</v>
      </c>
      <c r="N27" s="101">
        <f>N9*Assumptions!$G$59</f>
        <v>0.73847625585400323</v>
      </c>
      <c r="O27" s="101">
        <f>O9*Assumptions!$G$59</f>
        <v>0.67376550901542065</v>
      </c>
      <c r="P27" s="101">
        <f>P9*Assumptions!$G$59</f>
        <v>0.75571519914308516</v>
      </c>
      <c r="Q27" s="101">
        <f>Q9*Assumptions!$G$59</f>
        <v>0.75473080119890801</v>
      </c>
      <c r="R27" s="101">
        <f>R9*Assumptions!$G$59</f>
        <v>0.82669627798983303</v>
      </c>
      <c r="S27" s="101">
        <f>S9*Assumptions!$G$59</f>
        <v>0.79681866030115234</v>
      </c>
      <c r="T27" s="101">
        <f>T9*Assumptions!$G$59</f>
        <v>0.90134246856539113</v>
      </c>
      <c r="U27" s="101">
        <f>U9*Assumptions!$G$59</f>
        <v>0.92684946854442463</v>
      </c>
      <c r="V27" s="101">
        <f>V9*Assumptions!$G$59</f>
        <v>0.90821842067336944</v>
      </c>
      <c r="W27" s="101">
        <f>W9*Assumptions!$G$59</f>
        <v>1.0016280397702224</v>
      </c>
      <c r="X27" s="101">
        <f>X9*Assumptions!$G$59</f>
        <v>0.95972510588943694</v>
      </c>
      <c r="Y27" s="101">
        <f>Y9*Assumptions!$G$59</f>
        <v>1.0131625870242176</v>
      </c>
      <c r="Z27" s="101">
        <f>Z9*Assumptions!$G$59</f>
        <v>1.0926918703946749</v>
      </c>
      <c r="AA27" s="101">
        <f>AA9*Assumptions!$G$59</f>
        <v>0.98815764091224223</v>
      </c>
      <c r="AB27" s="101">
        <f>AB9*Assumptions!$G$59</f>
        <v>1.1009236714363946</v>
      </c>
      <c r="AC27" s="101">
        <f>AC9*Assumptions!$G$59</f>
        <v>1.1338973078264716</v>
      </c>
      <c r="AD27" s="101">
        <f>AD9*Assumptions!$G$59</f>
        <v>1.196440856479333</v>
      </c>
      <c r="AE27" s="101">
        <f>AE9*Assumptions!$G$59</f>
        <v>1.1674679671579395</v>
      </c>
      <c r="AF27" s="101">
        <f>AF9*Assumptions!$G$59</f>
        <v>1.3689059720238215</v>
      </c>
      <c r="AG27" s="101">
        <f>AG9*Assumptions!$G$59</f>
        <v>1.3300633587722446</v>
      </c>
      <c r="AH27" s="101">
        <f>AH9*Assumptions!$G$59</f>
        <v>1.3350803107021085</v>
      </c>
      <c r="AI27" s="101">
        <f>AI9*Assumptions!$G$59</f>
        <v>1.4971639097109679</v>
      </c>
      <c r="AJ27" s="101">
        <f>AJ9*Assumptions!$G$59</f>
        <v>1.4139222423361129</v>
      </c>
      <c r="AK27" s="101">
        <f>AK9*Assumptions!$G$59</f>
        <v>1.5195035333369447</v>
      </c>
      <c r="AL27" s="101">
        <f>AL9*Assumptions!$G$59</f>
        <v>1.5350098540036836</v>
      </c>
      <c r="AM27" s="101">
        <f>AM9*Assumptions!$G$59</f>
        <v>1.3948080009852337</v>
      </c>
      <c r="AN27" s="101">
        <f>AN9*Assumptions!$G$59</f>
        <v>1.5216702851556791</v>
      </c>
      <c r="AO27" s="101"/>
    </row>
    <row r="28" spans="1:41" ht="15" thickBot="1" x14ac:dyDescent="0.4">
      <c r="A28" t="str">
        <f>Assumptions!A60</f>
        <v>Payment Settlement Charges (% or revenue)</v>
      </c>
      <c r="E28" s="101">
        <f>E$9*Assumptions!$G$60*Assumptions!$G$61</f>
        <v>0</v>
      </c>
      <c r="F28" s="101">
        <f>F$9*Assumptions!$G$60*Assumptions!$G$61</f>
        <v>0</v>
      </c>
      <c r="G28" s="101">
        <f>G$9*Assumptions!$G$60*Assumptions!$G$61</f>
        <v>0</v>
      </c>
      <c r="H28" s="101">
        <f>H$9*Assumptions!$G$60*Assumptions!$G$61</f>
        <v>0.22941</v>
      </c>
      <c r="I28" s="101">
        <f>I$9*Assumptions!$G$60*Assumptions!$G$61</f>
        <v>0.24099300000000001</v>
      </c>
      <c r="J28" s="101">
        <f>J$9*Assumptions!$G$60*Assumptions!$G$61</f>
        <v>0.23471085599999997</v>
      </c>
      <c r="K28" s="101">
        <f>K$9*Assumptions!$G$60*Assumptions!$G$61</f>
        <v>0.25143679152000004</v>
      </c>
      <c r="L28" s="101">
        <f>L$9*Assumptions!$G$60*Assumptions!$G$61</f>
        <v>0.25103605834080001</v>
      </c>
      <c r="M28" s="101">
        <f>M$9*Assumptions!$G$60*Assumptions!$G$61</f>
        <v>0.26163552393878403</v>
      </c>
      <c r="N28" s="101">
        <f>N$9*Assumptions!$G$60*Assumptions!$G$61</f>
        <v>0.27692859594525121</v>
      </c>
      <c r="O28" s="101">
        <f>O$9*Assumptions!$G$60*Assumptions!$G$61</f>
        <v>0.25266206588078272</v>
      </c>
      <c r="P28" s="101">
        <f>P$9*Assumptions!$G$60*Assumptions!$G$61</f>
        <v>0.28339319967865689</v>
      </c>
      <c r="Q28" s="101">
        <f>Q$9*Assumptions!$G$60*Assumptions!$G$61</f>
        <v>0.28302405044959045</v>
      </c>
      <c r="R28" s="101">
        <f>R$9*Assumptions!$G$60*Assumptions!$G$61</f>
        <v>0.31001110424618739</v>
      </c>
      <c r="S28" s="101">
        <f>S$9*Assumptions!$G$60*Assumptions!$G$61</f>
        <v>0.29880699761293211</v>
      </c>
      <c r="T28" s="101">
        <f>T$9*Assumptions!$G$60*Assumptions!$G$61</f>
        <v>0.33800342571202163</v>
      </c>
      <c r="U28" s="101">
        <f>U$9*Assumptions!$G$60*Assumptions!$G$61</f>
        <v>0.34756855070415921</v>
      </c>
      <c r="V28" s="101">
        <f>V$9*Assumptions!$G$60*Assumptions!$G$61</f>
        <v>0.34058190775251351</v>
      </c>
      <c r="W28" s="101">
        <f>W$9*Assumptions!$G$60*Assumptions!$G$61</f>
        <v>0.3756105149138334</v>
      </c>
      <c r="X28" s="101">
        <f>X$9*Assumptions!$G$60*Assumptions!$G$61</f>
        <v>0.35989691470853885</v>
      </c>
      <c r="Y28" s="101">
        <f>Y$9*Assumptions!$G$60*Assumptions!$G$61</f>
        <v>0.37993597013408154</v>
      </c>
      <c r="Z28" s="101">
        <f>Z$9*Assumptions!$G$60*Assumptions!$G$61</f>
        <v>0.40975945139800302</v>
      </c>
      <c r="AA28" s="101">
        <f>AA$9*Assumptions!$G$60*Assumptions!$G$61</f>
        <v>0.37055911534209085</v>
      </c>
      <c r="AB28" s="101">
        <f>AB$9*Assumptions!$G$60*Assumptions!$G$61</f>
        <v>0.41284637678864794</v>
      </c>
      <c r="AC28" s="101">
        <f>AC$9*Assumptions!$G$60*Assumptions!$G$61</f>
        <v>0.42521149043492679</v>
      </c>
      <c r="AD28" s="101">
        <f>AD$9*Assumptions!$G$60*Assumptions!$G$61</f>
        <v>0.44866532117974983</v>
      </c>
      <c r="AE28" s="101">
        <f>AE$9*Assumptions!$G$60*Assumptions!$G$61</f>
        <v>0.4378004876842273</v>
      </c>
      <c r="AF28" s="101">
        <f>AF$9*Assumptions!$G$60*Assumptions!$G$61</f>
        <v>0.51333973950893297</v>
      </c>
      <c r="AG28" s="101">
        <f>AG$9*Assumptions!$G$60*Assumptions!$G$61</f>
        <v>0.49877375953959163</v>
      </c>
      <c r="AH28" s="101">
        <f>AH$9*Assumptions!$G$60*Assumptions!$G$61</f>
        <v>0.50065511651329064</v>
      </c>
      <c r="AI28" s="101">
        <f>AI$9*Assumptions!$G$60*Assumptions!$G$61</f>
        <v>0.56143646614161291</v>
      </c>
      <c r="AJ28" s="101">
        <f>AJ$9*Assumptions!$G$60*Assumptions!$G$61</f>
        <v>0.53022084087604227</v>
      </c>
      <c r="AK28" s="101">
        <f>AK$9*Assumptions!$G$60*Assumptions!$G$61</f>
        <v>0.56981382500135425</v>
      </c>
      <c r="AL28" s="101">
        <f>AL$9*Assumptions!$G$60*Assumptions!$G$61</f>
        <v>0.57562869525138138</v>
      </c>
      <c r="AM28" s="101">
        <f>AM$9*Assumptions!$G$60*Assumptions!$G$61</f>
        <v>0.52305300036946256</v>
      </c>
      <c r="AN28" s="101">
        <f>AN$9*Assumptions!$G$60*Assumptions!$G$61</f>
        <v>0.57062635693337971</v>
      </c>
      <c r="AO28" s="101"/>
    </row>
    <row r="29" spans="1:41" s="162" customFormat="1" ht="15" thickBot="1" x14ac:dyDescent="0.4">
      <c r="A29" s="154" t="s">
        <v>120</v>
      </c>
      <c r="B29" s="157"/>
      <c r="C29" s="157"/>
      <c r="D29" s="157"/>
      <c r="E29" s="158">
        <f>SUM(E19:E28)</f>
        <v>0</v>
      </c>
      <c r="F29" s="158">
        <f t="shared" ref="F29:AN29" si="3">SUM(F19:F28)</f>
        <v>0</v>
      </c>
      <c r="G29" s="158">
        <f t="shared" si="3"/>
        <v>0</v>
      </c>
      <c r="H29" s="158">
        <f t="shared" si="3"/>
        <v>10.495369999999999</v>
      </c>
      <c r="I29" s="158">
        <f t="shared" si="3"/>
        <v>10.769501</v>
      </c>
      <c r="J29" s="158">
        <f t="shared" si="3"/>
        <v>10.620823591999999</v>
      </c>
      <c r="K29" s="158">
        <f t="shared" si="3"/>
        <v>11.016670732640002</v>
      </c>
      <c r="L29" s="158">
        <f t="shared" si="3"/>
        <v>11.0071867140656</v>
      </c>
      <c r="M29" s="158">
        <f t="shared" si="3"/>
        <v>11.258040733217888</v>
      </c>
      <c r="N29" s="158">
        <f t="shared" si="3"/>
        <v>11.61997677070428</v>
      </c>
      <c r="O29" s="158">
        <f t="shared" si="3"/>
        <v>11.045668892511859</v>
      </c>
      <c r="P29" s="158">
        <f t="shared" si="3"/>
        <v>11.77297239239488</v>
      </c>
      <c r="Q29" s="158">
        <f t="shared" si="3"/>
        <v>11.764235860640309</v>
      </c>
      <c r="R29" s="158">
        <f t="shared" si="3"/>
        <v>12.402929467159771</v>
      </c>
      <c r="S29" s="158">
        <f t="shared" si="3"/>
        <v>12.137765610172726</v>
      </c>
      <c r="T29" s="158">
        <f t="shared" si="3"/>
        <v>13.470694408517845</v>
      </c>
      <c r="U29" s="158">
        <f t="shared" si="3"/>
        <v>13.69706903333177</v>
      </c>
      <c r="V29" s="158">
        <f t="shared" si="3"/>
        <v>13.531718483476155</v>
      </c>
      <c r="W29" s="158">
        <f t="shared" si="3"/>
        <v>14.360728852960728</v>
      </c>
      <c r="X29" s="158">
        <f t="shared" si="3"/>
        <v>13.988840314768755</v>
      </c>
      <c r="Y29" s="158">
        <f t="shared" si="3"/>
        <v>14.46309795983993</v>
      </c>
      <c r="Z29" s="158">
        <f t="shared" si="3"/>
        <v>15.168920349752739</v>
      </c>
      <c r="AA29" s="158">
        <f t="shared" si="3"/>
        <v>14.241179063096153</v>
      </c>
      <c r="AB29" s="158">
        <f t="shared" si="3"/>
        <v>15.241977583998002</v>
      </c>
      <c r="AC29" s="158">
        <f t="shared" si="3"/>
        <v>15.534618606959935</v>
      </c>
      <c r="AD29" s="158">
        <f t="shared" si="3"/>
        <v>16.089692601254082</v>
      </c>
      <c r="AE29" s="158">
        <f t="shared" si="3"/>
        <v>15.832558208526715</v>
      </c>
      <c r="AF29" s="158">
        <f t="shared" si="3"/>
        <v>18.058022901711414</v>
      </c>
      <c r="AG29" s="158">
        <f t="shared" si="3"/>
        <v>17.713294709103671</v>
      </c>
      <c r="AH29" s="158">
        <f t="shared" si="3"/>
        <v>17.757820157481216</v>
      </c>
      <c r="AI29" s="158">
        <f t="shared" si="3"/>
        <v>19.196312098684835</v>
      </c>
      <c r="AJ29" s="158">
        <f t="shared" si="3"/>
        <v>18.457542300733</v>
      </c>
      <c r="AK29" s="158">
        <f t="shared" si="3"/>
        <v>19.394576258365383</v>
      </c>
      <c r="AL29" s="158">
        <f t="shared" si="3"/>
        <v>19.532194854282693</v>
      </c>
      <c r="AM29" s="158">
        <f t="shared" si="3"/>
        <v>18.287903408743947</v>
      </c>
      <c r="AN29" s="160">
        <f t="shared" si="3"/>
        <v>19.413806180756652</v>
      </c>
      <c r="AO29" s="161"/>
    </row>
    <row r="30" spans="1:41" x14ac:dyDescent="0.35"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</row>
    <row r="31" spans="1:41" s="105" customFormat="1" ht="15" thickBot="1" x14ac:dyDescent="0.4">
      <c r="A31" s="163" t="s">
        <v>122</v>
      </c>
      <c r="B31" s="102"/>
      <c r="C31" s="102"/>
      <c r="D31" s="102"/>
      <c r="E31" s="103">
        <f>E9-E16-E29</f>
        <v>0</v>
      </c>
      <c r="F31" s="103">
        <f t="shared" ref="F31:AN31" si="4">F9-F16-F29</f>
        <v>0</v>
      </c>
      <c r="G31" s="103">
        <f t="shared" si="4"/>
        <v>0</v>
      </c>
      <c r="H31" s="103">
        <f t="shared" si="4"/>
        <v>0.14623000000000452</v>
      </c>
      <c r="I31" s="103">
        <f t="shared" si="4"/>
        <v>0.8972670000000047</v>
      </c>
      <c r="J31" s="103">
        <f t="shared" si="4"/>
        <v>0.49215976799999872</v>
      </c>
      <c r="K31" s="103">
        <f t="shared" si="4"/>
        <v>1.5866211905600025</v>
      </c>
      <c r="L31" s="103">
        <f t="shared" si="4"/>
        <v>1.5582014778704014</v>
      </c>
      <c r="M31" s="103">
        <f t="shared" si="4"/>
        <v>2.2604031452269187</v>
      </c>
      <c r="N31" s="103">
        <f t="shared" si="4"/>
        <v>3.2532416816633614</v>
      </c>
      <c r="O31" s="103">
        <f t="shared" si="4"/>
        <v>1.6653195737008808</v>
      </c>
      <c r="P31" s="103">
        <f t="shared" si="4"/>
        <v>3.6876021550887934</v>
      </c>
      <c r="Q31" s="103">
        <f t="shared" si="4"/>
        <v>3.6610982925236009</v>
      </c>
      <c r="R31" s="103">
        <f t="shared" si="4"/>
        <v>5.4217907819004889</v>
      </c>
      <c r="S31" s="103">
        <f t="shared" si="4"/>
        <v>4.6961464469913334</v>
      </c>
      <c r="T31" s="103">
        <f t="shared" si="4"/>
        <v>6.8588448818499348</v>
      </c>
      <c r="U31" s="103">
        <f t="shared" si="4"/>
        <v>7.4859171212779945</v>
      </c>
      <c r="V31" s="103">
        <f t="shared" si="4"/>
        <v>7.0316140800483957</v>
      </c>
      <c r="W31" s="103">
        <f t="shared" si="4"/>
        <v>9.3173040210457767</v>
      </c>
      <c r="X31" s="103">
        <f t="shared" si="4"/>
        <v>8.2980461818652032</v>
      </c>
      <c r="Y31" s="103">
        <f t="shared" si="4"/>
        <v>9.6149584098748466</v>
      </c>
      <c r="Z31" s="103">
        <f t="shared" si="4"/>
        <v>11.555045074758318</v>
      </c>
      <c r="AA31" s="103">
        <f t="shared" si="4"/>
        <v>8.9906007293857559</v>
      </c>
      <c r="AB31" s="103">
        <f t="shared" si="4"/>
        <v>11.7727006069667</v>
      </c>
      <c r="AC31" s="103">
        <f t="shared" si="4"/>
        <v>12.571619345436314</v>
      </c>
      <c r="AD31" s="103">
        <f t="shared" si="4"/>
        <v>14.112318174336718</v>
      </c>
      <c r="AE31" s="103">
        <f t="shared" si="4"/>
        <v>13.405055529041062</v>
      </c>
      <c r="AF31" s="103">
        <f t="shared" si="4"/>
        <v>17.905702726629418</v>
      </c>
      <c r="AG31" s="103">
        <f t="shared" si="4"/>
        <v>16.969886226190795</v>
      </c>
      <c r="AH31" s="103">
        <f t="shared" si="4"/>
        <v>17.089123236599033</v>
      </c>
      <c r="AI31" s="103">
        <f t="shared" si="4"/>
        <v>21.056412386088837</v>
      </c>
      <c r="AJ31" s="103">
        <f t="shared" si="4"/>
        <v>19.026775687240995</v>
      </c>
      <c r="AK31" s="103">
        <f t="shared" si="4"/>
        <v>21.617311341570691</v>
      </c>
      <c r="AL31" s="103">
        <f t="shared" si="4"/>
        <v>22.000360535152112</v>
      </c>
      <c r="AM31" s="103">
        <f t="shared" si="4"/>
        <v>18.553614691004672</v>
      </c>
      <c r="AN31" s="103">
        <f t="shared" si="4"/>
        <v>21.68746550524849</v>
      </c>
      <c r="AO31" s="104"/>
    </row>
    <row r="32" spans="1:41" ht="15.5" thickTop="1" thickBot="1" x14ac:dyDescent="0.4"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1"/>
    </row>
    <row r="33" spans="1:41" s="110" customFormat="1" ht="12.5" thickBot="1" x14ac:dyDescent="0.35">
      <c r="A33" s="109" t="s">
        <v>123</v>
      </c>
      <c r="E33" s="110" t="e">
        <f>E31/E9</f>
        <v>#DIV/0!</v>
      </c>
      <c r="F33" s="110" t="e">
        <f t="shared" ref="F33:AN33" si="5">F31/F9</f>
        <v>#DIV/0!</v>
      </c>
      <c r="G33" s="110" t="e">
        <f t="shared" si="5"/>
        <v>#DIV/0!</v>
      </c>
      <c r="H33" s="110">
        <f t="shared" si="5"/>
        <v>4.7806329279457471E-3</v>
      </c>
      <c r="I33" s="110">
        <f t="shared" si="5"/>
        <v>2.7924057960189857E-2</v>
      </c>
      <c r="J33" s="110">
        <f t="shared" si="5"/>
        <v>1.5726576618168828E-2</v>
      </c>
      <c r="K33" s="110">
        <f t="shared" si="5"/>
        <v>4.7326641647244705E-2</v>
      </c>
      <c r="L33" s="110">
        <f t="shared" si="5"/>
        <v>4.6553117354012574E-2</v>
      </c>
      <c r="M33" s="110">
        <f t="shared" si="5"/>
        <v>6.4796337033989543E-2</v>
      </c>
      <c r="N33" s="110">
        <f t="shared" si="5"/>
        <v>8.8106872925824364E-2</v>
      </c>
      <c r="O33" s="110">
        <f t="shared" si="5"/>
        <v>4.9433209370851494E-2</v>
      </c>
      <c r="P33" s="110">
        <f t="shared" si="5"/>
        <v>9.7592377638301087E-2</v>
      </c>
      <c r="Q33" s="110">
        <f t="shared" si="5"/>
        <v>9.7017328210478718E-2</v>
      </c>
      <c r="R33" s="110">
        <f t="shared" si="5"/>
        <v>0.13116765918152998</v>
      </c>
      <c r="S33" s="110">
        <f t="shared" si="5"/>
        <v>0.11787240136209802</v>
      </c>
      <c r="T33" s="110">
        <f t="shared" si="5"/>
        <v>0.15219176109091404</v>
      </c>
      <c r="U33" s="110">
        <f t="shared" si="5"/>
        <v>0.16153469091446512</v>
      </c>
      <c r="V33" s="110">
        <f t="shared" si="5"/>
        <v>0.15484411943186599</v>
      </c>
      <c r="W33" s="110">
        <f t="shared" si="5"/>
        <v>0.18604319470096312</v>
      </c>
      <c r="X33" s="110">
        <f t="shared" si="5"/>
        <v>0.1729254789927557</v>
      </c>
      <c r="Y33" s="110">
        <f t="shared" si="5"/>
        <v>0.18980089736860806</v>
      </c>
      <c r="Z33" s="110">
        <f t="shared" si="5"/>
        <v>0.21149686179297178</v>
      </c>
      <c r="AA33" s="110">
        <f t="shared" si="5"/>
        <v>0.18196693234261407</v>
      </c>
      <c r="AB33" s="110">
        <f t="shared" si="5"/>
        <v>0.21386951543346597</v>
      </c>
      <c r="AC33" s="110">
        <f t="shared" si="5"/>
        <v>0.22174176195081399</v>
      </c>
      <c r="AD33" s="110">
        <f t="shared" si="5"/>
        <v>0.23590498599093085</v>
      </c>
      <c r="AE33" s="110">
        <f t="shared" si="5"/>
        <v>0.2296432263006592</v>
      </c>
      <c r="AF33" s="110">
        <f t="shared" si="5"/>
        <v>0.26160602835499686</v>
      </c>
      <c r="AG33" s="110">
        <f t="shared" si="5"/>
        <v>0.25517410301198534</v>
      </c>
      <c r="AH33" s="110">
        <f t="shared" si="5"/>
        <v>0.25600142702444612</v>
      </c>
      <c r="AI33" s="110">
        <f t="shared" si="5"/>
        <v>0.28128399635486595</v>
      </c>
      <c r="AJ33" s="110">
        <f t="shared" si="5"/>
        <v>0.26913468248161293</v>
      </c>
      <c r="AK33" s="110">
        <f t="shared" si="5"/>
        <v>0.28453124151804293</v>
      </c>
      <c r="AL33" s="110">
        <f t="shared" si="5"/>
        <v>0.28664780851757732</v>
      </c>
      <c r="AM33" s="110">
        <f t="shared" si="5"/>
        <v>0.26603826014618759</v>
      </c>
      <c r="AN33" s="110">
        <f t="shared" si="5"/>
        <v>0.28504815684206763</v>
      </c>
    </row>
    <row r="34" spans="1:41" x14ac:dyDescent="0.35"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  <c r="AO34" s="101"/>
    </row>
    <row r="35" spans="1:41" s="108" customFormat="1" ht="10.5" x14ac:dyDescent="0.25">
      <c r="A35" s="106" t="s">
        <v>121</v>
      </c>
      <c r="B35" s="106"/>
      <c r="C35" s="106"/>
      <c r="D35" s="106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  <c r="AK35" s="107"/>
      <c r="AL35" s="107"/>
      <c r="AM35" s="107"/>
      <c r="AN35" s="107"/>
      <c r="AO35" s="107"/>
    </row>
    <row r="36" spans="1:41" x14ac:dyDescent="0.35"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101"/>
      <c r="AI36" s="101"/>
      <c r="AJ36" s="101"/>
      <c r="AK36" s="101"/>
      <c r="AL36" s="101"/>
      <c r="AM36" s="101"/>
      <c r="AN36" s="101"/>
      <c r="AO36" s="101"/>
    </row>
    <row r="37" spans="1:41" x14ac:dyDescent="0.35">
      <c r="A37" s="193" t="s">
        <v>91</v>
      </c>
      <c r="B37" s="193"/>
      <c r="C37" s="193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/>
      <c r="O37" s="193"/>
      <c r="P37" s="193"/>
      <c r="Q37" s="193"/>
      <c r="R37" s="193"/>
      <c r="S37" s="193"/>
      <c r="T37" s="193"/>
      <c r="U37" s="193"/>
      <c r="V37" s="193"/>
      <c r="W37" s="193"/>
      <c r="X37" s="193"/>
      <c r="Y37" s="193"/>
      <c r="Z37" s="193"/>
      <c r="AA37" s="193"/>
      <c r="AB37" s="193"/>
      <c r="AC37" s="193"/>
      <c r="AD37" s="193"/>
      <c r="AE37" s="193"/>
      <c r="AF37" s="193"/>
      <c r="AG37" s="193"/>
      <c r="AH37" s="193"/>
      <c r="AI37" s="193"/>
      <c r="AJ37" s="193"/>
      <c r="AK37" s="193"/>
      <c r="AL37" s="193"/>
      <c r="AM37" s="193"/>
      <c r="AN37" s="193"/>
      <c r="AO37" s="101"/>
    </row>
    <row r="38" spans="1:41" x14ac:dyDescent="0.35"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  <c r="AL38" s="101"/>
      <c r="AM38" s="101"/>
      <c r="AN38" s="101"/>
      <c r="AO38" s="101"/>
    </row>
    <row r="39" spans="1:41" x14ac:dyDescent="0.35">
      <c r="A39" s="83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101"/>
      <c r="AO39" s="101"/>
    </row>
    <row r="40" spans="1:41" x14ac:dyDescent="0.35"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1"/>
      <c r="AB40" s="101"/>
      <c r="AC40" s="101"/>
      <c r="AD40" s="101"/>
      <c r="AE40" s="101"/>
      <c r="AF40" s="101"/>
      <c r="AG40" s="101"/>
      <c r="AH40" s="101"/>
      <c r="AI40" s="101"/>
      <c r="AJ40" s="101"/>
      <c r="AK40" s="101"/>
      <c r="AL40" s="101"/>
      <c r="AM40" s="101"/>
      <c r="AN40" s="101"/>
      <c r="AO40" s="101"/>
    </row>
    <row r="41" spans="1:41" x14ac:dyDescent="0.35"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01"/>
      <c r="AB41" s="101"/>
      <c r="AC41" s="101"/>
      <c r="AD41" s="101"/>
      <c r="AE41" s="101"/>
      <c r="AF41" s="101"/>
      <c r="AG41" s="101"/>
      <c r="AH41" s="101"/>
      <c r="AI41" s="101"/>
      <c r="AJ41" s="101"/>
      <c r="AK41" s="101"/>
      <c r="AL41" s="101"/>
      <c r="AM41" s="101"/>
      <c r="AN41" s="101"/>
      <c r="AO41" s="101"/>
    </row>
    <row r="42" spans="1:41" x14ac:dyDescent="0.35"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01"/>
      <c r="AB42" s="101"/>
      <c r="AC42" s="101"/>
      <c r="AD42" s="101"/>
      <c r="AE42" s="101"/>
      <c r="AF42" s="101"/>
      <c r="AG42" s="101"/>
      <c r="AH42" s="101"/>
      <c r="AI42" s="101"/>
      <c r="AJ42" s="101"/>
      <c r="AK42" s="101"/>
      <c r="AL42" s="101"/>
      <c r="AM42" s="101"/>
      <c r="AN42" s="101"/>
      <c r="AO42" s="101"/>
    </row>
    <row r="43" spans="1:41" x14ac:dyDescent="0.35"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  <c r="AA43" s="101"/>
      <c r="AB43" s="101"/>
      <c r="AC43" s="101"/>
      <c r="AD43" s="101"/>
      <c r="AE43" s="101"/>
      <c r="AF43" s="101"/>
      <c r="AG43" s="101"/>
      <c r="AH43" s="101"/>
      <c r="AI43" s="101"/>
      <c r="AJ43" s="101"/>
      <c r="AK43" s="101"/>
      <c r="AL43" s="101"/>
      <c r="AM43" s="101"/>
      <c r="AN43" s="101"/>
      <c r="AO43" s="101"/>
    </row>
    <row r="44" spans="1:41" x14ac:dyDescent="0.35"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  <c r="AA44" s="101"/>
      <c r="AB44" s="101"/>
      <c r="AC44" s="101"/>
      <c r="AD44" s="101"/>
      <c r="AE44" s="101"/>
      <c r="AF44" s="101"/>
      <c r="AG44" s="101"/>
      <c r="AH44" s="101"/>
      <c r="AI44" s="101"/>
      <c r="AJ44" s="101"/>
      <c r="AK44" s="101"/>
      <c r="AL44" s="101"/>
      <c r="AM44" s="101"/>
      <c r="AN44" s="101"/>
      <c r="AO44" s="101"/>
    </row>
    <row r="45" spans="1:41" x14ac:dyDescent="0.35"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101"/>
      <c r="AK45" s="101"/>
      <c r="AL45" s="101"/>
      <c r="AM45" s="101"/>
      <c r="AN45" s="101"/>
      <c r="AO45" s="101"/>
    </row>
    <row r="46" spans="1:41" x14ac:dyDescent="0.35"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101"/>
      <c r="AK46" s="101"/>
      <c r="AL46" s="101"/>
      <c r="AM46" s="101"/>
      <c r="AN46" s="101"/>
      <c r="AO46" s="101"/>
    </row>
    <row r="47" spans="1:41" x14ac:dyDescent="0.35"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101"/>
      <c r="AK47" s="101"/>
      <c r="AL47" s="101"/>
      <c r="AM47" s="101"/>
      <c r="AN47" s="101"/>
      <c r="AO47" s="101"/>
    </row>
    <row r="48" spans="1:41" x14ac:dyDescent="0.35"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  <c r="AA48" s="101"/>
      <c r="AB48" s="101"/>
      <c r="AC48" s="101"/>
      <c r="AD48" s="101"/>
      <c r="AE48" s="101"/>
      <c r="AF48" s="101"/>
      <c r="AG48" s="101"/>
      <c r="AH48" s="101"/>
      <c r="AI48" s="101"/>
      <c r="AJ48" s="101"/>
      <c r="AK48" s="101"/>
      <c r="AL48" s="101"/>
      <c r="AM48" s="101"/>
      <c r="AN48" s="101"/>
      <c r="AO48" s="101"/>
    </row>
    <row r="49" spans="5:41" x14ac:dyDescent="0.35"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01"/>
      <c r="AB49" s="101"/>
      <c r="AC49" s="101"/>
      <c r="AD49" s="101"/>
      <c r="AE49" s="101"/>
      <c r="AF49" s="101"/>
      <c r="AG49" s="101"/>
      <c r="AH49" s="101"/>
      <c r="AI49" s="101"/>
      <c r="AJ49" s="101"/>
      <c r="AK49" s="101"/>
      <c r="AL49" s="101"/>
      <c r="AM49" s="101"/>
      <c r="AN49" s="101"/>
      <c r="AO49" s="101"/>
    </row>
    <row r="50" spans="5:41" x14ac:dyDescent="0.35"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01"/>
      <c r="AB50" s="101"/>
      <c r="AC50" s="101"/>
      <c r="AD50" s="101"/>
      <c r="AE50" s="101"/>
      <c r="AF50" s="101"/>
      <c r="AG50" s="101"/>
      <c r="AH50" s="101"/>
      <c r="AI50" s="101"/>
      <c r="AJ50" s="101"/>
      <c r="AK50" s="101"/>
      <c r="AL50" s="101"/>
      <c r="AM50" s="101"/>
      <c r="AN50" s="101"/>
      <c r="AO50" s="101"/>
    </row>
    <row r="51" spans="5:41" x14ac:dyDescent="0.35"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  <c r="AD51" s="101"/>
      <c r="AE51" s="101"/>
      <c r="AF51" s="101"/>
      <c r="AG51" s="101"/>
      <c r="AH51" s="101"/>
      <c r="AI51" s="101"/>
      <c r="AJ51" s="101"/>
      <c r="AK51" s="101"/>
      <c r="AL51" s="101"/>
      <c r="AM51" s="101"/>
      <c r="AN51" s="101"/>
      <c r="AO51" s="101"/>
    </row>
    <row r="52" spans="5:41" x14ac:dyDescent="0.35"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1"/>
      <c r="AB52" s="101"/>
      <c r="AC52" s="101"/>
      <c r="AD52" s="101"/>
      <c r="AE52" s="101"/>
      <c r="AF52" s="101"/>
      <c r="AG52" s="101"/>
      <c r="AH52" s="101"/>
      <c r="AI52" s="101"/>
      <c r="AJ52" s="101"/>
      <c r="AK52" s="101"/>
      <c r="AL52" s="101"/>
      <c r="AM52" s="101"/>
      <c r="AN52" s="101"/>
      <c r="AO52" s="101"/>
    </row>
    <row r="53" spans="5:41" x14ac:dyDescent="0.35"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  <c r="AA53" s="101"/>
      <c r="AB53" s="101"/>
      <c r="AC53" s="101"/>
      <c r="AD53" s="101"/>
      <c r="AE53" s="101"/>
      <c r="AF53" s="101"/>
      <c r="AG53" s="101"/>
      <c r="AH53" s="101"/>
      <c r="AI53" s="101"/>
      <c r="AJ53" s="101"/>
      <c r="AK53" s="101"/>
      <c r="AL53" s="101"/>
      <c r="AM53" s="101"/>
      <c r="AN53" s="101"/>
      <c r="AO53" s="101"/>
    </row>
    <row r="54" spans="5:41" x14ac:dyDescent="0.35"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  <c r="AA54" s="101"/>
      <c r="AB54" s="101"/>
      <c r="AC54" s="101"/>
      <c r="AD54" s="101"/>
      <c r="AE54" s="101"/>
      <c r="AF54" s="101"/>
      <c r="AG54" s="101"/>
      <c r="AH54" s="101"/>
      <c r="AI54" s="101"/>
      <c r="AJ54" s="101"/>
      <c r="AK54" s="101"/>
      <c r="AL54" s="101"/>
      <c r="AM54" s="101"/>
      <c r="AN54" s="101"/>
      <c r="AO54" s="101"/>
    </row>
    <row r="55" spans="5:41" x14ac:dyDescent="0.35"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01"/>
      <c r="AA55" s="101"/>
      <c r="AB55" s="101"/>
      <c r="AC55" s="101"/>
      <c r="AD55" s="101"/>
      <c r="AE55" s="101"/>
      <c r="AF55" s="101"/>
      <c r="AG55" s="101"/>
      <c r="AH55" s="101"/>
      <c r="AI55" s="101"/>
      <c r="AJ55" s="101"/>
      <c r="AK55" s="101"/>
      <c r="AL55" s="101"/>
      <c r="AM55" s="101"/>
      <c r="AN55" s="101"/>
      <c r="AO55" s="101"/>
    </row>
    <row r="56" spans="5:41" x14ac:dyDescent="0.35"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01"/>
      <c r="V56" s="101"/>
      <c r="W56" s="101"/>
      <c r="X56" s="101"/>
      <c r="Y56" s="101"/>
      <c r="Z56" s="101"/>
      <c r="AA56" s="101"/>
      <c r="AB56" s="101"/>
      <c r="AC56" s="101"/>
      <c r="AD56" s="101"/>
      <c r="AE56" s="101"/>
      <c r="AF56" s="101"/>
      <c r="AG56" s="101"/>
      <c r="AH56" s="101"/>
      <c r="AI56" s="101"/>
      <c r="AJ56" s="101"/>
      <c r="AK56" s="101"/>
      <c r="AL56" s="101"/>
      <c r="AM56" s="101"/>
      <c r="AN56" s="101"/>
      <c r="AO56" s="101"/>
    </row>
    <row r="57" spans="5:41" x14ac:dyDescent="0.35"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  <c r="AA57" s="101"/>
      <c r="AB57" s="101"/>
      <c r="AC57" s="101"/>
      <c r="AD57" s="101"/>
      <c r="AE57" s="101"/>
      <c r="AF57" s="101"/>
      <c r="AG57" s="101"/>
      <c r="AH57" s="101"/>
      <c r="AI57" s="101"/>
      <c r="AJ57" s="101"/>
      <c r="AK57" s="101"/>
      <c r="AL57" s="101"/>
      <c r="AM57" s="101"/>
      <c r="AN57" s="101"/>
      <c r="AO57" s="101"/>
    </row>
    <row r="58" spans="5:41" x14ac:dyDescent="0.35"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1"/>
      <c r="V58" s="101"/>
      <c r="W58" s="101"/>
      <c r="X58" s="101"/>
      <c r="Y58" s="101"/>
      <c r="Z58" s="101"/>
      <c r="AA58" s="101"/>
      <c r="AB58" s="101"/>
      <c r="AC58" s="101"/>
      <c r="AD58" s="101"/>
      <c r="AE58" s="101"/>
      <c r="AF58" s="101"/>
      <c r="AG58" s="101"/>
      <c r="AH58" s="101"/>
      <c r="AI58" s="101"/>
      <c r="AJ58" s="101"/>
      <c r="AK58" s="101"/>
      <c r="AL58" s="101"/>
      <c r="AM58" s="101"/>
      <c r="AN58" s="101"/>
      <c r="AO58" s="101"/>
    </row>
    <row r="59" spans="5:41" x14ac:dyDescent="0.35"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  <c r="AA59" s="101"/>
      <c r="AB59" s="101"/>
      <c r="AC59" s="101"/>
      <c r="AD59" s="101"/>
      <c r="AE59" s="101"/>
      <c r="AF59" s="101"/>
      <c r="AG59" s="101"/>
      <c r="AH59" s="101"/>
      <c r="AI59" s="101"/>
      <c r="AJ59" s="101"/>
      <c r="AK59" s="101"/>
      <c r="AL59" s="101"/>
      <c r="AM59" s="101"/>
      <c r="AN59" s="101"/>
      <c r="AO59" s="101"/>
    </row>
    <row r="60" spans="5:41" x14ac:dyDescent="0.35"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1"/>
      <c r="X60" s="101"/>
      <c r="Y60" s="101"/>
      <c r="Z60" s="101"/>
      <c r="AA60" s="101"/>
      <c r="AB60" s="101"/>
      <c r="AC60" s="101"/>
      <c r="AD60" s="101"/>
      <c r="AE60" s="101"/>
      <c r="AF60" s="101"/>
      <c r="AG60" s="101"/>
      <c r="AH60" s="101"/>
      <c r="AI60" s="101"/>
      <c r="AJ60" s="101"/>
      <c r="AK60" s="101"/>
      <c r="AL60" s="101"/>
      <c r="AM60" s="101"/>
      <c r="AN60" s="101"/>
      <c r="AO60" s="101"/>
    </row>
    <row r="61" spans="5:41" x14ac:dyDescent="0.35"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  <c r="V61" s="101"/>
      <c r="W61" s="101"/>
      <c r="X61" s="101"/>
      <c r="Y61" s="101"/>
      <c r="Z61" s="101"/>
      <c r="AA61" s="101"/>
      <c r="AB61" s="101"/>
      <c r="AC61" s="101"/>
      <c r="AD61" s="101"/>
      <c r="AE61" s="101"/>
      <c r="AF61" s="101"/>
      <c r="AG61" s="101"/>
      <c r="AH61" s="101"/>
      <c r="AI61" s="101"/>
      <c r="AJ61" s="101"/>
      <c r="AK61" s="101"/>
      <c r="AL61" s="101"/>
      <c r="AM61" s="101"/>
      <c r="AN61" s="101"/>
      <c r="AO61" s="101"/>
    </row>
    <row r="62" spans="5:41" x14ac:dyDescent="0.35"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101"/>
      <c r="V62" s="101"/>
      <c r="W62" s="101"/>
      <c r="X62" s="101"/>
      <c r="Y62" s="101"/>
      <c r="Z62" s="101"/>
      <c r="AA62" s="101"/>
      <c r="AB62" s="101"/>
      <c r="AC62" s="101"/>
      <c r="AD62" s="101"/>
      <c r="AE62" s="101"/>
      <c r="AF62" s="101"/>
      <c r="AG62" s="101"/>
      <c r="AH62" s="101"/>
      <c r="AI62" s="101"/>
      <c r="AJ62" s="101"/>
      <c r="AK62" s="101"/>
      <c r="AL62" s="101"/>
      <c r="AM62" s="101"/>
      <c r="AN62" s="101"/>
      <c r="AO62" s="101"/>
    </row>
    <row r="63" spans="5:41" x14ac:dyDescent="0.35"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  <c r="AA63" s="101"/>
      <c r="AB63" s="101"/>
      <c r="AC63" s="101"/>
      <c r="AD63" s="101"/>
      <c r="AE63" s="101"/>
      <c r="AF63" s="101"/>
      <c r="AG63" s="101"/>
      <c r="AH63" s="101"/>
      <c r="AI63" s="101"/>
      <c r="AJ63" s="101"/>
      <c r="AK63" s="101"/>
      <c r="AL63" s="101"/>
      <c r="AM63" s="101"/>
      <c r="AN63" s="101"/>
      <c r="AO63" s="101"/>
    </row>
    <row r="64" spans="5:41" x14ac:dyDescent="0.35"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101"/>
      <c r="V64" s="101"/>
      <c r="W64" s="101"/>
      <c r="X64" s="101"/>
      <c r="Y64" s="101"/>
      <c r="Z64" s="101"/>
      <c r="AA64" s="101"/>
      <c r="AB64" s="101"/>
      <c r="AC64" s="101"/>
      <c r="AD64" s="101"/>
      <c r="AE64" s="101"/>
      <c r="AF64" s="101"/>
      <c r="AG64" s="101"/>
      <c r="AH64" s="101"/>
      <c r="AI64" s="101"/>
      <c r="AJ64" s="101"/>
      <c r="AK64" s="101"/>
      <c r="AL64" s="101"/>
      <c r="AM64" s="101"/>
      <c r="AN64" s="101"/>
      <c r="AO64" s="101"/>
    </row>
    <row r="65" spans="5:41" x14ac:dyDescent="0.35"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101"/>
      <c r="AA65" s="101"/>
      <c r="AB65" s="101"/>
      <c r="AC65" s="101"/>
      <c r="AD65" s="101"/>
      <c r="AE65" s="101"/>
      <c r="AF65" s="101"/>
      <c r="AG65" s="101"/>
      <c r="AH65" s="101"/>
      <c r="AI65" s="101"/>
      <c r="AJ65" s="101"/>
      <c r="AK65" s="101"/>
      <c r="AL65" s="101"/>
      <c r="AM65" s="101"/>
      <c r="AN65" s="101"/>
      <c r="AO65" s="101"/>
    </row>
    <row r="66" spans="5:41" x14ac:dyDescent="0.35"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101"/>
      <c r="Y66" s="101"/>
      <c r="Z66" s="101"/>
      <c r="AA66" s="101"/>
      <c r="AB66" s="101"/>
      <c r="AC66" s="101"/>
      <c r="AD66" s="101"/>
      <c r="AE66" s="101"/>
      <c r="AF66" s="101"/>
      <c r="AG66" s="101"/>
      <c r="AH66" s="101"/>
      <c r="AI66" s="101"/>
      <c r="AJ66" s="101"/>
      <c r="AK66" s="101"/>
      <c r="AL66" s="101"/>
      <c r="AM66" s="101"/>
      <c r="AN66" s="101"/>
      <c r="AO66" s="101"/>
    </row>
    <row r="67" spans="5:41" x14ac:dyDescent="0.35"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101"/>
      <c r="AH67" s="101"/>
      <c r="AI67" s="101"/>
      <c r="AJ67" s="101"/>
      <c r="AK67" s="101"/>
      <c r="AL67" s="101"/>
      <c r="AM67" s="101"/>
      <c r="AN67" s="101"/>
      <c r="AO67" s="101"/>
    </row>
    <row r="68" spans="5:41" x14ac:dyDescent="0.35"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01"/>
      <c r="V68" s="101"/>
      <c r="W68" s="101"/>
      <c r="X68" s="101"/>
      <c r="Y68" s="101"/>
      <c r="Z68" s="101"/>
      <c r="AA68" s="101"/>
      <c r="AB68" s="101"/>
      <c r="AC68" s="101"/>
      <c r="AD68" s="101"/>
      <c r="AE68" s="101"/>
      <c r="AF68" s="101"/>
      <c r="AG68" s="101"/>
      <c r="AH68" s="101"/>
      <c r="AI68" s="101"/>
      <c r="AJ68" s="101"/>
      <c r="AK68" s="101"/>
      <c r="AL68" s="101"/>
      <c r="AM68" s="101"/>
      <c r="AN68" s="101"/>
      <c r="AO68" s="101"/>
    </row>
    <row r="69" spans="5:41" x14ac:dyDescent="0.35"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01"/>
      <c r="V69" s="101"/>
      <c r="W69" s="101"/>
      <c r="X69" s="101"/>
      <c r="Y69" s="101"/>
      <c r="Z69" s="101"/>
      <c r="AA69" s="101"/>
      <c r="AB69" s="101"/>
      <c r="AC69" s="101"/>
      <c r="AD69" s="101"/>
      <c r="AE69" s="101"/>
      <c r="AF69" s="101"/>
      <c r="AG69" s="101"/>
      <c r="AH69" s="101"/>
      <c r="AI69" s="101"/>
      <c r="AJ69" s="101"/>
      <c r="AK69" s="101"/>
      <c r="AL69" s="101"/>
      <c r="AM69" s="101"/>
      <c r="AN69" s="101"/>
      <c r="AO69" s="101"/>
    </row>
    <row r="70" spans="5:41" x14ac:dyDescent="0.35"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1"/>
      <c r="V70" s="101"/>
      <c r="W70" s="101"/>
      <c r="X70" s="101"/>
      <c r="Y70" s="101"/>
      <c r="Z70" s="101"/>
      <c r="AA70" s="101"/>
      <c r="AB70" s="101"/>
      <c r="AC70" s="101"/>
      <c r="AD70" s="101"/>
      <c r="AE70" s="101"/>
      <c r="AF70" s="101"/>
      <c r="AG70" s="101"/>
      <c r="AH70" s="101"/>
      <c r="AI70" s="101"/>
      <c r="AJ70" s="101"/>
      <c r="AK70" s="101"/>
      <c r="AL70" s="101"/>
      <c r="AM70" s="101"/>
      <c r="AN70" s="101"/>
      <c r="AO70" s="101"/>
    </row>
    <row r="71" spans="5:41" x14ac:dyDescent="0.35"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1"/>
      <c r="AA71" s="101"/>
      <c r="AB71" s="101"/>
      <c r="AC71" s="101"/>
      <c r="AD71" s="101"/>
      <c r="AE71" s="101"/>
      <c r="AF71" s="101"/>
      <c r="AG71" s="101"/>
      <c r="AH71" s="101"/>
      <c r="AI71" s="101"/>
      <c r="AJ71" s="101"/>
      <c r="AK71" s="101"/>
      <c r="AL71" s="101"/>
      <c r="AM71" s="101"/>
      <c r="AN71" s="101"/>
      <c r="AO71" s="101"/>
    </row>
    <row r="72" spans="5:41" x14ac:dyDescent="0.35"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1"/>
      <c r="V72" s="101"/>
      <c r="W72" s="101"/>
      <c r="X72" s="101"/>
      <c r="Y72" s="101"/>
      <c r="Z72" s="101"/>
      <c r="AA72" s="101"/>
      <c r="AB72" s="101"/>
      <c r="AC72" s="101"/>
      <c r="AD72" s="101"/>
      <c r="AE72" s="101"/>
      <c r="AF72" s="101"/>
      <c r="AG72" s="101"/>
      <c r="AH72" s="101"/>
      <c r="AI72" s="101"/>
      <c r="AJ72" s="101"/>
      <c r="AK72" s="101"/>
      <c r="AL72" s="101"/>
      <c r="AM72" s="101"/>
      <c r="AN72" s="101"/>
      <c r="AO72" s="101"/>
    </row>
    <row r="73" spans="5:41" x14ac:dyDescent="0.35"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  <c r="AC73" s="101"/>
      <c r="AD73" s="101"/>
      <c r="AE73" s="101"/>
      <c r="AF73" s="101"/>
      <c r="AG73" s="101"/>
      <c r="AH73" s="101"/>
      <c r="AI73" s="101"/>
      <c r="AJ73" s="101"/>
      <c r="AK73" s="101"/>
      <c r="AL73" s="101"/>
      <c r="AM73" s="101"/>
      <c r="AN73" s="101"/>
      <c r="AO73" s="101"/>
    </row>
    <row r="74" spans="5:41" x14ac:dyDescent="0.35"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1"/>
      <c r="V74" s="101"/>
      <c r="W74" s="101"/>
      <c r="X74" s="101"/>
      <c r="Y74" s="101"/>
      <c r="Z74" s="101"/>
      <c r="AA74" s="101"/>
      <c r="AB74" s="101"/>
      <c r="AC74" s="101"/>
      <c r="AD74" s="101"/>
      <c r="AE74" s="101"/>
      <c r="AF74" s="101"/>
      <c r="AG74" s="101"/>
      <c r="AH74" s="101"/>
      <c r="AI74" s="101"/>
      <c r="AJ74" s="101"/>
      <c r="AK74" s="101"/>
      <c r="AL74" s="101"/>
      <c r="AM74" s="101"/>
      <c r="AN74" s="101"/>
      <c r="AO74" s="101"/>
    </row>
    <row r="75" spans="5:41" x14ac:dyDescent="0.35"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1"/>
      <c r="V75" s="101"/>
      <c r="W75" s="101"/>
      <c r="X75" s="101"/>
      <c r="Y75" s="101"/>
      <c r="Z75" s="101"/>
      <c r="AA75" s="101"/>
      <c r="AB75" s="101"/>
      <c r="AC75" s="101"/>
      <c r="AD75" s="101"/>
      <c r="AE75" s="101"/>
      <c r="AF75" s="101"/>
      <c r="AG75" s="101"/>
      <c r="AH75" s="101"/>
      <c r="AI75" s="101"/>
      <c r="AJ75" s="101"/>
      <c r="AK75" s="101"/>
      <c r="AL75" s="101"/>
      <c r="AM75" s="101"/>
      <c r="AN75" s="101"/>
      <c r="AO75" s="101"/>
    </row>
    <row r="76" spans="5:41" x14ac:dyDescent="0.35"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G76" s="101"/>
      <c r="AH76" s="101"/>
      <c r="AI76" s="101"/>
      <c r="AJ76" s="101"/>
      <c r="AK76" s="101"/>
      <c r="AL76" s="101"/>
      <c r="AM76" s="101"/>
      <c r="AN76" s="101"/>
      <c r="AO76" s="101"/>
    </row>
    <row r="77" spans="5:41" x14ac:dyDescent="0.35"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1"/>
      <c r="V77" s="101"/>
      <c r="W77" s="101"/>
      <c r="X77" s="101"/>
      <c r="Y77" s="101"/>
      <c r="Z77" s="101"/>
      <c r="AA77" s="101"/>
      <c r="AB77" s="101"/>
      <c r="AC77" s="101"/>
      <c r="AD77" s="101"/>
      <c r="AE77" s="101"/>
      <c r="AF77" s="101"/>
      <c r="AG77" s="101"/>
      <c r="AH77" s="101"/>
      <c r="AI77" s="101"/>
      <c r="AJ77" s="101"/>
      <c r="AK77" s="101"/>
      <c r="AL77" s="101"/>
      <c r="AM77" s="101"/>
      <c r="AN77" s="101"/>
      <c r="AO77" s="101"/>
    </row>
    <row r="78" spans="5:41" x14ac:dyDescent="0.35"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01"/>
      <c r="V78" s="101"/>
      <c r="W78" s="101"/>
      <c r="X78" s="101"/>
      <c r="Y78" s="101"/>
      <c r="Z78" s="101"/>
      <c r="AA78" s="101"/>
      <c r="AB78" s="101"/>
      <c r="AC78" s="101"/>
      <c r="AD78" s="101"/>
      <c r="AE78" s="101"/>
      <c r="AF78" s="101"/>
      <c r="AG78" s="101"/>
      <c r="AH78" s="101"/>
      <c r="AI78" s="101"/>
      <c r="AJ78" s="101"/>
      <c r="AK78" s="101"/>
      <c r="AL78" s="101"/>
      <c r="AM78" s="101"/>
      <c r="AN78" s="101"/>
      <c r="AO78" s="101"/>
    </row>
    <row r="79" spans="5:41" x14ac:dyDescent="0.35"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101"/>
      <c r="AH79" s="101"/>
      <c r="AI79" s="101"/>
      <c r="AJ79" s="101"/>
      <c r="AK79" s="101"/>
      <c r="AL79" s="101"/>
      <c r="AM79" s="101"/>
      <c r="AN79" s="101"/>
      <c r="AO79" s="101"/>
    </row>
    <row r="80" spans="5:41" x14ac:dyDescent="0.35"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101"/>
      <c r="AH80" s="101"/>
      <c r="AI80" s="101"/>
      <c r="AJ80" s="101"/>
      <c r="AK80" s="101"/>
      <c r="AL80" s="101"/>
      <c r="AM80" s="101"/>
      <c r="AN80" s="101"/>
      <c r="AO80" s="101"/>
    </row>
    <row r="81" spans="5:41" x14ac:dyDescent="0.35"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  <c r="AF81" s="101"/>
      <c r="AG81" s="101"/>
      <c r="AH81" s="101"/>
      <c r="AI81" s="101"/>
      <c r="AJ81" s="101"/>
      <c r="AK81" s="101"/>
      <c r="AL81" s="101"/>
      <c r="AM81" s="101"/>
      <c r="AN81" s="101"/>
      <c r="AO81" s="101"/>
    </row>
    <row r="82" spans="5:41" x14ac:dyDescent="0.35"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101"/>
      <c r="AH82" s="101"/>
      <c r="AI82" s="101"/>
      <c r="AJ82" s="101"/>
      <c r="AK82" s="101"/>
      <c r="AL82" s="101"/>
      <c r="AM82" s="101"/>
      <c r="AN82" s="101"/>
      <c r="AO82" s="101"/>
    </row>
    <row r="83" spans="5:41" x14ac:dyDescent="0.35"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101"/>
      <c r="AH83" s="101"/>
      <c r="AI83" s="101"/>
      <c r="AJ83" s="101"/>
      <c r="AK83" s="101"/>
      <c r="AL83" s="101"/>
      <c r="AM83" s="101"/>
      <c r="AN83" s="101"/>
      <c r="AO83" s="101"/>
    </row>
    <row r="84" spans="5:41" x14ac:dyDescent="0.35"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101"/>
      <c r="AH84" s="101"/>
      <c r="AI84" s="101"/>
      <c r="AJ84" s="101"/>
      <c r="AK84" s="101"/>
      <c r="AL84" s="101"/>
      <c r="AM84" s="101"/>
      <c r="AN84" s="101"/>
      <c r="AO84" s="101"/>
    </row>
    <row r="85" spans="5:41" x14ac:dyDescent="0.35"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101"/>
      <c r="AH85" s="101"/>
      <c r="AI85" s="101"/>
      <c r="AJ85" s="101"/>
      <c r="AK85" s="101"/>
      <c r="AL85" s="101"/>
      <c r="AM85" s="101"/>
      <c r="AN85" s="101"/>
      <c r="AO85" s="101"/>
    </row>
    <row r="86" spans="5:41" x14ac:dyDescent="0.35"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101"/>
      <c r="AH86" s="101"/>
      <c r="AI86" s="101"/>
      <c r="AJ86" s="101"/>
      <c r="AK86" s="101"/>
      <c r="AL86" s="101"/>
      <c r="AM86" s="101"/>
      <c r="AN86" s="101"/>
      <c r="AO86" s="101"/>
    </row>
    <row r="87" spans="5:41" x14ac:dyDescent="0.35"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101"/>
      <c r="AH87" s="101"/>
      <c r="AI87" s="101"/>
      <c r="AJ87" s="101"/>
      <c r="AK87" s="101"/>
      <c r="AL87" s="101"/>
      <c r="AM87" s="101"/>
      <c r="AN87" s="101"/>
      <c r="AO87" s="101"/>
    </row>
    <row r="88" spans="5:41" x14ac:dyDescent="0.35"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  <c r="U88" s="101"/>
      <c r="V88" s="101"/>
      <c r="W88" s="101"/>
      <c r="X88" s="101"/>
      <c r="Y88" s="101"/>
      <c r="Z88" s="101"/>
      <c r="AA88" s="101"/>
      <c r="AB88" s="101"/>
      <c r="AC88" s="101"/>
      <c r="AD88" s="101"/>
      <c r="AE88" s="101"/>
      <c r="AF88" s="101"/>
      <c r="AG88" s="101"/>
      <c r="AH88" s="101"/>
      <c r="AI88" s="101"/>
      <c r="AJ88" s="101"/>
      <c r="AK88" s="101"/>
      <c r="AL88" s="101"/>
      <c r="AM88" s="101"/>
      <c r="AN88" s="101"/>
      <c r="AO88" s="101"/>
    </row>
    <row r="89" spans="5:41" x14ac:dyDescent="0.35"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  <c r="U89" s="101"/>
      <c r="V89" s="101"/>
      <c r="W89" s="101"/>
      <c r="X89" s="101"/>
      <c r="Y89" s="101"/>
      <c r="Z89" s="101"/>
      <c r="AA89" s="101"/>
      <c r="AB89" s="101"/>
      <c r="AC89" s="101"/>
      <c r="AD89" s="101"/>
      <c r="AE89" s="101"/>
      <c r="AF89" s="101"/>
      <c r="AG89" s="101"/>
      <c r="AH89" s="101"/>
      <c r="AI89" s="101"/>
      <c r="AJ89" s="101"/>
      <c r="AK89" s="101"/>
      <c r="AL89" s="101"/>
      <c r="AM89" s="101"/>
      <c r="AN89" s="101"/>
      <c r="AO89" s="101"/>
    </row>
    <row r="90" spans="5:41" x14ac:dyDescent="0.35"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  <c r="U90" s="101"/>
      <c r="V90" s="101"/>
      <c r="W90" s="101"/>
      <c r="X90" s="101"/>
      <c r="Y90" s="101"/>
      <c r="Z90" s="101"/>
      <c r="AA90" s="101"/>
      <c r="AB90" s="101"/>
      <c r="AC90" s="101"/>
      <c r="AD90" s="101"/>
      <c r="AE90" s="101"/>
      <c r="AF90" s="101"/>
      <c r="AG90" s="101"/>
      <c r="AH90" s="101"/>
      <c r="AI90" s="101"/>
      <c r="AJ90" s="101"/>
      <c r="AK90" s="101"/>
      <c r="AL90" s="101"/>
      <c r="AM90" s="101"/>
      <c r="AN90" s="101"/>
      <c r="AO90" s="101"/>
    </row>
    <row r="91" spans="5:41" x14ac:dyDescent="0.35"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  <c r="U91" s="101"/>
      <c r="V91" s="101"/>
      <c r="W91" s="101"/>
      <c r="X91" s="101"/>
      <c r="Y91" s="101"/>
      <c r="Z91" s="101"/>
      <c r="AA91" s="101"/>
      <c r="AB91" s="101"/>
      <c r="AC91" s="101"/>
      <c r="AD91" s="101"/>
      <c r="AE91" s="101"/>
      <c r="AF91" s="101"/>
      <c r="AG91" s="101"/>
      <c r="AH91" s="101"/>
      <c r="AI91" s="101"/>
      <c r="AJ91" s="101"/>
      <c r="AK91" s="101"/>
      <c r="AL91" s="101"/>
      <c r="AM91" s="101"/>
      <c r="AN91" s="101"/>
      <c r="AO91" s="101"/>
    </row>
    <row r="92" spans="5:41" x14ac:dyDescent="0.35"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  <c r="U92" s="101"/>
      <c r="V92" s="101"/>
      <c r="W92" s="101"/>
      <c r="X92" s="101"/>
      <c r="Y92" s="101"/>
      <c r="Z92" s="101"/>
      <c r="AA92" s="101"/>
      <c r="AB92" s="101"/>
      <c r="AC92" s="101"/>
      <c r="AD92" s="101"/>
      <c r="AE92" s="101"/>
      <c r="AF92" s="101"/>
      <c r="AG92" s="101"/>
      <c r="AH92" s="101"/>
      <c r="AI92" s="101"/>
      <c r="AJ92" s="101"/>
      <c r="AK92" s="101"/>
      <c r="AL92" s="101"/>
      <c r="AM92" s="101"/>
      <c r="AN92" s="101"/>
      <c r="AO92" s="101"/>
    </row>
    <row r="93" spans="5:41" x14ac:dyDescent="0.35"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  <c r="U93" s="101"/>
      <c r="V93" s="101"/>
      <c r="W93" s="101"/>
      <c r="X93" s="101"/>
      <c r="Y93" s="101"/>
      <c r="Z93" s="101"/>
      <c r="AA93" s="101"/>
      <c r="AB93" s="101"/>
      <c r="AC93" s="101"/>
      <c r="AD93" s="101"/>
      <c r="AE93" s="101"/>
      <c r="AF93" s="101"/>
      <c r="AG93" s="101"/>
      <c r="AH93" s="101"/>
      <c r="AI93" s="101"/>
      <c r="AJ93" s="101"/>
      <c r="AK93" s="101"/>
      <c r="AL93" s="101"/>
      <c r="AM93" s="101"/>
      <c r="AN93" s="101"/>
      <c r="AO93" s="101"/>
    </row>
    <row r="94" spans="5:41" x14ac:dyDescent="0.35"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  <c r="U94" s="101"/>
      <c r="V94" s="101"/>
      <c r="W94" s="101"/>
      <c r="X94" s="101"/>
      <c r="Y94" s="101"/>
      <c r="Z94" s="101"/>
      <c r="AA94" s="101"/>
      <c r="AB94" s="101"/>
      <c r="AC94" s="101"/>
      <c r="AD94" s="101"/>
      <c r="AE94" s="101"/>
      <c r="AF94" s="101"/>
      <c r="AG94" s="101"/>
      <c r="AH94" s="101"/>
      <c r="AI94" s="101"/>
      <c r="AJ94" s="101"/>
      <c r="AK94" s="101"/>
      <c r="AL94" s="101"/>
      <c r="AM94" s="101"/>
      <c r="AN94" s="101"/>
      <c r="AO94" s="101"/>
    </row>
    <row r="95" spans="5:41" x14ac:dyDescent="0.35"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  <c r="U95" s="101"/>
      <c r="V95" s="101"/>
      <c r="W95" s="101"/>
      <c r="X95" s="101"/>
      <c r="Y95" s="101"/>
      <c r="Z95" s="101"/>
      <c r="AA95" s="101"/>
      <c r="AB95" s="101"/>
      <c r="AC95" s="101"/>
      <c r="AD95" s="101"/>
      <c r="AE95" s="101"/>
      <c r="AF95" s="101"/>
      <c r="AG95" s="101"/>
      <c r="AH95" s="101"/>
      <c r="AI95" s="101"/>
      <c r="AJ95" s="101"/>
      <c r="AK95" s="101"/>
      <c r="AL95" s="101"/>
      <c r="AM95" s="101"/>
      <c r="AN95" s="101"/>
      <c r="AO95" s="101"/>
    </row>
    <row r="96" spans="5:41" x14ac:dyDescent="0.35"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  <c r="U96" s="101"/>
      <c r="V96" s="101"/>
      <c r="W96" s="101"/>
      <c r="X96" s="101"/>
      <c r="Y96" s="101"/>
      <c r="Z96" s="101"/>
      <c r="AA96" s="101"/>
      <c r="AB96" s="101"/>
      <c r="AC96" s="101"/>
      <c r="AD96" s="101"/>
      <c r="AE96" s="101"/>
      <c r="AF96" s="101"/>
      <c r="AG96" s="101"/>
      <c r="AH96" s="101"/>
      <c r="AI96" s="101"/>
      <c r="AJ96" s="101"/>
      <c r="AK96" s="101"/>
      <c r="AL96" s="101"/>
      <c r="AM96" s="101"/>
      <c r="AN96" s="101"/>
      <c r="AO96" s="101"/>
    </row>
    <row r="97" spans="5:41" x14ac:dyDescent="0.35"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  <c r="U97" s="101"/>
      <c r="V97" s="101"/>
      <c r="W97" s="101"/>
      <c r="X97" s="101"/>
      <c r="Y97" s="101"/>
      <c r="Z97" s="101"/>
      <c r="AA97" s="101"/>
      <c r="AB97" s="101"/>
      <c r="AC97" s="101"/>
      <c r="AD97" s="101"/>
      <c r="AE97" s="101"/>
      <c r="AF97" s="101"/>
      <c r="AG97" s="101"/>
      <c r="AH97" s="101"/>
      <c r="AI97" s="101"/>
      <c r="AJ97" s="101"/>
      <c r="AK97" s="101"/>
      <c r="AL97" s="101"/>
      <c r="AM97" s="101"/>
      <c r="AN97" s="101"/>
      <c r="AO97" s="101"/>
    </row>
    <row r="98" spans="5:41" x14ac:dyDescent="0.35"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  <c r="U98" s="101"/>
      <c r="V98" s="101"/>
      <c r="W98" s="101"/>
      <c r="X98" s="101"/>
      <c r="Y98" s="101"/>
      <c r="Z98" s="101"/>
      <c r="AA98" s="101"/>
      <c r="AB98" s="101"/>
      <c r="AC98" s="101"/>
      <c r="AD98" s="101"/>
      <c r="AE98" s="101"/>
      <c r="AF98" s="101"/>
      <c r="AG98" s="101"/>
      <c r="AH98" s="101"/>
      <c r="AI98" s="101"/>
      <c r="AJ98" s="101"/>
      <c r="AK98" s="101"/>
      <c r="AL98" s="101"/>
      <c r="AM98" s="101"/>
      <c r="AN98" s="101"/>
      <c r="AO98" s="101"/>
    </row>
    <row r="99" spans="5:41" x14ac:dyDescent="0.35"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  <c r="U99" s="101"/>
      <c r="V99" s="101"/>
      <c r="W99" s="101"/>
      <c r="X99" s="101"/>
      <c r="Y99" s="101"/>
      <c r="Z99" s="101"/>
      <c r="AA99" s="101"/>
      <c r="AB99" s="101"/>
      <c r="AC99" s="101"/>
      <c r="AD99" s="101"/>
      <c r="AE99" s="101"/>
      <c r="AF99" s="101"/>
      <c r="AG99" s="101"/>
      <c r="AH99" s="101"/>
      <c r="AI99" s="101"/>
      <c r="AJ99" s="101"/>
      <c r="AK99" s="101"/>
      <c r="AL99" s="101"/>
      <c r="AM99" s="101"/>
      <c r="AN99" s="101"/>
      <c r="AO99" s="101"/>
    </row>
    <row r="100" spans="5:41" x14ac:dyDescent="0.35"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  <c r="U100" s="101"/>
      <c r="V100" s="101"/>
      <c r="W100" s="101"/>
      <c r="X100" s="101"/>
      <c r="Y100" s="101"/>
      <c r="Z100" s="101"/>
      <c r="AA100" s="101"/>
      <c r="AB100" s="101"/>
      <c r="AC100" s="101"/>
      <c r="AD100" s="101"/>
      <c r="AE100" s="101"/>
      <c r="AF100" s="101"/>
      <c r="AG100" s="101"/>
      <c r="AH100" s="101"/>
      <c r="AI100" s="101"/>
      <c r="AJ100" s="101"/>
      <c r="AK100" s="101"/>
      <c r="AL100" s="101"/>
      <c r="AM100" s="101"/>
      <c r="AN100" s="101"/>
      <c r="AO100" s="101"/>
    </row>
    <row r="101" spans="5:41" x14ac:dyDescent="0.35"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  <c r="U101" s="101"/>
      <c r="V101" s="101"/>
      <c r="W101" s="101"/>
      <c r="X101" s="101"/>
      <c r="Y101" s="101"/>
      <c r="Z101" s="101"/>
      <c r="AA101" s="101"/>
      <c r="AB101" s="101"/>
      <c r="AC101" s="101"/>
      <c r="AD101" s="101"/>
      <c r="AE101" s="101"/>
      <c r="AF101" s="101"/>
      <c r="AG101" s="101"/>
      <c r="AH101" s="101"/>
      <c r="AI101" s="101"/>
      <c r="AJ101" s="101"/>
      <c r="AK101" s="101"/>
      <c r="AL101" s="101"/>
      <c r="AM101" s="101"/>
      <c r="AN101" s="101"/>
      <c r="AO101" s="101"/>
    </row>
    <row r="102" spans="5:41" x14ac:dyDescent="0.35"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  <c r="U102" s="101"/>
      <c r="V102" s="101"/>
      <c r="W102" s="101"/>
      <c r="X102" s="101"/>
      <c r="Y102" s="101"/>
      <c r="Z102" s="101"/>
      <c r="AA102" s="101"/>
      <c r="AB102" s="101"/>
      <c r="AC102" s="101"/>
      <c r="AD102" s="101"/>
      <c r="AE102" s="101"/>
      <c r="AF102" s="101"/>
      <c r="AG102" s="101"/>
      <c r="AH102" s="101"/>
      <c r="AI102" s="101"/>
      <c r="AJ102" s="101"/>
      <c r="AK102" s="101"/>
      <c r="AL102" s="101"/>
      <c r="AM102" s="101"/>
      <c r="AN102" s="101"/>
      <c r="AO102" s="101"/>
    </row>
    <row r="103" spans="5:41" x14ac:dyDescent="0.35"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  <c r="U103" s="101"/>
      <c r="V103" s="101"/>
      <c r="W103" s="101"/>
      <c r="X103" s="101"/>
      <c r="Y103" s="101"/>
      <c r="Z103" s="101"/>
      <c r="AA103" s="101"/>
      <c r="AB103" s="101"/>
      <c r="AC103" s="101"/>
      <c r="AD103" s="101"/>
      <c r="AE103" s="101"/>
      <c r="AF103" s="101"/>
      <c r="AG103" s="101"/>
      <c r="AH103" s="101"/>
      <c r="AI103" s="101"/>
      <c r="AJ103" s="101"/>
      <c r="AK103" s="101"/>
      <c r="AL103" s="101"/>
      <c r="AM103" s="101"/>
      <c r="AN103" s="101"/>
      <c r="AO103" s="101"/>
    </row>
    <row r="104" spans="5:41" x14ac:dyDescent="0.35"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  <c r="U104" s="101"/>
      <c r="V104" s="101"/>
      <c r="W104" s="101"/>
      <c r="X104" s="101"/>
      <c r="Y104" s="101"/>
      <c r="Z104" s="101"/>
      <c r="AA104" s="101"/>
      <c r="AB104" s="101"/>
      <c r="AC104" s="101"/>
      <c r="AD104" s="101"/>
      <c r="AE104" s="101"/>
      <c r="AF104" s="101"/>
      <c r="AG104" s="101"/>
      <c r="AH104" s="101"/>
      <c r="AI104" s="101"/>
      <c r="AJ104" s="101"/>
      <c r="AK104" s="101"/>
      <c r="AL104" s="101"/>
      <c r="AM104" s="101"/>
      <c r="AN104" s="101"/>
      <c r="AO104" s="101"/>
    </row>
  </sheetData>
  <mergeCells count="1">
    <mergeCell ref="A37:AN3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zoomScale="85" zoomScaleNormal="85" workbookViewId="0">
      <selection activeCell="I23" sqref="I23"/>
    </sheetView>
  </sheetViews>
  <sheetFormatPr defaultRowHeight="14.5" x14ac:dyDescent="0.35"/>
  <cols>
    <col min="1" max="1" width="15.81640625" bestFit="1" customWidth="1"/>
    <col min="3" max="3" width="10.36328125" bestFit="1" customWidth="1"/>
  </cols>
  <sheetData>
    <row r="1" spans="1:3" x14ac:dyDescent="0.35">
      <c r="A1" s="85" t="s">
        <v>105</v>
      </c>
      <c r="B1" s="86" t="str">
        <f>Converter!C1</f>
        <v>Lakhs</v>
      </c>
    </row>
    <row r="4" spans="1:3" x14ac:dyDescent="0.35">
      <c r="C4" s="87">
        <v>0</v>
      </c>
    </row>
    <row r="5" spans="1:3" x14ac:dyDescent="0.35">
      <c r="C5" s="88">
        <f>Assumptions!G3</f>
        <v>43922</v>
      </c>
    </row>
    <row r="6" spans="1:3" x14ac:dyDescent="0.35">
      <c r="A6" s="84" t="s">
        <v>124</v>
      </c>
    </row>
    <row r="7" spans="1:3" x14ac:dyDescent="0.35">
      <c r="A7" t="str">
        <f>Assumptions!A79</f>
        <v>Kitchen Equipments and cutlery</v>
      </c>
      <c r="C7" s="149">
        <f>Assumptions!$G$70*Assumptions!$G$79/deno</f>
        <v>28</v>
      </c>
    </row>
    <row r="8" spans="1:3" x14ac:dyDescent="0.35">
      <c r="A8" t="str">
        <f>Assumptions!A80</f>
        <v>Refrigeration Equipments</v>
      </c>
      <c r="C8" s="149">
        <f>Assumptions!$G$80*Assumptions!$G$70/deno</f>
        <v>40</v>
      </c>
    </row>
    <row r="9" spans="1:3" x14ac:dyDescent="0.35">
      <c r="A9" t="str">
        <f>Assumptions!A81</f>
        <v>Furniture &amp; Fixtures</v>
      </c>
      <c r="C9" s="149">
        <f>Assumptions!$G$69*Assumptions!$G$81/deno</f>
        <v>45</v>
      </c>
    </row>
    <row r="10" spans="1:3" x14ac:dyDescent="0.35">
      <c r="A10" t="str">
        <f>Assumptions!A82</f>
        <v>Restaurants Décor</v>
      </c>
      <c r="C10" s="149">
        <f>Assumptions!$G$82*Assumptions!$G$69/deno</f>
        <v>60</v>
      </c>
    </row>
    <row r="11" spans="1:3" x14ac:dyDescent="0.35">
      <c r="A11" s="168" t="s">
        <v>54</v>
      </c>
      <c r="B11" s="168"/>
      <c r="C11" s="169">
        <f>SUM(C7:C10)</f>
        <v>173</v>
      </c>
    </row>
    <row r="12" spans="1:3" x14ac:dyDescent="0.35">
      <c r="A12" t="s">
        <v>125</v>
      </c>
      <c r="C12" s="149">
        <f>Assumptions!$G$83/deno</f>
        <v>10</v>
      </c>
    </row>
    <row r="13" spans="1:3" x14ac:dyDescent="0.35">
      <c r="A13" t="s">
        <v>126</v>
      </c>
      <c r="C13" s="149">
        <f>Assumptions!G87/deno</f>
        <v>24</v>
      </c>
    </row>
    <row r="15" spans="1:3" x14ac:dyDescent="0.35">
      <c r="A15" s="168" t="s">
        <v>127</v>
      </c>
      <c r="B15" s="168"/>
      <c r="C15" s="169">
        <f>SUM(C11:C13)</f>
        <v>207</v>
      </c>
    </row>
    <row r="17" spans="1:3" x14ac:dyDescent="0.35">
      <c r="A17" t="s">
        <v>128</v>
      </c>
    </row>
    <row r="18" spans="1:3" x14ac:dyDescent="0.35">
      <c r="A18" t="s">
        <v>129</v>
      </c>
      <c r="B18" s="152">
        <f>Assumptions!G100</f>
        <v>1</v>
      </c>
      <c r="C18" s="149">
        <f>B18*C15</f>
        <v>207</v>
      </c>
    </row>
    <row r="19" spans="1:3" x14ac:dyDescent="0.35">
      <c r="A19" t="s">
        <v>78</v>
      </c>
      <c r="B19" s="152">
        <f>1-B18</f>
        <v>0</v>
      </c>
      <c r="C19" s="149">
        <f>B19*C15</f>
        <v>0</v>
      </c>
    </row>
    <row r="20" spans="1:3" x14ac:dyDescent="0.35">
      <c r="C20" s="149"/>
    </row>
    <row r="21" spans="1:3" x14ac:dyDescent="0.35">
      <c r="A21" s="168" t="s">
        <v>130</v>
      </c>
      <c r="B21" s="168"/>
      <c r="C21" s="169">
        <f>C18+C19</f>
        <v>207</v>
      </c>
    </row>
    <row r="24" spans="1:3" x14ac:dyDescent="0.35">
      <c r="A24" s="194" t="s">
        <v>91</v>
      </c>
      <c r="B24" s="194"/>
      <c r="C24" s="194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16" zoomScale="85" zoomScaleNormal="85" workbookViewId="0">
      <selection activeCell="A36" sqref="A36"/>
    </sheetView>
  </sheetViews>
  <sheetFormatPr defaultRowHeight="14.5" x14ac:dyDescent="0.35"/>
  <cols>
    <col min="1" max="1" width="15.81640625" bestFit="1" customWidth="1"/>
    <col min="5" max="7" width="11.7265625" style="83" bestFit="1" customWidth="1"/>
    <col min="8" max="16384" width="8.7265625" style="83"/>
  </cols>
  <sheetData>
    <row r="1" spans="1:7" customFormat="1" x14ac:dyDescent="0.35">
      <c r="A1" s="85" t="s">
        <v>105</v>
      </c>
      <c r="B1" s="86" t="str">
        <f>Den</f>
        <v>Lakhs</v>
      </c>
    </row>
    <row r="2" spans="1:7" customFormat="1" x14ac:dyDescent="0.35">
      <c r="E2" s="89">
        <v>1</v>
      </c>
      <c r="F2" s="89">
        <v>2</v>
      </c>
      <c r="G2" s="89">
        <v>3</v>
      </c>
    </row>
    <row r="3" spans="1:7" customFormat="1" x14ac:dyDescent="0.35">
      <c r="E3" s="88">
        <f>EOMONTH(Assumptions!G3,11)</f>
        <v>44286</v>
      </c>
      <c r="F3" s="88">
        <f>EOMONTH(E3,12)</f>
        <v>44651</v>
      </c>
      <c r="G3" s="88">
        <f>EOMONTH(F3,12)</f>
        <v>45016</v>
      </c>
    </row>
    <row r="4" spans="1:7" x14ac:dyDescent="0.35">
      <c r="A4" s="153" t="str">
        <f>'Capital Structure'!A7</f>
        <v>Kitchen Equipments and cutlery</v>
      </c>
    </row>
    <row r="5" spans="1:7" x14ac:dyDescent="0.35">
      <c r="A5" t="s">
        <v>131</v>
      </c>
      <c r="E5" s="83">
        <v>0</v>
      </c>
      <c r="F5" s="83">
        <f>E9</f>
        <v>24.858630136986299</v>
      </c>
      <c r="G5" s="83">
        <f>F9</f>
        <v>21.129835616438353</v>
      </c>
    </row>
    <row r="6" spans="1:7" x14ac:dyDescent="0.35">
      <c r="A6" t="s">
        <v>132</v>
      </c>
      <c r="E6" s="83">
        <f>'Capital Structure'!C7</f>
        <v>28</v>
      </c>
      <c r="F6" s="83">
        <v>0</v>
      </c>
      <c r="G6" s="83">
        <v>0</v>
      </c>
    </row>
    <row r="7" spans="1:7" x14ac:dyDescent="0.35">
      <c r="A7" t="s">
        <v>133</v>
      </c>
      <c r="E7" s="83">
        <v>0</v>
      </c>
      <c r="F7" s="83">
        <v>0</v>
      </c>
      <c r="G7" s="83">
        <v>0</v>
      </c>
    </row>
    <row r="8" spans="1:7" x14ac:dyDescent="0.35">
      <c r="A8" t="s">
        <v>134</v>
      </c>
      <c r="E8" s="83">
        <f>(E5+E6-E7)*Assumptions!$G$96*MIN(365,'Fixed Asset Schedule'!E$3-Assumptions!$G$5)/365</f>
        <v>3.1413698630136988</v>
      </c>
      <c r="F8" s="83">
        <f>(F5+F6-F7)*Assumptions!$G$96*MIN(365,'Fixed Asset Schedule'!F$3-Assumptions!$G$5)/365</f>
        <v>3.7287945205479454</v>
      </c>
      <c r="G8" s="83">
        <f>(G5+G6-G7)*Assumptions!$G$96*MIN(365,'Fixed Asset Schedule'!G$3-Assumptions!$G$5)/365</f>
        <v>3.1694753424657529</v>
      </c>
    </row>
    <row r="9" spans="1:7" x14ac:dyDescent="0.35">
      <c r="A9" s="168" t="s">
        <v>135</v>
      </c>
      <c r="B9" s="168"/>
      <c r="C9" s="168"/>
      <c r="D9" s="168"/>
      <c r="E9" s="170">
        <f>E5+E6-E7-E8</f>
        <v>24.858630136986299</v>
      </c>
      <c r="F9" s="170">
        <f t="shared" ref="F9:G9" si="0">F5+F6-F7-F8</f>
        <v>21.129835616438353</v>
      </c>
      <c r="G9" s="170">
        <f t="shared" si="0"/>
        <v>17.960360273972601</v>
      </c>
    </row>
    <row r="12" spans="1:7" x14ac:dyDescent="0.35">
      <c r="A12" s="153" t="str">
        <f>'Capital Structure'!A8</f>
        <v>Refrigeration Equipments</v>
      </c>
    </row>
    <row r="13" spans="1:7" x14ac:dyDescent="0.35">
      <c r="A13" t="s">
        <v>131</v>
      </c>
      <c r="E13" s="83">
        <v>0</v>
      </c>
      <c r="F13" s="83">
        <f>E17</f>
        <v>35.512328767123286</v>
      </c>
      <c r="G13" s="83">
        <f>F17</f>
        <v>30.185479452054793</v>
      </c>
    </row>
    <row r="14" spans="1:7" x14ac:dyDescent="0.35">
      <c r="A14" t="s">
        <v>132</v>
      </c>
      <c r="E14" s="83">
        <f>'Capital Structure'!C8</f>
        <v>40</v>
      </c>
      <c r="F14" s="83">
        <v>0</v>
      </c>
      <c r="G14" s="83">
        <v>0</v>
      </c>
    </row>
    <row r="15" spans="1:7" x14ac:dyDescent="0.35">
      <c r="A15" t="s">
        <v>133</v>
      </c>
      <c r="E15" s="83">
        <v>0</v>
      </c>
      <c r="F15" s="83">
        <v>0</v>
      </c>
      <c r="G15" s="83">
        <v>0</v>
      </c>
    </row>
    <row r="16" spans="1:7" x14ac:dyDescent="0.35">
      <c r="A16" t="s">
        <v>134</v>
      </c>
      <c r="E16" s="83">
        <f>(E13+E14-E15)*Assumptions!$G$96*MIN(365,'Fixed Asset Schedule'!E$3-Assumptions!$G$5)/365</f>
        <v>4.4876712328767123</v>
      </c>
      <c r="F16" s="83">
        <f>(F13+F14-F15)*Assumptions!$G$96*MIN(365,'Fixed Asset Schedule'!F$3-Assumptions!$G$5)/365</f>
        <v>5.3268493150684924</v>
      </c>
      <c r="G16" s="83">
        <f>(G13+G14-G15)*Assumptions!$G$96*MIN(365,'Fixed Asset Schedule'!G$3-Assumptions!$G$5)/365</f>
        <v>4.5278219178082191</v>
      </c>
    </row>
    <row r="17" spans="1:7" x14ac:dyDescent="0.35">
      <c r="A17" s="168" t="s">
        <v>135</v>
      </c>
      <c r="B17" s="168"/>
      <c r="C17" s="168"/>
      <c r="D17" s="168"/>
      <c r="E17" s="170">
        <f>E13+E14-E15-E16</f>
        <v>35.512328767123286</v>
      </c>
      <c r="F17" s="170">
        <f t="shared" ref="F17" si="1">F13+F14-F15-F16</f>
        <v>30.185479452054793</v>
      </c>
      <c r="G17" s="170">
        <f t="shared" ref="G17" si="2">G13+G14-G15-G16</f>
        <v>25.657657534246574</v>
      </c>
    </row>
    <row r="20" spans="1:7" x14ac:dyDescent="0.35">
      <c r="A20" s="153" t="str">
        <f>'Capital Structure'!A9</f>
        <v>Furniture &amp; Fixtures</v>
      </c>
    </row>
    <row r="21" spans="1:7" x14ac:dyDescent="0.35">
      <c r="A21" t="s">
        <v>131</v>
      </c>
      <c r="E21" s="83">
        <v>0</v>
      </c>
      <c r="F21" s="83">
        <f>E25</f>
        <v>41.634246575342466</v>
      </c>
      <c r="G21" s="83">
        <f>F25</f>
        <v>37.470821917808223</v>
      </c>
    </row>
    <row r="22" spans="1:7" x14ac:dyDescent="0.35">
      <c r="A22" t="s">
        <v>132</v>
      </c>
      <c r="E22" s="83">
        <f>'Capital Structure'!C9</f>
        <v>45</v>
      </c>
      <c r="F22" s="83">
        <v>0</v>
      </c>
      <c r="G22" s="83">
        <v>0</v>
      </c>
    </row>
    <row r="23" spans="1:7" x14ac:dyDescent="0.35">
      <c r="A23" t="s">
        <v>133</v>
      </c>
      <c r="E23" s="83">
        <v>0</v>
      </c>
      <c r="F23" s="83">
        <v>0</v>
      </c>
      <c r="G23" s="83">
        <v>0</v>
      </c>
    </row>
    <row r="24" spans="1:7" x14ac:dyDescent="0.35">
      <c r="A24" t="s">
        <v>134</v>
      </c>
      <c r="E24" s="83">
        <f>(E21+E22-E23)*Assumptions!$G$97*MIN(365,'Fixed Asset Schedule'!E$3-Assumptions!$G$5)/365</f>
        <v>3.3657534246575342</v>
      </c>
      <c r="F24" s="83">
        <f>(F21+F22-F23)*Assumptions!$G$97*MIN(365,'Fixed Asset Schedule'!F$3-Assumptions!$G$5)/365</f>
        <v>4.1634246575342466</v>
      </c>
      <c r="G24" s="83">
        <f>(G21+G22-G23)*Assumptions!$G$97*MIN(365,'Fixed Asset Schedule'!G$3-Assumptions!$G$5)/365</f>
        <v>3.7470821917808226</v>
      </c>
    </row>
    <row r="25" spans="1:7" x14ac:dyDescent="0.35">
      <c r="A25" s="168" t="s">
        <v>135</v>
      </c>
      <c r="B25" s="168"/>
      <c r="C25" s="168"/>
      <c r="D25" s="168"/>
      <c r="E25" s="170">
        <f>E21+E22-E23-E24</f>
        <v>41.634246575342466</v>
      </c>
      <c r="F25" s="170">
        <f t="shared" ref="F25" si="3">F21+F22-F23-F24</f>
        <v>37.470821917808223</v>
      </c>
      <c r="G25" s="170">
        <f t="shared" ref="G25" si="4">G21+G22-G23-G24</f>
        <v>33.723739726027404</v>
      </c>
    </row>
    <row r="28" spans="1:7" x14ac:dyDescent="0.35">
      <c r="A28" s="153" t="str">
        <f>'Capital Structure'!A10</f>
        <v>Restaurants Décor</v>
      </c>
    </row>
    <row r="29" spans="1:7" x14ac:dyDescent="0.35">
      <c r="A29" t="s">
        <v>131</v>
      </c>
      <c r="E29" s="83">
        <v>0</v>
      </c>
      <c r="F29" s="83">
        <f>E33</f>
        <v>55.512328767123286</v>
      </c>
      <c r="G29" s="83">
        <f>F33</f>
        <v>49.961095890410959</v>
      </c>
    </row>
    <row r="30" spans="1:7" x14ac:dyDescent="0.35">
      <c r="A30" t="s">
        <v>132</v>
      </c>
      <c r="E30" s="83">
        <f>'Capital Structure'!C10</f>
        <v>60</v>
      </c>
      <c r="F30" s="83">
        <v>0</v>
      </c>
      <c r="G30" s="83">
        <v>0</v>
      </c>
    </row>
    <row r="31" spans="1:7" x14ac:dyDescent="0.35">
      <c r="A31" t="s">
        <v>133</v>
      </c>
      <c r="E31" s="83">
        <v>0</v>
      </c>
      <c r="F31" s="83">
        <v>0</v>
      </c>
      <c r="G31" s="83">
        <v>0</v>
      </c>
    </row>
    <row r="32" spans="1:7" x14ac:dyDescent="0.35">
      <c r="A32" t="s">
        <v>134</v>
      </c>
      <c r="E32" s="83">
        <f>(E29+E30-E31)*Assumptions!$G$97*MIN(365,'Fixed Asset Schedule'!E$3-Assumptions!$G$5)/365</f>
        <v>4.4876712328767123</v>
      </c>
      <c r="F32" s="83">
        <f>(F29+F30-F31)*Assumptions!$G$97*MIN(365,'Fixed Asset Schedule'!F$3-Assumptions!$G$5)/365</f>
        <v>5.5512328767123291</v>
      </c>
      <c r="G32" s="83">
        <f>(G29+G30-G31)*Assumptions!$G$97*MIN(365,'Fixed Asset Schedule'!G$3-Assumptions!$G$5)/365</f>
        <v>4.9961095890410965</v>
      </c>
    </row>
    <row r="33" spans="1:7" x14ac:dyDescent="0.35">
      <c r="A33" s="168" t="s">
        <v>135</v>
      </c>
      <c r="B33" s="168"/>
      <c r="C33" s="168"/>
      <c r="D33" s="168"/>
      <c r="E33" s="170">
        <f>E29+E30-E31-E32</f>
        <v>55.512328767123286</v>
      </c>
      <c r="F33" s="170">
        <f t="shared" ref="F33" si="5">F29+F30-F31-F32</f>
        <v>49.961095890410959</v>
      </c>
      <c r="G33" s="170">
        <f t="shared" ref="G33" si="6">G29+G30-G31-G32</f>
        <v>44.964986301369862</v>
      </c>
    </row>
    <row r="36" spans="1:7" x14ac:dyDescent="0.35">
      <c r="A36" s="194" t="s">
        <v>91</v>
      </c>
      <c r="B36" s="194"/>
      <c r="C36" s="194"/>
      <c r="D36" s="194"/>
      <c r="E36" s="194"/>
      <c r="F36" s="194"/>
      <c r="G36" s="194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zoomScale="85" zoomScaleNormal="85" workbookViewId="0">
      <selection activeCell="A24" sqref="A24"/>
    </sheetView>
  </sheetViews>
  <sheetFormatPr defaultRowHeight="14.5" x14ac:dyDescent="0.35"/>
  <cols>
    <col min="1" max="1" width="15.81640625" bestFit="1" customWidth="1"/>
    <col min="5" max="7" width="11.7265625" style="83" bestFit="1" customWidth="1"/>
    <col min="8" max="16384" width="8.7265625" style="83"/>
  </cols>
  <sheetData>
    <row r="1" spans="1:7" customFormat="1" x14ac:dyDescent="0.35">
      <c r="A1" s="85" t="s">
        <v>105</v>
      </c>
      <c r="B1" s="86" t="str">
        <f>Converter!C1</f>
        <v>Lakhs</v>
      </c>
    </row>
    <row r="2" spans="1:7" customFormat="1" x14ac:dyDescent="0.35">
      <c r="E2" s="89">
        <v>1</v>
      </c>
      <c r="F2" s="89">
        <v>2</v>
      </c>
      <c r="G2" s="89">
        <v>3</v>
      </c>
    </row>
    <row r="3" spans="1:7" customFormat="1" x14ac:dyDescent="0.35">
      <c r="E3" s="88">
        <f>EOMONTH(Assumptions!G3,11)</f>
        <v>44286</v>
      </c>
      <c r="F3" s="88">
        <f>EOMONTH(E3,12)</f>
        <v>44651</v>
      </c>
      <c r="G3" s="88">
        <f>EOMONTH(F3,12)</f>
        <v>45016</v>
      </c>
    </row>
    <row r="5" spans="1:7" x14ac:dyDescent="0.35">
      <c r="A5" s="174" t="s">
        <v>136</v>
      </c>
    </row>
    <row r="6" spans="1:7" x14ac:dyDescent="0.35">
      <c r="A6" s="176" t="s">
        <v>64</v>
      </c>
    </row>
    <row r="7" spans="1:7" x14ac:dyDescent="0.35">
      <c r="A7" s="175" t="s">
        <v>6</v>
      </c>
      <c r="E7" s="83">
        <f>'Monthly P&amp;L'!P12/30*Assumptions!$G89</f>
        <v>2.9808597110093551</v>
      </c>
      <c r="F7" s="83">
        <f>'Monthly P&amp;L'!AB12/30*Assumptions!$G89</f>
        <v>4.4046527102377295</v>
      </c>
      <c r="G7" s="83">
        <f>'Monthly P&amp;L'!AN12/30*Assumptions!$G89</f>
        <v>6.1181931313347624</v>
      </c>
    </row>
    <row r="8" spans="1:7" x14ac:dyDescent="0.35">
      <c r="A8" s="175" t="s">
        <v>7</v>
      </c>
      <c r="E8" s="83">
        <f>'Monthly P&amp;L'!P13/30*Assumptions!$G90</f>
        <v>1.4072406419030861</v>
      </c>
      <c r="F8" s="83">
        <f>'Monthly P&amp;L'!AB13/30*Assumptions!$G90</f>
        <v>2.0568284156931536</v>
      </c>
      <c r="G8" s="83">
        <f>'Monthly P&amp;L'!AN13/30*Assumptions!$G90</f>
        <v>2.8463214085059043</v>
      </c>
    </row>
    <row r="9" spans="1:7" x14ac:dyDescent="0.35">
      <c r="A9" s="175" t="s">
        <v>8</v>
      </c>
      <c r="E9" s="83">
        <f>'Monthly P&amp;L'!P14/30*Assumptions!$G91</f>
        <v>1.111640735809176</v>
      </c>
      <c r="F9" s="83">
        <f>'Monthly P&amp;L'!AB14/30*Assumptions!$G91</f>
        <v>1.6088659732051649</v>
      </c>
      <c r="G9" s="83">
        <f>'Monthly P&amp;L'!AN14/30*Assumptions!$G91</f>
        <v>2.2185677705720415</v>
      </c>
    </row>
    <row r="10" spans="1:7" x14ac:dyDescent="0.35">
      <c r="A10" s="178" t="s">
        <v>54</v>
      </c>
      <c r="B10" s="151"/>
      <c r="C10" s="151"/>
      <c r="D10" s="151"/>
      <c r="E10" s="179">
        <f>SUM(E7:E9)</f>
        <v>5.4997410887216169</v>
      </c>
      <c r="F10" s="179">
        <f t="shared" ref="F10:G10" si="0">SUM(F7:F9)</f>
        <v>8.0703470991360469</v>
      </c>
      <c r="G10" s="179">
        <f t="shared" si="0"/>
        <v>11.18308231041271</v>
      </c>
    </row>
    <row r="12" spans="1:7" x14ac:dyDescent="0.35">
      <c r="A12" s="176" t="s">
        <v>137</v>
      </c>
    </row>
    <row r="13" spans="1:7" x14ac:dyDescent="0.35">
      <c r="A13" t="s">
        <v>138</v>
      </c>
      <c r="E13" s="83">
        <f>'Monthly P&amp;L'!P29/30*Assumptions!$G$93</f>
        <v>11.77297239239488</v>
      </c>
      <c r="F13" s="83">
        <f>'Monthly P&amp;L'!AB29/30*Assumptions!$G$93</f>
        <v>15.241977583998002</v>
      </c>
      <c r="G13" s="83">
        <f>'Monthly P&amp;L'!AN29/30*Assumptions!$G$93</f>
        <v>19.413806180756652</v>
      </c>
    </row>
    <row r="14" spans="1:7" x14ac:dyDescent="0.35">
      <c r="A14" t="s">
        <v>139</v>
      </c>
    </row>
    <row r="15" spans="1:7" x14ac:dyDescent="0.35">
      <c r="A15" s="78" t="s">
        <v>6</v>
      </c>
      <c r="E15" s="83">
        <f>'Monthly P&amp;L'!P12/30*Assumptions!$G$92</f>
        <v>2.9808597110093551</v>
      </c>
      <c r="F15" s="83">
        <f>'Monthly P&amp;L'!AB12/30*Assumptions!$G$92</f>
        <v>4.4046527102377295</v>
      </c>
      <c r="G15" s="83">
        <f>'Monthly P&amp;L'!AN12/30*Assumptions!$G$92</f>
        <v>6.1181931313347624</v>
      </c>
    </row>
    <row r="16" spans="1:7" x14ac:dyDescent="0.35">
      <c r="A16" s="78" t="s">
        <v>7</v>
      </c>
      <c r="E16" s="83">
        <f>'Monthly P&amp;L'!P13/30*Assumptions!$G$92</f>
        <v>2.8144812838061721</v>
      </c>
      <c r="F16" s="83">
        <f>'Monthly P&amp;L'!AB13/30*Assumptions!$G$92</f>
        <v>4.1136568313863071</v>
      </c>
      <c r="G16" s="83">
        <f>'Monthly P&amp;L'!AN13/30*Assumptions!$G$92</f>
        <v>5.6926428170118086</v>
      </c>
    </row>
    <row r="17" spans="1:7" x14ac:dyDescent="0.35">
      <c r="A17" s="78" t="s">
        <v>8</v>
      </c>
      <c r="E17" s="83">
        <f>'Monthly P&amp;L'!P14/30*Assumptions!$G$92</f>
        <v>6.6698444148550555</v>
      </c>
      <c r="F17" s="83">
        <f>'Monthly P&amp;L'!AB14/30*Assumptions!$G$92</f>
        <v>9.6531958392309889</v>
      </c>
      <c r="G17" s="83">
        <f>'Monthly P&amp;L'!AN14/30*Assumptions!$G$92</f>
        <v>13.31140662343225</v>
      </c>
    </row>
    <row r="18" spans="1:7" x14ac:dyDescent="0.35">
      <c r="A18" s="178" t="s">
        <v>54</v>
      </c>
      <c r="B18" s="151"/>
      <c r="C18" s="151"/>
      <c r="D18" s="151"/>
      <c r="E18" s="179">
        <f>SUM(E13:E17)</f>
        <v>24.238157802065466</v>
      </c>
      <c r="F18" s="179">
        <f t="shared" ref="F18:G18" si="1">SUM(F13:F17)</f>
        <v>33.413482964853031</v>
      </c>
      <c r="G18" s="179">
        <f t="shared" si="1"/>
        <v>44.536048752535471</v>
      </c>
    </row>
    <row r="20" spans="1:7" x14ac:dyDescent="0.35">
      <c r="A20" s="94" t="s">
        <v>140</v>
      </c>
      <c r="E20" s="83">
        <f>E10-E18</f>
        <v>-18.738416713343849</v>
      </c>
      <c r="F20" s="83">
        <f t="shared" ref="F20:G20" si="2">F10-F18</f>
        <v>-25.343135865716985</v>
      </c>
      <c r="G20" s="83">
        <f t="shared" si="2"/>
        <v>-33.352966442122764</v>
      </c>
    </row>
    <row r="21" spans="1:7" x14ac:dyDescent="0.35">
      <c r="A21" s="94" t="s">
        <v>141</v>
      </c>
      <c r="E21" s="83">
        <v>18.738416713343849</v>
      </c>
      <c r="F21" s="83">
        <v>6.6047191523731357</v>
      </c>
      <c r="G21" s="83">
        <v>8.0098305764057791</v>
      </c>
    </row>
    <row r="24" spans="1:7" x14ac:dyDescent="0.35">
      <c r="A24" s="194" t="s">
        <v>91</v>
      </c>
      <c r="B24" s="194"/>
      <c r="C24" s="194"/>
      <c r="D24" s="194"/>
      <c r="E24" s="194"/>
      <c r="F24" s="194"/>
      <c r="G24" s="19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zoomScale="85" zoomScaleNormal="85" workbookViewId="0">
      <selection activeCell="A45" sqref="A45"/>
    </sheetView>
  </sheetViews>
  <sheetFormatPr defaultRowHeight="14.5" x14ac:dyDescent="0.35"/>
  <cols>
    <col min="1" max="1" width="15.81640625" bestFit="1" customWidth="1"/>
    <col min="5" max="7" width="9.54296875" style="83" bestFit="1" customWidth="1"/>
    <col min="8" max="16384" width="8.7265625" style="83"/>
  </cols>
  <sheetData>
    <row r="1" spans="1:7" customFormat="1" x14ac:dyDescent="0.35">
      <c r="A1" s="85" t="s">
        <v>105</v>
      </c>
      <c r="B1" s="86" t="str">
        <f>Den</f>
        <v>Lakhs</v>
      </c>
    </row>
    <row r="2" spans="1:7" customFormat="1" x14ac:dyDescent="0.35">
      <c r="E2" s="89">
        <v>1</v>
      </c>
      <c r="F2" s="89">
        <v>2</v>
      </c>
      <c r="G2" s="89">
        <v>3</v>
      </c>
    </row>
    <row r="3" spans="1:7" customFormat="1" x14ac:dyDescent="0.35">
      <c r="D3" s="180">
        <f>Assumptions!G3</f>
        <v>43922</v>
      </c>
      <c r="E3" s="88">
        <f>EOMONTH(Assumptions!G3,11)</f>
        <v>44286</v>
      </c>
      <c r="F3" s="88">
        <f>EOMONTH(E3,12)</f>
        <v>44651</v>
      </c>
      <c r="G3" s="88">
        <f>EOMONTH(F3,12)</f>
        <v>45016</v>
      </c>
    </row>
    <row r="5" spans="1:7" x14ac:dyDescent="0.35">
      <c r="A5" s="85" t="s">
        <v>0</v>
      </c>
    </row>
    <row r="6" spans="1:7" x14ac:dyDescent="0.35">
      <c r="A6" t="str">
        <f>'Monthly Revenue'!A74</f>
        <v>Alcoholic Beverages</v>
      </c>
      <c r="E6" s="83">
        <f>SUMIFS('Monthly P&amp;L'!$E6:$AN6,'Monthly P&amp;L'!$E$4:$AN$4,"&gt;"&amp;'Annual P&amp;L'!D$3,'Monthly P&amp;L'!$E$4:$AN$4,"&lt;="&amp;E$3)</f>
        <v>68.832204356188328</v>
      </c>
      <c r="F6" s="83">
        <f>SUMIFS('Monthly P&amp;L'!$E6:$AN6,'Monthly P&amp;L'!$E$4:$AN$4,"&gt;"&amp;'Annual P&amp;L'!E$3,'Monthly P&amp;L'!$E$4:$AN$4,"&lt;="&amp;F$3)</f>
        <v>129.11829373898667</v>
      </c>
      <c r="G6" s="83">
        <f>SUMIFS('Monthly P&amp;L'!$E6:$AN6,'Monthly P&amp;L'!$E$4:$AN$4,"&gt;"&amp;'Annual P&amp;L'!F$3,'Monthly P&amp;L'!$E$4:$AN$4,"&lt;="&amp;G$3)</f>
        <v>190.36719220391092</v>
      </c>
    </row>
    <row r="7" spans="1:7" x14ac:dyDescent="0.35">
      <c r="A7" t="str">
        <f>'Monthly Revenue'!A75</f>
        <v>Non Alcoholic Beverages</v>
      </c>
      <c r="E7" s="83">
        <f>SUMIFS('Monthly P&amp;L'!$E7:$AN7,'Monthly P&amp;L'!$E$4:$AN$4,"&gt;"&amp;'Annual P&amp;L'!D$3,'Monthly P&amp;L'!$E$4:$AN$4,"&lt;="&amp;E$3)</f>
        <v>56.710348176113854</v>
      </c>
      <c r="F7" s="83">
        <f>SUMIFS('Monthly P&amp;L'!$E7:$AN7,'Monthly P&amp;L'!$E$4:$AN$4,"&gt;"&amp;'Annual P&amp;L'!E$3,'Monthly P&amp;L'!$E$4:$AN$4,"&lt;="&amp;F$3)</f>
        <v>105.33937141356789</v>
      </c>
      <c r="G7" s="83">
        <f>SUMIFS('Monthly P&amp;L'!$E7:$AN7,'Monthly P&amp;L'!$E$4:$AN$4,"&gt;"&amp;'Annual P&amp;L'!F$3,'Monthly P&amp;L'!$E$4:$AN$4,"&lt;="&amp;G$3)</f>
        <v>153.85328665830676</v>
      </c>
    </row>
    <row r="8" spans="1:7" x14ac:dyDescent="0.35">
      <c r="A8" t="str">
        <f>'Monthly Revenue'!A76</f>
        <v>Food</v>
      </c>
      <c r="E8" s="83">
        <f>SUMIFS('Monthly P&amp;L'!$E8:$AN8,'Monthly P&amp;L'!$E$4:$AN$4,"&gt;"&amp;'Annual P&amp;L'!D$3,'Monthly P&amp;L'!$E$4:$AN$4,"&lt;="&amp;E$3)</f>
        <v>178.75159297493445</v>
      </c>
      <c r="F8" s="83">
        <f>SUMIFS('Monthly P&amp;L'!$E8:$AN8,'Monthly P&amp;L'!$E$4:$AN$4,"&gt;"&amp;'Annual P&amp;L'!E$3,'Monthly P&amp;L'!$E$4:$AN$4,"&lt;="&amp;F$3)</f>
        <v>329.0895854824588</v>
      </c>
      <c r="G8" s="83">
        <f>SUMIFS('Monthly P&amp;L'!$E8:$AN8,'Monthly P&amp;L'!$E$4:$AN$4,"&gt;"&amp;'Annual P&amp;L'!F$3,'Monthly P&amp;L'!$E$4:$AN$4,"&lt;="&amp;G$3)</f>
        <v>476.47620106230943</v>
      </c>
    </row>
    <row r="9" spans="1:7" x14ac:dyDescent="0.35">
      <c r="A9" s="181" t="str">
        <f>'Monthly Revenue'!A77</f>
        <v>Total</v>
      </c>
      <c r="B9" s="182"/>
      <c r="C9" s="182"/>
      <c r="D9" s="182"/>
      <c r="E9" s="183">
        <f>SUMIFS('Monthly P&amp;L'!$E9:$AN9,'Monthly P&amp;L'!$E$4:$AN$4,"&gt;"&amp;'Annual P&amp;L'!D$3,'Monthly P&amp;L'!$E$4:$AN$4,"&lt;="&amp;E$3)</f>
        <v>304.29414550723664</v>
      </c>
      <c r="F9" s="183">
        <f>SUMIFS('Monthly P&amp;L'!$E9:$AN9,'Monthly P&amp;L'!$E$4:$AN$4,"&gt;"&amp;'Annual P&amp;L'!E$3,'Monthly P&amp;L'!$E$4:$AN$4,"&lt;="&amp;F$3)</f>
        <v>563.54725063501337</v>
      </c>
      <c r="G9" s="183">
        <f>SUMIFS('Monthly P&amp;L'!$E9:$AN9,'Monthly P&amp;L'!$E$4:$AN$4,"&gt;"&amp;'Annual P&amp;L'!F$3,'Monthly P&amp;L'!$E$4:$AN$4,"&lt;="&amp;G$3)</f>
        <v>820.69667992452685</v>
      </c>
    </row>
    <row r="10" spans="1:7" x14ac:dyDescent="0.35">
      <c r="E10" s="83">
        <f>SUMIFS('Monthly P&amp;L'!$E10:$AN10,'Monthly P&amp;L'!$E$4:$AN$4,"&gt;"&amp;'Annual P&amp;L'!D$3,'Monthly P&amp;L'!$E$4:$AN$4,"&lt;="&amp;E$3)</f>
        <v>0</v>
      </c>
      <c r="F10" s="83">
        <f>SUMIFS('Monthly P&amp;L'!$E10:$AN10,'Monthly P&amp;L'!$E$4:$AN$4,"&gt;"&amp;'Annual P&amp;L'!E$3,'Monthly P&amp;L'!$E$4:$AN$4,"&lt;="&amp;F$3)</f>
        <v>0</v>
      </c>
      <c r="G10" s="83">
        <f>SUMIFS('Monthly P&amp;L'!$E10:$AN10,'Monthly P&amp;L'!$E$4:$AN$4,"&gt;"&amp;'Annual P&amp;L'!F$3,'Monthly P&amp;L'!$E$4:$AN$4,"&lt;="&amp;G$3)</f>
        <v>0</v>
      </c>
    </row>
    <row r="11" spans="1:7" x14ac:dyDescent="0.35">
      <c r="A11" s="84" t="s">
        <v>115</v>
      </c>
      <c r="E11" s="83">
        <f>SUMIFS('Monthly P&amp;L'!$E11:$AN11,'Monthly P&amp;L'!$E$4:$AN$4,"&gt;"&amp;'Annual P&amp;L'!D$3,'Monthly P&amp;L'!$E$4:$AN$4,"&lt;="&amp;E$3)</f>
        <v>0</v>
      </c>
      <c r="F11" s="83">
        <f>SUMIFS('Monthly P&amp;L'!$E11:$AN11,'Monthly P&amp;L'!$E$4:$AN$4,"&gt;"&amp;'Annual P&amp;L'!E$3,'Monthly P&amp;L'!$E$4:$AN$4,"&lt;="&amp;F$3)</f>
        <v>0</v>
      </c>
      <c r="G11" s="83">
        <f>SUMIFS('Monthly P&amp;L'!$E11:$AN11,'Monthly P&amp;L'!$E$4:$AN$4,"&gt;"&amp;'Annual P&amp;L'!F$3,'Monthly P&amp;L'!$E$4:$AN$4,"&lt;="&amp;G$3)</f>
        <v>0</v>
      </c>
    </row>
    <row r="12" spans="1:7" x14ac:dyDescent="0.35">
      <c r="A12" t="str">
        <f>Assumptions!A25</f>
        <v>Alcoholic Beverage cost (% of revenue)</v>
      </c>
      <c r="E12" s="83">
        <f>SUMIFS('Monthly P&amp;L'!$E12:$AN12,'Monthly P&amp;L'!$E$4:$AN$4,"&gt;"&amp;'Annual P&amp;L'!D$3,'Monthly P&amp;L'!$E$4:$AN$4,"&lt;="&amp;E$3)</f>
        <v>24.091271524665913</v>
      </c>
      <c r="F12" s="83">
        <f>SUMIFS('Monthly P&amp;L'!$E12:$AN12,'Monthly P&amp;L'!$E$4:$AN$4,"&gt;"&amp;'Annual P&amp;L'!E$3,'Monthly P&amp;L'!$E$4:$AN$4,"&lt;="&amp;F$3)</f>
        <v>45.191402808645321</v>
      </c>
      <c r="G12" s="83">
        <f>SUMIFS('Monthly P&amp;L'!$E12:$AN12,'Monthly P&amp;L'!$E$4:$AN$4,"&gt;"&amp;'Annual P&amp;L'!F$3,'Monthly P&amp;L'!$E$4:$AN$4,"&lt;="&amp;G$3)</f>
        <v>66.628517271368821</v>
      </c>
    </row>
    <row r="13" spans="1:7" x14ac:dyDescent="0.35">
      <c r="A13" t="str">
        <f>Assumptions!A26</f>
        <v>Non Alcoholic Beverages (% of revenue)</v>
      </c>
      <c r="E13" s="83">
        <f>SUMIFS('Monthly P&amp;L'!$E13:$AN13,'Monthly P&amp;L'!$E$4:$AN$4,"&gt;"&amp;'Annual P&amp;L'!D$3,'Monthly P&amp;L'!$E$4:$AN$4,"&lt;="&amp;E$3)</f>
        <v>22.684139270445542</v>
      </c>
      <c r="F13" s="83">
        <f>SUMIFS('Monthly P&amp;L'!$E13:$AN13,'Monthly P&amp;L'!$E$4:$AN$4,"&gt;"&amp;'Annual P&amp;L'!E$3,'Monthly P&amp;L'!$E$4:$AN$4,"&lt;="&amp;F$3)</f>
        <v>42.13574856542715</v>
      </c>
      <c r="G13" s="83">
        <f>SUMIFS('Monthly P&amp;L'!$E13:$AN13,'Monthly P&amp;L'!$E$4:$AN$4,"&gt;"&amp;'Annual P&amp;L'!F$3,'Monthly P&amp;L'!$E$4:$AN$4,"&lt;="&amp;G$3)</f>
        <v>61.541314663322702</v>
      </c>
    </row>
    <row r="14" spans="1:7" x14ac:dyDescent="0.35">
      <c r="A14" t="str">
        <f>Assumptions!A27</f>
        <v>Food (% of revenue)</v>
      </c>
      <c r="E14" s="83">
        <f>SUMIFS('Monthly P&amp;L'!$E14:$AN14,'Monthly P&amp;L'!$E$4:$AN$4,"&gt;"&amp;'Annual P&amp;L'!D$3,'Monthly P&amp;L'!$E$4:$AN$4,"&lt;="&amp;E$3)</f>
        <v>53.62547789248034</v>
      </c>
      <c r="F14" s="83">
        <f>SUMIFS('Monthly P&amp;L'!$E14:$AN14,'Monthly P&amp;L'!$E$4:$AN$4,"&gt;"&amp;'Annual P&amp;L'!E$3,'Monthly P&amp;L'!$E$4:$AN$4,"&lt;="&amp;F$3)</f>
        <v>98.726875644737632</v>
      </c>
      <c r="G14" s="83">
        <f>SUMIFS('Monthly P&amp;L'!$E14:$AN14,'Monthly P&amp;L'!$E$4:$AN$4,"&gt;"&amp;'Annual P&amp;L'!F$3,'Monthly P&amp;L'!$E$4:$AN$4,"&lt;="&amp;G$3)</f>
        <v>142.94286031869279</v>
      </c>
    </row>
    <row r="15" spans="1:7" x14ac:dyDescent="0.35">
      <c r="A15" t="s">
        <v>116</v>
      </c>
      <c r="E15" s="83">
        <f>SUMIFS('Monthly P&amp;L'!$E15:$AN15,'Monthly P&amp;L'!$E$4:$AN$4,"&gt;"&amp;'Annual P&amp;L'!D$3,'Monthly P&amp;L'!$E$4:$AN$4,"&lt;="&amp;E$3)</f>
        <v>88.74</v>
      </c>
      <c r="F15" s="83">
        <f>SUMIFS('Monthly P&amp;L'!$E15:$AN15,'Monthly P&amp;L'!$E$4:$AN$4,"&gt;"&amp;'Annual P&amp;L'!E$3,'Monthly P&amp;L'!$E$4:$AN$4,"&lt;="&amp;F$3)</f>
        <v>118.32</v>
      </c>
      <c r="G15" s="83">
        <f>SUMIFS('Monthly P&amp;L'!$E15:$AN15,'Monthly P&amp;L'!$E$4:$AN$4,"&gt;"&amp;'Annual P&amp;L'!F$3,'Monthly P&amp;L'!$E$4:$AN$4,"&lt;="&amp;G$3)</f>
        <v>118.32</v>
      </c>
    </row>
    <row r="16" spans="1:7" x14ac:dyDescent="0.35">
      <c r="A16" s="181" t="s">
        <v>117</v>
      </c>
      <c r="B16" s="182"/>
      <c r="C16" s="182"/>
      <c r="D16" s="182"/>
      <c r="E16" s="183">
        <f>SUMIFS('Monthly P&amp;L'!$E16:$AN16,'Monthly P&amp;L'!$E$4:$AN$4,"&gt;"&amp;'Annual P&amp;L'!D$3,'Monthly P&amp;L'!$E$4:$AN$4,"&lt;="&amp;E$3)</f>
        <v>189.1408886875918</v>
      </c>
      <c r="F16" s="183">
        <f>SUMIFS('Monthly P&amp;L'!$E16:$AN16,'Monthly P&amp;L'!$E$4:$AN$4,"&gt;"&amp;'Annual P&amp;L'!E$3,'Monthly P&amp;L'!$E$4:$AN$4,"&lt;="&amp;F$3)</f>
        <v>304.37402701881012</v>
      </c>
      <c r="G16" s="183">
        <f>SUMIFS('Monthly P&amp;L'!$E16:$AN16,'Monthly P&amp;L'!$E$4:$AN$4,"&gt;"&amp;'Annual P&amp;L'!F$3,'Monthly P&amp;L'!$E$4:$AN$4,"&lt;="&amp;G$3)</f>
        <v>389.43269225338435</v>
      </c>
    </row>
    <row r="17" spans="1:7" x14ac:dyDescent="0.35">
      <c r="E17" s="83">
        <f>SUMIFS('Monthly P&amp;L'!$E17:$AN17,'Monthly P&amp;L'!$E$4:$AN$4,"&gt;"&amp;'Annual P&amp;L'!D$3,'Monthly P&amp;L'!$E$4:$AN$4,"&lt;="&amp;E$3)</f>
        <v>0</v>
      </c>
      <c r="F17" s="83">
        <f>SUMIFS('Monthly P&amp;L'!$E17:$AN17,'Monthly P&amp;L'!$E$4:$AN$4,"&gt;"&amp;'Annual P&amp;L'!E$3,'Monthly P&amp;L'!$E$4:$AN$4,"&lt;="&amp;F$3)</f>
        <v>0</v>
      </c>
      <c r="G17" s="83">
        <f>SUMIFS('Monthly P&amp;L'!$E17:$AN17,'Monthly P&amp;L'!$E$4:$AN$4,"&gt;"&amp;'Annual P&amp;L'!F$3,'Monthly P&amp;L'!$E$4:$AN$4,"&lt;="&amp;G$3)</f>
        <v>0</v>
      </c>
    </row>
    <row r="18" spans="1:7" x14ac:dyDescent="0.35">
      <c r="A18" s="84" t="s">
        <v>118</v>
      </c>
      <c r="E18" s="83">
        <f>SUMIFS('Monthly P&amp;L'!$E18:$AN18,'Monthly P&amp;L'!$E$4:$AN$4,"&gt;"&amp;'Annual P&amp;L'!D$3,'Monthly P&amp;L'!$E$4:$AN$4,"&lt;="&amp;E$3)</f>
        <v>0</v>
      </c>
      <c r="F18" s="83">
        <f>SUMIFS('Monthly P&amp;L'!$E18:$AN18,'Monthly P&amp;L'!$E$4:$AN$4,"&gt;"&amp;'Annual P&amp;L'!E$3,'Monthly P&amp;L'!$E$4:$AN$4,"&lt;="&amp;F$3)</f>
        <v>0</v>
      </c>
      <c r="G18" s="83">
        <f>SUMIFS('Monthly P&amp;L'!$E18:$AN18,'Monthly P&amp;L'!$E$4:$AN$4,"&gt;"&amp;'Annual P&amp;L'!F$3,'Monthly P&amp;L'!$E$4:$AN$4,"&lt;="&amp;G$3)</f>
        <v>0</v>
      </c>
    </row>
    <row r="19" spans="1:7" x14ac:dyDescent="0.35">
      <c r="A19" t="s">
        <v>119</v>
      </c>
      <c r="E19" s="83">
        <f>SUMIFS('Monthly P&amp;L'!$E19:$AN19,'Monthly P&amp;L'!$E$4:$AN$4,"&gt;"&amp;'Annual P&amp;L'!D$3,'Monthly P&amp;L'!$E$4:$AN$4,"&lt;="&amp;E$3)</f>
        <v>34.200000000000003</v>
      </c>
      <c r="F19" s="83">
        <f>SUMIFS('Monthly P&amp;L'!$E19:$AN19,'Monthly P&amp;L'!$E$4:$AN$4,"&gt;"&amp;'Annual P&amp;L'!E$3,'Monthly P&amp;L'!$E$4:$AN$4,"&lt;="&amp;F$3)</f>
        <v>48.335999999999991</v>
      </c>
      <c r="G19" s="83">
        <f>SUMIFS('Monthly P&amp;L'!$E19:$AN19,'Monthly P&amp;L'!$E$4:$AN$4,"&gt;"&amp;'Annual P&amp;L'!F$3,'Monthly P&amp;L'!$E$4:$AN$4,"&lt;="&amp;G$3)</f>
        <v>52.202880000000022</v>
      </c>
    </row>
    <row r="20" spans="1:7" x14ac:dyDescent="0.35">
      <c r="A20" t="str">
        <f>Assumptions!A52</f>
        <v>Rotalty to brand (% Of Revenue)</v>
      </c>
      <c r="E20" s="83">
        <f>SUMIFS('Monthly P&amp;L'!$E20:$AN20,'Monthly P&amp;L'!$E$4:$AN$4,"&gt;"&amp;'Annual P&amp;L'!D$3,'Monthly P&amp;L'!$E$4:$AN$4,"&lt;="&amp;E$3)</f>
        <v>15.214707275361834</v>
      </c>
      <c r="F20" s="83">
        <f>SUMIFS('Monthly P&amp;L'!$E20:$AN20,'Monthly P&amp;L'!$E$4:$AN$4,"&gt;"&amp;'Annual P&amp;L'!E$3,'Monthly P&amp;L'!$E$4:$AN$4,"&lt;="&amp;F$3)</f>
        <v>28.177362531750671</v>
      </c>
      <c r="G20" s="83">
        <f>SUMIFS('Monthly P&amp;L'!$E20:$AN20,'Monthly P&amp;L'!$E$4:$AN$4,"&gt;"&amp;'Annual P&amp;L'!F$3,'Monthly P&amp;L'!$E$4:$AN$4,"&lt;="&amp;G$3)</f>
        <v>41.034833996226354</v>
      </c>
    </row>
    <row r="21" spans="1:7" x14ac:dyDescent="0.35">
      <c r="A21" t="str">
        <f>Assumptions!A53</f>
        <v>Rent (as per contract) (% of revenue)</v>
      </c>
      <c r="E21" s="83">
        <f>SUMIFS('Monthly P&amp;L'!$E21:$AN21,'Monthly P&amp;L'!$E$4:$AN$4,"&gt;"&amp;'Annual P&amp;L'!D$3,'Monthly P&amp;L'!$E$4:$AN$4,"&lt;="&amp;E$3)</f>
        <v>30.429414550723667</v>
      </c>
      <c r="F21" s="83">
        <f>SUMIFS('Monthly P&amp;L'!$E21:$AN21,'Monthly P&amp;L'!$E$4:$AN$4,"&gt;"&amp;'Annual P&amp;L'!E$3,'Monthly P&amp;L'!$E$4:$AN$4,"&lt;="&amp;F$3)</f>
        <v>56.354725063501341</v>
      </c>
      <c r="G21" s="83">
        <f>SUMIFS('Monthly P&amp;L'!$E21:$AN21,'Monthly P&amp;L'!$E$4:$AN$4,"&gt;"&amp;'Annual P&amp;L'!F$3,'Monthly P&amp;L'!$E$4:$AN$4,"&lt;="&amp;G$3)</f>
        <v>82.069667992452707</v>
      </c>
    </row>
    <row r="22" spans="1:7" x14ac:dyDescent="0.35">
      <c r="A22" t="str">
        <f>Assumptions!A54</f>
        <v>Water Cost (per month)</v>
      </c>
      <c r="E22" s="83">
        <f>SUMIFS('Monthly P&amp;L'!$E22:$AN22,'Monthly P&amp;L'!$E$4:$AN$4,"&gt;"&amp;'Annual P&amp;L'!D$3,'Monthly P&amp;L'!$E$4:$AN$4,"&lt;="&amp;E$3)</f>
        <v>0.89999999999999991</v>
      </c>
      <c r="F22" s="83">
        <f>SUMIFS('Monthly P&amp;L'!$E22:$AN22,'Monthly P&amp;L'!$E$4:$AN$4,"&gt;"&amp;'Annual P&amp;L'!E$3,'Monthly P&amp;L'!$E$4:$AN$4,"&lt;="&amp;F$3)</f>
        <v>1.2720000000000002</v>
      </c>
      <c r="G22" s="83">
        <f>SUMIFS('Monthly P&amp;L'!$E22:$AN22,'Monthly P&amp;L'!$E$4:$AN$4,"&gt;"&amp;'Annual P&amp;L'!F$3,'Monthly P&amp;L'!$E$4:$AN$4,"&lt;="&amp;G$3)</f>
        <v>1.3737600000000005</v>
      </c>
    </row>
    <row r="23" spans="1:7" x14ac:dyDescent="0.35">
      <c r="A23" t="str">
        <f>Assumptions!A55</f>
        <v>Maintenance (per month)</v>
      </c>
      <c r="E23" s="83">
        <f>SUMIFS('Monthly P&amp;L'!$E23:$AN23,'Monthly P&amp;L'!$E$4:$AN$4,"&gt;"&amp;'Annual P&amp;L'!D$3,'Monthly P&amp;L'!$E$4:$AN$4,"&lt;="&amp;E$3)</f>
        <v>4.5</v>
      </c>
      <c r="F23" s="83">
        <f>SUMIFS('Monthly P&amp;L'!$E23:$AN23,'Monthly P&amp;L'!$E$4:$AN$4,"&gt;"&amp;'Annual P&amp;L'!E$3,'Monthly P&amp;L'!$E$4:$AN$4,"&lt;="&amp;F$3)</f>
        <v>6.36</v>
      </c>
      <c r="G23" s="83">
        <f>SUMIFS('Monthly P&amp;L'!$E23:$AN23,'Monthly P&amp;L'!$E$4:$AN$4,"&gt;"&amp;'Annual P&amp;L'!F$3,'Monthly P&amp;L'!$E$4:$AN$4,"&lt;="&amp;G$3)</f>
        <v>6.8687999999999994</v>
      </c>
    </row>
    <row r="24" spans="1:7" x14ac:dyDescent="0.35">
      <c r="A24" t="str">
        <f>Assumptions!A56</f>
        <v>Marketing cost (per month)</v>
      </c>
      <c r="E24" s="83">
        <f>SUMIFS('Monthly P&amp;L'!$E24:$AN24,'Monthly P&amp;L'!$E$4:$AN$4,"&gt;"&amp;'Annual P&amp;L'!D$3,'Monthly P&amp;L'!$E$4:$AN$4,"&lt;="&amp;E$3)</f>
        <v>2.25</v>
      </c>
      <c r="F24" s="83">
        <f>SUMIFS('Monthly P&amp;L'!$E24:$AN24,'Monthly P&amp;L'!$E$4:$AN$4,"&gt;"&amp;'Annual P&amp;L'!E$3,'Monthly P&amp;L'!$E$4:$AN$4,"&lt;="&amp;F$3)</f>
        <v>3.18</v>
      </c>
      <c r="G24" s="83">
        <f>SUMIFS('Monthly P&amp;L'!$E24:$AN24,'Monthly P&amp;L'!$E$4:$AN$4,"&gt;"&amp;'Annual P&amp;L'!F$3,'Monthly P&amp;L'!$E$4:$AN$4,"&lt;="&amp;G$3)</f>
        <v>3.4343999999999997</v>
      </c>
    </row>
    <row r="25" spans="1:7" x14ac:dyDescent="0.35">
      <c r="A25" t="str">
        <f>Assumptions!A57</f>
        <v>Electricity (Based on area Rs./sq. Ft.)</v>
      </c>
      <c r="E25" s="83">
        <f>SUMIFS('Monthly P&amp;L'!$E25:$AN25,'Monthly P&amp;L'!$E$4:$AN$4,"&gt;"&amp;'Annual P&amp;L'!D$3,'Monthly P&amp;L'!$E$4:$AN$4,"&lt;="&amp;E$3)</f>
        <v>2.3940000000000001</v>
      </c>
      <c r="F25" s="83">
        <f>SUMIFS('Monthly P&amp;L'!$E25:$AN25,'Monthly P&amp;L'!$E$4:$AN$4,"&gt;"&amp;'Annual P&amp;L'!E$3,'Monthly P&amp;L'!$E$4:$AN$4,"&lt;="&amp;F$3)</f>
        <v>3.3835199999999999</v>
      </c>
      <c r="G25" s="83">
        <f>SUMIFS('Monthly P&amp;L'!$E25:$AN25,'Monthly P&amp;L'!$E$4:$AN$4,"&gt;"&amp;'Annual P&amp;L'!F$3,'Monthly P&amp;L'!$E$4:$AN$4,"&lt;="&amp;G$3)</f>
        <v>3.6542016000000004</v>
      </c>
    </row>
    <row r="26" spans="1:7" x14ac:dyDescent="0.35">
      <c r="A26" t="str">
        <f>Assumptions!A58</f>
        <v>Phone and internet (per month)</v>
      </c>
      <c r="E26" s="83">
        <f>SUMIFS('Monthly P&amp;L'!$E26:$AN26,'Monthly P&amp;L'!$E$4:$AN$4,"&gt;"&amp;'Annual P&amp;L'!D$3,'Monthly P&amp;L'!$E$4:$AN$4,"&lt;="&amp;E$3)</f>
        <v>1.3499999999999999</v>
      </c>
      <c r="F26" s="83">
        <f>SUMIFS('Monthly P&amp;L'!$E26:$AN26,'Monthly P&amp;L'!$E$4:$AN$4,"&gt;"&amp;'Annual P&amp;L'!E$3,'Monthly P&amp;L'!$E$4:$AN$4,"&lt;="&amp;F$3)</f>
        <v>1.9079999999999997</v>
      </c>
      <c r="G26" s="83">
        <f>SUMIFS('Monthly P&amp;L'!$E26:$AN26,'Monthly P&amp;L'!$E$4:$AN$4,"&gt;"&amp;'Annual P&amp;L'!F$3,'Monthly P&amp;L'!$E$4:$AN$4,"&lt;="&amp;G$3)</f>
        <v>2.0606400000000002</v>
      </c>
    </row>
    <row r="27" spans="1:7" x14ac:dyDescent="0.35">
      <c r="A27" t="str">
        <f>Assumptions!A59</f>
        <v>Housekeeping  &amp; Consumables (% of revenue)</v>
      </c>
      <c r="E27" s="83">
        <f>SUMIFS('Monthly P&amp;L'!$E27:$AN27,'Monthly P&amp;L'!$E$4:$AN$4,"&gt;"&amp;'Annual P&amp;L'!D$3,'Monthly P&amp;L'!$E$4:$AN$4,"&lt;="&amp;E$3)</f>
        <v>6.0858829101447345</v>
      </c>
      <c r="F27" s="83">
        <f>SUMIFS('Monthly P&amp;L'!$E27:$AN27,'Monthly P&amp;L'!$E$4:$AN$4,"&gt;"&amp;'Annual P&amp;L'!E$3,'Monthly P&amp;L'!$E$4:$AN$4,"&lt;="&amp;F$3)</f>
        <v>11.270945012700267</v>
      </c>
      <c r="G27" s="83">
        <f>SUMIFS('Monthly P&amp;L'!$E27:$AN27,'Monthly P&amp;L'!$E$4:$AN$4,"&gt;"&amp;'Annual P&amp;L'!F$3,'Monthly P&amp;L'!$E$4:$AN$4,"&lt;="&amp;G$3)</f>
        <v>16.413933598490544</v>
      </c>
    </row>
    <row r="28" spans="1:7" x14ac:dyDescent="0.35">
      <c r="A28" t="str">
        <f>Assumptions!A60</f>
        <v>Payment Settlement Charges (% or revenue)</v>
      </c>
      <c r="E28" s="83">
        <f>SUMIFS('Monthly P&amp;L'!$E28:$AN28,'Monthly P&amp;L'!$E$4:$AN$4,"&gt;"&amp;'Annual P&amp;L'!D$3,'Monthly P&amp;L'!$E$4:$AN$4,"&lt;="&amp;E$3)</f>
        <v>2.2822060913042748</v>
      </c>
      <c r="F28" s="83">
        <f>SUMIFS('Monthly P&amp;L'!$E28:$AN28,'Monthly P&amp;L'!$E$4:$AN$4,"&gt;"&amp;'Annual P&amp;L'!E$3,'Monthly P&amp;L'!$E$4:$AN$4,"&lt;="&amp;F$3)</f>
        <v>4.2266043797626001</v>
      </c>
      <c r="G28" s="83">
        <f>SUMIFS('Monthly P&amp;L'!$E28:$AN28,'Monthly P&amp;L'!$E$4:$AN$4,"&gt;"&amp;'Annual P&amp;L'!F$3,'Monthly P&amp;L'!$E$4:$AN$4,"&lt;="&amp;G$3)</f>
        <v>6.1552250994339515</v>
      </c>
    </row>
    <row r="29" spans="1:7" x14ac:dyDescent="0.35">
      <c r="A29" s="181" t="s">
        <v>120</v>
      </c>
      <c r="B29" s="182"/>
      <c r="C29" s="182"/>
      <c r="D29" s="182"/>
      <c r="E29" s="183">
        <f>SUMIFS('Monthly P&amp;L'!$E29:$AN29,'Monthly P&amp;L'!$E$4:$AN$4,"&gt;"&amp;'Annual P&amp;L'!D$3,'Monthly P&amp;L'!$E$4:$AN$4,"&lt;="&amp;E$3)</f>
        <v>99.606210827534497</v>
      </c>
      <c r="F29" s="183">
        <f>SUMIFS('Monthly P&amp;L'!$E29:$AN29,'Monthly P&amp;L'!$E$4:$AN$4,"&gt;"&amp;'Annual P&amp;L'!E$3,'Monthly P&amp;L'!$E$4:$AN$4,"&lt;="&amp;F$3)</f>
        <v>164.46915698771485</v>
      </c>
      <c r="G29" s="183">
        <f>SUMIFS('Monthly P&amp;L'!$E29:$AN29,'Monthly P&amp;L'!$E$4:$AN$4,"&gt;"&amp;'Annual P&amp;L'!F$3,'Monthly P&amp;L'!$E$4:$AN$4,"&lt;="&amp;G$3)</f>
        <v>215.26834228660351</v>
      </c>
    </row>
    <row r="30" spans="1:7" x14ac:dyDescent="0.35">
      <c r="E30" s="83">
        <f>SUMIFS('Monthly P&amp;L'!$E30:$AN30,'Monthly P&amp;L'!$E$4:$AN$4,"&gt;"&amp;'Annual P&amp;L'!D$3,'Monthly P&amp;L'!$E$4:$AN$4,"&lt;="&amp;E$3)</f>
        <v>0</v>
      </c>
      <c r="F30" s="83">
        <f>SUMIFS('Monthly P&amp;L'!$E30:$AN30,'Monthly P&amp;L'!$E$4:$AN$4,"&gt;"&amp;'Annual P&amp;L'!E$3,'Monthly P&amp;L'!$E$4:$AN$4,"&lt;="&amp;F$3)</f>
        <v>0</v>
      </c>
      <c r="G30" s="83">
        <f>SUMIFS('Monthly P&amp;L'!$E30:$AN30,'Monthly P&amp;L'!$E$4:$AN$4,"&gt;"&amp;'Annual P&amp;L'!F$3,'Monthly P&amp;L'!$E$4:$AN$4,"&lt;="&amp;G$3)</f>
        <v>0</v>
      </c>
    </row>
    <row r="31" spans="1:7" ht="15" thickBot="1" x14ac:dyDescent="0.4">
      <c r="A31" s="163" t="s">
        <v>122</v>
      </c>
      <c r="B31" s="184"/>
      <c r="C31" s="184"/>
      <c r="D31" s="184"/>
      <c r="E31" s="185">
        <f>SUMIFS('Monthly P&amp;L'!$E31:$AN31,'Monthly P&amp;L'!$E$4:$AN$4,"&gt;"&amp;'Annual P&amp;L'!D$3,'Monthly P&amp;L'!$E$4:$AN$4,"&lt;="&amp;E$3)</f>
        <v>15.547045992110366</v>
      </c>
      <c r="F31" s="185">
        <f>SUMIFS('Monthly P&amp;L'!$E31:$AN31,'Monthly P&amp;L'!$E$4:$AN$4,"&gt;"&amp;'Annual P&amp;L'!E$3,'Monthly P&amp;L'!$E$4:$AN$4,"&lt;="&amp;F$3)</f>
        <v>94.704066628488349</v>
      </c>
      <c r="G31" s="185">
        <f>SUMIFS('Monthly P&amp;L'!$E31:$AN31,'Monthly P&amp;L'!$E$4:$AN$4,"&gt;"&amp;'Annual P&amp;L'!F$3,'Monthly P&amp;L'!$E$4:$AN$4,"&lt;="&amp;G$3)</f>
        <v>215.99564538453913</v>
      </c>
    </row>
    <row r="32" spans="1:7" ht="15" thickTop="1" x14ac:dyDescent="0.35">
      <c r="A32" t="s">
        <v>142</v>
      </c>
      <c r="E32" s="83">
        <f>SUM('Fixed Asset Schedule'!E8,'Fixed Asset Schedule'!E16,'Fixed Asset Schedule'!E24,'Fixed Asset Schedule'!E32)</f>
        <v>15.482465753424657</v>
      </c>
      <c r="F32" s="83">
        <f>SUM('Fixed Asset Schedule'!F8,'Fixed Asset Schedule'!F16,'Fixed Asset Schedule'!F24,'Fixed Asset Schedule'!F32)</f>
        <v>18.770301369863013</v>
      </c>
      <c r="G32" s="83">
        <f>SUM('Fixed Asset Schedule'!G8,'Fixed Asset Schedule'!G16,'Fixed Asset Schedule'!G24,'Fixed Asset Schedule'!G32)</f>
        <v>16.440489041095891</v>
      </c>
    </row>
    <row r="34" spans="1:7" x14ac:dyDescent="0.35">
      <c r="A34" s="189" t="s">
        <v>143</v>
      </c>
      <c r="B34" s="150"/>
      <c r="C34" s="150"/>
      <c r="D34" s="150"/>
      <c r="E34" s="177">
        <f>E31-E32</f>
        <v>6.4580238685708835E-2</v>
      </c>
      <c r="F34" s="177">
        <f t="shared" ref="F34:G34" si="0">F31-F32</f>
        <v>75.933765258625328</v>
      </c>
      <c r="G34" s="177">
        <f t="shared" si="0"/>
        <v>199.55515634344323</v>
      </c>
    </row>
    <row r="35" spans="1:7" x14ac:dyDescent="0.35">
      <c r="A35" s="84" t="s">
        <v>144</v>
      </c>
      <c r="E35" s="83">
        <v>0</v>
      </c>
      <c r="F35" s="83">
        <v>0</v>
      </c>
      <c r="G35" s="83">
        <v>0</v>
      </c>
    </row>
    <row r="36" spans="1:7" x14ac:dyDescent="0.35">
      <c r="A36" s="84"/>
    </row>
    <row r="37" spans="1:7" x14ac:dyDescent="0.35">
      <c r="A37" s="189" t="s">
        <v>145</v>
      </c>
      <c r="B37" s="150"/>
      <c r="C37" s="150"/>
      <c r="D37" s="150"/>
      <c r="E37" s="188">
        <f>E34-E35</f>
        <v>6.4580238685708835E-2</v>
      </c>
      <c r="F37" s="188">
        <f t="shared" ref="F37:G37" si="1">F34-F35</f>
        <v>75.933765258625328</v>
      </c>
      <c r="G37" s="188">
        <f t="shared" si="1"/>
        <v>199.55515634344323</v>
      </c>
    </row>
    <row r="38" spans="1:7" x14ac:dyDescent="0.35">
      <c r="A38" s="84" t="s">
        <v>146</v>
      </c>
      <c r="E38" s="83">
        <f>E37*Assumptions!$G$105</f>
        <v>1.6254846077192912E-2</v>
      </c>
      <c r="F38" s="83">
        <f>F37*Assumptions!$G$105</f>
        <v>19.112528715595992</v>
      </c>
      <c r="G38" s="83">
        <f>G37*Assumptions!$G$105</f>
        <v>50.228032851644656</v>
      </c>
    </row>
    <row r="39" spans="1:7" x14ac:dyDescent="0.35">
      <c r="A39" s="189" t="s">
        <v>147</v>
      </c>
      <c r="B39" s="150"/>
      <c r="C39" s="150"/>
      <c r="D39" s="150"/>
      <c r="E39" s="177">
        <f>E37-E38</f>
        <v>4.8325392608515927E-2</v>
      </c>
      <c r="F39" s="177">
        <f t="shared" ref="F39:G39" si="2">F37-F38</f>
        <v>56.821236543029336</v>
      </c>
      <c r="G39" s="177">
        <f t="shared" si="2"/>
        <v>149.32712349179857</v>
      </c>
    </row>
    <row r="40" spans="1:7" x14ac:dyDescent="0.35">
      <c r="A40" s="84" t="s">
        <v>148</v>
      </c>
    </row>
    <row r="42" spans="1:7" x14ac:dyDescent="0.35">
      <c r="A42" s="186" t="s">
        <v>149</v>
      </c>
      <c r="B42" s="150"/>
      <c r="C42" s="150"/>
      <c r="D42" s="150"/>
      <c r="E42" s="187">
        <f>E39/E9</f>
        <v>1.5881144386777781E-4</v>
      </c>
      <c r="F42" s="187">
        <f t="shared" ref="F42:G42" si="3">F39/F9</f>
        <v>0.10082781253746217</v>
      </c>
      <c r="G42" s="187">
        <f t="shared" si="3"/>
        <v>0.18195166027177184</v>
      </c>
    </row>
    <row r="45" spans="1:7" x14ac:dyDescent="0.35">
      <c r="A45" s="194" t="s">
        <v>91</v>
      </c>
      <c r="B45" s="194"/>
      <c r="C45" s="194"/>
      <c r="D45" s="194"/>
      <c r="E45" s="194"/>
      <c r="F45" s="194"/>
      <c r="G45" s="194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opLeftCell="A22" zoomScale="85" zoomScaleNormal="85" workbookViewId="0">
      <selection activeCell="F51" sqref="F51"/>
    </sheetView>
  </sheetViews>
  <sheetFormatPr defaultRowHeight="14.5" x14ac:dyDescent="0.35"/>
  <cols>
    <col min="1" max="1" width="15.81640625" bestFit="1" customWidth="1"/>
    <col min="5" max="7" width="9.54296875" style="83" bestFit="1" customWidth="1"/>
    <col min="8" max="16384" width="8.7265625" style="83"/>
  </cols>
  <sheetData>
    <row r="1" spans="1:7" customFormat="1" x14ac:dyDescent="0.35">
      <c r="A1" s="85" t="s">
        <v>105</v>
      </c>
      <c r="B1" s="86" t="str">
        <f>Converter!C1</f>
        <v>Lakhs</v>
      </c>
    </row>
    <row r="2" spans="1:7" customFormat="1" x14ac:dyDescent="0.35">
      <c r="E2" s="89">
        <v>1</v>
      </c>
      <c r="F2" s="89">
        <v>2</v>
      </c>
      <c r="G2" s="89">
        <v>3</v>
      </c>
    </row>
    <row r="3" spans="1:7" customFormat="1" x14ac:dyDescent="0.35">
      <c r="E3" s="88">
        <f>EOMONTH(Assumptions!G3,11)</f>
        <v>44286</v>
      </c>
      <c r="F3" s="88">
        <f>EOMONTH(E3,12)</f>
        <v>44651</v>
      </c>
      <c r="G3" s="88">
        <f>EOMONTH(F3,12)</f>
        <v>45016</v>
      </c>
    </row>
    <row r="4" spans="1:7" x14ac:dyDescent="0.35">
      <c r="A4" s="84" t="s">
        <v>165</v>
      </c>
    </row>
    <row r="5" spans="1:7" x14ac:dyDescent="0.35">
      <c r="A5" s="191" t="s">
        <v>167</v>
      </c>
      <c r="E5" s="83">
        <f>'Capital Structure'!$C$18</f>
        <v>207</v>
      </c>
      <c r="F5" s="83">
        <f>'Capital Structure'!$C$18</f>
        <v>207</v>
      </c>
      <c r="G5" s="83">
        <f>'Capital Structure'!$C$18</f>
        <v>207</v>
      </c>
    </row>
    <row r="6" spans="1:7" x14ac:dyDescent="0.35">
      <c r="A6" s="191" t="s">
        <v>168</v>
      </c>
      <c r="E6" s="83">
        <f>D6+'Annual P&amp;L'!E39</f>
        <v>4.8325392608515927E-2</v>
      </c>
      <c r="F6" s="83">
        <f>E6+'Annual P&amp;L'!F39</f>
        <v>56.869561935637854</v>
      </c>
      <c r="G6" s="83">
        <f>F6+'Annual P&amp;L'!G39</f>
        <v>206.19668542743642</v>
      </c>
    </row>
    <row r="8" spans="1:7" x14ac:dyDescent="0.35">
      <c r="A8" s="151" t="s">
        <v>169</v>
      </c>
      <c r="B8" s="151"/>
      <c r="C8" s="151"/>
      <c r="D8" s="151"/>
      <c r="E8" s="179">
        <f>SUM(E5:E6)</f>
        <v>207.04832539260852</v>
      </c>
      <c r="F8" s="179">
        <f t="shared" ref="F8:G8" si="0">SUM(F5:F6)</f>
        <v>263.86956193563788</v>
      </c>
      <c r="G8" s="179">
        <f t="shared" si="0"/>
        <v>413.19668542743642</v>
      </c>
    </row>
    <row r="10" spans="1:7" x14ac:dyDescent="0.35">
      <c r="A10" s="9" t="s">
        <v>170</v>
      </c>
    </row>
    <row r="11" spans="1:7" x14ac:dyDescent="0.35">
      <c r="A11" s="192" t="str">
        <f>'Working Capital'!A13</f>
        <v>Creditor for Expense</v>
      </c>
      <c r="E11" s="83">
        <f>'Working Capital'!E13</f>
        <v>11.77297239239488</v>
      </c>
      <c r="F11" s="83">
        <f>'Working Capital'!F13</f>
        <v>15.241977583998002</v>
      </c>
      <c r="G11" s="83">
        <f>'Working Capital'!G13</f>
        <v>19.413806180756652</v>
      </c>
    </row>
    <row r="12" spans="1:7" x14ac:dyDescent="0.35">
      <c r="A12" s="9" t="str">
        <f>'Working Capital'!A14</f>
        <v>Creditor for raw material</v>
      </c>
      <c r="E12" s="83">
        <f>'Working Capital'!E14</f>
        <v>0</v>
      </c>
      <c r="F12" s="83">
        <f>'Working Capital'!F14</f>
        <v>0</v>
      </c>
      <c r="G12" s="83">
        <f>'Working Capital'!G14</f>
        <v>0</v>
      </c>
    </row>
    <row r="13" spans="1:7" x14ac:dyDescent="0.35">
      <c r="A13" s="192" t="str">
        <f>'Working Capital'!A15</f>
        <v>Alcoholic Beverages</v>
      </c>
      <c r="E13" s="83">
        <f>'Working Capital'!E15</f>
        <v>2.9808597110093551</v>
      </c>
      <c r="F13" s="83">
        <f>'Working Capital'!F15</f>
        <v>4.4046527102377295</v>
      </c>
      <c r="G13" s="83">
        <f>'Working Capital'!G15</f>
        <v>6.1181931313347624</v>
      </c>
    </row>
    <row r="14" spans="1:7" x14ac:dyDescent="0.35">
      <c r="A14" s="192" t="str">
        <f>'Working Capital'!A16</f>
        <v>Non Alcoholic Beverages</v>
      </c>
      <c r="E14" s="83">
        <f>'Working Capital'!E16</f>
        <v>2.8144812838061721</v>
      </c>
      <c r="F14" s="83">
        <f>'Working Capital'!F16</f>
        <v>4.1136568313863071</v>
      </c>
      <c r="G14" s="83">
        <f>'Working Capital'!G16</f>
        <v>5.6926428170118086</v>
      </c>
    </row>
    <row r="15" spans="1:7" x14ac:dyDescent="0.35">
      <c r="A15" s="192" t="str">
        <f>'Working Capital'!A17</f>
        <v>Food</v>
      </c>
      <c r="E15" s="83">
        <f>'Working Capital'!E17</f>
        <v>6.6698444148550555</v>
      </c>
      <c r="F15" s="83">
        <f>'Working Capital'!F17</f>
        <v>9.6531958392309889</v>
      </c>
      <c r="G15" s="83">
        <f>'Working Capital'!G17</f>
        <v>13.31140662343225</v>
      </c>
    </row>
    <row r="17" spans="1:7" x14ac:dyDescent="0.35">
      <c r="A17" s="151" t="s">
        <v>171</v>
      </c>
      <c r="B17" s="151"/>
      <c r="C17" s="151"/>
      <c r="D17" s="151"/>
      <c r="E17" s="179">
        <f>SUM(E11:E15)</f>
        <v>24.238157802065466</v>
      </c>
      <c r="F17" s="179">
        <f t="shared" ref="F17:G17" si="1">SUM(F11:F15)</f>
        <v>33.413482964853031</v>
      </c>
      <c r="G17" s="179">
        <f t="shared" si="1"/>
        <v>44.536048752535471</v>
      </c>
    </row>
    <row r="19" spans="1:7" x14ac:dyDescent="0.35">
      <c r="A19" s="151" t="s">
        <v>172</v>
      </c>
      <c r="B19" s="151"/>
      <c r="C19" s="151"/>
      <c r="D19" s="151"/>
      <c r="E19" s="179">
        <f>E8+E17</f>
        <v>231.28648319467399</v>
      </c>
      <c r="F19" s="179">
        <f t="shared" ref="F19:G19" si="2">F8+F17</f>
        <v>297.28304490049089</v>
      </c>
      <c r="G19" s="179">
        <f t="shared" si="2"/>
        <v>457.73273417997189</v>
      </c>
    </row>
    <row r="22" spans="1:7" x14ac:dyDescent="0.35">
      <c r="A22" s="84" t="s">
        <v>166</v>
      </c>
    </row>
    <row r="23" spans="1:7" x14ac:dyDescent="0.35">
      <c r="A23" s="9" t="s">
        <v>173</v>
      </c>
    </row>
    <row r="24" spans="1:7" x14ac:dyDescent="0.35">
      <c r="A24" s="192" t="str">
        <f>'Fixed Asset Schedule'!A4</f>
        <v>Kitchen Equipments and cutlery</v>
      </c>
      <c r="E24" s="83">
        <f>'Fixed Asset Schedule'!E9</f>
        <v>24.858630136986299</v>
      </c>
      <c r="F24" s="83">
        <f>'Fixed Asset Schedule'!F9</f>
        <v>21.129835616438353</v>
      </c>
      <c r="G24" s="83">
        <f>'Fixed Asset Schedule'!G9</f>
        <v>17.960360273972601</v>
      </c>
    </row>
    <row r="25" spans="1:7" x14ac:dyDescent="0.35">
      <c r="A25" s="192" t="str">
        <f>'Fixed Asset Schedule'!A12</f>
        <v>Refrigeration Equipments</v>
      </c>
      <c r="E25" s="83">
        <f>'Fixed Asset Schedule'!E17</f>
        <v>35.512328767123286</v>
      </c>
      <c r="F25" s="83">
        <f>'Fixed Asset Schedule'!F17</f>
        <v>30.185479452054793</v>
      </c>
      <c r="G25" s="83">
        <f>'Fixed Asset Schedule'!G17</f>
        <v>25.657657534246574</v>
      </c>
    </row>
    <row r="26" spans="1:7" x14ac:dyDescent="0.35">
      <c r="A26" s="192" t="str">
        <f>'Fixed Asset Schedule'!A20</f>
        <v>Furniture &amp; Fixtures</v>
      </c>
      <c r="E26" s="83">
        <f>'Fixed Asset Schedule'!E25</f>
        <v>41.634246575342466</v>
      </c>
      <c r="F26" s="83">
        <f>'Fixed Asset Schedule'!F25</f>
        <v>37.470821917808223</v>
      </c>
      <c r="G26" s="83">
        <f>'Fixed Asset Schedule'!G25</f>
        <v>33.723739726027404</v>
      </c>
    </row>
    <row r="27" spans="1:7" x14ac:dyDescent="0.35">
      <c r="A27" s="192" t="str">
        <f>'Fixed Asset Schedule'!A28</f>
        <v>Restaurants Décor</v>
      </c>
      <c r="E27" s="83">
        <f>'Fixed Asset Schedule'!E33</f>
        <v>55.512328767123286</v>
      </c>
      <c r="F27" s="83">
        <f>'Fixed Asset Schedule'!F33</f>
        <v>49.961095890410959</v>
      </c>
      <c r="G27" s="83">
        <f>'Fixed Asset Schedule'!G33</f>
        <v>44.964986301369862</v>
      </c>
    </row>
    <row r="30" spans="1:7" x14ac:dyDescent="0.35">
      <c r="A30" t="s">
        <v>174</v>
      </c>
      <c r="E30" s="83">
        <f>'Capital Structure'!C12</f>
        <v>10</v>
      </c>
      <c r="F30" s="83">
        <f>E30</f>
        <v>10</v>
      </c>
      <c r="G30" s="83">
        <f>F30</f>
        <v>10</v>
      </c>
    </row>
    <row r="32" spans="1:7" x14ac:dyDescent="0.35">
      <c r="A32" s="9" t="s">
        <v>136</v>
      </c>
    </row>
    <row r="33" spans="1:7" x14ac:dyDescent="0.35">
      <c r="A33" s="192" t="str">
        <f>'Working Capital'!A6</f>
        <v>Inventory</v>
      </c>
    </row>
    <row r="34" spans="1:7" x14ac:dyDescent="0.35">
      <c r="A34" s="192" t="str">
        <f>'Working Capital'!A7</f>
        <v>Alcoholic Beverages</v>
      </c>
      <c r="E34" s="83">
        <f>'Working Capital'!E7</f>
        <v>2.9808597110093551</v>
      </c>
      <c r="F34" s="83">
        <f>'Working Capital'!F7</f>
        <v>4.4046527102377295</v>
      </c>
      <c r="G34" s="83">
        <f>'Working Capital'!G7</f>
        <v>6.1181931313347624</v>
      </c>
    </row>
    <row r="35" spans="1:7" x14ac:dyDescent="0.35">
      <c r="A35" s="192" t="str">
        <f>'Working Capital'!A8</f>
        <v>Non Alcoholic Beverages</v>
      </c>
      <c r="E35" s="83">
        <f>'Working Capital'!E8</f>
        <v>1.4072406419030861</v>
      </c>
      <c r="F35" s="83">
        <f>'Working Capital'!F8</f>
        <v>2.0568284156931536</v>
      </c>
      <c r="G35" s="83">
        <f>'Working Capital'!G8</f>
        <v>2.8463214085059043</v>
      </c>
    </row>
    <row r="36" spans="1:7" x14ac:dyDescent="0.35">
      <c r="A36" s="192" t="str">
        <f>'Working Capital'!A9</f>
        <v>Food</v>
      </c>
      <c r="E36" s="83">
        <f>'Working Capital'!E9</f>
        <v>1.111640735809176</v>
      </c>
      <c r="F36" s="83">
        <f>'Working Capital'!F9</f>
        <v>1.6088659732051649</v>
      </c>
      <c r="G36" s="83">
        <f>'Working Capital'!G9</f>
        <v>2.2185677705720415</v>
      </c>
    </row>
    <row r="37" spans="1:7" x14ac:dyDescent="0.35">
      <c r="A37" t="s">
        <v>175</v>
      </c>
      <c r="E37" s="83">
        <f>'Cash Flow Statement'!E23</f>
        <v>58.269207859377019</v>
      </c>
      <c r="F37" s="83">
        <f>'Cash Flow Statement'!F23</f>
        <v>140.4654649246425</v>
      </c>
      <c r="G37" s="83">
        <f>'Cash Flow Statement'!G23</f>
        <v>314.24290803394274</v>
      </c>
    </row>
    <row r="39" spans="1:7" x14ac:dyDescent="0.35">
      <c r="A39" s="151" t="s">
        <v>176</v>
      </c>
      <c r="B39" s="151"/>
      <c r="C39" s="151"/>
      <c r="D39" s="151"/>
      <c r="E39" s="179">
        <f>SUM(E24:E27,E30:E30,E34:E37)</f>
        <v>231.28648319467396</v>
      </c>
      <c r="F39" s="179">
        <f t="shared" ref="F39:G39" si="3">SUM(F24:F27,F30:F30,F34:F37)</f>
        <v>297.28304490049089</v>
      </c>
      <c r="G39" s="179">
        <f t="shared" si="3"/>
        <v>457.73273417997189</v>
      </c>
    </row>
    <row r="41" spans="1:7" x14ac:dyDescent="0.35">
      <c r="A41" t="s">
        <v>177</v>
      </c>
      <c r="E41" s="83">
        <f>E19-E39</f>
        <v>0</v>
      </c>
      <c r="F41" s="83">
        <f>F19-F39</f>
        <v>0</v>
      </c>
      <c r="G41" s="83">
        <f>G19-G39</f>
        <v>0</v>
      </c>
    </row>
    <row r="44" spans="1:7" x14ac:dyDescent="0.35">
      <c r="A44" s="194" t="s">
        <v>91</v>
      </c>
      <c r="B44" s="194"/>
      <c r="C44" s="194"/>
      <c r="D44" s="194"/>
      <c r="E44" s="194"/>
      <c r="F44" s="194"/>
      <c r="G44" s="19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Assumptions</vt:lpstr>
      <vt:lpstr>Converter</vt:lpstr>
      <vt:lpstr>Monthly Revenue</vt:lpstr>
      <vt:lpstr>Monthly P&amp;L</vt:lpstr>
      <vt:lpstr>Capital Structure</vt:lpstr>
      <vt:lpstr>Fixed Asset Schedule</vt:lpstr>
      <vt:lpstr>Working Capital</vt:lpstr>
      <vt:lpstr>Annual P&amp;L</vt:lpstr>
      <vt:lpstr>Balance Sheet</vt:lpstr>
      <vt:lpstr>Cash Flow Statement</vt:lpstr>
      <vt:lpstr>Den</vt:lpstr>
      <vt:lpstr>deno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a-bvakauta</cp:lastModifiedBy>
  <dcterms:created xsi:type="dcterms:W3CDTF">2015-06-05T18:17:20Z</dcterms:created>
  <dcterms:modified xsi:type="dcterms:W3CDTF">2023-05-23T02:43:16Z</dcterms:modified>
</cp:coreProperties>
</file>