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shijaiswal/Downloads/"/>
    </mc:Choice>
  </mc:AlternateContent>
  <xr:revisionPtr revIDLastSave="0" documentId="13_ncr:1_{FDB25C28-6458-DB44-ADAE-01D7B3949FD5}" xr6:coauthVersionLast="47" xr6:coauthVersionMax="47" xr10:uidLastSave="{00000000-0000-0000-0000-000000000000}"/>
  <bookViews>
    <workbookView xWindow="0" yWindow="500" windowWidth="28800" windowHeight="16600" xr2:uid="{AF98D80D-A7C7-364C-9D34-F8985694A95C}"/>
  </bookViews>
  <sheets>
    <sheet name="WACC" sheetId="1" r:id="rId1"/>
    <sheet name="BETA-REGRESSION" sheetId="2" r:id="rId2"/>
    <sheet name="BETA-Peer Comps" sheetId="3" r:id="rId3"/>
    <sheet name="RM" sheetId="6" r:id="rId4"/>
    <sheet name="Intrinsic Growth" sheetId="12" r:id="rId5"/>
    <sheet name="DCF" sheetId="15" r:id="rId6"/>
    <sheet name="Summary" sheetId="18" r:id="rId7"/>
    <sheet name="Raw Data&gt;&gt;" sheetId="17" r:id="rId8"/>
    <sheet name="Data Sheet" sheetId="16" r:id="rId9"/>
    <sheet name="Historical FS " sheetId="14" r:id="rId10"/>
    <sheet name="BS AS" sheetId="10" r:id="rId11"/>
  </sheets>
  <externalReferences>
    <externalReference r:id="rId12"/>
  </externalReferences>
  <definedNames>
    <definedName name="_xlnm._FilterDatabase" localSheetId="1" hidden="1">'BETA-REGRESSION'!$B$7:$D$113</definedName>
    <definedName name="UPDATE" localSheetId="8">'Data Sheet'!$E$1</definedName>
    <definedName name="UPDATE" localSheetId="9">'[1]Data Sheet'!$E$1</definedName>
    <definedName name="UPDATE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44" i="15"/>
  <c r="E41" i="15"/>
  <c r="G40" i="12"/>
  <c r="G33" i="12"/>
  <c r="G30" i="12"/>
  <c r="G29" i="12"/>
  <c r="F8" i="6"/>
  <c r="E32" i="1"/>
  <c r="E31" i="15"/>
  <c r="P7" i="3"/>
  <c r="B6" i="16"/>
  <c r="E1" i="16"/>
  <c r="E42" i="15" l="1"/>
  <c r="I16" i="15"/>
  <c r="J16" i="15"/>
  <c r="K16" i="15" s="1"/>
  <c r="H16" i="15"/>
  <c r="H4" i="15" l="1"/>
  <c r="I4" i="15" s="1"/>
  <c r="J4" i="15" s="1"/>
  <c r="K4" i="15" s="1"/>
  <c r="F4" i="15"/>
  <c r="G4" i="15"/>
  <c r="M40" i="14"/>
  <c r="L34" i="14"/>
  <c r="L39" i="14" s="1"/>
  <c r="K34" i="14"/>
  <c r="K39" i="14" s="1"/>
  <c r="J34" i="14"/>
  <c r="J39" i="14" s="1"/>
  <c r="I34" i="14"/>
  <c r="I39" i="14" s="1"/>
  <c r="H34" i="14"/>
  <c r="H39" i="14" s="1"/>
  <c r="G34" i="14"/>
  <c r="G39" i="14" s="1"/>
  <c r="F34" i="14"/>
  <c r="F39" i="14" s="1"/>
  <c r="E34" i="14"/>
  <c r="E39" i="14" s="1"/>
  <c r="D34" i="14"/>
  <c r="D39" i="14" s="1"/>
  <c r="C34" i="14"/>
  <c r="C39" i="14" s="1"/>
  <c r="M28" i="14"/>
  <c r="L28" i="14"/>
  <c r="K28" i="14"/>
  <c r="J28" i="14"/>
  <c r="I28" i="14"/>
  <c r="H28" i="14"/>
  <c r="G28" i="14"/>
  <c r="F28" i="14"/>
  <c r="E28" i="14"/>
  <c r="D28" i="14"/>
  <c r="C28" i="14"/>
  <c r="M22" i="14"/>
  <c r="L22" i="14"/>
  <c r="K22" i="14"/>
  <c r="J22" i="14"/>
  <c r="I22" i="14"/>
  <c r="H22" i="14"/>
  <c r="G22" i="14"/>
  <c r="F22" i="14"/>
  <c r="E22" i="14"/>
  <c r="D22" i="14"/>
  <c r="C22" i="14"/>
  <c r="M19" i="14"/>
  <c r="L19" i="14"/>
  <c r="K19" i="14"/>
  <c r="J19" i="14"/>
  <c r="I19" i="14"/>
  <c r="H19" i="14"/>
  <c r="G19" i="14"/>
  <c r="F19" i="14"/>
  <c r="E19" i="14"/>
  <c r="D19" i="14"/>
  <c r="C19" i="14"/>
  <c r="M13" i="14"/>
  <c r="L13" i="14"/>
  <c r="K13" i="14"/>
  <c r="J13" i="14"/>
  <c r="I13" i="14"/>
  <c r="H13" i="14"/>
  <c r="G13" i="14"/>
  <c r="F13" i="14"/>
  <c r="E13" i="14"/>
  <c r="D13" i="14"/>
  <c r="C13" i="14"/>
  <c r="L8" i="14"/>
  <c r="K8" i="14"/>
  <c r="J8" i="14"/>
  <c r="I8" i="14"/>
  <c r="H8" i="14"/>
  <c r="G8" i="14"/>
  <c r="F8" i="14"/>
  <c r="E8" i="14"/>
  <c r="D8" i="14"/>
  <c r="C8" i="14"/>
  <c r="M5" i="14"/>
  <c r="M11" i="14" s="1"/>
  <c r="L5" i="14"/>
  <c r="K5" i="14"/>
  <c r="J5" i="14"/>
  <c r="I5" i="14"/>
  <c r="H5" i="14"/>
  <c r="G5" i="14"/>
  <c r="F5" i="14"/>
  <c r="E5" i="14"/>
  <c r="D5" i="14"/>
  <c r="C5" i="14"/>
  <c r="B2" i="14"/>
  <c r="J6" i="14" l="1"/>
  <c r="I6" i="14"/>
  <c r="H26" i="14"/>
  <c r="J9" i="14"/>
  <c r="H20" i="14"/>
  <c r="L23" i="14"/>
  <c r="J20" i="14"/>
  <c r="I20" i="14"/>
  <c r="H9" i="14"/>
  <c r="J26" i="14"/>
  <c r="G6" i="14"/>
  <c r="I9" i="14"/>
  <c r="E14" i="14"/>
  <c r="J23" i="14"/>
  <c r="K26" i="14"/>
  <c r="H14" i="14"/>
  <c r="M25" i="14"/>
  <c r="M29" i="14" s="1"/>
  <c r="G11" i="14"/>
  <c r="G16" i="14" s="1"/>
  <c r="G17" i="14" s="1"/>
  <c r="C9" i="14"/>
  <c r="K9" i="14"/>
  <c r="I14" i="14"/>
  <c r="H23" i="14"/>
  <c r="C26" i="14"/>
  <c r="D9" i="14"/>
  <c r="L9" i="14"/>
  <c r="J14" i="14"/>
  <c r="G23" i="14"/>
  <c r="E26" i="14"/>
  <c r="M9" i="14"/>
  <c r="J11" i="14"/>
  <c r="J16" i="14" s="1"/>
  <c r="J25" i="14" s="1"/>
  <c r="I34" i="12" s="1"/>
  <c r="G26" i="14"/>
  <c r="H11" i="14"/>
  <c r="H16" i="14" s="1"/>
  <c r="H25" i="14" s="1"/>
  <c r="G34" i="12" s="1"/>
  <c r="F26" i="14"/>
  <c r="K11" i="14"/>
  <c r="K16" i="14" s="1"/>
  <c r="K17" i="14" s="1"/>
  <c r="E9" i="14"/>
  <c r="E20" i="14"/>
  <c r="I11" i="14"/>
  <c r="I16" i="14" s="1"/>
  <c r="I25" i="14" s="1"/>
  <c r="H34" i="12" s="1"/>
  <c r="F20" i="14"/>
  <c r="I26" i="14"/>
  <c r="C11" i="14"/>
  <c r="C16" i="14" s="1"/>
  <c r="C17" i="14" s="1"/>
  <c r="F9" i="14"/>
  <c r="F14" i="14"/>
  <c r="C20" i="14"/>
  <c r="K20" i="14"/>
  <c r="E23" i="14"/>
  <c r="D6" i="14"/>
  <c r="G9" i="14"/>
  <c r="G14" i="14"/>
  <c r="D20" i="14"/>
  <c r="L20" i="14"/>
  <c r="F23" i="14"/>
  <c r="K14" i="14"/>
  <c r="M14" i="14"/>
  <c r="D23" i="14"/>
  <c r="L6" i="14"/>
  <c r="L11" i="14"/>
  <c r="L16" i="14" s="1"/>
  <c r="F6" i="15" s="1"/>
  <c r="H6" i="14"/>
  <c r="M17" i="14"/>
  <c r="G20" i="14"/>
  <c r="I23" i="14"/>
  <c r="D26" i="14"/>
  <c r="L26" i="14"/>
  <c r="D14" i="14"/>
  <c r="M32" i="14"/>
  <c r="D11" i="14"/>
  <c r="D16" i="14" s="1"/>
  <c r="E6" i="14"/>
  <c r="M6" i="14"/>
  <c r="E11" i="14"/>
  <c r="E16" i="14" s="1"/>
  <c r="C14" i="14"/>
  <c r="L14" i="14"/>
  <c r="C23" i="14"/>
  <c r="F6" i="14"/>
  <c r="F11" i="14"/>
  <c r="F16" i="14" s="1"/>
  <c r="M20" i="14"/>
  <c r="K23" i="14"/>
  <c r="K6" i="14"/>
  <c r="G36" i="12" l="1"/>
  <c r="G43" i="12"/>
  <c r="I17" i="14"/>
  <c r="H17" i="14"/>
  <c r="G25" i="14"/>
  <c r="G29" i="14" s="1"/>
  <c r="C25" i="14"/>
  <c r="C31" i="14" s="1"/>
  <c r="C36" i="14" s="1"/>
  <c r="K25" i="14"/>
  <c r="K29" i="14" s="1"/>
  <c r="K31" i="14"/>
  <c r="K32" i="14" s="1"/>
  <c r="F10" i="15"/>
  <c r="G6" i="15"/>
  <c r="J17" i="14"/>
  <c r="L17" i="14"/>
  <c r="L25" i="14"/>
  <c r="K34" i="12" s="1"/>
  <c r="H31" i="14"/>
  <c r="H29" i="14"/>
  <c r="I31" i="14"/>
  <c r="I29" i="14"/>
  <c r="E25" i="14"/>
  <c r="E17" i="14"/>
  <c r="G31" i="14"/>
  <c r="J31" i="14"/>
  <c r="J29" i="14"/>
  <c r="F25" i="14"/>
  <c r="F17" i="14"/>
  <c r="D17" i="14"/>
  <c r="D25" i="14"/>
  <c r="J34" i="12" l="1"/>
  <c r="C29" i="14"/>
  <c r="C32" i="14"/>
  <c r="K36" i="14"/>
  <c r="G10" i="15"/>
  <c r="H6" i="15"/>
  <c r="J36" i="14"/>
  <c r="K37" i="14" s="1"/>
  <c r="J32" i="14"/>
  <c r="H32" i="14"/>
  <c r="H36" i="14"/>
  <c r="L31" i="14"/>
  <c r="L29" i="14"/>
  <c r="D31" i="14"/>
  <c r="D29" i="14"/>
  <c r="E31" i="14"/>
  <c r="E29" i="14"/>
  <c r="C40" i="14"/>
  <c r="C42" i="14" s="1"/>
  <c r="F31" i="14"/>
  <c r="F29" i="14"/>
  <c r="I32" i="14"/>
  <c r="I36" i="14"/>
  <c r="K40" i="14"/>
  <c r="K42" i="14" s="1"/>
  <c r="G36" i="14"/>
  <c r="G32" i="14"/>
  <c r="I6" i="15" l="1"/>
  <c r="H10" i="15"/>
  <c r="L36" i="14"/>
  <c r="L32" i="14"/>
  <c r="I37" i="14"/>
  <c r="I40" i="14"/>
  <c r="I42" i="14" s="1"/>
  <c r="D36" i="14"/>
  <c r="D32" i="14"/>
  <c r="G40" i="14"/>
  <c r="G42" i="14" s="1"/>
  <c r="F32" i="14"/>
  <c r="F36" i="14"/>
  <c r="G37" i="14" s="1"/>
  <c r="H37" i="14"/>
  <c r="H40" i="14"/>
  <c r="H42" i="14" s="1"/>
  <c r="E36" i="14"/>
  <c r="E32" i="14"/>
  <c r="J37" i="14"/>
  <c r="J40" i="14"/>
  <c r="J42" i="14" s="1"/>
  <c r="J6" i="15" l="1"/>
  <c r="I10" i="15"/>
  <c r="F37" i="14"/>
  <c r="F40" i="14"/>
  <c r="F42" i="14" s="1"/>
  <c r="E37" i="14"/>
  <c r="E40" i="14"/>
  <c r="E42" i="14" s="1"/>
  <c r="D42" i="14"/>
  <c r="D37" i="14"/>
  <c r="D40" i="14"/>
  <c r="L37" i="14"/>
  <c r="L40" i="14"/>
  <c r="L42" i="14" s="1"/>
  <c r="H40" i="12"/>
  <c r="I40" i="12"/>
  <c r="J40" i="12"/>
  <c r="K40" i="12"/>
  <c r="H30" i="12"/>
  <c r="I30" i="12"/>
  <c r="J30" i="12"/>
  <c r="K3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H20" i="12"/>
  <c r="I20" i="12"/>
  <c r="J20" i="12"/>
  <c r="K20" i="12"/>
  <c r="G20" i="12"/>
  <c r="B28" i="12"/>
  <c r="B21" i="12"/>
  <c r="B22" i="12"/>
  <c r="B23" i="12"/>
  <c r="B24" i="12"/>
  <c r="B25" i="12"/>
  <c r="B26" i="12"/>
  <c r="B27" i="12"/>
  <c r="B20" i="12"/>
  <c r="G13" i="12"/>
  <c r="H13" i="12"/>
  <c r="I13" i="12"/>
  <c r="J13" i="12"/>
  <c r="K13" i="12"/>
  <c r="H12" i="12"/>
  <c r="I12" i="12"/>
  <c r="I14" i="12" s="1"/>
  <c r="J12" i="12"/>
  <c r="K12" i="12"/>
  <c r="G12" i="12"/>
  <c r="B13" i="12"/>
  <c r="B12" i="12"/>
  <c r="G8" i="12"/>
  <c r="H8" i="12"/>
  <c r="I8" i="12"/>
  <c r="J8" i="12"/>
  <c r="K8" i="12"/>
  <c r="H7" i="12"/>
  <c r="I7" i="12"/>
  <c r="J7" i="12"/>
  <c r="K7" i="12"/>
  <c r="G7" i="12"/>
  <c r="G6" i="12"/>
  <c r="H6" i="12"/>
  <c r="I6" i="12"/>
  <c r="J6" i="12"/>
  <c r="K6" i="12"/>
  <c r="H5" i="12"/>
  <c r="I5" i="12"/>
  <c r="J5" i="12"/>
  <c r="K5" i="12"/>
  <c r="G5" i="12"/>
  <c r="B8" i="12"/>
  <c r="B7" i="12"/>
  <c r="B6" i="12"/>
  <c r="B5" i="12"/>
  <c r="D30" i="10"/>
  <c r="E30" i="10"/>
  <c r="F30" i="10"/>
  <c r="G30" i="10"/>
  <c r="H30" i="10"/>
  <c r="I30" i="10"/>
  <c r="J30" i="10"/>
  <c r="K30" i="10"/>
  <c r="L30" i="10"/>
  <c r="M30" i="10"/>
  <c r="C30" i="10"/>
  <c r="G14" i="12" l="1"/>
  <c r="H14" i="12"/>
  <c r="K14" i="12"/>
  <c r="K6" i="15"/>
  <c r="K10" i="15" s="1"/>
  <c r="K14" i="15" s="1"/>
  <c r="J10" i="15"/>
  <c r="I43" i="12"/>
  <c r="I45" i="12" s="1"/>
  <c r="H29" i="12"/>
  <c r="H31" i="12" s="1"/>
  <c r="J14" i="12"/>
  <c r="G9" i="12"/>
  <c r="G17" i="12" s="1"/>
  <c r="H9" i="12"/>
  <c r="I29" i="12"/>
  <c r="I31" i="12" s="1"/>
  <c r="K9" i="12"/>
  <c r="I9" i="12"/>
  <c r="J29" i="12"/>
  <c r="J31" i="12" s="1"/>
  <c r="G31" i="12"/>
  <c r="J9" i="12"/>
  <c r="K29" i="12"/>
  <c r="K31" i="12" s="1"/>
  <c r="J43" i="12" l="1"/>
  <c r="J45" i="12" s="1"/>
  <c r="K43" i="12"/>
  <c r="K45" i="12" s="1"/>
  <c r="G45" i="12"/>
  <c r="H43" i="12"/>
  <c r="H45" i="12" s="1"/>
  <c r="H48" i="12" s="1"/>
  <c r="J42" i="1" l="1"/>
  <c r="J41" i="1"/>
  <c r="J39" i="1"/>
  <c r="J24" i="1"/>
  <c r="J26" i="1" s="1"/>
  <c r="J38" i="1" s="1"/>
  <c r="J44" i="1" s="1"/>
  <c r="E23" i="15" s="1"/>
  <c r="F6" i="6"/>
  <c r="E24" i="1"/>
  <c r="J32" i="1"/>
  <c r="J31" i="1"/>
  <c r="D32" i="1"/>
  <c r="G18" i="1"/>
  <c r="H18" i="1"/>
  <c r="G17" i="1"/>
  <c r="H17" i="1"/>
  <c r="I18" i="1"/>
  <c r="J18" i="1"/>
  <c r="I17" i="1"/>
  <c r="J17" i="1"/>
  <c r="F18" i="1"/>
  <c r="C33" i="1"/>
  <c r="C32" i="1"/>
  <c r="J12" i="1"/>
  <c r="J13" i="1"/>
  <c r="O7" i="3"/>
  <c r="O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5" i="3"/>
  <c r="J14" i="1"/>
  <c r="G14" i="1"/>
  <c r="H14" i="1"/>
  <c r="G12" i="1"/>
  <c r="G13" i="1"/>
  <c r="G15" i="1"/>
  <c r="G11" i="1"/>
  <c r="J16" i="2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5" i="3"/>
  <c r="J33" i="1"/>
  <c r="E33" i="1"/>
  <c r="E36" i="1" s="1"/>
  <c r="C34" i="1"/>
  <c r="D33" i="1" s="1"/>
  <c r="E25" i="1"/>
  <c r="F17" i="1"/>
  <c r="H12" i="1"/>
  <c r="H13" i="1"/>
  <c r="H15" i="1"/>
  <c r="H11" i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9" i="2"/>
  <c r="J11" i="1"/>
  <c r="E30" i="15" l="1"/>
  <c r="H17" i="15"/>
  <c r="I17" i="15"/>
  <c r="J17" i="15"/>
  <c r="G17" i="15"/>
  <c r="K17" i="15"/>
  <c r="K19" i="15" s="1"/>
  <c r="D36" i="1"/>
  <c r="J15" i="1"/>
  <c r="P4" i="3"/>
  <c r="P6" i="3"/>
  <c r="P5" i="3"/>
  <c r="J7" i="2"/>
  <c r="J13" i="2" s="1"/>
  <c r="D34" i="1" l="1"/>
  <c r="J34" i="1"/>
  <c r="J25" i="1" l="1"/>
  <c r="H17" i="12" l="1"/>
  <c r="H41" i="12" s="1"/>
  <c r="H47" i="12" s="1"/>
  <c r="K17" i="12"/>
  <c r="K33" i="12" s="1"/>
  <c r="K36" i="12" s="1"/>
  <c r="K57" i="12" s="1"/>
  <c r="I17" i="12"/>
  <c r="I41" i="12" s="1"/>
  <c r="I47" i="12" s="1"/>
  <c r="I48" i="12" s="1"/>
  <c r="I56" i="12" s="1"/>
  <c r="J17" i="12"/>
  <c r="J41" i="12" l="1"/>
  <c r="J47" i="12" s="1"/>
  <c r="J48" i="12" s="1"/>
  <c r="J56" i="12" s="1"/>
  <c r="H56" i="12"/>
  <c r="J33" i="12"/>
  <c r="J36" i="12" s="1"/>
  <c r="J57" i="12" s="1"/>
  <c r="K41" i="12"/>
  <c r="K47" i="12" s="1"/>
  <c r="K48" i="12" s="1"/>
  <c r="K56" i="12" s="1"/>
  <c r="K59" i="12" s="1"/>
  <c r="I33" i="12"/>
  <c r="I36" i="12" s="1"/>
  <c r="I57" i="12" s="1"/>
  <c r="I59" i="12" s="1"/>
  <c r="H33" i="12"/>
  <c r="H36" i="12" s="1"/>
  <c r="H57" i="12" s="1"/>
  <c r="J59" i="12" l="1"/>
  <c r="H59" i="12"/>
  <c r="K51" i="12"/>
  <c r="F12" i="15" s="1"/>
  <c r="K50" i="12"/>
  <c r="K62" i="12"/>
  <c r="E21" i="15" s="1"/>
  <c r="K61" i="12"/>
  <c r="G12" i="15" l="1"/>
  <c r="F14" i="15"/>
  <c r="E29" i="15" s="1"/>
  <c r="H12" i="15" l="1"/>
  <c r="G14" i="15"/>
  <c r="G19" i="15" s="1"/>
  <c r="I31" i="15"/>
  <c r="K30" i="15"/>
  <c r="J31" i="15"/>
  <c r="K29" i="15"/>
  <c r="I30" i="15"/>
  <c r="I29" i="15"/>
  <c r="J30" i="15"/>
  <c r="K31" i="15"/>
  <c r="J29" i="15"/>
  <c r="E33" i="15"/>
  <c r="E38" i="15" s="1"/>
  <c r="I12" i="15" l="1"/>
  <c r="H14" i="15"/>
  <c r="H19" i="15" s="1"/>
  <c r="J12" i="15" l="1"/>
  <c r="J14" i="15" s="1"/>
  <c r="J19" i="15" s="1"/>
  <c r="I14" i="15"/>
  <c r="I19" i="15" s="1"/>
  <c r="E37" i="15" s="1"/>
  <c r="E39" i="15" l="1"/>
  <c r="E43" i="15" l="1"/>
  <c r="E45" i="15" s="1"/>
  <c r="E48" i="15" s="1"/>
</calcChain>
</file>

<file path=xl/sharedStrings.xml><?xml version="1.0" encoding="utf-8"?>
<sst xmlns="http://schemas.openxmlformats.org/spreadsheetml/2006/main" count="628" uniqueCount="421">
  <si>
    <t xml:space="preserve"> Weighted Average Cost of Capital</t>
  </si>
  <si>
    <t>Peer Comps</t>
  </si>
  <si>
    <t>Name of the comp</t>
  </si>
  <si>
    <t>Country</t>
  </si>
  <si>
    <t>Total Debt</t>
  </si>
  <si>
    <t>Total Equity</t>
  </si>
  <si>
    <r>
      <t xml:space="preserve"> </t>
    </r>
    <r>
      <rPr>
        <sz val="12"/>
        <color theme="1"/>
        <rFont val="Aptos Narrow"/>
      </rPr>
      <t xml:space="preserve">TaxRate </t>
    </r>
    <r>
      <rPr>
        <vertAlign val="superscript"/>
        <sz val="12"/>
        <color theme="1"/>
        <rFont val="Aptos Narrow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</si>
  <si>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</si>
  <si>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</si>
  <si>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</si>
  <si>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</si>
  <si>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</si>
  <si>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2"/>
        <color theme="1"/>
        <rFont val="Aptos Narrow (Body)"/>
      </rPr>
      <t>2</t>
    </r>
  </si>
  <si>
    <r>
      <t xml:space="preserve">Beta </t>
    </r>
    <r>
      <rPr>
        <vertAlign val="superscript"/>
        <sz val="12"/>
        <color theme="1"/>
        <rFont val="Aptos Narrow (Body)"/>
      </rPr>
      <t>3</t>
    </r>
  </si>
  <si>
    <t>India</t>
  </si>
  <si>
    <t>Date</t>
  </si>
  <si>
    <t>Adj Close </t>
  </si>
  <si>
    <t>May 8, 2025</t>
  </si>
  <si>
    <t>May 5, 2025</t>
  </si>
  <si>
    <t>Apr 28, 2025</t>
  </si>
  <si>
    <t>Apr 21, 2025</t>
  </si>
  <si>
    <t>Apr 14, 2025</t>
  </si>
  <si>
    <t>Apr 7, 2025</t>
  </si>
  <si>
    <t>Mar 31, 2025</t>
  </si>
  <si>
    <t>Mar 24, 2025</t>
  </si>
  <si>
    <t>Mar 17, 2025</t>
  </si>
  <si>
    <t>Mar 10, 2025</t>
  </si>
  <si>
    <t>Mar 3, 2025</t>
  </si>
  <si>
    <t>Feb 24, 2025</t>
  </si>
  <si>
    <t>Feb 17, 2025</t>
  </si>
  <si>
    <t>Feb 10, 2025</t>
  </si>
  <si>
    <t>Feb 3, 2025</t>
  </si>
  <si>
    <t>Jan 27, 2025</t>
  </si>
  <si>
    <t>Jan 20, 2025</t>
  </si>
  <si>
    <t>Jan 13, 2025</t>
  </si>
  <si>
    <t>Jan 6, 2025</t>
  </si>
  <si>
    <t>Dec 30, 2024</t>
  </si>
  <si>
    <t>Dec 23, 2024</t>
  </si>
  <si>
    <t>Dec 16, 2024</t>
  </si>
  <si>
    <t>Dec 9, 2024</t>
  </si>
  <si>
    <t>Dec 2, 2024</t>
  </si>
  <si>
    <t>Nov 25, 2024</t>
  </si>
  <si>
    <t>Nov 18, 2024</t>
  </si>
  <si>
    <t>Nov 11, 2024</t>
  </si>
  <si>
    <t>Nov 4, 2024</t>
  </si>
  <si>
    <t>Oct 28, 2024</t>
  </si>
  <si>
    <t>Oct 21, 2024</t>
  </si>
  <si>
    <t>Oct 14, 2024</t>
  </si>
  <si>
    <t>Oct 7, 2024</t>
  </si>
  <si>
    <t>Sep 30, 2024</t>
  </si>
  <si>
    <t>Sep 23, 2024</t>
  </si>
  <si>
    <t>Sep 16, 2024</t>
  </si>
  <si>
    <t>Sep 9, 2024</t>
  </si>
  <si>
    <t>Sep 2, 2024</t>
  </si>
  <si>
    <t>Aug 26, 2024</t>
  </si>
  <si>
    <t>Aug 19, 2024</t>
  </si>
  <si>
    <t>Aug 12, 2024</t>
  </si>
  <si>
    <t>Aug 5, 2024</t>
  </si>
  <si>
    <t>Jul 29, 2024</t>
  </si>
  <si>
    <t>Jul 22, 2024</t>
  </si>
  <si>
    <t>Jul 15, 2024</t>
  </si>
  <si>
    <t>Jul 8, 2024</t>
  </si>
  <si>
    <t>Jul 1, 2024</t>
  </si>
  <si>
    <t>Jun 24, 2024</t>
  </si>
  <si>
    <t>Jun 17, 2024</t>
  </si>
  <si>
    <t>Jun 10, 2024</t>
  </si>
  <si>
    <t>Jun 3, 2024</t>
  </si>
  <si>
    <t>May 27, 2024</t>
  </si>
  <si>
    <t>May 20, 2024</t>
  </si>
  <si>
    <t>May 13, 2024</t>
  </si>
  <si>
    <t>May 6, 2024</t>
  </si>
  <si>
    <t>Apr 29, 2024</t>
  </si>
  <si>
    <t>Apr 22, 2024</t>
  </si>
  <si>
    <t>Apr 15, 2024</t>
  </si>
  <si>
    <t>Apr 8, 2024</t>
  </si>
  <si>
    <t>Apr 1, 2024</t>
  </si>
  <si>
    <t>Mar 25, 2024</t>
  </si>
  <si>
    <t>Mar 18, 2024</t>
  </si>
  <si>
    <t>Mar 11, 2024</t>
  </si>
  <si>
    <t>Mar 4, 2024</t>
  </si>
  <si>
    <t>Feb 26, 2024</t>
  </si>
  <si>
    <t>Feb 19, 2024</t>
  </si>
  <si>
    <t>Feb 12, 2024</t>
  </si>
  <si>
    <t>Feb 5, 2024</t>
  </si>
  <si>
    <t>Jan 29, 2024</t>
  </si>
  <si>
    <t>Jan 22, 2024</t>
  </si>
  <si>
    <t>Jan 15, 2024</t>
  </si>
  <si>
    <t>Jan 8, 2024</t>
  </si>
  <si>
    <t>Jan 1, 2024</t>
  </si>
  <si>
    <t>Dec 25, 2023</t>
  </si>
  <si>
    <t>Dec 18, 2023</t>
  </si>
  <si>
    <t>Dec 11, 2023</t>
  </si>
  <si>
    <t>Dec 4, 2023</t>
  </si>
  <si>
    <t>Nov 27, 2023</t>
  </si>
  <si>
    <t>Nov 20, 2023</t>
  </si>
  <si>
    <t>Nov 13, 2023</t>
  </si>
  <si>
    <t>Nov 6, 2023</t>
  </si>
  <si>
    <t>Oct 30, 2023</t>
  </si>
  <si>
    <t>Oct 23, 2023</t>
  </si>
  <si>
    <t>Oct 16, 2023</t>
  </si>
  <si>
    <t>Oct 9, 2023</t>
  </si>
  <si>
    <t>Oct 2, 2023</t>
  </si>
  <si>
    <t>Sep 25, 2023</t>
  </si>
  <si>
    <t>Sep 18, 2023</t>
  </si>
  <si>
    <t>Sep 11, 2023</t>
  </si>
  <si>
    <t>Sep 4, 2023</t>
  </si>
  <si>
    <t>Aug 28, 2023</t>
  </si>
  <si>
    <t>Aug 21, 2023</t>
  </si>
  <si>
    <t>Aug 14, 2023</t>
  </si>
  <si>
    <t>Aug 7, 2023</t>
  </si>
  <si>
    <t>Jul 31, 2023</t>
  </si>
  <si>
    <t>Jul 24, 2023</t>
  </si>
  <si>
    <t>Jul 17, 2023</t>
  </si>
  <si>
    <t>Jul 10, 2023</t>
  </si>
  <si>
    <t>Jul 3, 2023</t>
  </si>
  <si>
    <t>Jun 26, 2023</t>
  </si>
  <si>
    <t>Jun 19, 2023</t>
  </si>
  <si>
    <t>Jun 12, 2023</t>
  </si>
  <si>
    <t>Jun 5, 2023</t>
  </si>
  <si>
    <t>May 29, 2023</t>
  </si>
  <si>
    <t>May 22, 2023</t>
  </si>
  <si>
    <t>May 15, 2023</t>
  </si>
  <si>
    <t>May 8, 2023</t>
  </si>
  <si>
    <t>Closing Price</t>
  </si>
  <si>
    <t>Weekly Return</t>
  </si>
  <si>
    <t>Avenue Supermart Weekly Return</t>
  </si>
  <si>
    <t>NIFTY Returns</t>
  </si>
  <si>
    <t>Beta 1</t>
  </si>
  <si>
    <t>Beta 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</si>
  <si>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</si>
  <si>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</si>
  <si>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</si>
  <si>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</si>
  <si>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</si>
  <si>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</si>
  <si>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</si>
  <si>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</si>
  <si>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</si>
  <si>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</si>
  <si>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</si>
  <si>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</si>
  <si>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</si>
  <si>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</si>
  <si>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</si>
  <si>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</si>
  <si>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</si>
  <si>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</si>
  <si>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</si>
  <si>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</si>
  <si>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</si>
  <si>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</si>
  <si>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</si>
  <si>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</si>
  <si>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</si>
  <si>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</si>
  <si>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</si>
  <si>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 xml:space="preserve"> Raw Beta Weight</t>
  </si>
  <si>
    <t>Market Beta Weight</t>
  </si>
  <si>
    <t xml:space="preserve">Market Beta </t>
  </si>
  <si>
    <t>Adjusted Beta</t>
  </si>
  <si>
    <t>Regression Beta - 2 Years Weekly</t>
  </si>
  <si>
    <t>Average</t>
  </si>
  <si>
    <t>Median</t>
  </si>
  <si>
    <t>Cost of Debt</t>
  </si>
  <si>
    <t xml:space="preserve"> Pre-Tax Cost of Debt</t>
  </si>
  <si>
    <t>Tax Rate</t>
  </si>
  <si>
    <t>Post Tax Cost of Debt</t>
  </si>
  <si>
    <t>Cost of Equity</t>
  </si>
  <si>
    <t>Risk Free Rate</t>
  </si>
  <si>
    <t>Equity Risk Premium</t>
  </si>
  <si>
    <r>
      <t>Levered Beta</t>
    </r>
    <r>
      <rPr>
        <vertAlign val="superscript"/>
        <sz val="12"/>
        <color theme="1"/>
        <rFont val="Aptos Narrow (Body)"/>
      </rPr>
      <t xml:space="preserve"> 4</t>
    </r>
  </si>
  <si>
    <t>Capital Structure</t>
  </si>
  <si>
    <t>Current</t>
  </si>
  <si>
    <t>Target</t>
  </si>
  <si>
    <t>Market Capitalization</t>
  </si>
  <si>
    <t>Total Capital</t>
  </si>
  <si>
    <t>Levered Beta</t>
  </si>
  <si>
    <t>Comps Median Unlevered Beta</t>
  </si>
  <si>
    <t>Target Debt/Equity</t>
  </si>
  <si>
    <t>Debt/Equity</t>
  </si>
  <si>
    <t>Weighted Average Cost of Capital</t>
  </si>
  <si>
    <t>Notes:</t>
  </si>
  <si>
    <t>1. Tax Rate considered as Marginal Tax Rate for the company</t>
  </si>
  <si>
    <t>2. Levered Beta is based on 5 year monthly data</t>
  </si>
  <si>
    <t>3. Unlevered Data= Levered Beta/(1+(1-Tax Rate)*Debt/Equity</t>
  </si>
  <si>
    <t>3. Levered Data= Unlevered Beta*(1+(1-Tax Rate)*Debt/Equity</t>
  </si>
  <si>
    <t>Avenue Super.</t>
  </si>
  <si>
    <t>Trent</t>
  </si>
  <si>
    <t>Aditya Bir. Fas.</t>
  </si>
  <si>
    <t>Dec 6, 2023</t>
  </si>
  <si>
    <t>Jun 2, 2023</t>
  </si>
  <si>
    <t>ADITYA BIRLA</t>
  </si>
  <si>
    <t>TRENT</t>
  </si>
  <si>
    <t>DATE</t>
  </si>
  <si>
    <t>WEEKLY RETURN</t>
  </si>
  <si>
    <t>BETA</t>
  </si>
  <si>
    <t>COMPANY</t>
  </si>
  <si>
    <t>ADITYA BIRLA FAS.</t>
  </si>
  <si>
    <t>Medplus Health</t>
  </si>
  <si>
    <t>V-mart</t>
  </si>
  <si>
    <t>Vmart</t>
  </si>
  <si>
    <t>Year</t>
  </si>
  <si>
    <t>ANNUAL</t>
  </si>
  <si>
    <t>Return on Markets</t>
  </si>
  <si>
    <t>Average Return</t>
  </si>
  <si>
    <t>Dividend Yeild</t>
  </si>
  <si>
    <t xml:space="preserve"> </t>
  </si>
  <si>
    <r>
      <t xml:space="preserve">1.32% </t>
    </r>
    <r>
      <rPr>
        <vertAlign val="superscript"/>
        <sz val="12"/>
        <color theme="1"/>
        <rFont val="Aptos Narrow (Body)"/>
      </rPr>
      <t>1</t>
    </r>
  </si>
  <si>
    <t>Total Market Return</t>
  </si>
  <si>
    <t>Equity Weight</t>
  </si>
  <si>
    <t>Debt Weight</t>
  </si>
  <si>
    <t>WACC</t>
  </si>
  <si>
    <t>Years</t>
  </si>
  <si>
    <t>LTM</t>
  </si>
  <si>
    <t>#</t>
  </si>
  <si>
    <t>Inccome Statement</t>
  </si>
  <si>
    <t xml:space="preserve">Sales </t>
  </si>
  <si>
    <t>Sales growth</t>
  </si>
  <si>
    <t>COGS</t>
  </si>
  <si>
    <t>COGS %SALES</t>
  </si>
  <si>
    <t>Gross Profit</t>
  </si>
  <si>
    <t>Selling and general expenses</t>
  </si>
  <si>
    <t>S&amp;G exp% sales</t>
  </si>
  <si>
    <t>EBITDA</t>
  </si>
  <si>
    <t>EBITDA %SALES</t>
  </si>
  <si>
    <t>Interest</t>
  </si>
  <si>
    <t>Interest %sales</t>
  </si>
  <si>
    <t>Depreciation</t>
  </si>
  <si>
    <t>depreciation %sales</t>
  </si>
  <si>
    <t>Earnings Before Tax</t>
  </si>
  <si>
    <t>EBT %sales</t>
  </si>
  <si>
    <t>Tax</t>
  </si>
  <si>
    <t>Effective Tax Rate</t>
  </si>
  <si>
    <t>Net Profit</t>
  </si>
  <si>
    <t>Net Margins</t>
  </si>
  <si>
    <t>No. of Equity Shares (cr)</t>
  </si>
  <si>
    <t>EPS</t>
  </si>
  <si>
    <t>EPS growth %</t>
  </si>
  <si>
    <t>Dividend per Share</t>
  </si>
  <si>
    <t>Dividend Payout Ratio</t>
  </si>
  <si>
    <t>Retained Earnings</t>
  </si>
  <si>
    <t>Equity Share Capital</t>
  </si>
  <si>
    <t>Reserves</t>
  </si>
  <si>
    <t>Borrowings</t>
  </si>
  <si>
    <t>Other Liabilities</t>
  </si>
  <si>
    <t>Total Liabilities</t>
  </si>
  <si>
    <t>Capital Work in Progress</t>
  </si>
  <si>
    <t>Investments</t>
  </si>
  <si>
    <t>Other Assets</t>
  </si>
  <si>
    <t>Receivables</t>
  </si>
  <si>
    <t>Inventory</t>
  </si>
  <si>
    <t>Cash &amp; Bank</t>
  </si>
  <si>
    <t>Total Current Assets</t>
  </si>
  <si>
    <t>Total Assets</t>
  </si>
  <si>
    <t>Profit from operations</t>
  </si>
  <si>
    <t>Payables</t>
  </si>
  <si>
    <t>Loans Advances</t>
  </si>
  <si>
    <t>Other WC items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</si>
  <si>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</si>
  <si>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</si>
  <si>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</si>
  <si>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</si>
  <si>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</si>
  <si>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</si>
  <si>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</si>
  <si>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</si>
  <si>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</si>
  <si>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Other investing items</t>
  </si>
  <si>
    <t>Cash from Investing Activity</t>
  </si>
  <si>
    <t>Proceeds from shares</t>
  </si>
  <si>
    <t>Redemption of debentures</t>
  </si>
  <si>
    <t>Proceeds from borrowings</t>
  </si>
  <si>
    <t>Repayment of borrowings</t>
  </si>
  <si>
    <t>Interest paid fin</t>
  </si>
  <si>
    <t>Financial liabilities</t>
  </si>
  <si>
    <t>Other financing items</t>
  </si>
  <si>
    <t>Net Cash Flow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</si>
  <si>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</si>
  <si>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</si>
  <si>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</si>
  <si>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</si>
  <si>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</si>
  <si>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</si>
  <si>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</si>
  <si>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</si>
  <si>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</si>
  <si>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</si>
  <si>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</si>
  <si>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</si>
  <si>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</si>
  <si>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</si>
  <si>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</si>
  <si>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</si>
  <si>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</si>
  <si>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</si>
  <si>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</si>
  <si>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</si>
  <si>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</si>
  <si>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</si>
  <si>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</si>
  <si>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</si>
  <si>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</si>
  <si>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</si>
  <si>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</si>
  <si>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</si>
  <si>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</si>
  <si>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</si>
  <si>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</si>
  <si>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Financing Activity</t>
  </si>
  <si>
    <t>PRICE:</t>
  </si>
  <si>
    <t>DERIVED:</t>
  </si>
  <si>
    <t>Adjusted Equity Shares in Cr</t>
  </si>
  <si>
    <t>Equity Capital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</si>
  <si>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</si>
  <si>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</si>
  <si>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</si>
  <si>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</si>
  <si>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</si>
  <si>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</si>
  <si>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</si>
  <si>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</si>
  <si>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Other liability items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</si>
  <si>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</si>
  <si>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</si>
  <si>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</si>
  <si>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</si>
  <si>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</si>
  <si>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</si>
  <si>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</si>
  <si>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</si>
  <si>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</si>
  <si>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</si>
  <si>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</si>
  <si>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</si>
  <si>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 -</t>
  </si>
  <si>
    <t>Inventories</t>
  </si>
  <si>
    <t>Cash Equivalents</t>
  </si>
  <si>
    <t>Loans n Advances</t>
  </si>
  <si>
    <t>Other asset items</t>
  </si>
  <si>
    <t>Particulars</t>
  </si>
  <si>
    <t xml:space="preserve"> 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</si>
  <si>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</si>
  <si>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</si>
  <si>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</si>
  <si>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</si>
  <si>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</si>
  <si>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</si>
  <si>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</si>
  <si>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</si>
  <si>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ROIC</t>
  </si>
  <si>
    <t xml:space="preserve"> Calculation of Reinvestment Rate</t>
  </si>
  <si>
    <t>Net Capex</t>
  </si>
  <si>
    <t>Cash from Operating Activity -</t>
  </si>
  <si>
    <t>Working capital changes</t>
  </si>
  <si>
    <t>Cash from Investing Activity -</t>
  </si>
  <si>
    <t>Cash from Financing Activity -</t>
  </si>
  <si>
    <t>Computers</t>
  </si>
  <si>
    <t>Trade receivables</t>
  </si>
  <si>
    <t>Net block</t>
  </si>
  <si>
    <t>Operating investments</t>
  </si>
  <si>
    <t>Investment income</t>
  </si>
  <si>
    <t>Proceeds from debentures</t>
  </si>
  <si>
    <t>Share application money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</si>
  <si>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</si>
  <si>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</si>
  <si>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</si>
  <si>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</si>
  <si>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</si>
  <si>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</si>
  <si>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</si>
  <si>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 xml:space="preserve"> Calculation of Growth Rate</t>
  </si>
  <si>
    <t>Intrinsic Growth</t>
  </si>
  <si>
    <t>-</t>
  </si>
  <si>
    <t>Calculation of PV of FCFF</t>
  </si>
  <si>
    <t>Less: Reinvestment Rate</t>
  </si>
  <si>
    <t>Free Cash Flow to Firm (FCFF)</t>
  </si>
  <si>
    <t>EBIT( 1-Tax)</t>
  </si>
  <si>
    <r>
      <t>DMart's reinvestment rate is currently high (94%) due to its expansion strategy, significantly above the sector average. This is expected to moderate in the long term as the business matures.</t>
    </r>
    <r>
      <rPr>
        <sz val="14"/>
        <color theme="0" tint="-0.34998626667073579"/>
        <rFont val="-webkit-standard"/>
      </rPr>
      <t>"</t>
    </r>
  </si>
  <si>
    <t>Mid Year Convention</t>
  </si>
  <si>
    <t>Discounting Factor</t>
  </si>
  <si>
    <t>PV of FCFF</t>
  </si>
  <si>
    <t xml:space="preserve">Expected Growth </t>
  </si>
  <si>
    <t>Terminal Growth</t>
  </si>
  <si>
    <t>Calculation of Terminal Value</t>
  </si>
  <si>
    <t>FCFF(N+1)</t>
  </si>
  <si>
    <t>Terminal Growth Rate</t>
  </si>
  <si>
    <t>Terminnal Value</t>
  </si>
  <si>
    <t>Calculation of Equity Value</t>
  </si>
  <si>
    <t>PV ofTerminal Value</t>
  </si>
  <si>
    <t>Value of Operating Asset</t>
  </si>
  <si>
    <t>Add: Cash</t>
  </si>
  <si>
    <t>Less:Debt</t>
  </si>
  <si>
    <t>Value of Equity</t>
  </si>
  <si>
    <t>No. of Shares</t>
  </si>
  <si>
    <t>AVENUE SUPERMARTS LTD</t>
  </si>
  <si>
    <t>Equity Value per Share</t>
  </si>
  <si>
    <t>Share Price</t>
  </si>
  <si>
    <t>Discount/Premium</t>
  </si>
  <si>
    <t>Sensitivity Analysis</t>
  </si>
  <si>
    <t>Terminal Growth--&gt;</t>
  </si>
  <si>
    <t>DCF Valuation Summary (in INR Crores)</t>
  </si>
  <si>
    <t>Valuation Conclusion:</t>
  </si>
  <si>
    <t>This suggests that the market may be factoring in aggressive future growth or non-fundamental sentiment</t>
  </si>
  <si>
    <t>Unless justified by extraordinary future performance, the current price seems significantly stretched relative to intrinsic value</t>
  </si>
  <si>
    <r>
      <t>Present Value of FCFF:</t>
    </r>
    <r>
      <rPr>
        <sz val="14"/>
        <color rgb="FF000000"/>
        <rFont val="Aptos Narrow"/>
        <family val="2"/>
        <scheme val="minor"/>
      </rPr>
      <t> ₹4,943.07 Cr</t>
    </r>
  </si>
  <si>
    <r>
      <t>Present Value of Terminal Value:</t>
    </r>
    <r>
      <rPr>
        <sz val="14"/>
        <color rgb="FF000000"/>
        <rFont val="Aptos Narrow"/>
        <family val="2"/>
        <scheme val="minor"/>
      </rPr>
      <t> ₹920.75 Cr</t>
    </r>
  </si>
  <si>
    <r>
      <t>Enterprise Value (Operating Assets):</t>
    </r>
    <r>
      <rPr>
        <sz val="14"/>
        <color rgb="FF000000"/>
        <rFont val="Aptos Narrow"/>
        <family val="2"/>
        <scheme val="minor"/>
      </rPr>
      <t> ₹5,863.82 Cr</t>
    </r>
  </si>
  <si>
    <r>
      <t>Add: Cash:</t>
    </r>
    <r>
      <rPr>
        <sz val="14"/>
        <color rgb="FF000000"/>
        <rFont val="Aptos Narrow"/>
        <family val="2"/>
        <scheme val="minor"/>
      </rPr>
      <t> ₹638.18 Cr</t>
    </r>
  </si>
  <si>
    <r>
      <t>Less: Debt:</t>
    </r>
    <r>
      <rPr>
        <sz val="14"/>
        <color rgb="FF000000"/>
        <rFont val="Aptos Narrow"/>
        <family val="2"/>
        <scheme val="minor"/>
      </rPr>
      <t> ₹0.00 Cr</t>
    </r>
  </si>
  <si>
    <r>
      <t>Equity Value:</t>
    </r>
    <r>
      <rPr>
        <sz val="14"/>
        <color rgb="FF000000"/>
        <rFont val="Aptos Narrow"/>
        <family val="2"/>
        <scheme val="minor"/>
      </rPr>
      <t> ₹6,501.99 Cr</t>
    </r>
  </si>
  <si>
    <r>
      <t>Number of Shares:</t>
    </r>
    <r>
      <rPr>
        <sz val="14"/>
        <color rgb="FF000000"/>
        <rFont val="Aptos Narrow"/>
        <family val="2"/>
        <scheme val="minor"/>
      </rPr>
      <t> 65.07 Cr</t>
    </r>
  </si>
  <si>
    <r>
      <t>Intrinsic Value per Share:</t>
    </r>
    <r>
      <rPr>
        <sz val="14"/>
        <color rgb="FF000000"/>
        <rFont val="Aptos Narrow"/>
        <family val="2"/>
        <scheme val="minor"/>
      </rPr>
      <t> ₹99.92</t>
    </r>
  </si>
  <si>
    <r>
      <t>Current Market Price per Share:</t>
    </r>
    <r>
      <rPr>
        <sz val="14"/>
        <color rgb="FF000000"/>
        <rFont val="Aptos Narrow"/>
        <family val="2"/>
        <scheme val="minor"/>
      </rPr>
      <t> ₹4,022.00</t>
    </r>
  </si>
  <si>
    <r>
      <t>The stock appears to be </t>
    </r>
    <r>
      <rPr>
        <b/>
        <sz val="14"/>
        <color rgb="FF000000"/>
        <rFont val="Aptos Narrow"/>
        <family val="2"/>
        <scheme val="minor"/>
      </rPr>
      <t>overvalued by ~39.25%</t>
    </r>
    <r>
      <rPr>
        <sz val="14"/>
        <color rgb="FF000000"/>
        <rFont val="Aptos Narrow"/>
        <family val="2"/>
        <scheme val="minor"/>
      </rPr>
      <t> based on the intrinsic DCF valuation. . .</t>
    </r>
  </si>
  <si>
    <t>Balance Sheet</t>
  </si>
  <si>
    <t>Cash Flow Statement</t>
  </si>
  <si>
    <t>All figures are in INR Cr unless stated otherwise</t>
  </si>
  <si>
    <t>This table updates intrinsic value based on WACC and terminal growth inputs. All values in ₹ crore."</t>
  </si>
  <si>
    <r>
      <t>Based on the Discounted Cash Flow (DCF) model, the estimated intrinsic value of </t>
    </r>
    <r>
      <rPr>
        <b/>
        <sz val="12"/>
        <color rgb="FF000000"/>
        <rFont val="Aptos Narrow"/>
        <family val="2"/>
        <scheme val="minor"/>
      </rPr>
      <t>Avenue Supermarts Ltd.</t>
    </r>
    <r>
      <rPr>
        <sz val="12"/>
        <color rgb="FF000000"/>
        <rFont val="Aptos Narrow"/>
        <family val="2"/>
        <scheme val="minor"/>
      </rPr>
      <t> is approximately </t>
    </r>
    <r>
      <rPr>
        <b/>
        <sz val="12"/>
        <color rgb="FF000000"/>
        <rFont val="Aptos Narrow"/>
        <family val="2"/>
        <scheme val="minor"/>
      </rPr>
      <t>₹115 per share</t>
    </r>
    <r>
      <rPr>
        <sz val="12"/>
        <color rgb="FF000000"/>
        <rFont val="Aptos Narrow"/>
        <family val="2"/>
        <scheme val="minor"/>
      </rPr>
      <t>, using a </t>
    </r>
    <r>
      <rPr>
        <b/>
        <sz val="12"/>
        <color rgb="FF000000"/>
        <rFont val="Aptos Narrow"/>
        <family val="2"/>
        <scheme val="minor"/>
      </rPr>
      <t>WACC of 14%</t>
    </r>
    <r>
      <rPr>
        <sz val="12"/>
        <color rgb="FF000000"/>
        <rFont val="Aptos Narrow"/>
        <family val="2"/>
        <scheme val="minor"/>
      </rPr>
      <t> and a </t>
    </r>
    <r>
      <rPr>
        <b/>
        <sz val="12"/>
        <color rgb="FF000000"/>
        <rFont val="Aptos Narrow"/>
        <family val="2"/>
        <scheme val="minor"/>
      </rPr>
      <t>terminal growth rate of 4%</t>
    </r>
    <r>
      <rPr>
        <sz val="12"/>
        <color rgb="FF000000"/>
        <rFont val="Aptos Narrow"/>
        <family val="2"/>
        <scheme val="minor"/>
      </rPr>
      <t> as the base case.</t>
    </r>
  </si>
  <si>
    <r>
      <t>The dynamic sensitivity analysis, varying WACC between </t>
    </r>
    <r>
      <rPr>
        <b/>
        <sz val="12"/>
        <color rgb="FF000000"/>
        <rFont val="Aptos Narrow"/>
        <family val="2"/>
        <scheme val="minor"/>
      </rPr>
      <t>13.5% and 14.5%</t>
    </r>
    <r>
      <rPr>
        <sz val="12"/>
        <color rgb="FF000000"/>
        <rFont val="Aptos Narrow"/>
        <family val="2"/>
        <scheme val="minor"/>
      </rPr>
      <t> and terminal growth between </t>
    </r>
    <r>
      <rPr>
        <b/>
        <sz val="12"/>
        <color rgb="FF000000"/>
        <rFont val="Aptos Narrow"/>
        <family val="2"/>
        <scheme val="minor"/>
      </rPr>
      <t>3.5% and 4.5%</t>
    </r>
    <r>
      <rPr>
        <sz val="12"/>
        <color rgb="FF000000"/>
        <rFont val="Aptos Narrow"/>
        <family val="2"/>
        <scheme val="minor"/>
      </rPr>
      <t>, yields a valuation range of </t>
    </r>
    <r>
      <rPr>
        <b/>
        <sz val="12"/>
        <color rgb="FF000000"/>
        <rFont val="Aptos Narrow"/>
        <family val="2"/>
        <scheme val="minor"/>
      </rPr>
      <t>₹105 to ₹125 per share</t>
    </r>
    <r>
      <rPr>
        <sz val="12"/>
        <color rgb="FF000000"/>
        <rFont val="Aptos Narrow"/>
        <family val="2"/>
        <scheme val="minor"/>
      </rPr>
      <t>.</t>
    </r>
  </si>
  <si>
    <r>
      <t>Given this range and current growth prospects, the valuation indicates a </t>
    </r>
    <r>
      <rPr>
        <b/>
        <sz val="12"/>
        <color rgb="FF000000"/>
        <rFont val="Aptos Narrow"/>
        <family val="2"/>
        <scheme val="minor"/>
      </rPr>
      <t>Hold</t>
    </r>
    <r>
      <rPr>
        <sz val="12"/>
        <color rgb="FF000000"/>
        <rFont val="Aptos Narrow"/>
        <family val="2"/>
        <scheme val="minor"/>
      </rPr>
      <t> stance at current market levels, with potential upside if margins or growth improve.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</si>
</sst>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7" formatCode="&quot;₹&quot;#,##0.00_);\(&quot;₹&quot;#,##0.00\)"/>
    <numFmt numFmtId="43" formatCode="_(* #,##0.00_);_(* \(#,##0.00\);_(* &quot;-&quot;??_);_(@_)"/>
    <numFmt numFmtId="164" formatCode="0.0"/>
    <numFmt numFmtId="165" formatCode="yyyy\-mm\-dd;@"/>
    <numFmt numFmtId="166" formatCode="#,##0.0_);\(#,##0.0\)"/>
    <numFmt numFmtId="167" formatCode="#,##0.0"/>
    <numFmt numFmtId="168" formatCode="0.0%"/>
    <numFmt numFmtId="169" formatCode="[$-409]mmm\-yy;@"/>
    <numFmt numFmtId="170" formatCode="&quot;₹&quot;#,##0.0_);\(&quot;₹&quot;#,##0.0\)"/>
    <numFmt numFmtId="171" formatCode="&quot;₹&quot;#,##0.00"/>
    <numFmt numFmtId="172" formatCode="0.00_);\(0.00\)"/>
    <numFmt numFmtId="173" formatCode="_ * #,##0.00_ ;_ * \-#,##0.00_ ;_ * &quot;-&quot;??_ ;_ @_ "/>
    <numFmt numFmtId="174" formatCode="0.0_);\(0.0\)"/>
    <numFmt numFmtId="175" formatCode="mmm\-yy\A"/>
    <numFmt numFmtId="176" formatCode="mmm\-yy\F"/>
    <numFmt numFmtId="177" formatCode="0.000"/>
    <numFmt numFmtId="178" formatCode="0.00\x"/>
  </numFmts>
  <fonts count="50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i/>
      <sz val="10"/>
      <color theme="1"/>
      <name val="Aptos Narrow"/>
      <scheme val="minor"/>
    </font>
    <font>
      <vertAlign val="superscript"/>
      <sz val="12"/>
      <color theme="1"/>
      <name val="Aptos Narrow"/>
    </font>
    <font>
      <sz val="12"/>
      <color theme="1"/>
      <name val="Aptos Narrow"/>
    </font>
    <font>
      <vertAlign val="superscript"/>
      <sz val="12"/>
      <color theme="1"/>
      <name val="Aptos Narrow (Body)"/>
    </font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  <font>
      <sz val="14"/>
      <color rgb="FFE3E3E3"/>
      <name val="Helvetica Neue"/>
      <family val="2"/>
    </font>
    <font>
      <sz val="12"/>
      <color theme="1"/>
      <name val="Helvetica Neue"/>
      <family val="2"/>
    </font>
    <font>
      <sz val="12"/>
      <color theme="0"/>
      <name val="Aptos Narrow"/>
      <family val="2"/>
      <scheme val="minor"/>
    </font>
    <font>
      <b/>
      <sz val="3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rgb="FF002F90"/>
      <name val="Aptos Narrow"/>
      <family val="2"/>
      <scheme val="minor"/>
    </font>
    <font>
      <sz val="12"/>
      <color theme="1"/>
      <name val="Aptos Narrow"/>
      <scheme val="minor"/>
    </font>
    <font>
      <i/>
      <sz val="9"/>
      <color theme="1"/>
      <name val="Aptos Narrow"/>
      <scheme val="minor"/>
    </font>
    <font>
      <sz val="11"/>
      <color rgb="FF3333FF"/>
      <name val="Calibri"/>
      <family val="2"/>
    </font>
    <font>
      <sz val="11"/>
      <color theme="3" tint="0.249977111117893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u/>
      <sz val="11"/>
      <color theme="10"/>
      <name val="Calibri"/>
      <family val="2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22222F"/>
      <name val="Arial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2222F"/>
      <name val="Arial"/>
      <family val="2"/>
    </font>
    <font>
      <sz val="12"/>
      <color rgb="FF003199"/>
      <name val="Aptos Narrow"/>
      <family val="2"/>
      <scheme val="minor"/>
    </font>
    <font>
      <sz val="12"/>
      <color rgb="FF18246D"/>
      <name val="Aptos Narrow"/>
      <family val="2"/>
      <scheme val="minor"/>
    </font>
    <font>
      <i/>
      <sz val="12"/>
      <color theme="0" tint="-0.34998626667073579"/>
      <name val="Aptos Narrow"/>
      <family val="2"/>
      <scheme val="minor"/>
    </font>
    <font>
      <sz val="14"/>
      <color theme="0" tint="-0.34998626667073579"/>
      <name val="-webkit-standard"/>
    </font>
    <font>
      <sz val="12"/>
      <color rgb="FF14156D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3.5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rgb="FF22222F"/>
      <name val="Arial"/>
      <family val="2"/>
    </font>
    <font>
      <b/>
      <sz val="12"/>
      <color theme="0"/>
      <name val="Arial"/>
      <family val="2"/>
    </font>
    <font>
      <i/>
      <sz val="9"/>
      <color theme="0" tint="-0.499984740745262"/>
      <name val="-webkit-standard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4"/>
      <color theme="0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F9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031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rgb="FF14156D"/>
        <bgColor indexed="64"/>
      </patternFill>
    </fill>
    <fill>
      <patternFill patternType="solid">
        <fgColor rgb="FF18246D"/>
        <bgColor indexed="64"/>
      </patternFill>
    </fill>
    <fill>
      <patternFill patternType="solid">
        <fgColor rgb="FFDFFF00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3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7" borderId="0" applyNumberFormat="0" applyBorder="0" applyAlignment="0" applyProtection="0"/>
  </cellStyleXfs>
  <cellXfs count="18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7" fillId="0" borderId="0" xfId="0" applyFont="1"/>
    <xf numFmtId="10" fontId="7" fillId="0" borderId="0" xfId="0" applyNumberFormat="1" applyFont="1"/>
    <xf numFmtId="10" fontId="0" fillId="0" borderId="0" xfId="1" applyNumberFormat="1" applyFont="1"/>
    <xf numFmtId="0" fontId="10" fillId="0" borderId="0" xfId="0" applyFont="1"/>
    <xf numFmtId="4" fontId="10" fillId="0" borderId="0" xfId="0" applyNumberFormat="1" applyFont="1"/>
    <xf numFmtId="3" fontId="10" fillId="0" borderId="0" xfId="0" applyNumberFormat="1" applyFont="1"/>
    <xf numFmtId="165" fontId="10" fillId="0" borderId="0" xfId="0" applyNumberFormat="1" applyFont="1"/>
    <xf numFmtId="14" fontId="10" fillId="0" borderId="0" xfId="0" applyNumberFormat="1" applyFont="1"/>
    <xf numFmtId="14" fontId="8" fillId="0" borderId="0" xfId="0" applyNumberFormat="1" applyFont="1"/>
    <xf numFmtId="14" fontId="0" fillId="0" borderId="0" xfId="0" applyNumberFormat="1"/>
    <xf numFmtId="14" fontId="9" fillId="0" borderId="0" xfId="0" applyNumberFormat="1" applyFont="1"/>
    <xf numFmtId="166" fontId="0" fillId="0" borderId="0" xfId="0" applyNumberFormat="1"/>
    <xf numFmtId="166" fontId="10" fillId="0" borderId="0" xfId="0" applyNumberFormat="1" applyFont="1"/>
    <xf numFmtId="10" fontId="10" fillId="0" borderId="0" xfId="1" applyNumberFormat="1" applyFont="1"/>
    <xf numFmtId="14" fontId="8" fillId="0" borderId="3" xfId="0" applyNumberFormat="1" applyFont="1" applyBorder="1"/>
    <xf numFmtId="4" fontId="12" fillId="0" borderId="0" xfId="0" applyNumberFormat="1" applyFont="1"/>
    <xf numFmtId="164" fontId="10" fillId="0" borderId="0" xfId="0" applyNumberFormat="1" applyFont="1"/>
    <xf numFmtId="164" fontId="8" fillId="0" borderId="3" xfId="0" applyNumberFormat="1" applyFont="1" applyBorder="1" applyAlignment="1">
      <alignment horizontal="right"/>
    </xf>
    <xf numFmtId="14" fontId="8" fillId="0" borderId="3" xfId="0" applyNumberFormat="1" applyFont="1" applyBorder="1" applyAlignment="1">
      <alignment horizontal="right"/>
    </xf>
    <xf numFmtId="14" fontId="11" fillId="3" borderId="0" xfId="0" applyNumberFormat="1" applyFont="1" applyFill="1"/>
    <xf numFmtId="2" fontId="0" fillId="0" borderId="0" xfId="0" applyNumberFormat="1"/>
    <xf numFmtId="0" fontId="0" fillId="0" borderId="4" xfId="0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9" fontId="0" fillId="0" borderId="0" xfId="0" applyNumberFormat="1"/>
    <xf numFmtId="2" fontId="0" fillId="0" borderId="0" xfId="1" applyNumberFormat="1" applyFont="1"/>
    <xf numFmtId="9" fontId="0" fillId="0" borderId="0" xfId="1" applyFont="1"/>
    <xf numFmtId="0" fontId="0" fillId="5" borderId="0" xfId="0" applyFill="1"/>
    <xf numFmtId="2" fontId="0" fillId="5" borderId="0" xfId="0" applyNumberFormat="1" applyFill="1"/>
    <xf numFmtId="14" fontId="11" fillId="4" borderId="0" xfId="0" applyNumberFormat="1" applyFont="1" applyFill="1" applyAlignment="1">
      <alignment horizontal="center"/>
    </xf>
    <xf numFmtId="10" fontId="0" fillId="6" borderId="0" xfId="1" applyNumberFormat="1" applyFont="1" applyFill="1"/>
    <xf numFmtId="2" fontId="0" fillId="6" borderId="0" xfId="1" applyNumberFormat="1" applyFont="1" applyFill="1"/>
    <xf numFmtId="0" fontId="8" fillId="0" borderId="1" xfId="0" applyFont="1" applyBorder="1"/>
    <xf numFmtId="0" fontId="8" fillId="0" borderId="2" xfId="0" applyFont="1" applyBorder="1"/>
    <xf numFmtId="2" fontId="15" fillId="0" borderId="1" xfId="0" applyNumberFormat="1" applyFont="1" applyBorder="1"/>
    <xf numFmtId="2" fontId="15" fillId="0" borderId="2" xfId="0" applyNumberFormat="1" applyFont="1" applyBorder="1"/>
    <xf numFmtId="0" fontId="0" fillId="0" borderId="6" xfId="0" applyBorder="1"/>
    <xf numFmtId="0" fontId="0" fillId="0" borderId="7" xfId="0" applyBorder="1"/>
    <xf numFmtId="10" fontId="0" fillId="6" borderId="6" xfId="0" applyNumberFormat="1" applyFill="1" applyBorder="1"/>
    <xf numFmtId="0" fontId="8" fillId="0" borderId="2" xfId="0" applyFont="1" applyBorder="1" applyAlignment="1">
      <alignment horizontal="right"/>
    </xf>
    <xf numFmtId="10" fontId="14" fillId="0" borderId="0" xfId="1" applyNumberFormat="1" applyFont="1"/>
    <xf numFmtId="9" fontId="0" fillId="0" borderId="7" xfId="0" applyNumberFormat="1" applyBorder="1"/>
    <xf numFmtId="10" fontId="0" fillId="0" borderId="0" xfId="0" applyNumberFormat="1"/>
    <xf numFmtId="10" fontId="14" fillId="0" borderId="0" xfId="0" applyNumberFormat="1" applyFont="1"/>
    <xf numFmtId="10" fontId="0" fillId="0" borderId="7" xfId="0" applyNumberFormat="1" applyBorder="1"/>
    <xf numFmtId="10" fontId="0" fillId="6" borderId="0" xfId="0" applyNumberFormat="1" applyFill="1"/>
    <xf numFmtId="10" fontId="0" fillId="6" borderId="7" xfId="0" applyNumberFormat="1" applyFill="1" applyBorder="1"/>
    <xf numFmtId="2" fontId="0" fillId="6" borderId="7" xfId="0" applyNumberFormat="1" applyFill="1" applyBorder="1"/>
    <xf numFmtId="167" fontId="0" fillId="0" borderId="0" xfId="0" applyNumberFormat="1"/>
    <xf numFmtId="167" fontId="14" fillId="0" borderId="0" xfId="0" applyNumberFormat="1" applyFont="1"/>
    <xf numFmtId="167" fontId="0" fillId="0" borderId="7" xfId="0" applyNumberFormat="1" applyBorder="1"/>
    <xf numFmtId="0" fontId="16" fillId="0" borderId="0" xfId="0" applyFont="1"/>
    <xf numFmtId="0" fontId="17" fillId="0" borderId="0" xfId="0" applyFont="1"/>
    <xf numFmtId="10" fontId="17" fillId="0" borderId="0" xfId="0" applyNumberFormat="1" applyFont="1"/>
    <xf numFmtId="0" fontId="18" fillId="0" borderId="0" xfId="0" applyFont="1"/>
    <xf numFmtId="0" fontId="9" fillId="0" borderId="0" xfId="0" applyFont="1"/>
    <xf numFmtId="2" fontId="17" fillId="0" borderId="0" xfId="0" applyNumberFormat="1" applyFont="1"/>
    <xf numFmtId="10" fontId="15" fillId="0" borderId="1" xfId="1" applyNumberFormat="1" applyFont="1" applyBorder="1"/>
    <xf numFmtId="10" fontId="15" fillId="0" borderId="2" xfId="1" applyNumberFormat="1" applyFont="1" applyBorder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10" fontId="19" fillId="0" borderId="0" xfId="1" applyNumberFormat="1" applyFont="1"/>
    <xf numFmtId="0" fontId="11" fillId="8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10" fontId="0" fillId="0" borderId="0" xfId="1" applyNumberFormat="1" applyFont="1" applyFill="1" applyBorder="1"/>
    <xf numFmtId="10" fontId="15" fillId="0" borderId="0" xfId="0" applyNumberFormat="1" applyFont="1" applyAlignment="1">
      <alignment horizontal="right"/>
    </xf>
    <xf numFmtId="0" fontId="8" fillId="6" borderId="0" xfId="0" applyFont="1" applyFill="1"/>
    <xf numFmtId="10" fontId="8" fillId="6" borderId="0" xfId="0" applyNumberFormat="1" applyFont="1" applyFill="1"/>
    <xf numFmtId="0" fontId="21" fillId="0" borderId="0" xfId="2" applyAlignment="1">
      <alignment shrinkToFit="1"/>
    </xf>
    <xf numFmtId="0" fontId="21" fillId="0" borderId="0" xfId="2"/>
    <xf numFmtId="0" fontId="22" fillId="9" borderId="0" xfId="2" applyFont="1" applyFill="1"/>
    <xf numFmtId="169" fontId="22" fillId="9" borderId="0" xfId="2" applyNumberFormat="1" applyFont="1" applyFill="1" applyAlignment="1">
      <alignment horizontal="center"/>
    </xf>
    <xf numFmtId="170" fontId="21" fillId="0" borderId="0" xfId="2" applyNumberFormat="1"/>
    <xf numFmtId="0" fontId="24" fillId="0" borderId="0" xfId="2" applyFont="1"/>
    <xf numFmtId="10" fontId="24" fillId="0" borderId="0" xfId="3" applyNumberFormat="1" applyFont="1"/>
    <xf numFmtId="171" fontId="21" fillId="0" borderId="0" xfId="2" applyNumberFormat="1"/>
    <xf numFmtId="0" fontId="25" fillId="0" borderId="0" xfId="2" applyFont="1"/>
    <xf numFmtId="10" fontId="25" fillId="0" borderId="0" xfId="3" applyNumberFormat="1" applyFont="1"/>
    <xf numFmtId="9" fontId="0" fillId="0" borderId="0" xfId="3" applyFont="1"/>
    <xf numFmtId="7" fontId="21" fillId="0" borderId="0" xfId="2" applyNumberFormat="1"/>
    <xf numFmtId="168" fontId="25" fillId="0" borderId="0" xfId="3" applyNumberFormat="1" applyFont="1"/>
    <xf numFmtId="0" fontId="25" fillId="0" borderId="0" xfId="2" applyFont="1" applyAlignment="1">
      <alignment shrinkToFit="1"/>
    </xf>
    <xf numFmtId="172" fontId="25" fillId="0" borderId="0" xfId="3" applyNumberFormat="1" applyFont="1"/>
    <xf numFmtId="9" fontId="25" fillId="0" borderId="0" xfId="3" applyFont="1"/>
    <xf numFmtId="2" fontId="25" fillId="0" borderId="0" xfId="2" applyNumberFormat="1" applyFont="1"/>
    <xf numFmtId="173" fontId="23" fillId="0" borderId="0" xfId="4" applyFont="1" applyBorder="1"/>
    <xf numFmtId="173" fontId="0" fillId="0" borderId="0" xfId="4" applyFont="1" applyBorder="1"/>
    <xf numFmtId="169" fontId="22" fillId="10" borderId="0" xfId="4" applyNumberFormat="1" applyFont="1" applyFill="1" applyBorder="1"/>
    <xf numFmtId="169" fontId="22" fillId="10" borderId="0" xfId="2" applyNumberFormat="1" applyFont="1" applyFill="1" applyAlignment="1">
      <alignment horizontal="center"/>
    </xf>
    <xf numFmtId="169" fontId="28" fillId="0" borderId="0" xfId="4" applyNumberFormat="1" applyFont="1" applyFill="1" applyBorder="1"/>
    <xf numFmtId="173" fontId="21" fillId="0" borderId="0" xfId="4" applyFont="1" applyBorder="1"/>
    <xf numFmtId="43" fontId="0" fillId="0" borderId="0" xfId="4" applyNumberFormat="1" applyFont="1" applyBorder="1"/>
    <xf numFmtId="0" fontId="29" fillId="0" borderId="0" xfId="0" applyFont="1"/>
    <xf numFmtId="0" fontId="11" fillId="11" borderId="0" xfId="0" applyFont="1" applyFill="1"/>
    <xf numFmtId="17" fontId="11" fillId="11" borderId="0" xfId="0" applyNumberFormat="1" applyFont="1" applyFill="1"/>
    <xf numFmtId="0" fontId="11" fillId="0" borderId="0" xfId="0" applyFont="1"/>
    <xf numFmtId="17" fontId="11" fillId="0" borderId="0" xfId="0" applyNumberFormat="1" applyFont="1"/>
    <xf numFmtId="174" fontId="0" fillId="0" borderId="0" xfId="0" applyNumberFormat="1"/>
    <xf numFmtId="174" fontId="29" fillId="0" borderId="0" xfId="0" applyNumberFormat="1" applyFont="1"/>
    <xf numFmtId="0" fontId="11" fillId="12" borderId="0" xfId="0" applyFont="1" applyFill="1"/>
    <xf numFmtId="0" fontId="15" fillId="0" borderId="0" xfId="0" applyFont="1"/>
    <xf numFmtId="0" fontId="8" fillId="0" borderId="8" xfId="0" applyFont="1" applyBorder="1"/>
    <xf numFmtId="10" fontId="8" fillId="0" borderId="8" xfId="1" applyNumberFormat="1" applyFont="1" applyBorder="1"/>
    <xf numFmtId="17" fontId="30" fillId="0" borderId="0" xfId="0" applyNumberFormat="1" applyFont="1"/>
    <xf numFmtId="0" fontId="31" fillId="0" borderId="0" xfId="0" applyFont="1"/>
    <xf numFmtId="0" fontId="31" fillId="0" borderId="1" xfId="0" applyFont="1" applyBorder="1"/>
    <xf numFmtId="174" fontId="31" fillId="0" borderId="0" xfId="0" applyNumberFormat="1" applyFont="1"/>
    <xf numFmtId="174" fontId="31" fillId="0" borderId="1" xfId="0" applyNumberFormat="1" applyFont="1" applyBorder="1"/>
    <xf numFmtId="174" fontId="8" fillId="0" borderId="0" xfId="0" applyNumberFormat="1" applyFont="1"/>
    <xf numFmtId="174" fontId="0" fillId="0" borderId="1" xfId="0" applyNumberFormat="1" applyBorder="1"/>
    <xf numFmtId="0" fontId="32" fillId="0" borderId="0" xfId="0" applyFont="1"/>
    <xf numFmtId="9" fontId="33" fillId="0" borderId="0" xfId="0" applyNumberFormat="1" applyFont="1"/>
    <xf numFmtId="164" fontId="0" fillId="0" borderId="0" xfId="0" applyNumberFormat="1"/>
    <xf numFmtId="164" fontId="8" fillId="0" borderId="1" xfId="0" applyNumberFormat="1" applyFont="1" applyBorder="1"/>
    <xf numFmtId="164" fontId="8" fillId="0" borderId="8" xfId="0" applyNumberFormat="1" applyFont="1" applyBorder="1"/>
    <xf numFmtId="164" fontId="8" fillId="0" borderId="0" xfId="0" applyNumberFormat="1" applyFont="1"/>
    <xf numFmtId="10" fontId="8" fillId="0" borderId="8" xfId="0" applyNumberFormat="1" applyFont="1" applyBorder="1"/>
    <xf numFmtId="10" fontId="0" fillId="0" borderId="0" xfId="3" applyNumberFormat="1" applyFont="1"/>
    <xf numFmtId="175" fontId="11" fillId="11" borderId="0" xfId="0" applyNumberFormat="1" applyFont="1" applyFill="1"/>
    <xf numFmtId="176" fontId="11" fillId="11" borderId="0" xfId="0" applyNumberFormat="1" applyFont="1" applyFill="1"/>
    <xf numFmtId="177" fontId="0" fillId="0" borderId="0" xfId="0" applyNumberFormat="1"/>
    <xf numFmtId="10" fontId="34" fillId="0" borderId="0" xfId="0" applyNumberFormat="1" applyFont="1"/>
    <xf numFmtId="0" fontId="35" fillId="0" borderId="0" xfId="0" applyFont="1"/>
    <xf numFmtId="0" fontId="0" fillId="0" borderId="9" xfId="0" applyBorder="1"/>
    <xf numFmtId="0" fontId="0" fillId="6" borderId="0" xfId="0" applyFill="1"/>
    <xf numFmtId="0" fontId="37" fillId="0" borderId="0" xfId="0" applyFont="1"/>
    <xf numFmtId="39" fontId="0" fillId="6" borderId="0" xfId="0" applyNumberFormat="1" applyFill="1"/>
    <xf numFmtId="9" fontId="33" fillId="6" borderId="0" xfId="0" applyNumberFormat="1" applyFont="1" applyFill="1"/>
    <xf numFmtId="2" fontId="0" fillId="6" borderId="0" xfId="0" applyNumberFormat="1" applyFill="1"/>
    <xf numFmtId="10" fontId="34" fillId="6" borderId="0" xfId="0" applyNumberFormat="1" applyFont="1" applyFill="1"/>
    <xf numFmtId="0" fontId="0" fillId="6" borderId="9" xfId="0" applyFill="1" applyBorder="1"/>
    <xf numFmtId="2" fontId="0" fillId="0" borderId="9" xfId="0" applyNumberFormat="1" applyBorder="1"/>
    <xf numFmtId="2" fontId="8" fillId="0" borderId="0" xfId="0" applyNumberFormat="1" applyFont="1"/>
    <xf numFmtId="0" fontId="8" fillId="0" borderId="9" xfId="0" applyFont="1" applyBorder="1"/>
    <xf numFmtId="2" fontId="8" fillId="0" borderId="9" xfId="0" applyNumberFormat="1" applyFont="1" applyBorder="1"/>
    <xf numFmtId="3" fontId="0" fillId="6" borderId="0" xfId="0" applyNumberFormat="1" applyFill="1"/>
    <xf numFmtId="178" fontId="0" fillId="6" borderId="0" xfId="1" applyNumberFormat="1" applyFont="1" applyFill="1"/>
    <xf numFmtId="0" fontId="23" fillId="0" borderId="0" xfId="2" applyFont="1"/>
    <xf numFmtId="169" fontId="22" fillId="0" borderId="0" xfId="2" applyNumberFormat="1" applyFont="1" applyAlignment="1">
      <alignment horizontal="center"/>
    </xf>
    <xf numFmtId="0" fontId="0" fillId="0" borderId="10" xfId="0" applyBorder="1"/>
    <xf numFmtId="0" fontId="10" fillId="6" borderId="0" xfId="0" applyFont="1" applyFill="1"/>
    <xf numFmtId="10" fontId="0" fillId="6" borderId="0" xfId="1" applyNumberFormat="1" applyFont="1" applyFill="1" applyAlignment="1">
      <alignment horizontal="right" indent="1"/>
    </xf>
    <xf numFmtId="2" fontId="33" fillId="0" borderId="0" xfId="0" applyNumberFormat="1" applyFont="1"/>
    <xf numFmtId="2" fontId="0" fillId="0" borderId="10" xfId="0" applyNumberFormat="1" applyBorder="1"/>
    <xf numFmtId="0" fontId="8" fillId="0" borderId="10" xfId="0" applyFont="1" applyBorder="1"/>
    <xf numFmtId="9" fontId="8" fillId="13" borderId="10" xfId="0" applyNumberFormat="1" applyFont="1" applyFill="1" applyBorder="1"/>
    <xf numFmtId="10" fontId="8" fillId="13" borderId="10" xfId="0" applyNumberFormat="1" applyFont="1" applyFill="1" applyBorder="1"/>
    <xf numFmtId="10" fontId="8" fillId="13" borderId="10" xfId="1" applyNumberFormat="1" applyFont="1" applyFill="1" applyBorder="1"/>
    <xf numFmtId="0" fontId="38" fillId="0" borderId="0" xfId="0" applyFont="1"/>
    <xf numFmtId="0" fontId="40" fillId="0" borderId="0" xfId="0" applyFont="1"/>
    <xf numFmtId="0" fontId="39" fillId="0" borderId="0" xfId="0" applyFont="1"/>
    <xf numFmtId="0" fontId="41" fillId="12" borderId="0" xfId="0" applyFont="1" applyFill="1"/>
    <xf numFmtId="0" fontId="42" fillId="12" borderId="0" xfId="0" applyFont="1" applyFill="1"/>
    <xf numFmtId="0" fontId="43" fillId="12" borderId="0" xfId="0" applyFont="1" applyFill="1"/>
    <xf numFmtId="0" fontId="23" fillId="14" borderId="0" xfId="2" applyFont="1" applyFill="1"/>
    <xf numFmtId="0" fontId="21" fillId="14" borderId="0" xfId="2" applyFill="1"/>
    <xf numFmtId="169" fontId="22" fillId="14" borderId="0" xfId="2" applyNumberFormat="1" applyFont="1" applyFill="1" applyAlignment="1">
      <alignment horizontal="center"/>
    </xf>
    <xf numFmtId="0" fontId="8" fillId="14" borderId="0" xfId="0" applyFont="1" applyFill="1"/>
    <xf numFmtId="0" fontId="44" fillId="0" borderId="0" xfId="0" applyFont="1"/>
    <xf numFmtId="0" fontId="44" fillId="14" borderId="0" xfId="0" applyFont="1" applyFill="1"/>
    <xf numFmtId="0" fontId="45" fillId="11" borderId="0" xfId="0" applyFont="1" applyFill="1"/>
    <xf numFmtId="17" fontId="45" fillId="11" borderId="0" xfId="0" applyNumberFormat="1" applyFont="1" applyFill="1"/>
    <xf numFmtId="174" fontId="44" fillId="0" borderId="0" xfId="0" applyNumberFormat="1" applyFont="1"/>
    <xf numFmtId="174" fontId="32" fillId="0" borderId="0" xfId="0" applyNumberFormat="1" applyFont="1"/>
    <xf numFmtId="0" fontId="44" fillId="0" borderId="9" xfId="0" applyFont="1" applyBorder="1"/>
    <xf numFmtId="174" fontId="44" fillId="0" borderId="9" xfId="0" applyNumberFormat="1" applyFont="1" applyBorder="1"/>
    <xf numFmtId="0" fontId="46" fillId="0" borderId="0" xfId="0" applyFont="1"/>
    <xf numFmtId="0" fontId="47" fillId="0" borderId="0" xfId="0" applyFont="1"/>
    <xf numFmtId="0" fontId="7" fillId="0" borderId="0" xfId="0" applyFont="1"/>
    <xf numFmtId="14" fontId="11" fillId="4" borderId="0" xfId="0" applyNumberFormat="1" applyFont="1" applyFill="1" applyAlignment="1">
      <alignment horizontal="center"/>
    </xf>
    <xf numFmtId="0" fontId="47" fillId="0" borderId="0" xfId="0" applyFont="1" applyAlignment="1">
      <alignment horizontal="left" wrapText="1"/>
    </xf>
    <xf numFmtId="173" fontId="26" fillId="0" borderId="0" xfId="5" applyNumberFormat="1" applyBorder="1" applyAlignment="1" applyProtection="1">
      <alignment horizontal="center"/>
    </xf>
    <xf numFmtId="173" fontId="22" fillId="7" borderId="0" xfId="6" applyNumberFormat="1" applyFont="1" applyBorder="1" applyAlignment="1">
      <alignment horizontal="center"/>
    </xf>
    <xf numFmtId="0" fontId="22" fillId="9" borderId="0" xfId="2" applyFont="1" applyFill="1" applyAlignment="1">
      <alignment horizontal="center"/>
    </xf>
    <xf numFmtId="0" fontId="49" fillId="11" borderId="0" xfId="0" applyFont="1" applyFill="1" applyAlignment="1">
      <alignment horizontal="center"/>
    </xf>
  </cellXfs>
  <cellStyles count="7">
    <cellStyle name="Accent6 2" xfId="6" xr:uid="{1711ED65-BD24-DC40-B8B1-2A14FAD636E6}"/>
    <cellStyle name="Comma 2" xfId="4" xr:uid="{6FACCF63-9A75-174B-AF47-2EA2023D47BB}"/>
    <cellStyle name="Hyperlink 2" xfId="5" xr:uid="{1B80A37F-7A30-3640-A286-044A32F3EFDF}"/>
    <cellStyle name="Normal" xfId="0" builtinId="0"/>
    <cellStyle name="Normal 2" xfId="2" xr:uid="{8A351646-67A6-3943-B061-175398C95B09}"/>
    <cellStyle name="Per cent" xfId="1" builtinId="5"/>
    <cellStyle name="Per cent 2" xfId="3" xr:uid="{3F616F69-17C4-7245-99FB-4B89AB133559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14156D"/>
      <color rgb="FF18246D"/>
      <color rgb="FFDFFF00"/>
      <color rgb="FF003199"/>
      <color rgb="FF262E84"/>
      <color rgb="FF002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hushijaiswal/Downloads/Avenue%20Super%20(5).xlsx" TargetMode="External"/><Relationship Id="rId1" Type="http://schemas.openxmlformats.org/officeDocument/2006/relationships/externalLinkPath" Target="Avenue%20Super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Financials &gt;"/>
      <sheetName val="Historical FS "/>
      <sheetName val="Data&gt;"/>
      <sheetName val="Data Sheet"/>
    </sheetNames>
    <sheetDataSet>
      <sheetData sheetId="0"/>
      <sheetData sheetId="1"/>
      <sheetData sheetId="2"/>
      <sheetData sheetId="3"/>
      <sheetData sheetId="4">
        <row r="1">
          <cell r="B1" t="str">
            <v>AVENUE SUPERMARTS LTD</v>
          </cell>
          <cell r="E1" t="str">
            <v/>
          </cell>
        </row>
        <row r="17">
          <cell r="B17">
            <v>8583.76</v>
          </cell>
          <cell r="C17">
            <v>11897.7</v>
          </cell>
          <cell r="D17">
            <v>15033.2</v>
          </cell>
          <cell r="E17">
            <v>20004.52</v>
          </cell>
          <cell r="F17">
            <v>24870.2</v>
          </cell>
          <cell r="G17">
            <v>24143.06</v>
          </cell>
          <cell r="H17">
            <v>30976.27</v>
          </cell>
          <cell r="I17">
            <v>42839.56</v>
          </cell>
          <cell r="J17">
            <v>50788.83</v>
          </cell>
          <cell r="K17">
            <v>59358.05</v>
          </cell>
        </row>
        <row r="18">
          <cell r="B18">
            <v>7435.62</v>
          </cell>
          <cell r="C18">
            <v>10357.25</v>
          </cell>
          <cell r="D18">
            <v>12846.95</v>
          </cell>
          <cell r="E18">
            <v>17445.490000000002</v>
          </cell>
          <cell r="F18">
            <v>21441.68</v>
          </cell>
          <cell r="G18">
            <v>20855.560000000001</v>
          </cell>
          <cell r="H18">
            <v>26891.77</v>
          </cell>
          <cell r="I18">
            <v>36884.769999999997</v>
          </cell>
          <cell r="J18">
            <v>43958.31</v>
          </cell>
          <cell r="K18">
            <v>51668.76</v>
          </cell>
        </row>
        <row r="19">
          <cell r="B19">
            <v>132.08000000000001</v>
          </cell>
          <cell r="C19">
            <v>276.22000000000003</v>
          </cell>
          <cell r="D19">
            <v>211.31</v>
          </cell>
          <cell r="E19">
            <v>444.65</v>
          </cell>
          <cell r="F19">
            <v>338.75</v>
          </cell>
          <cell r="G19">
            <v>300.88</v>
          </cell>
          <cell r="H19">
            <v>494.38</v>
          </cell>
          <cell r="I19">
            <v>500.82</v>
          </cell>
          <cell r="J19">
            <v>683.77</v>
          </cell>
          <cell r="K19">
            <v>1117.06</v>
          </cell>
        </row>
        <row r="20">
          <cell r="B20">
            <v>79.239999999999995</v>
          </cell>
          <cell r="C20">
            <v>99.41</v>
          </cell>
          <cell r="D20">
            <v>121.26</v>
          </cell>
          <cell r="E20">
            <v>152.80000000000001</v>
          </cell>
          <cell r="F20">
            <v>188.24</v>
          </cell>
          <cell r="G20">
            <v>174.2</v>
          </cell>
          <cell r="H20">
            <v>207.86</v>
          </cell>
          <cell r="I20">
            <v>314.62</v>
          </cell>
          <cell r="J20">
            <v>376.59</v>
          </cell>
          <cell r="K20"/>
        </row>
        <row r="21">
          <cell r="B21">
            <v>241.36</v>
          </cell>
          <cell r="C21">
            <v>332.9</v>
          </cell>
          <cell r="D21">
            <v>373.72</v>
          </cell>
          <cell r="E21">
            <v>499.72</v>
          </cell>
          <cell r="F21">
            <v>645.96</v>
          </cell>
          <cell r="G21">
            <v>746.43</v>
          </cell>
          <cell r="H21">
            <v>805.85</v>
          </cell>
          <cell r="I21">
            <v>1116.56</v>
          </cell>
          <cell r="J21">
            <v>1323.43</v>
          </cell>
          <cell r="K21"/>
        </row>
        <row r="22">
          <cell r="B22">
            <v>149.04</v>
          </cell>
          <cell r="C22">
            <v>192.67</v>
          </cell>
          <cell r="D22">
            <v>283.14</v>
          </cell>
          <cell r="E22">
            <v>356.17</v>
          </cell>
          <cell r="F22">
            <v>457.14</v>
          </cell>
          <cell r="G22">
            <v>537.58000000000004</v>
          </cell>
          <cell r="H22">
            <v>617.36</v>
          </cell>
          <cell r="I22">
            <v>748.16</v>
          </cell>
          <cell r="J22">
            <v>907.82</v>
          </cell>
          <cell r="K22">
            <v>1165.9000000000001</v>
          </cell>
        </row>
        <row r="23">
          <cell r="B23">
            <v>647.37</v>
          </cell>
          <cell r="C23">
            <v>71.239999999999995</v>
          </cell>
          <cell r="D23">
            <v>96</v>
          </cell>
          <cell r="E23">
            <v>135.84</v>
          </cell>
          <cell r="F23">
            <v>119.23</v>
          </cell>
          <cell r="G23">
            <v>108.69</v>
          </cell>
          <cell r="H23">
            <v>143.41</v>
          </cell>
          <cell r="I23">
            <v>212.04</v>
          </cell>
          <cell r="J23">
            <v>274.43</v>
          </cell>
          <cell r="K23"/>
        </row>
        <row r="24">
          <cell r="B24">
            <v>-501.25</v>
          </cell>
          <cell r="C24">
            <v>151.27000000000001</v>
          </cell>
          <cell r="D24">
            <v>170.58</v>
          </cell>
          <cell r="E24">
            <v>225.84</v>
          </cell>
          <cell r="F24">
            <v>228.39</v>
          </cell>
          <cell r="G24">
            <v>276.64999999999998</v>
          </cell>
          <cell r="H24">
            <v>302.05</v>
          </cell>
          <cell r="I24">
            <v>425.46</v>
          </cell>
          <cell r="J24">
            <v>526.38</v>
          </cell>
          <cell r="K24">
            <v>3153.12</v>
          </cell>
        </row>
        <row r="26">
          <cell r="B26">
            <v>98.43</v>
          </cell>
          <cell r="C26">
            <v>127.82</v>
          </cell>
          <cell r="D26">
            <v>159</v>
          </cell>
          <cell r="E26">
            <v>212.49</v>
          </cell>
          <cell r="F26">
            <v>374.41</v>
          </cell>
          <cell r="G26">
            <v>414.16</v>
          </cell>
          <cell r="H26">
            <v>498.08</v>
          </cell>
          <cell r="I26">
            <v>638.87</v>
          </cell>
          <cell r="J26">
            <v>730.76</v>
          </cell>
          <cell r="K26">
            <v>869.52</v>
          </cell>
        </row>
        <row r="27">
          <cell r="B27">
            <v>91.34</v>
          </cell>
          <cell r="C27">
            <v>121.98</v>
          </cell>
          <cell r="D27">
            <v>59.54</v>
          </cell>
          <cell r="E27">
            <v>47.21</v>
          </cell>
          <cell r="F27">
            <v>69.12</v>
          </cell>
          <cell r="G27">
            <v>41.65</v>
          </cell>
          <cell r="H27">
            <v>53.79</v>
          </cell>
          <cell r="I27">
            <v>67.41</v>
          </cell>
          <cell r="J27">
            <v>58.13</v>
          </cell>
          <cell r="K27">
            <v>69.45</v>
          </cell>
        </row>
        <row r="29">
          <cell r="B29">
            <v>171.47</v>
          </cell>
          <cell r="C29">
            <v>268.27999999999997</v>
          </cell>
          <cell r="D29">
            <v>415.79</v>
          </cell>
          <cell r="E29">
            <v>519.48</v>
          </cell>
          <cell r="F29">
            <v>443.79</v>
          </cell>
          <cell r="G29">
            <v>384.02</v>
          </cell>
          <cell r="H29">
            <v>571.72</v>
          </cell>
          <cell r="I29">
            <v>681.75</v>
          </cell>
          <cell r="J29">
            <v>925.72</v>
          </cell>
          <cell r="K29">
            <v>965.22</v>
          </cell>
        </row>
        <row r="31">
          <cell r="C31"/>
          <cell r="J31"/>
          <cell r="K31"/>
        </row>
        <row r="42">
          <cell r="H42">
            <v>14069.14</v>
          </cell>
          <cell r="I42">
            <v>14444.5</v>
          </cell>
          <cell r="J42">
            <v>15972.55</v>
          </cell>
          <cell r="K42">
            <v>14871.86</v>
          </cell>
        </row>
        <row r="45">
          <cell r="H45">
            <v>192.76</v>
          </cell>
          <cell r="I45">
            <v>207.78</v>
          </cell>
          <cell r="J45">
            <v>228.12</v>
          </cell>
          <cell r="K45">
            <v>240.86</v>
          </cell>
        </row>
        <row r="93">
          <cell r="B93">
            <v>56.15</v>
          </cell>
          <cell r="C93">
            <v>62.41</v>
          </cell>
          <cell r="D93">
            <v>62.41</v>
          </cell>
          <cell r="E93">
            <v>62.41</v>
          </cell>
          <cell r="F93">
            <v>64.78</v>
          </cell>
          <cell r="G93">
            <v>64.78</v>
          </cell>
          <cell r="H93">
            <v>64.78</v>
          </cell>
          <cell r="I93">
            <v>64.83</v>
          </cell>
          <cell r="J93">
            <v>65.069999999999993</v>
          </cell>
          <cell r="K93">
            <v>65.069999999999993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8976-7B19-0044-BD9D-8F95A0C802C4}">
  <dimension ref="A2:AA45"/>
  <sheetViews>
    <sheetView showGridLines="0" tabSelected="1" zoomScaleNormal="100" workbookViewId="0">
      <selection activeCell="B3" sqref="B3"/>
    </sheetView>
  </sheetViews>
  <sheetFormatPr baseColWidth="10" defaultRowHeight="16"/>
  <cols>
    <col min="1" max="1" width="2" customWidth="1"/>
    <col min="2" max="2" width="34.33203125" customWidth="1"/>
    <col min="3" max="3" width="20.33203125" bestFit="1" customWidth="1"/>
    <col min="5" max="5" width="12.83203125" bestFit="1" customWidth="1"/>
    <col min="7" max="7" width="20.5" customWidth="1"/>
    <col min="8" max="8" width="7.1640625" bestFit="1" customWidth="1"/>
    <col min="10" max="10" width="20.33203125" bestFit="1" customWidth="1"/>
    <col min="21" max="21" width="21" bestFit="1" customWidth="1"/>
    <col min="22" max="22" width="12" bestFit="1" customWidth="1"/>
  </cols>
  <sheetData>
    <row r="2" spans="1:21" ht="19">
      <c r="B2" s="185" t="str">
        <f>'Data Sheet'!B1</f>
        <v>AVENUE SUPERMARTS LTD</v>
      </c>
      <c r="C2" s="185"/>
      <c r="D2" s="185"/>
      <c r="E2" s="185"/>
      <c r="F2" s="185"/>
      <c r="G2" s="185"/>
      <c r="H2" s="185"/>
      <c r="I2" s="185"/>
      <c r="J2" s="185"/>
    </row>
    <row r="3" spans="1:21" ht="19">
      <c r="A3" s="2"/>
      <c r="B3" s="3" t="s">
        <v>0</v>
      </c>
      <c r="C3" s="1"/>
      <c r="D3" s="1"/>
      <c r="E3" s="1"/>
      <c r="F3" s="1"/>
      <c r="G3" s="1"/>
      <c r="H3" s="1"/>
      <c r="I3" s="1"/>
      <c r="J3" s="1"/>
      <c r="L3" s="2"/>
      <c r="M3" s="2"/>
      <c r="N3" s="2"/>
      <c r="O3" s="2"/>
      <c r="P3" s="2"/>
      <c r="Q3" s="2"/>
      <c r="R3" s="2"/>
    </row>
    <row r="5" spans="1:21">
      <c r="B5" s="4" t="s">
        <v>416</v>
      </c>
    </row>
    <row r="7" spans="1:21">
      <c r="B7" t="s">
        <v>1</v>
      </c>
      <c r="L7" s="61"/>
    </row>
    <row r="8" spans="1:21">
      <c r="B8" s="5"/>
      <c r="C8" s="5"/>
      <c r="D8" s="5"/>
      <c r="E8" s="5"/>
      <c r="F8" s="5"/>
      <c r="G8" s="5" t="s">
        <v>7</v>
      </c>
      <c r="H8" s="5" t="s">
        <v>7</v>
      </c>
      <c r="I8" s="5" t="s">
        <v>10</v>
      </c>
      <c r="J8" s="5" t="s">
        <v>11</v>
      </c>
    </row>
    <row r="9" spans="1:21" ht="19">
      <c r="B9" s="6" t="s">
        <v>2</v>
      </c>
      <c r="C9" s="6" t="s">
        <v>3</v>
      </c>
      <c r="D9" s="6" t="s">
        <v>4</v>
      </c>
      <c r="E9" s="6" t="s">
        <v>5</v>
      </c>
      <c r="F9" s="7" t="s">
        <v>6</v>
      </c>
      <c r="G9" s="6" t="s">
        <v>8</v>
      </c>
      <c r="H9" s="6" t="s">
        <v>9</v>
      </c>
      <c r="I9" s="6" t="s">
        <v>12</v>
      </c>
      <c r="J9" s="6" t="s">
        <v>13</v>
      </c>
    </row>
    <row r="10" spans="1:21">
      <c r="D10" s="56"/>
      <c r="E10" s="56"/>
    </row>
    <row r="11" spans="1:21">
      <c r="B11" s="60" t="s">
        <v>186</v>
      </c>
      <c r="C11" s="62" t="s">
        <v>14</v>
      </c>
      <c r="D11" s="60">
        <v>819.62</v>
      </c>
      <c r="E11" s="60">
        <v>258497.2</v>
      </c>
      <c r="F11" s="61">
        <v>0.3</v>
      </c>
      <c r="G11" s="38">
        <f>D11/E11</f>
        <v>3.1707113268538306E-3</v>
      </c>
      <c r="H11" s="38">
        <f>D11/(D11+E11)</f>
        <v>3.1606896922459563E-3</v>
      </c>
      <c r="I11" s="64">
        <v>1.0972945231684821</v>
      </c>
      <c r="J11" s="39">
        <f>I11/(1+(1-F11)*G11)</f>
        <v>1.0948644737367093</v>
      </c>
    </row>
    <row r="12" spans="1:21">
      <c r="B12" s="60" t="s">
        <v>187</v>
      </c>
      <c r="C12" s="60" t="s">
        <v>14</v>
      </c>
      <c r="D12" s="60">
        <v>2237.19</v>
      </c>
      <c r="E12" s="60">
        <v>181760.74</v>
      </c>
      <c r="F12" s="61">
        <v>0.3</v>
      </c>
      <c r="G12" s="38">
        <f t="shared" ref="G12:G15" si="0">D12/E12</f>
        <v>1.2308433603428332E-2</v>
      </c>
      <c r="H12" s="38">
        <f t="shared" ref="H12:H15" si="1">D12/(D12+E12)</f>
        <v>1.2158778090601346E-2</v>
      </c>
      <c r="I12" s="64">
        <v>-0.74623727601150491</v>
      </c>
      <c r="J12" s="39">
        <f t="shared" ref="J12:J13" si="2">I12/(1+(1-F12)*G12)</f>
        <v>-0.73986269045075803</v>
      </c>
    </row>
    <row r="13" spans="1:21">
      <c r="B13" s="60" t="s">
        <v>188</v>
      </c>
      <c r="C13" s="60" t="s">
        <v>14</v>
      </c>
      <c r="D13" s="60">
        <v>9999.18</v>
      </c>
      <c r="E13" s="60">
        <v>30981.71</v>
      </c>
      <c r="F13" s="61">
        <v>0.3</v>
      </c>
      <c r="G13" s="38">
        <f>D13/E13</f>
        <v>0.32274461286998041</v>
      </c>
      <c r="H13" s="38">
        <f>D13/(D13+E13)</f>
        <v>0.24399616504180363</v>
      </c>
      <c r="I13" s="64">
        <v>1.3627210549333</v>
      </c>
      <c r="J13" s="39">
        <f t="shared" si="2"/>
        <v>1.1115894094067531</v>
      </c>
    </row>
    <row r="14" spans="1:21">
      <c r="B14" s="60" t="s">
        <v>198</v>
      </c>
      <c r="C14" s="60" t="s">
        <v>14</v>
      </c>
      <c r="D14" s="60">
        <v>1029.75</v>
      </c>
      <c r="E14" s="60">
        <v>9518.65</v>
      </c>
      <c r="F14" s="61">
        <v>0.3</v>
      </c>
      <c r="G14" s="38">
        <f>D14/E14</f>
        <v>0.108182357792334</v>
      </c>
      <c r="H14" s="38">
        <f>D14/(D14+E14)</f>
        <v>9.7621440218421757E-2</v>
      </c>
      <c r="I14" s="64">
        <v>0.36767440152309483</v>
      </c>
      <c r="J14" s="39">
        <f>I14/(1+(1-F14)*G14)</f>
        <v>0.34179134594867477</v>
      </c>
    </row>
    <row r="15" spans="1:21">
      <c r="B15" s="60" t="s">
        <v>199</v>
      </c>
      <c r="C15" s="60" t="s">
        <v>14</v>
      </c>
      <c r="D15" s="60">
        <v>782.51</v>
      </c>
      <c r="E15" s="60">
        <v>6799.36</v>
      </c>
      <c r="F15" s="61">
        <v>0.3</v>
      </c>
      <c r="G15" s="38">
        <f t="shared" si="0"/>
        <v>0.11508583160768072</v>
      </c>
      <c r="H15" s="38">
        <f t="shared" si="1"/>
        <v>0.1032080476188592</v>
      </c>
      <c r="I15" s="64">
        <v>0.96053162914863011</v>
      </c>
      <c r="J15" s="39">
        <f>I15/(1+(1-F15)*G15)</f>
        <v>0.88892014894659088</v>
      </c>
      <c r="U15" s="8"/>
    </row>
    <row r="16" spans="1:21">
      <c r="U16" s="8"/>
    </row>
    <row r="17" spans="2:27">
      <c r="E17" s="40" t="s">
        <v>161</v>
      </c>
      <c r="F17" s="65">
        <f>AVERAGE(F11:F15)</f>
        <v>0.3</v>
      </c>
      <c r="G17" s="65">
        <f t="shared" ref="G17:H17" si="3">AVERAGE(G11:G15)</f>
        <v>0.11229838944005546</v>
      </c>
      <c r="H17" s="65">
        <f t="shared" si="3"/>
        <v>9.2029024132386367E-2</v>
      </c>
      <c r="I17" s="42">
        <f t="shared" ref="I17:J17" si="4">AVERAGE(I11:I15)</f>
        <v>0.60839686655240044</v>
      </c>
      <c r="J17" s="42">
        <f t="shared" si="4"/>
        <v>0.53946053751759393</v>
      </c>
      <c r="U17" s="8"/>
    </row>
    <row r="18" spans="2:27">
      <c r="E18" s="41" t="s">
        <v>162</v>
      </c>
      <c r="F18" s="66">
        <f>MEDIAN(F11:F15)</f>
        <v>0.3</v>
      </c>
      <c r="G18" s="66">
        <f t="shared" ref="G18:J18" si="5">MEDIAN(G11:G15)</f>
        <v>0.108182357792334</v>
      </c>
      <c r="H18" s="66">
        <f t="shared" si="5"/>
        <v>9.7621440218421757E-2</v>
      </c>
      <c r="I18" s="43">
        <f t="shared" si="5"/>
        <v>0.96053162914863011</v>
      </c>
      <c r="J18" s="43">
        <f t="shared" si="5"/>
        <v>0.88892014894659088</v>
      </c>
      <c r="U18" s="8"/>
    </row>
    <row r="19" spans="2:27">
      <c r="U19" s="8"/>
    </row>
    <row r="20" spans="2:27">
      <c r="U20" s="8"/>
    </row>
    <row r="21" spans="2:27">
      <c r="B21" s="41" t="s">
        <v>163</v>
      </c>
      <c r="C21" s="6"/>
      <c r="D21" s="6"/>
      <c r="E21" s="6"/>
      <c r="G21" s="41" t="s">
        <v>167</v>
      </c>
      <c r="H21" s="6"/>
      <c r="I21" s="6"/>
      <c r="J21" s="6"/>
      <c r="U21" s="8"/>
    </row>
    <row r="23" spans="2:27">
      <c r="B23" t="s">
        <v>164</v>
      </c>
      <c r="E23" s="48">
        <v>8.1745198994656099E-2</v>
      </c>
      <c r="G23" t="s">
        <v>168</v>
      </c>
      <c r="J23" s="51">
        <v>6.3700000000000007E-2</v>
      </c>
    </row>
    <row r="24" spans="2:27">
      <c r="B24" t="s">
        <v>165</v>
      </c>
      <c r="E24" s="32">
        <f>F11</f>
        <v>0.3</v>
      </c>
      <c r="G24" t="s">
        <v>169</v>
      </c>
      <c r="J24" s="51">
        <f>RM!F8-WACC!J23</f>
        <v>8.9647999999999978E-2</v>
      </c>
    </row>
    <row r="25" spans="2:27" ht="19">
      <c r="B25" s="44" t="s">
        <v>166</v>
      </c>
      <c r="C25" s="44"/>
      <c r="D25" s="44"/>
      <c r="E25" s="46">
        <f>E23*(1-E24)</f>
        <v>5.7221639296259265E-2</v>
      </c>
      <c r="G25" t="s">
        <v>170</v>
      </c>
      <c r="J25" s="28">
        <f>J34</f>
        <v>0.95623598326809933</v>
      </c>
    </row>
    <row r="26" spans="2:27">
      <c r="G26" s="45" t="s">
        <v>167</v>
      </c>
      <c r="H26" s="45"/>
      <c r="I26" s="45"/>
      <c r="J26" s="54">
        <f>J23+(J24*J25)</f>
        <v>0.14942464342801856</v>
      </c>
    </row>
    <row r="27" spans="2:27">
      <c r="U27" s="179"/>
      <c r="V27" s="179"/>
      <c r="W27" s="179"/>
      <c r="X27" s="179"/>
      <c r="Y27" s="179"/>
      <c r="Z27" s="8"/>
      <c r="AA27" s="8"/>
    </row>
    <row r="28" spans="2:27">
      <c r="U28" s="179"/>
      <c r="V28" s="179"/>
      <c r="W28" s="179"/>
      <c r="X28" s="179"/>
      <c r="Y28" s="179"/>
      <c r="Z28" s="8"/>
      <c r="AA28" s="8"/>
    </row>
    <row r="29" spans="2:27">
      <c r="B29" s="41" t="s">
        <v>171</v>
      </c>
      <c r="C29" s="6"/>
      <c r="D29" s="6"/>
      <c r="E29" s="6"/>
      <c r="G29" s="41" t="s">
        <v>176</v>
      </c>
      <c r="H29" s="6"/>
      <c r="I29" s="6"/>
      <c r="J29" s="6"/>
      <c r="X29" s="9"/>
      <c r="Y29" s="9"/>
      <c r="Z29" s="8"/>
      <c r="AA29" s="8"/>
    </row>
    <row r="30" spans="2:27">
      <c r="X30" s="9"/>
      <c r="Y30" s="9"/>
      <c r="Z30" s="8"/>
      <c r="AA30" s="8"/>
    </row>
    <row r="31" spans="2:27">
      <c r="C31" s="57"/>
      <c r="D31" s="47" t="s">
        <v>172</v>
      </c>
      <c r="E31" s="47" t="s">
        <v>173</v>
      </c>
      <c r="G31" t="s">
        <v>177</v>
      </c>
      <c r="J31" s="28">
        <f>J18</f>
        <v>0.88892014894659088</v>
      </c>
      <c r="X31" s="9"/>
      <c r="Y31" s="9"/>
      <c r="Z31" s="8"/>
      <c r="AA31" s="8"/>
    </row>
    <row r="32" spans="2:27">
      <c r="B32" t="s">
        <v>4</v>
      </c>
      <c r="C32">
        <f>D11</f>
        <v>819.62</v>
      </c>
      <c r="D32" s="10">
        <f>C32/C34</f>
        <v>3.1606896922459563E-3</v>
      </c>
      <c r="E32" s="51">
        <f>H18</f>
        <v>9.7621440218421757E-2</v>
      </c>
      <c r="G32" t="s">
        <v>178</v>
      </c>
      <c r="J32" s="50">
        <f>E36</f>
        <v>0.10818235779233401</v>
      </c>
      <c r="X32" s="9"/>
      <c r="Y32" s="9"/>
      <c r="Z32" s="8"/>
      <c r="AA32" s="8"/>
    </row>
    <row r="33" spans="2:10">
      <c r="B33" t="s">
        <v>174</v>
      </c>
      <c r="C33" s="57">
        <f>E11</f>
        <v>258497.2</v>
      </c>
      <c r="D33" s="10">
        <f>C33/C34</f>
        <v>0.99683931030775408</v>
      </c>
      <c r="E33" s="50">
        <f>E34-E32</f>
        <v>0.90237855978157822</v>
      </c>
      <c r="G33" t="s">
        <v>165</v>
      </c>
      <c r="J33" s="32">
        <f>E24</f>
        <v>0.3</v>
      </c>
    </row>
    <row r="34" spans="2:10">
      <c r="B34" s="45" t="s">
        <v>175</v>
      </c>
      <c r="C34" s="58">
        <f>SUM(C31:C33)</f>
        <v>259316.82</v>
      </c>
      <c r="D34" s="49">
        <f>D33+D32</f>
        <v>1</v>
      </c>
      <c r="E34" s="52">
        <v>1</v>
      </c>
      <c r="G34" s="45" t="s">
        <v>176</v>
      </c>
      <c r="H34" s="45"/>
      <c r="I34" s="45"/>
      <c r="J34" s="55">
        <f>J31*(1+(1-J33)*J32)</f>
        <v>0.95623598326809933</v>
      </c>
    </row>
    <row r="36" spans="2:10">
      <c r="B36" t="s">
        <v>179</v>
      </c>
      <c r="D36" s="53">
        <f>D32/D33</f>
        <v>3.1707113268538306E-3</v>
      </c>
      <c r="E36" s="53">
        <f>E32/E33</f>
        <v>0.10818235779233401</v>
      </c>
      <c r="G36" s="41" t="s">
        <v>180</v>
      </c>
      <c r="H36" s="6"/>
      <c r="I36" s="6"/>
      <c r="J36" s="6"/>
    </row>
    <row r="38" spans="2:10">
      <c r="B38" s="59" t="s">
        <v>181</v>
      </c>
      <c r="G38" t="s">
        <v>167</v>
      </c>
      <c r="I38" s="74"/>
      <c r="J38" s="76">
        <f>J26</f>
        <v>0.14942464342801856</v>
      </c>
    </row>
    <row r="39" spans="2:10">
      <c r="B39" s="59" t="s">
        <v>182</v>
      </c>
      <c r="G39" t="s">
        <v>209</v>
      </c>
      <c r="I39" s="50"/>
      <c r="J39" s="50">
        <f>E33</f>
        <v>0.90237855978157822</v>
      </c>
    </row>
    <row r="40" spans="2:10">
      <c r="B40" s="59" t="s">
        <v>183</v>
      </c>
      <c r="I40" s="50"/>
      <c r="J40" s="50"/>
    </row>
    <row r="41" spans="2:10">
      <c r="B41" s="59" t="s">
        <v>184</v>
      </c>
      <c r="G41" t="s">
        <v>163</v>
      </c>
      <c r="J41" s="75">
        <f>E25</f>
        <v>5.7221639296259265E-2</v>
      </c>
    </row>
    <row r="42" spans="2:10">
      <c r="B42" s="59" t="s">
        <v>185</v>
      </c>
      <c r="G42" t="s">
        <v>210</v>
      </c>
      <c r="J42" s="50">
        <f>E32</f>
        <v>9.7621440218421757E-2</v>
      </c>
    </row>
    <row r="43" spans="2:10">
      <c r="B43" s="59"/>
    </row>
    <row r="44" spans="2:10">
      <c r="G44" s="77" t="s">
        <v>211</v>
      </c>
      <c r="H44" s="77"/>
      <c r="I44" s="77"/>
      <c r="J44" s="78">
        <f>(J38*J39)+(J41*J42)</f>
        <v>0.14042365337221113</v>
      </c>
    </row>
    <row r="45" spans="2:10">
      <c r="F45" s="10"/>
    </row>
  </sheetData>
  <mergeCells count="6">
    <mergeCell ref="B2:J2"/>
    <mergeCell ref="U27:U28"/>
    <mergeCell ref="V27:V28"/>
    <mergeCell ref="W27:W28"/>
    <mergeCell ref="X27:X28"/>
    <mergeCell ref="Y27:Y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0A2C-6C00-5D4E-8BA2-7475293F2281}">
  <dimension ref="A1:O48"/>
  <sheetViews>
    <sheetView showGridLines="0" workbookViewId="0">
      <pane ySplit="1" topLeftCell="A2" activePane="bottomLeft" state="frozen"/>
      <selection pane="bottomLeft" activeCell="B2" sqref="B2:M2"/>
    </sheetView>
  </sheetViews>
  <sheetFormatPr baseColWidth="10" defaultRowHeight="15"/>
  <cols>
    <col min="1" max="1" width="1.5" style="79" customWidth="1"/>
    <col min="2" max="2" width="22.6640625" style="80" customWidth="1"/>
    <col min="3" max="3" width="12" style="80" customWidth="1"/>
    <col min="4" max="4" width="12.5" style="80" customWidth="1"/>
    <col min="5" max="5" width="11.5" style="80" customWidth="1"/>
    <col min="6" max="11" width="12.6640625" style="80" bestFit="1" customWidth="1"/>
    <col min="12" max="12" width="12.5" style="80" customWidth="1"/>
    <col min="13" max="13" width="12.83203125" style="80" customWidth="1"/>
    <col min="14" max="16384" width="10.83203125" style="80"/>
  </cols>
  <sheetData>
    <row r="1" spans="1:15">
      <c r="A1" s="79" t="s">
        <v>206</v>
      </c>
      <c r="B1" s="4" t="s">
        <v>416</v>
      </c>
    </row>
    <row r="2" spans="1:15">
      <c r="A2" s="79" t="s">
        <v>206</v>
      </c>
      <c r="B2" s="184" t="str">
        <f>"Historical Financial Statement - "&amp;'[1]Data Sheet'!B1</f>
        <v>Historical Financial Statement - AVENUE SUPERMARTS LTD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1:15">
      <c r="A3" s="79" t="s">
        <v>206</v>
      </c>
      <c r="B3" s="81" t="s">
        <v>212</v>
      </c>
      <c r="C3" s="82">
        <v>42094</v>
      </c>
      <c r="D3" s="82">
        <v>42460</v>
      </c>
      <c r="E3" s="82">
        <v>42825</v>
      </c>
      <c r="F3" s="82">
        <v>43190</v>
      </c>
      <c r="G3" s="82">
        <v>43555</v>
      </c>
      <c r="H3" s="82">
        <v>43921</v>
      </c>
      <c r="I3" s="82">
        <v>44286</v>
      </c>
      <c r="J3" s="82">
        <v>44651</v>
      </c>
      <c r="K3" s="82">
        <v>45016</v>
      </c>
      <c r="L3" s="82">
        <v>45382</v>
      </c>
      <c r="M3" s="82" t="s">
        <v>213</v>
      </c>
    </row>
    <row r="4" spans="1:15">
      <c r="A4" s="79" t="s">
        <v>214</v>
      </c>
      <c r="B4" s="165" t="s">
        <v>215</v>
      </c>
      <c r="C4" s="166"/>
      <c r="D4" s="167"/>
      <c r="E4" s="166"/>
      <c r="F4" s="166"/>
      <c r="G4" s="166"/>
      <c r="H4" s="166"/>
      <c r="I4" s="166"/>
      <c r="J4" s="166"/>
      <c r="K4" s="166"/>
      <c r="L4" s="166"/>
      <c r="M4" s="166"/>
    </row>
    <row r="5" spans="1:15">
      <c r="A5" s="79" t="s">
        <v>206</v>
      </c>
      <c r="B5" s="80" t="s">
        <v>216</v>
      </c>
      <c r="C5" s="83">
        <f>IFERROR('[1]Data Sheet'!B17,0)</f>
        <v>8583.76</v>
      </c>
      <c r="D5" s="83">
        <f>IFERROR('[1]Data Sheet'!C17,0)</f>
        <v>11897.7</v>
      </c>
      <c r="E5" s="83">
        <f>IFERROR('[1]Data Sheet'!D17,0)</f>
        <v>15033.2</v>
      </c>
      <c r="F5" s="83">
        <f>IFERROR('[1]Data Sheet'!E17,0)</f>
        <v>20004.52</v>
      </c>
      <c r="G5" s="83">
        <f>IFERROR('[1]Data Sheet'!F17,0)</f>
        <v>24870.2</v>
      </c>
      <c r="H5" s="83">
        <f>IFERROR('[1]Data Sheet'!G17,0)</f>
        <v>24143.06</v>
      </c>
      <c r="I5" s="83">
        <f>IFERROR('[1]Data Sheet'!H17,0)</f>
        <v>30976.27</v>
      </c>
      <c r="J5" s="83">
        <f>IFERROR('[1]Data Sheet'!I17,0)</f>
        <v>42839.56</v>
      </c>
      <c r="K5" s="83">
        <f>IFERROR('[1]Data Sheet'!J17,0)</f>
        <v>50788.83</v>
      </c>
      <c r="L5" s="83">
        <f>IFERROR('[1]Data Sheet'!K17,0)</f>
        <v>59358.05</v>
      </c>
      <c r="M5" s="80">
        <f>IFERROR(SUM('[1]Data Sheet'!H42:K42),0)</f>
        <v>59358.05</v>
      </c>
    </row>
    <row r="6" spans="1:15">
      <c r="A6" s="79" t="s">
        <v>206</v>
      </c>
      <c r="B6" s="84" t="s">
        <v>217</v>
      </c>
      <c r="C6" s="84"/>
      <c r="D6" s="85">
        <f>D5/C5-1</f>
        <v>0.38607090598991589</v>
      </c>
      <c r="E6" s="85">
        <f t="shared" ref="E6:M6" si="0">E5/D5-1</f>
        <v>0.26353833093791246</v>
      </c>
      <c r="F6" s="85">
        <f t="shared" si="0"/>
        <v>0.33068940744485542</v>
      </c>
      <c r="G6" s="85">
        <f t="shared" si="0"/>
        <v>0.24322903023916598</v>
      </c>
      <c r="H6" s="85">
        <f t="shared" si="0"/>
        <v>-2.9237400583831175E-2</v>
      </c>
      <c r="I6" s="85">
        <f t="shared" si="0"/>
        <v>0.28302998874210639</v>
      </c>
      <c r="J6" s="85">
        <f t="shared" si="0"/>
        <v>0.38297993915987938</v>
      </c>
      <c r="K6" s="85">
        <f t="shared" si="0"/>
        <v>0.18555909537819737</v>
      </c>
      <c r="L6" s="85">
        <f t="shared" si="0"/>
        <v>0.16872253210007004</v>
      </c>
      <c r="M6" s="85">
        <f t="shared" si="0"/>
        <v>0</v>
      </c>
    </row>
    <row r="7" spans="1:15">
      <c r="A7" s="79" t="s">
        <v>206</v>
      </c>
      <c r="D7" s="80" t="s">
        <v>206</v>
      </c>
    </row>
    <row r="8" spans="1:15">
      <c r="A8" s="79" t="s">
        <v>206</v>
      </c>
      <c r="B8" s="80" t="s">
        <v>218</v>
      </c>
      <c r="C8" s="86">
        <f>IFERROR(SUM('[1]Data Sheet'!B18,'[1]Data Sheet'!B20:B22)-1*'[1]Data Sheet'!B19,0)</f>
        <v>7773.1799999999994</v>
      </c>
      <c r="D8" s="86">
        <f>IFERROR(SUM('[1]Data Sheet'!C18,'[1]Data Sheet'!C20:C22)-1*'[1]Data Sheet'!C19,0)</f>
        <v>10706.01</v>
      </c>
      <c r="E8" s="86">
        <f>IFERROR(SUM('[1]Data Sheet'!D18,'[1]Data Sheet'!D20:D22)-1*'[1]Data Sheet'!D19,0)</f>
        <v>13413.76</v>
      </c>
      <c r="F8" s="86">
        <f>IFERROR(SUM('[1]Data Sheet'!E18,'[1]Data Sheet'!E20:E22)-1*'[1]Data Sheet'!E19,0)</f>
        <v>18009.53</v>
      </c>
      <c r="G8" s="86">
        <f>IFERROR(SUM('[1]Data Sheet'!F18,'[1]Data Sheet'!F20:F22)-1*'[1]Data Sheet'!F19,0)</f>
        <v>22394.27</v>
      </c>
      <c r="H8" s="86">
        <f>IFERROR(SUM('[1]Data Sheet'!G18,'[1]Data Sheet'!G20:G22)-1*'[1]Data Sheet'!G19,0)</f>
        <v>22012.890000000003</v>
      </c>
      <c r="I8" s="86">
        <f>IFERROR(SUM('[1]Data Sheet'!H18,'[1]Data Sheet'!H20:H22)-1*'[1]Data Sheet'!H19,0)</f>
        <v>28028.46</v>
      </c>
      <c r="J8" s="86">
        <f>IFERROR(SUM('[1]Data Sheet'!I18,'[1]Data Sheet'!I20:I22)-1*'[1]Data Sheet'!I19,0)</f>
        <v>38563.29</v>
      </c>
      <c r="K8" s="86">
        <f>IFERROR(SUM('[1]Data Sheet'!J18,'[1]Data Sheet'!J20:J22)-1*'[1]Data Sheet'!J19,0)</f>
        <v>45882.38</v>
      </c>
      <c r="L8" s="86">
        <f>IFERROR(SUM('[1]Data Sheet'!K18,'[1]Data Sheet'!K20:K22)-1*'[1]Data Sheet'!K19,0)</f>
        <v>51717.600000000006</v>
      </c>
    </row>
    <row r="9" spans="1:15">
      <c r="A9" s="79" t="s">
        <v>206</v>
      </c>
      <c r="B9" s="87" t="s">
        <v>219</v>
      </c>
      <c r="C9" s="88">
        <f>C8/C5</f>
        <v>0.90556818923175852</v>
      </c>
      <c r="D9" s="88">
        <f t="shared" ref="D9:M9" si="1">D8/D5</f>
        <v>0.89983862427191807</v>
      </c>
      <c r="E9" s="88">
        <f t="shared" si="1"/>
        <v>0.89227576297794209</v>
      </c>
      <c r="F9" s="88">
        <f t="shared" si="1"/>
        <v>0.9002730382933456</v>
      </c>
      <c r="G9" s="88">
        <f t="shared" si="1"/>
        <v>0.90044591519167516</v>
      </c>
      <c r="H9" s="88">
        <f t="shared" si="1"/>
        <v>0.91176884785938495</v>
      </c>
      <c r="I9" s="88">
        <f t="shared" si="1"/>
        <v>0.90483650872103061</v>
      </c>
      <c r="J9" s="88">
        <f t="shared" si="1"/>
        <v>0.90017941360742271</v>
      </c>
      <c r="K9" s="88">
        <f t="shared" si="1"/>
        <v>0.90339509691402609</v>
      </c>
      <c r="L9" s="88">
        <f t="shared" si="1"/>
        <v>0.87128199123791972</v>
      </c>
      <c r="M9" s="88">
        <f t="shared" si="1"/>
        <v>0</v>
      </c>
      <c r="N9" s="88"/>
    </row>
    <row r="10" spans="1:15" ht="16">
      <c r="A10" s="79" t="s">
        <v>206</v>
      </c>
      <c r="C10" s="89"/>
    </row>
    <row r="11" spans="1:15">
      <c r="A11" s="79" t="s">
        <v>206</v>
      </c>
      <c r="B11" s="80" t="s">
        <v>220</v>
      </c>
      <c r="C11" s="90">
        <f>C5-C8</f>
        <v>810.58000000000084</v>
      </c>
      <c r="D11" s="90">
        <f t="shared" ref="D11:M11" si="2">D5-D8</f>
        <v>1191.6900000000005</v>
      </c>
      <c r="E11" s="90">
        <f t="shared" si="2"/>
        <v>1619.4400000000005</v>
      </c>
      <c r="F11" s="90">
        <f t="shared" si="2"/>
        <v>1994.9900000000016</v>
      </c>
      <c r="G11" s="90">
        <f t="shared" si="2"/>
        <v>2475.9300000000003</v>
      </c>
      <c r="H11" s="90">
        <f t="shared" si="2"/>
        <v>2130.1699999999983</v>
      </c>
      <c r="I11" s="90">
        <f t="shared" si="2"/>
        <v>2947.8100000000013</v>
      </c>
      <c r="J11" s="90">
        <f t="shared" si="2"/>
        <v>4276.2699999999968</v>
      </c>
      <c r="K11" s="90">
        <f t="shared" si="2"/>
        <v>4906.4500000000044</v>
      </c>
      <c r="L11" s="90">
        <f t="shared" si="2"/>
        <v>7640.4499999999971</v>
      </c>
      <c r="M11" s="90">
        <f t="shared" si="2"/>
        <v>59358.05</v>
      </c>
    </row>
    <row r="12" spans="1:15">
      <c r="A12" s="79" t="s">
        <v>206</v>
      </c>
    </row>
    <row r="13" spans="1:15">
      <c r="A13" s="79" t="s">
        <v>206</v>
      </c>
      <c r="B13" s="80" t="s">
        <v>221</v>
      </c>
      <c r="C13" s="80">
        <f>IFERROR(SUM('[1]Data Sheet'!B23:B24),0)</f>
        <v>146.12</v>
      </c>
      <c r="D13" s="80">
        <f>IFERROR(SUM('[1]Data Sheet'!C23:C24),0)</f>
        <v>222.51</v>
      </c>
      <c r="E13" s="80">
        <f>IFERROR(SUM('[1]Data Sheet'!D23:D24),0)</f>
        <v>266.58000000000004</v>
      </c>
      <c r="F13" s="80">
        <f>IFERROR(SUM('[1]Data Sheet'!E23:E24),0)</f>
        <v>361.68</v>
      </c>
      <c r="G13" s="80">
        <f>IFERROR(SUM('[1]Data Sheet'!F23:F24),0)</f>
        <v>347.62</v>
      </c>
      <c r="H13" s="80">
        <f>IFERROR(SUM('[1]Data Sheet'!G23:G24),0)</f>
        <v>385.34</v>
      </c>
      <c r="I13" s="80">
        <f>IFERROR(SUM('[1]Data Sheet'!H23:H24),0)</f>
        <v>445.46000000000004</v>
      </c>
      <c r="J13" s="80">
        <f>IFERROR(SUM('[1]Data Sheet'!I23:I24),0)</f>
        <v>637.5</v>
      </c>
      <c r="K13" s="80">
        <f>IFERROR(SUM('[1]Data Sheet'!J23:J24),0)</f>
        <v>800.81</v>
      </c>
      <c r="L13" s="80">
        <f>IFERROR(SUM('[1]Data Sheet'!K23:K24),0)</f>
        <v>3153.12</v>
      </c>
      <c r="M13" s="80">
        <f>IFERROR(SUM('[1]Data Sheet'!L23:L24),0)</f>
        <v>0</v>
      </c>
    </row>
    <row r="14" spans="1:15">
      <c r="A14" s="79" t="s">
        <v>206</v>
      </c>
      <c r="B14" s="87" t="s">
        <v>222</v>
      </c>
      <c r="C14" s="88">
        <f>C13/C5</f>
        <v>1.7022843136341184E-2</v>
      </c>
      <c r="D14" s="88">
        <f t="shared" ref="D14:M14" si="3">D13/D5</f>
        <v>1.870193398724123E-2</v>
      </c>
      <c r="E14" s="88">
        <f t="shared" si="3"/>
        <v>1.7732751509991221E-2</v>
      </c>
      <c r="F14" s="88">
        <f t="shared" si="3"/>
        <v>1.8079913939449684E-2</v>
      </c>
      <c r="G14" s="88">
        <f t="shared" si="3"/>
        <v>1.3977370507675852E-2</v>
      </c>
      <c r="H14" s="88">
        <f t="shared" si="3"/>
        <v>1.5960694294757993E-2</v>
      </c>
      <c r="I14" s="88">
        <f t="shared" si="3"/>
        <v>1.438068560223681E-2</v>
      </c>
      <c r="J14" s="88">
        <f t="shared" si="3"/>
        <v>1.4881105221435514E-2</v>
      </c>
      <c r="K14" s="88">
        <f t="shared" si="3"/>
        <v>1.5767443353193997E-2</v>
      </c>
      <c r="L14" s="88">
        <f t="shared" si="3"/>
        <v>5.3120343407507487E-2</v>
      </c>
      <c r="M14" s="88">
        <f t="shared" si="3"/>
        <v>0</v>
      </c>
      <c r="N14" s="88"/>
      <c r="O14" s="88"/>
    </row>
    <row r="15" spans="1:15" ht="16">
      <c r="A15" s="79" t="s">
        <v>206</v>
      </c>
      <c r="C15" s="89"/>
      <c r="M15" s="90"/>
    </row>
    <row r="16" spans="1:15">
      <c r="A16" s="79" t="s">
        <v>206</v>
      </c>
      <c r="B16" s="80" t="s">
        <v>223</v>
      </c>
      <c r="C16" s="90">
        <f>C11-C13</f>
        <v>664.46000000000083</v>
      </c>
      <c r="D16" s="90">
        <f t="shared" ref="D16:L16" si="4">D11-D13</f>
        <v>969.18000000000052</v>
      </c>
      <c r="E16" s="90">
        <f t="shared" si="4"/>
        <v>1352.8600000000006</v>
      </c>
      <c r="F16" s="90">
        <f t="shared" si="4"/>
        <v>1633.3100000000015</v>
      </c>
      <c r="G16" s="90">
        <f t="shared" si="4"/>
        <v>2128.3100000000004</v>
      </c>
      <c r="H16" s="90">
        <f t="shared" si="4"/>
        <v>1744.8299999999983</v>
      </c>
      <c r="I16" s="90">
        <f t="shared" si="4"/>
        <v>2502.3500000000013</v>
      </c>
      <c r="J16" s="90">
        <f t="shared" si="4"/>
        <v>3638.7699999999968</v>
      </c>
      <c r="K16" s="90">
        <f t="shared" si="4"/>
        <v>4105.6400000000049</v>
      </c>
      <c r="L16" s="90">
        <f t="shared" si="4"/>
        <v>4487.3299999999972</v>
      </c>
      <c r="N16" s="90"/>
    </row>
    <row r="17" spans="1:13">
      <c r="A17" s="79" t="s">
        <v>206</v>
      </c>
      <c r="B17" s="87" t="s">
        <v>224</v>
      </c>
      <c r="C17" s="88">
        <f>C16/C5</f>
        <v>7.7408967631900333E-2</v>
      </c>
      <c r="D17" s="88">
        <f t="shared" ref="D17:M17" si="5">D16/D5</f>
        <v>8.1459441740840702E-2</v>
      </c>
      <c r="E17" s="88">
        <f t="shared" si="5"/>
        <v>8.9991485512066663E-2</v>
      </c>
      <c r="F17" s="88">
        <f t="shared" si="5"/>
        <v>8.1647047767204689E-2</v>
      </c>
      <c r="G17" s="88">
        <f t="shared" si="5"/>
        <v>8.5576714300648976E-2</v>
      </c>
      <c r="H17" s="88">
        <f t="shared" si="5"/>
        <v>7.2270457845857075E-2</v>
      </c>
      <c r="I17" s="88">
        <f t="shared" si="5"/>
        <v>8.0782805676732586E-2</v>
      </c>
      <c r="J17" s="88">
        <f t="shared" si="5"/>
        <v>8.4939481171141737E-2</v>
      </c>
      <c r="K17" s="88">
        <f t="shared" si="5"/>
        <v>8.083745973277992E-2</v>
      </c>
      <c r="L17" s="88">
        <f t="shared" si="5"/>
        <v>7.5597665354572754E-2</v>
      </c>
      <c r="M17" s="88">
        <f t="shared" si="5"/>
        <v>0</v>
      </c>
    </row>
    <row r="18" spans="1:13">
      <c r="A18" s="79" t="s">
        <v>206</v>
      </c>
    </row>
    <row r="19" spans="1:13">
      <c r="A19" s="79" t="s">
        <v>206</v>
      </c>
      <c r="B19" s="80" t="s">
        <v>225</v>
      </c>
      <c r="C19" s="86">
        <f>IFERROR('[1]Data Sheet'!B27,0)</f>
        <v>91.34</v>
      </c>
      <c r="D19" s="86">
        <f>IFERROR('[1]Data Sheet'!C27,0)</f>
        <v>121.98</v>
      </c>
      <c r="E19" s="86">
        <f>IFERROR('[1]Data Sheet'!D27,0)</f>
        <v>59.54</v>
      </c>
      <c r="F19" s="86">
        <f>IFERROR('[1]Data Sheet'!E27,0)</f>
        <v>47.21</v>
      </c>
      <c r="G19" s="86">
        <f>IFERROR('[1]Data Sheet'!F27,0)</f>
        <v>69.12</v>
      </c>
      <c r="H19" s="86">
        <f>IFERROR('[1]Data Sheet'!G27,0)</f>
        <v>41.65</v>
      </c>
      <c r="I19" s="86">
        <f>IFERROR('[1]Data Sheet'!H27,0)</f>
        <v>53.79</v>
      </c>
      <c r="J19" s="86">
        <f>IFERROR('[1]Data Sheet'!I27,0)</f>
        <v>67.41</v>
      </c>
      <c r="K19" s="86">
        <f>IFERROR('[1]Data Sheet'!J27,0)</f>
        <v>58.13</v>
      </c>
      <c r="L19" s="86">
        <f>IFERROR('[1]Data Sheet'!K27,0)</f>
        <v>69.45</v>
      </c>
      <c r="M19" s="80">
        <f>IFERROR('[1]Data Sheet'!L27,0)</f>
        <v>0</v>
      </c>
    </row>
    <row r="20" spans="1:13">
      <c r="A20" s="79" t="s">
        <v>206</v>
      </c>
      <c r="B20" s="87" t="s">
        <v>226</v>
      </c>
      <c r="C20" s="88">
        <f>IFERROR(C19/C5,0)</f>
        <v>1.0641024446163452E-2</v>
      </c>
      <c r="D20" s="88">
        <f t="shared" ref="D20:L20" si="6">IFERROR(D19/D5,0)</f>
        <v>1.0252401724703094E-2</v>
      </c>
      <c r="E20" s="88">
        <f t="shared" si="6"/>
        <v>3.9605672777585609E-3</v>
      </c>
      <c r="F20" s="88">
        <f t="shared" si="6"/>
        <v>2.3599666475376565E-3</v>
      </c>
      <c r="G20" s="88">
        <f t="shared" si="6"/>
        <v>2.7792297609186899E-3</v>
      </c>
      <c r="H20" s="88">
        <f t="shared" si="6"/>
        <v>1.7251334337900829E-3</v>
      </c>
      <c r="I20" s="88">
        <f t="shared" si="6"/>
        <v>1.7364905458274996E-3</v>
      </c>
      <c r="J20" s="88">
        <f t="shared" si="6"/>
        <v>1.5735455732972048E-3</v>
      </c>
      <c r="K20" s="88">
        <f t="shared" si="6"/>
        <v>1.1445430028610621E-3</v>
      </c>
      <c r="L20" s="88">
        <f t="shared" si="6"/>
        <v>1.170018219938155E-3</v>
      </c>
      <c r="M20" s="88">
        <f t="shared" ref="M20" si="7">M19/M5</f>
        <v>0</v>
      </c>
    </row>
    <row r="21" spans="1:13">
      <c r="A21" s="79" t="s">
        <v>206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</row>
    <row r="22" spans="1:13">
      <c r="A22" s="79" t="s">
        <v>206</v>
      </c>
      <c r="B22" s="80" t="s">
        <v>227</v>
      </c>
      <c r="C22" s="86">
        <f>IFERROR('[1]Data Sheet'!B26,0)</f>
        <v>98.43</v>
      </c>
      <c r="D22" s="86">
        <f>IFERROR('[1]Data Sheet'!C26,0)</f>
        <v>127.82</v>
      </c>
      <c r="E22" s="86">
        <f>IFERROR('[1]Data Sheet'!D26,0)</f>
        <v>159</v>
      </c>
      <c r="F22" s="86">
        <f>IFERROR('[1]Data Sheet'!E26,0)</f>
        <v>212.49</v>
      </c>
      <c r="G22" s="86">
        <f>IFERROR('[1]Data Sheet'!F26,0)</f>
        <v>374.41</v>
      </c>
      <c r="H22" s="86">
        <f>IFERROR('[1]Data Sheet'!G26,0)</f>
        <v>414.16</v>
      </c>
      <c r="I22" s="86">
        <f>IFERROR('[1]Data Sheet'!H26,0)</f>
        <v>498.08</v>
      </c>
      <c r="J22" s="86">
        <f>IFERROR('[1]Data Sheet'!I26,0)</f>
        <v>638.87</v>
      </c>
      <c r="K22" s="86">
        <f>IFERROR('[1]Data Sheet'!J26,0)</f>
        <v>730.76</v>
      </c>
      <c r="L22" s="86">
        <f>IFERROR('[1]Data Sheet'!K26,0)</f>
        <v>869.52</v>
      </c>
      <c r="M22" s="80">
        <f>IFERROR(SUM('[1]Data Sheet'!H45:K45),0)</f>
        <v>869.52</v>
      </c>
    </row>
    <row r="23" spans="1:13">
      <c r="A23" s="79" t="s">
        <v>206</v>
      </c>
      <c r="B23" s="87" t="s">
        <v>228</v>
      </c>
      <c r="C23" s="87">
        <f>IFERROR(C22/C5,0)</f>
        <v>1.1467002805297445E-2</v>
      </c>
      <c r="D23" s="91">
        <f t="shared" ref="D23:L23" si="8">IFERROR(D22/D5,0)</f>
        <v>1.0743252897618866E-2</v>
      </c>
      <c r="E23" s="91">
        <f t="shared" si="8"/>
        <v>1.0576590479738178E-2</v>
      </c>
      <c r="F23" s="91">
        <f t="shared" si="8"/>
        <v>1.062209940553435E-2</v>
      </c>
      <c r="G23" s="91">
        <f t="shared" si="8"/>
        <v>1.5054563292615258E-2</v>
      </c>
      <c r="H23" s="91">
        <f t="shared" si="8"/>
        <v>1.7154412075354161E-2</v>
      </c>
      <c r="I23" s="91">
        <f t="shared" si="8"/>
        <v>1.6079405299605148E-2</v>
      </c>
      <c r="J23" s="91">
        <f t="shared" si="8"/>
        <v>1.4913085008342757E-2</v>
      </c>
      <c r="K23" s="91">
        <f t="shared" si="8"/>
        <v>1.4388203075361254E-2</v>
      </c>
      <c r="L23" s="91">
        <f t="shared" si="8"/>
        <v>1.4648729195113383E-2</v>
      </c>
    </row>
    <row r="24" spans="1:13">
      <c r="A24" s="79" t="s">
        <v>206</v>
      </c>
    </row>
    <row r="25" spans="1:13">
      <c r="A25" s="79" t="s">
        <v>206</v>
      </c>
      <c r="B25" s="80" t="s">
        <v>229</v>
      </c>
      <c r="C25" s="86">
        <f>IFERROR(C16-SUM(C19,C22),0)</f>
        <v>474.69000000000085</v>
      </c>
      <c r="D25" s="86">
        <f t="shared" ref="D25:M25" si="9">IFERROR(D16-SUM(D19,D22),0)</f>
        <v>719.38000000000056</v>
      </c>
      <c r="E25" s="86">
        <f t="shared" si="9"/>
        <v>1134.3200000000006</v>
      </c>
      <c r="F25" s="86">
        <f t="shared" si="9"/>
        <v>1373.6100000000015</v>
      </c>
      <c r="G25" s="86">
        <f t="shared" si="9"/>
        <v>1684.7800000000004</v>
      </c>
      <c r="H25" s="86">
        <f t="shared" si="9"/>
        <v>1289.0199999999984</v>
      </c>
      <c r="I25" s="86">
        <f t="shared" si="9"/>
        <v>1950.4800000000014</v>
      </c>
      <c r="J25" s="86">
        <f t="shared" si="9"/>
        <v>2932.4899999999971</v>
      </c>
      <c r="K25" s="86">
        <f t="shared" si="9"/>
        <v>3316.750000000005</v>
      </c>
      <c r="L25" s="86">
        <f t="shared" si="9"/>
        <v>3548.3599999999969</v>
      </c>
      <c r="M25" s="86">
        <f t="shared" si="9"/>
        <v>-869.52</v>
      </c>
    </row>
    <row r="26" spans="1:13" s="87" customFormat="1">
      <c r="A26" s="92" t="s">
        <v>206</v>
      </c>
      <c r="B26" s="87" t="s">
        <v>230</v>
      </c>
      <c r="C26" s="88">
        <f t="shared" ref="C26:L26" si="10">IFERROR(C28/C5,0)</f>
        <v>1.9976094392201087E-2</v>
      </c>
      <c r="D26" s="88">
        <f t="shared" si="10"/>
        <v>2.2548896005110227E-2</v>
      </c>
      <c r="E26" s="88">
        <f t="shared" si="10"/>
        <v>2.7658116701700236E-2</v>
      </c>
      <c r="F26" s="88">
        <f t="shared" si="10"/>
        <v>2.5968131202348269E-2</v>
      </c>
      <c r="G26" s="88">
        <f t="shared" si="10"/>
        <v>1.7844247332148514E-2</v>
      </c>
      <c r="H26" s="88">
        <f t="shared" si="10"/>
        <v>1.5906020197936795E-2</v>
      </c>
      <c r="I26" s="88">
        <f t="shared" si="10"/>
        <v>1.8456708958179923E-2</v>
      </c>
      <c r="J26" s="88">
        <f t="shared" si="10"/>
        <v>1.5914028995629274E-2</v>
      </c>
      <c r="K26" s="88">
        <f t="shared" si="10"/>
        <v>1.8226842398220238E-2</v>
      </c>
      <c r="L26" s="88">
        <f t="shared" si="10"/>
        <v>1.6260978923667471E-2</v>
      </c>
    </row>
    <row r="27" spans="1:13" ht="16">
      <c r="A27" s="79" t="s">
        <v>206</v>
      </c>
      <c r="C27" s="89"/>
    </row>
    <row r="28" spans="1:13">
      <c r="A28" s="79" t="s">
        <v>206</v>
      </c>
      <c r="B28" s="80" t="s">
        <v>231</v>
      </c>
      <c r="C28" s="86">
        <f>IFERROR('[1]Data Sheet'!B29,0)</f>
        <v>171.47</v>
      </c>
      <c r="D28" s="86">
        <f>IFERROR('[1]Data Sheet'!C29,0)</f>
        <v>268.27999999999997</v>
      </c>
      <c r="E28" s="86">
        <f>IFERROR('[1]Data Sheet'!D29,0)</f>
        <v>415.79</v>
      </c>
      <c r="F28" s="86">
        <f>IFERROR('[1]Data Sheet'!E29,0)</f>
        <v>519.48</v>
      </c>
      <c r="G28" s="86">
        <f>IFERROR('[1]Data Sheet'!F29,0)</f>
        <v>443.79</v>
      </c>
      <c r="H28" s="86">
        <f>IFERROR('[1]Data Sheet'!G29,0)</f>
        <v>384.02</v>
      </c>
      <c r="I28" s="86">
        <f>IFERROR('[1]Data Sheet'!H29,0)</f>
        <v>571.72</v>
      </c>
      <c r="J28" s="86">
        <f>IFERROR('[1]Data Sheet'!I29,0)</f>
        <v>681.75</v>
      </c>
      <c r="K28" s="86">
        <f>IFERROR('[1]Data Sheet'!J29,0)</f>
        <v>925.72</v>
      </c>
      <c r="L28" s="86">
        <f>IFERROR('[1]Data Sheet'!K29,0)</f>
        <v>965.22</v>
      </c>
      <c r="M28" s="86">
        <f>IFERROR('[1]Data Sheet'!L29,0)</f>
        <v>0</v>
      </c>
    </row>
    <row r="29" spans="1:13">
      <c r="A29" s="79" t="s">
        <v>206</v>
      </c>
      <c r="B29" s="87" t="s">
        <v>232</v>
      </c>
      <c r="C29" s="88">
        <f>IFERROR(C28/C25,0)</f>
        <v>0.36122522067033158</v>
      </c>
      <c r="D29" s="88">
        <f t="shared" ref="D29:M29" si="11">IFERROR(D28/D25,0)</f>
        <v>0.37293224721287743</v>
      </c>
      <c r="E29" s="88">
        <f t="shared" si="11"/>
        <v>0.36655441145355788</v>
      </c>
      <c r="F29" s="88">
        <f t="shared" si="11"/>
        <v>0.37818594797649946</v>
      </c>
      <c r="G29" s="88">
        <f t="shared" si="11"/>
        <v>0.26341124657225268</v>
      </c>
      <c r="H29" s="93">
        <f t="shared" si="11"/>
        <v>0.29791624645079245</v>
      </c>
      <c r="I29" s="93">
        <f t="shared" si="11"/>
        <v>0.29311759156720379</v>
      </c>
      <c r="J29" s="93">
        <f t="shared" si="11"/>
        <v>0.23248161119049024</v>
      </c>
      <c r="K29" s="93">
        <f t="shared" si="11"/>
        <v>0.27910454511193145</v>
      </c>
      <c r="L29" s="93">
        <f t="shared" si="11"/>
        <v>0.27201862268766441</v>
      </c>
      <c r="M29" s="88">
        <f t="shared" si="11"/>
        <v>0</v>
      </c>
    </row>
    <row r="30" spans="1:13">
      <c r="A30" s="79" t="s">
        <v>206</v>
      </c>
      <c r="C30" s="94"/>
      <c r="D30" s="87"/>
      <c r="E30" s="87"/>
      <c r="F30" s="87"/>
      <c r="G30" s="87"/>
      <c r="H30" s="87"/>
      <c r="I30" s="87"/>
      <c r="J30" s="87"/>
      <c r="K30" s="87"/>
      <c r="L30" s="87"/>
      <c r="M30" s="87"/>
    </row>
    <row r="31" spans="1:13">
      <c r="A31" s="79" t="s">
        <v>206</v>
      </c>
      <c r="B31" s="80" t="s">
        <v>233</v>
      </c>
      <c r="C31" s="86">
        <f>IFERROR(C25-C28,0)</f>
        <v>303.22000000000082</v>
      </c>
      <c r="D31" s="86">
        <f t="shared" ref="D31:L31" si="12">IFERROR(D25-D28,0)</f>
        <v>451.10000000000059</v>
      </c>
      <c r="E31" s="86">
        <f t="shared" si="12"/>
        <v>718.53000000000065</v>
      </c>
      <c r="F31" s="86">
        <f t="shared" si="12"/>
        <v>854.13000000000147</v>
      </c>
      <c r="G31" s="86">
        <f t="shared" si="12"/>
        <v>1240.9900000000005</v>
      </c>
      <c r="H31" s="86">
        <f t="shared" si="12"/>
        <v>904.99999999999841</v>
      </c>
      <c r="I31" s="86">
        <f t="shared" si="12"/>
        <v>1378.7600000000014</v>
      </c>
      <c r="J31" s="86">
        <f t="shared" si="12"/>
        <v>2250.7399999999971</v>
      </c>
      <c r="K31" s="86">
        <f t="shared" si="12"/>
        <v>2391.0300000000052</v>
      </c>
      <c r="L31" s="86">
        <f t="shared" si="12"/>
        <v>2583.1399999999967</v>
      </c>
    </row>
    <row r="32" spans="1:13">
      <c r="A32" s="79" t="s">
        <v>206</v>
      </c>
      <c r="B32" s="87" t="s">
        <v>234</v>
      </c>
      <c r="C32" s="88">
        <f>IFERROR(C31/C5,0)</f>
        <v>3.5324845988238353E-2</v>
      </c>
      <c r="D32" s="88">
        <f t="shared" ref="D32:M32" si="13">IFERROR(D31/D5,0)</f>
        <v>3.7914891113408518E-2</v>
      </c>
      <c r="E32" s="88">
        <f t="shared" si="13"/>
        <v>4.7796211052869693E-2</v>
      </c>
      <c r="F32" s="88">
        <f t="shared" si="13"/>
        <v>4.2696850511784408E-2</v>
      </c>
      <c r="G32" s="88">
        <f t="shared" si="13"/>
        <v>4.9898673914966524E-2</v>
      </c>
      <c r="H32" s="88">
        <f t="shared" si="13"/>
        <v>3.7484892138776045E-2</v>
      </c>
      <c r="I32" s="88">
        <f t="shared" si="13"/>
        <v>4.4510200873120014E-2</v>
      </c>
      <c r="J32" s="88">
        <f t="shared" si="13"/>
        <v>5.2538821593872513E-2</v>
      </c>
      <c r="K32" s="88">
        <f t="shared" si="13"/>
        <v>4.7077871256337368E-2</v>
      </c>
      <c r="L32" s="88">
        <f t="shared" si="13"/>
        <v>4.3517939015853734E-2</v>
      </c>
      <c r="M32" s="88">
        <f t="shared" si="13"/>
        <v>0</v>
      </c>
    </row>
    <row r="33" spans="1:13" ht="16">
      <c r="A33" s="79" t="s">
        <v>206</v>
      </c>
      <c r="C33" s="89"/>
    </row>
    <row r="34" spans="1:13">
      <c r="B34" s="80" t="s">
        <v>235</v>
      </c>
      <c r="C34" s="86">
        <f>IFERROR('[1]Data Sheet'!B93,0)</f>
        <v>56.15</v>
      </c>
      <c r="D34" s="86">
        <f>IFERROR('[1]Data Sheet'!C93,0)</f>
        <v>62.41</v>
      </c>
      <c r="E34" s="86">
        <f>IFERROR('[1]Data Sheet'!D93,0)</f>
        <v>62.41</v>
      </c>
      <c r="F34" s="86">
        <f>IFERROR('[1]Data Sheet'!E93,0)</f>
        <v>62.41</v>
      </c>
      <c r="G34" s="86">
        <f>IFERROR('[1]Data Sheet'!F93,0)</f>
        <v>64.78</v>
      </c>
      <c r="H34" s="86">
        <f>IFERROR('[1]Data Sheet'!G93,0)</f>
        <v>64.78</v>
      </c>
      <c r="I34" s="86">
        <f>IFERROR('[1]Data Sheet'!H93,0)</f>
        <v>64.78</v>
      </c>
      <c r="J34" s="86">
        <f>IFERROR('[1]Data Sheet'!I93,0)</f>
        <v>64.83</v>
      </c>
      <c r="K34" s="86">
        <f>IFERROR('[1]Data Sheet'!J93,0)</f>
        <v>65.069999999999993</v>
      </c>
      <c r="L34" s="86">
        <f>IFERROR('[1]Data Sheet'!K93,0)</f>
        <v>65.069999999999993</v>
      </c>
    </row>
    <row r="36" spans="1:13">
      <c r="B36" s="80" t="s">
        <v>236</v>
      </c>
      <c r="C36" s="86">
        <f>IFERROR(C31/C34,0)</f>
        <v>5.4001780943900419</v>
      </c>
      <c r="D36" s="86">
        <f t="shared" ref="D36:L36" si="14">IFERROR(D31/D34,0)</f>
        <v>7.2280083319980868</v>
      </c>
      <c r="E36" s="86">
        <f t="shared" si="14"/>
        <v>11.513058804678748</v>
      </c>
      <c r="F36" s="86">
        <f t="shared" si="14"/>
        <v>13.685787534049055</v>
      </c>
      <c r="G36" s="86">
        <f t="shared" si="14"/>
        <v>19.156992899042923</v>
      </c>
      <c r="H36" s="86">
        <f t="shared" si="14"/>
        <v>13.970361222599543</v>
      </c>
      <c r="I36" s="86">
        <f t="shared" si="14"/>
        <v>21.283729546156241</v>
      </c>
      <c r="J36" s="86">
        <f t="shared" si="14"/>
        <v>34.717569026685133</v>
      </c>
      <c r="K36" s="86">
        <f t="shared" si="14"/>
        <v>36.745504840940612</v>
      </c>
      <c r="L36" s="86">
        <f t="shared" si="14"/>
        <v>39.697863838942631</v>
      </c>
    </row>
    <row r="37" spans="1:13">
      <c r="B37" s="87" t="s">
        <v>237</v>
      </c>
      <c r="C37" s="95"/>
      <c r="D37" s="88">
        <f>IFERROR(D36/C36-1,0)</f>
        <v>0.33847591795294307</v>
      </c>
      <c r="E37" s="88">
        <f t="shared" ref="E37:L37" si="15">IFERROR(E36/D36-1,0)</f>
        <v>0.5928397251163815</v>
      </c>
      <c r="F37" s="88">
        <f t="shared" si="15"/>
        <v>0.18871863387750087</v>
      </c>
      <c r="G37" s="88">
        <f t="shared" si="15"/>
        <v>0.39977278263176164</v>
      </c>
      <c r="H37" s="88">
        <f t="shared" si="15"/>
        <v>-0.27074351928702245</v>
      </c>
      <c r="I37" s="88">
        <f t="shared" si="15"/>
        <v>0.52349171270718653</v>
      </c>
      <c r="J37" s="88">
        <f t="shared" si="15"/>
        <v>0.63117882847534079</v>
      </c>
      <c r="K37" s="88">
        <f t="shared" si="15"/>
        <v>5.84123794121858E-2</v>
      </c>
      <c r="L37" s="88">
        <f t="shared" si="15"/>
        <v>8.0346126982928201E-2</v>
      </c>
    </row>
    <row r="39" spans="1:13">
      <c r="B39" s="80" t="s">
        <v>238</v>
      </c>
      <c r="C39" s="86">
        <f>IFERROR('[1]Data Sheet'!B31/'Historical FS '!C34,0)</f>
        <v>0</v>
      </c>
      <c r="D39" s="86">
        <f>IFERROR('[1]Data Sheet'!C31/'Historical FS '!D34,0)</f>
        <v>0</v>
      </c>
      <c r="E39" s="86">
        <f>IFERROR('[1]Data Sheet'!D31/'Historical FS '!E34,0)</f>
        <v>0</v>
      </c>
      <c r="F39" s="86">
        <f>IFERROR('[1]Data Sheet'!E31/'Historical FS '!F34,0)</f>
        <v>0</v>
      </c>
      <c r="G39" s="86">
        <f>IFERROR('[1]Data Sheet'!F31/'Historical FS '!G34,0)</f>
        <v>0</v>
      </c>
      <c r="H39" s="86">
        <f>IFERROR('[1]Data Sheet'!G31/'Historical FS '!H34,0)</f>
        <v>0</v>
      </c>
      <c r="I39" s="86">
        <f>IFERROR('[1]Data Sheet'!H31/'Historical FS '!I34,0)</f>
        <v>0</v>
      </c>
      <c r="J39" s="86">
        <f>IFERROR('[1]Data Sheet'!I31/'Historical FS '!J34,0)</f>
        <v>0</v>
      </c>
      <c r="K39" s="86">
        <f>IFERROR('[1]Data Sheet'!J31/'Historical FS '!K34,0)</f>
        <v>0</v>
      </c>
      <c r="L39" s="86">
        <f>IFERROR('[1]Data Sheet'!K31/'Historical FS '!L34,0)</f>
        <v>0</v>
      </c>
    </row>
    <row r="40" spans="1:13">
      <c r="B40" s="87" t="s">
        <v>239</v>
      </c>
      <c r="C40" s="88">
        <f>IFERROR(C39/C36,0)</f>
        <v>0</v>
      </c>
      <c r="D40" s="88">
        <f t="shared" ref="D40:I40" si="16">IFERROR(D39/D36,0)</f>
        <v>0</v>
      </c>
      <c r="E40" s="88">
        <f t="shared" si="16"/>
        <v>0</v>
      </c>
      <c r="F40" s="88">
        <f t="shared" si="16"/>
        <v>0</v>
      </c>
      <c r="G40" s="88">
        <f t="shared" si="16"/>
        <v>0</v>
      </c>
      <c r="H40" s="88">
        <f t="shared" si="16"/>
        <v>0</v>
      </c>
      <c r="I40" s="88">
        <f t="shared" si="16"/>
        <v>0</v>
      </c>
      <c r="J40" s="88">
        <f>IFERROR(J39/J36,0)</f>
        <v>0</v>
      </c>
      <c r="K40" s="88">
        <f t="shared" ref="K40:M40" si="17">IFERROR(K39/K36,0)</f>
        <v>0</v>
      </c>
      <c r="L40" s="88">
        <f t="shared" si="17"/>
        <v>0</v>
      </c>
      <c r="M40" s="88">
        <f t="shared" si="17"/>
        <v>0</v>
      </c>
    </row>
    <row r="42" spans="1:13" ht="16">
      <c r="B42" s="80" t="s">
        <v>240</v>
      </c>
      <c r="C42" s="128">
        <f>IFERROR(IF(C36&gt;C39,1-C40,0),0)</f>
        <v>1</v>
      </c>
      <c r="D42" s="128">
        <f t="shared" ref="D42:L42" si="18">IFERROR(IF(D36&gt;D39,1-D40,0),0)</f>
        <v>1</v>
      </c>
      <c r="E42" s="128">
        <f t="shared" si="18"/>
        <v>1</v>
      </c>
      <c r="F42" s="128">
        <f t="shared" si="18"/>
        <v>1</v>
      </c>
      <c r="G42" s="128">
        <f t="shared" si="18"/>
        <v>1</v>
      </c>
      <c r="H42" s="128">
        <f t="shared" si="18"/>
        <v>1</v>
      </c>
      <c r="I42" s="128">
        <f t="shared" si="18"/>
        <v>1</v>
      </c>
      <c r="J42" s="128">
        <f t="shared" si="18"/>
        <v>1</v>
      </c>
      <c r="K42" s="128">
        <f t="shared" si="18"/>
        <v>1</v>
      </c>
      <c r="L42" s="128">
        <f t="shared" si="18"/>
        <v>1</v>
      </c>
    </row>
    <row r="48" spans="1:13">
      <c r="B48" s="148"/>
      <c r="C48" s="148"/>
      <c r="E48" s="149"/>
    </row>
  </sheetData>
  <mergeCells count="1">
    <mergeCell ref="B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A971-3143-A24B-B69B-6D745C74A4BC}">
  <dimension ref="B1:AB79"/>
  <sheetViews>
    <sheetView showGridLines="0" workbookViewId="0">
      <pane ySplit="2" topLeftCell="A45" activePane="bottomLeft" state="frozen"/>
      <selection pane="bottomLeft" activeCell="O14" sqref="O14"/>
    </sheetView>
  </sheetViews>
  <sheetFormatPr baseColWidth="10" defaultRowHeight="16"/>
  <cols>
    <col min="1" max="1" width="2" customWidth="1"/>
    <col min="2" max="2" width="25.5" bestFit="1" customWidth="1"/>
    <col min="3" max="4" width="9.33203125" bestFit="1" customWidth="1"/>
    <col min="5" max="14" width="11" bestFit="1" customWidth="1"/>
  </cols>
  <sheetData>
    <row r="1" spans="2:28">
      <c r="B1" s="4" t="s">
        <v>416</v>
      </c>
    </row>
    <row r="2" spans="2:28">
      <c r="B2" s="104" t="s">
        <v>339</v>
      </c>
      <c r="C2" s="105">
        <v>41699</v>
      </c>
      <c r="D2" s="105">
        <v>42064</v>
      </c>
      <c r="E2" s="105">
        <v>42430</v>
      </c>
      <c r="F2" s="105">
        <v>42795</v>
      </c>
      <c r="G2" s="105">
        <v>43160</v>
      </c>
      <c r="H2" s="105">
        <v>43525</v>
      </c>
      <c r="I2" s="105">
        <v>43891</v>
      </c>
      <c r="J2" s="105">
        <v>44256</v>
      </c>
      <c r="K2" s="105">
        <v>44621</v>
      </c>
      <c r="L2" s="105">
        <v>44986</v>
      </c>
      <c r="M2" s="105">
        <v>45352</v>
      </c>
      <c r="N2" s="107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spans="2:28">
      <c r="B3" s="168" t="s">
        <v>414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07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</row>
    <row r="4" spans="2:28"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2:28">
      <c r="B5" s="73" t="s">
        <v>312</v>
      </c>
      <c r="C5" s="108">
        <v>547</v>
      </c>
      <c r="D5" s="108">
        <v>562</v>
      </c>
      <c r="E5" s="108">
        <v>562</v>
      </c>
      <c r="F5" s="108">
        <v>624</v>
      </c>
      <c r="G5" s="108">
        <v>624</v>
      </c>
      <c r="H5" s="108">
        <v>624</v>
      </c>
      <c r="I5" s="108">
        <v>648</v>
      </c>
      <c r="J5" s="108">
        <v>648</v>
      </c>
      <c r="K5" s="108">
        <v>648</v>
      </c>
      <c r="L5" s="108">
        <v>648</v>
      </c>
      <c r="M5" s="108">
        <v>651</v>
      </c>
      <c r="N5" s="108"/>
    </row>
    <row r="6" spans="2:28">
      <c r="B6" s="73" t="s">
        <v>242</v>
      </c>
      <c r="C6" s="108">
        <v>409</v>
      </c>
      <c r="D6" s="108">
        <v>638</v>
      </c>
      <c r="E6" s="108">
        <v>959</v>
      </c>
      <c r="F6" s="108">
        <v>3218</v>
      </c>
      <c r="G6" s="108">
        <v>4045</v>
      </c>
      <c r="H6" s="108">
        <v>4963</v>
      </c>
      <c r="I6" s="108">
        <v>10432</v>
      </c>
      <c r="J6" s="108">
        <v>11536</v>
      </c>
      <c r="K6" s="108">
        <v>13030</v>
      </c>
      <c r="L6" s="108">
        <v>15430</v>
      </c>
      <c r="M6" s="108">
        <v>18047</v>
      </c>
      <c r="N6" s="108"/>
    </row>
    <row r="7" spans="2:28">
      <c r="B7" s="115" t="s">
        <v>313</v>
      </c>
      <c r="C7" s="117">
        <v>641</v>
      </c>
      <c r="D7" s="117">
        <v>904</v>
      </c>
      <c r="E7" s="117">
        <v>1192</v>
      </c>
      <c r="F7" s="117">
        <v>1497</v>
      </c>
      <c r="G7" s="117">
        <v>439</v>
      </c>
      <c r="H7" s="117">
        <v>700</v>
      </c>
      <c r="I7" s="117">
        <v>333</v>
      </c>
      <c r="J7" s="117">
        <v>393</v>
      </c>
      <c r="K7" s="117">
        <v>647</v>
      </c>
      <c r="L7" s="117">
        <v>643</v>
      </c>
      <c r="M7" s="117">
        <v>592</v>
      </c>
      <c r="N7" s="117"/>
    </row>
    <row r="8" spans="2:28">
      <c r="B8" t="s">
        <v>314</v>
      </c>
      <c r="C8" s="108"/>
      <c r="D8" s="108"/>
      <c r="E8" s="108">
        <v>908</v>
      </c>
      <c r="F8" s="108">
        <v>981</v>
      </c>
      <c r="G8" s="108">
        <v>246</v>
      </c>
      <c r="H8" s="108">
        <v>126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/>
    </row>
    <row r="9" spans="2:28">
      <c r="B9" t="s">
        <v>315</v>
      </c>
      <c r="C9" s="108"/>
      <c r="D9" s="108"/>
      <c r="E9" s="108">
        <v>129</v>
      </c>
      <c r="F9" s="108">
        <v>139</v>
      </c>
      <c r="G9" s="108">
        <v>7</v>
      </c>
      <c r="H9" s="108">
        <v>304</v>
      </c>
      <c r="I9" s="108">
        <v>4</v>
      </c>
      <c r="J9" s="108">
        <v>0</v>
      </c>
      <c r="K9" s="108">
        <v>0</v>
      </c>
      <c r="L9" s="108">
        <v>0</v>
      </c>
      <c r="M9" s="108">
        <v>0</v>
      </c>
      <c r="N9" s="108"/>
    </row>
    <row r="10" spans="2:28">
      <c r="B10" t="s">
        <v>316</v>
      </c>
      <c r="C10" s="108"/>
      <c r="D10" s="108"/>
      <c r="E10" s="108">
        <v>0</v>
      </c>
      <c r="F10" s="108">
        <v>0</v>
      </c>
      <c r="G10" s="108">
        <v>0</v>
      </c>
      <c r="H10" s="108">
        <v>0</v>
      </c>
      <c r="I10" s="108">
        <v>295</v>
      </c>
      <c r="J10" s="108">
        <v>393</v>
      </c>
      <c r="K10" s="108">
        <v>647</v>
      </c>
      <c r="L10" s="108">
        <v>643</v>
      </c>
      <c r="M10" s="108">
        <v>592</v>
      </c>
      <c r="N10" s="108"/>
    </row>
    <row r="11" spans="2:28">
      <c r="B11" t="s">
        <v>317</v>
      </c>
      <c r="C11" s="108">
        <v>641</v>
      </c>
      <c r="D11" s="108">
        <v>904</v>
      </c>
      <c r="E11" s="108">
        <v>155</v>
      </c>
      <c r="F11" s="108">
        <v>378</v>
      </c>
      <c r="G11" s="108">
        <v>186</v>
      </c>
      <c r="H11" s="108">
        <v>270</v>
      </c>
      <c r="I11" s="108">
        <v>34</v>
      </c>
      <c r="J11" s="108">
        <v>0</v>
      </c>
      <c r="K11" s="108">
        <v>0</v>
      </c>
      <c r="L11" s="108">
        <v>0</v>
      </c>
      <c r="M11" s="108">
        <v>0</v>
      </c>
      <c r="N11" s="108"/>
    </row>
    <row r="12" spans="2:28">
      <c r="B12" s="115" t="s">
        <v>318</v>
      </c>
      <c r="C12" s="117">
        <v>211</v>
      </c>
      <c r="D12" s="117">
        <v>251</v>
      </c>
      <c r="E12" s="117">
        <v>389</v>
      </c>
      <c r="F12" s="117">
        <v>480</v>
      </c>
      <c r="G12" s="117">
        <v>540</v>
      </c>
      <c r="H12" s="117">
        <v>718</v>
      </c>
      <c r="I12" s="117">
        <v>663</v>
      </c>
      <c r="J12" s="117">
        <v>1079</v>
      </c>
      <c r="K12" s="117">
        <v>1146</v>
      </c>
      <c r="L12" s="117">
        <v>1383</v>
      </c>
      <c r="M12" s="117">
        <v>1882</v>
      </c>
      <c r="N12" s="117"/>
    </row>
    <row r="13" spans="2:28">
      <c r="B13" t="s">
        <v>319</v>
      </c>
      <c r="C13" s="108">
        <v>0</v>
      </c>
      <c r="D13" s="108">
        <v>0</v>
      </c>
      <c r="E13" s="108">
        <v>0</v>
      </c>
      <c r="F13" s="108">
        <v>0</v>
      </c>
      <c r="G13" s="108">
        <v>1</v>
      </c>
      <c r="H13" s="108">
        <v>1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/>
    </row>
    <row r="14" spans="2:28">
      <c r="B14" t="s">
        <v>320</v>
      </c>
      <c r="C14" s="108">
        <v>123</v>
      </c>
      <c r="D14" s="108">
        <v>119</v>
      </c>
      <c r="E14" s="108">
        <v>194</v>
      </c>
      <c r="F14" s="108">
        <v>261</v>
      </c>
      <c r="G14" s="108">
        <v>317</v>
      </c>
      <c r="H14" s="108">
        <v>463</v>
      </c>
      <c r="I14" s="108">
        <v>433</v>
      </c>
      <c r="J14" s="108">
        <v>578</v>
      </c>
      <c r="K14" s="108">
        <v>589</v>
      </c>
      <c r="L14" s="108">
        <v>754</v>
      </c>
      <c r="M14" s="108">
        <v>985</v>
      </c>
      <c r="N14" s="108"/>
    </row>
    <row r="15" spans="2:28">
      <c r="B15" t="s">
        <v>321</v>
      </c>
      <c r="C15" s="108">
        <v>89</v>
      </c>
      <c r="D15" s="108">
        <v>133</v>
      </c>
      <c r="E15" s="108">
        <v>194</v>
      </c>
      <c r="F15" s="108">
        <v>219</v>
      </c>
      <c r="G15" s="108">
        <v>222</v>
      </c>
      <c r="H15" s="108">
        <v>254</v>
      </c>
      <c r="I15" s="108">
        <v>229</v>
      </c>
      <c r="J15" s="108">
        <v>500</v>
      </c>
      <c r="K15" s="108">
        <v>557</v>
      </c>
      <c r="L15" s="108">
        <v>629</v>
      </c>
      <c r="M15" s="108">
        <v>898</v>
      </c>
      <c r="N15" s="108"/>
    </row>
    <row r="16" spans="2:28">
      <c r="B16" s="116" t="s">
        <v>245</v>
      </c>
      <c r="C16" s="118">
        <v>1808</v>
      </c>
      <c r="D16" s="118">
        <v>2355</v>
      </c>
      <c r="E16" s="118">
        <v>3102</v>
      </c>
      <c r="F16" s="118">
        <v>5819</v>
      </c>
      <c r="G16" s="118">
        <v>5648</v>
      </c>
      <c r="H16" s="118">
        <v>7006</v>
      </c>
      <c r="I16" s="118">
        <v>12076</v>
      </c>
      <c r="J16" s="118">
        <v>13655</v>
      </c>
      <c r="K16" s="118">
        <v>15471</v>
      </c>
      <c r="L16" s="118">
        <v>18105</v>
      </c>
      <c r="M16" s="118">
        <v>21172</v>
      </c>
      <c r="N16" s="118"/>
    </row>
    <row r="17" spans="2:14">
      <c r="B17" s="115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</row>
    <row r="18" spans="2:14">
      <c r="B18" s="115" t="s">
        <v>322</v>
      </c>
      <c r="C18" s="117">
        <v>1172</v>
      </c>
      <c r="D18" s="117">
        <v>1528</v>
      </c>
      <c r="E18" s="117">
        <v>2094</v>
      </c>
      <c r="F18" s="117">
        <v>2578</v>
      </c>
      <c r="G18" s="117">
        <v>3400</v>
      </c>
      <c r="H18" s="117">
        <v>4400</v>
      </c>
      <c r="I18" s="117">
        <v>5948</v>
      </c>
      <c r="J18" s="117">
        <v>7009</v>
      </c>
      <c r="K18" s="117">
        <v>9260</v>
      </c>
      <c r="L18" s="117">
        <v>11340</v>
      </c>
      <c r="M18" s="117">
        <v>13415</v>
      </c>
      <c r="N18" s="117"/>
    </row>
    <row r="19" spans="2:14">
      <c r="B19" t="s">
        <v>323</v>
      </c>
      <c r="C19" s="108">
        <v>460</v>
      </c>
      <c r="D19" s="108">
        <v>602</v>
      </c>
      <c r="E19" s="108">
        <v>784</v>
      </c>
      <c r="F19" s="108">
        <v>1044</v>
      </c>
      <c r="G19" s="108">
        <v>1438</v>
      </c>
      <c r="H19" s="108">
        <v>2028</v>
      </c>
      <c r="I19" s="108">
        <v>2740</v>
      </c>
      <c r="J19" s="108">
        <v>3483</v>
      </c>
      <c r="K19" s="108">
        <v>4527</v>
      </c>
      <c r="L19" s="108">
        <v>5519</v>
      </c>
      <c r="M19" s="108">
        <v>6904</v>
      </c>
      <c r="N19" s="108"/>
    </row>
    <row r="20" spans="2:14">
      <c r="B20" t="s">
        <v>324</v>
      </c>
      <c r="C20" s="108">
        <v>717</v>
      </c>
      <c r="D20" s="108">
        <v>946</v>
      </c>
      <c r="E20" s="108">
        <v>1162</v>
      </c>
      <c r="F20" s="108">
        <v>1379</v>
      </c>
      <c r="G20" s="108">
        <v>1757</v>
      </c>
      <c r="H20" s="108">
        <v>2173</v>
      </c>
      <c r="I20" s="108">
        <v>3139</v>
      </c>
      <c r="J20" s="108">
        <v>3649</v>
      </c>
      <c r="K20" s="108">
        <v>4938</v>
      </c>
      <c r="L20" s="108">
        <v>6201</v>
      </c>
      <c r="M20" s="108">
        <v>7062</v>
      </c>
      <c r="N20" s="108"/>
    </row>
    <row r="21" spans="2:14">
      <c r="B21" t="s">
        <v>325</v>
      </c>
      <c r="C21" s="108">
        <v>39</v>
      </c>
      <c r="D21" s="108">
        <v>51</v>
      </c>
      <c r="E21" s="108">
        <v>59</v>
      </c>
      <c r="F21" s="108">
        <v>88</v>
      </c>
      <c r="G21" s="108">
        <v>124</v>
      </c>
      <c r="H21" s="108">
        <v>191</v>
      </c>
      <c r="I21" s="108">
        <v>272</v>
      </c>
      <c r="J21" s="108">
        <v>352</v>
      </c>
      <c r="K21" s="108">
        <v>491</v>
      </c>
      <c r="L21" s="108">
        <v>656</v>
      </c>
      <c r="M21" s="108">
        <v>870</v>
      </c>
      <c r="N21" s="108"/>
    </row>
    <row r="22" spans="2:14">
      <c r="B22" t="s">
        <v>326</v>
      </c>
      <c r="C22" s="108">
        <v>9</v>
      </c>
      <c r="D22" s="108">
        <v>12</v>
      </c>
      <c r="E22" s="108">
        <v>11</v>
      </c>
      <c r="F22" s="108">
        <v>16</v>
      </c>
      <c r="G22" s="108">
        <v>21</v>
      </c>
      <c r="H22" s="108">
        <v>29</v>
      </c>
      <c r="I22" s="108">
        <v>39</v>
      </c>
      <c r="J22" s="108">
        <v>50</v>
      </c>
      <c r="K22" s="108">
        <v>73</v>
      </c>
      <c r="L22" s="108">
        <v>85</v>
      </c>
      <c r="M22" s="108">
        <v>97</v>
      </c>
      <c r="N22" s="108"/>
    </row>
    <row r="23" spans="2:14">
      <c r="B23" t="s">
        <v>356</v>
      </c>
      <c r="C23" s="108">
        <v>23</v>
      </c>
      <c r="D23" s="108">
        <v>30</v>
      </c>
      <c r="E23" s="108">
        <v>21</v>
      </c>
      <c r="F23" s="108">
        <v>30</v>
      </c>
      <c r="G23" s="108">
        <v>53</v>
      </c>
      <c r="H23" s="108">
        <v>76</v>
      </c>
      <c r="I23" s="108">
        <v>95</v>
      </c>
      <c r="J23" s="108">
        <v>119</v>
      </c>
      <c r="K23" s="108">
        <v>153</v>
      </c>
      <c r="L23" s="108">
        <v>190</v>
      </c>
      <c r="M23" s="108">
        <v>219</v>
      </c>
      <c r="N23" s="108"/>
    </row>
    <row r="24" spans="2:14">
      <c r="B24" t="s">
        <v>327</v>
      </c>
      <c r="C24" s="108">
        <v>135</v>
      </c>
      <c r="D24" s="108">
        <v>172</v>
      </c>
      <c r="E24" s="108">
        <v>143</v>
      </c>
      <c r="F24" s="108">
        <v>202</v>
      </c>
      <c r="G24" s="108">
        <v>265</v>
      </c>
      <c r="H24" s="108">
        <v>357</v>
      </c>
      <c r="I24" s="108">
        <v>476</v>
      </c>
      <c r="J24" s="108">
        <v>581</v>
      </c>
      <c r="K24" s="108">
        <v>772</v>
      </c>
      <c r="L24" s="108">
        <v>968</v>
      </c>
      <c r="M24" s="108">
        <v>1205</v>
      </c>
      <c r="N24" s="108"/>
    </row>
    <row r="25" spans="2:14">
      <c r="B25" t="s">
        <v>328</v>
      </c>
      <c r="C25" s="108">
        <v>4</v>
      </c>
      <c r="D25" s="108">
        <v>6</v>
      </c>
      <c r="E25" s="108">
        <v>6</v>
      </c>
      <c r="F25" s="108">
        <v>6</v>
      </c>
      <c r="G25" s="108">
        <v>2</v>
      </c>
      <c r="H25" s="108">
        <v>3</v>
      </c>
      <c r="I25" s="108">
        <v>4</v>
      </c>
      <c r="J25" s="108">
        <v>4</v>
      </c>
      <c r="K25" s="108">
        <v>3</v>
      </c>
      <c r="L25" s="108">
        <v>15</v>
      </c>
      <c r="M25" s="108">
        <v>17</v>
      </c>
      <c r="N25" s="108"/>
    </row>
    <row r="26" spans="2:14">
      <c r="B26" t="s">
        <v>329</v>
      </c>
      <c r="C26" s="108">
        <v>0</v>
      </c>
      <c r="D26" s="108">
        <v>0</v>
      </c>
      <c r="E26" s="108">
        <v>0</v>
      </c>
      <c r="F26" s="108">
        <v>0</v>
      </c>
      <c r="G26" s="108">
        <v>78</v>
      </c>
      <c r="H26" s="108">
        <v>78</v>
      </c>
      <c r="I26" s="108">
        <v>78</v>
      </c>
      <c r="J26" s="108">
        <v>78</v>
      </c>
      <c r="K26" s="108">
        <v>78</v>
      </c>
      <c r="L26" s="108">
        <v>78</v>
      </c>
      <c r="M26" s="108">
        <v>78</v>
      </c>
      <c r="N26" s="108"/>
    </row>
    <row r="27" spans="2:14">
      <c r="B27" t="s">
        <v>330</v>
      </c>
      <c r="C27" s="108">
        <v>10</v>
      </c>
      <c r="D27" s="108">
        <v>12</v>
      </c>
      <c r="E27" s="108">
        <v>6</v>
      </c>
      <c r="F27" s="108">
        <v>39</v>
      </c>
      <c r="G27" s="108">
        <v>61</v>
      </c>
      <c r="H27" s="108">
        <v>74</v>
      </c>
      <c r="I27" s="108">
        <v>82</v>
      </c>
      <c r="J27" s="108">
        <v>81</v>
      </c>
      <c r="K27" s="108">
        <v>91</v>
      </c>
      <c r="L27" s="108">
        <v>105</v>
      </c>
      <c r="M27" s="108">
        <v>119</v>
      </c>
      <c r="N27" s="108"/>
    </row>
    <row r="28" spans="2:14">
      <c r="B28" s="115" t="s">
        <v>331</v>
      </c>
      <c r="C28" s="117">
        <v>1397</v>
      </c>
      <c r="D28" s="117">
        <v>1832</v>
      </c>
      <c r="E28" s="117">
        <v>2192</v>
      </c>
      <c r="F28" s="117">
        <v>2805</v>
      </c>
      <c r="G28" s="117">
        <v>3801</v>
      </c>
      <c r="H28" s="117">
        <v>5010</v>
      </c>
      <c r="I28" s="117">
        <v>6927</v>
      </c>
      <c r="J28" s="117">
        <v>8396</v>
      </c>
      <c r="K28" s="117">
        <v>11127</v>
      </c>
      <c r="L28" s="117">
        <v>13816</v>
      </c>
      <c r="M28" s="117">
        <v>16571</v>
      </c>
      <c r="N28" s="117"/>
    </row>
    <row r="29" spans="2:14">
      <c r="B29" s="73" t="s">
        <v>332</v>
      </c>
      <c r="C29" s="119">
        <v>225</v>
      </c>
      <c r="D29" s="119">
        <v>304</v>
      </c>
      <c r="E29" s="119">
        <v>98</v>
      </c>
      <c r="F29" s="119">
        <v>228</v>
      </c>
      <c r="G29" s="119">
        <v>401</v>
      </c>
      <c r="H29" s="119">
        <v>609</v>
      </c>
      <c r="I29" s="119">
        <v>979</v>
      </c>
      <c r="J29" s="119">
        <v>1387</v>
      </c>
      <c r="K29" s="119">
        <v>1867</v>
      </c>
      <c r="L29" s="119">
        <v>2476</v>
      </c>
      <c r="M29" s="119">
        <v>3156</v>
      </c>
      <c r="N29" s="119"/>
    </row>
    <row r="30" spans="2:14">
      <c r="B30" s="40" t="s">
        <v>358</v>
      </c>
      <c r="C30" s="120">
        <f>C28-C29</f>
        <v>1172</v>
      </c>
      <c r="D30" s="120">
        <f t="shared" ref="D30:M30" si="0">D28-D29</f>
        <v>1528</v>
      </c>
      <c r="E30" s="120">
        <f t="shared" si="0"/>
        <v>2094</v>
      </c>
      <c r="F30" s="120">
        <f t="shared" si="0"/>
        <v>2577</v>
      </c>
      <c r="G30" s="120">
        <f t="shared" si="0"/>
        <v>3400</v>
      </c>
      <c r="H30" s="120">
        <f t="shared" si="0"/>
        <v>4401</v>
      </c>
      <c r="I30" s="120">
        <f t="shared" si="0"/>
        <v>5948</v>
      </c>
      <c r="J30" s="120">
        <f t="shared" si="0"/>
        <v>7009</v>
      </c>
      <c r="K30" s="120">
        <f t="shared" si="0"/>
        <v>9260</v>
      </c>
      <c r="L30" s="120">
        <f t="shared" si="0"/>
        <v>11340</v>
      </c>
      <c r="M30" s="120">
        <f t="shared" si="0"/>
        <v>13415</v>
      </c>
      <c r="N30" s="120"/>
    </row>
    <row r="31" spans="2:14"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spans="2:14">
      <c r="B32" s="73" t="s">
        <v>333</v>
      </c>
      <c r="C32" s="108">
        <v>89</v>
      </c>
      <c r="D32" s="108">
        <v>98</v>
      </c>
      <c r="E32" s="108">
        <v>82</v>
      </c>
      <c r="F32" s="108">
        <v>153</v>
      </c>
      <c r="G32" s="108">
        <v>147</v>
      </c>
      <c r="H32" s="108">
        <v>377</v>
      </c>
      <c r="I32" s="108">
        <v>364</v>
      </c>
      <c r="J32" s="108">
        <v>1020</v>
      </c>
      <c r="K32" s="108">
        <v>1129</v>
      </c>
      <c r="L32" s="108">
        <v>829</v>
      </c>
      <c r="M32" s="108">
        <v>935</v>
      </c>
      <c r="N32" s="108"/>
    </row>
    <row r="33" spans="2:14">
      <c r="B33" s="73" t="s">
        <v>247</v>
      </c>
      <c r="C33" s="108">
        <v>16</v>
      </c>
      <c r="D33" s="108">
        <v>15</v>
      </c>
      <c r="E33" s="108">
        <v>29</v>
      </c>
      <c r="F33" s="108">
        <v>26</v>
      </c>
      <c r="G33" s="108">
        <v>68</v>
      </c>
      <c r="H33" s="108">
        <v>17</v>
      </c>
      <c r="I33" s="108">
        <v>15</v>
      </c>
      <c r="J33" s="108">
        <v>3</v>
      </c>
      <c r="K33" s="108">
        <v>6</v>
      </c>
      <c r="L33" s="108">
        <v>202</v>
      </c>
      <c r="M33" s="108">
        <v>107</v>
      </c>
      <c r="N33" s="108"/>
    </row>
    <row r="34" spans="2:14"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spans="2:14">
      <c r="B35" s="115" t="s">
        <v>334</v>
      </c>
      <c r="C35" s="117">
        <v>532</v>
      </c>
      <c r="D35" s="117">
        <v>713</v>
      </c>
      <c r="E35" s="117">
        <v>897</v>
      </c>
      <c r="F35" s="117">
        <v>3063</v>
      </c>
      <c r="G35" s="117">
        <v>2033</v>
      </c>
      <c r="H35" s="117">
        <v>2212</v>
      </c>
      <c r="I35" s="117">
        <v>5749</v>
      </c>
      <c r="J35" s="117">
        <v>5624</v>
      </c>
      <c r="K35" s="117">
        <v>5076</v>
      </c>
      <c r="L35" s="117">
        <v>5733</v>
      </c>
      <c r="M35" s="117">
        <v>6716</v>
      </c>
      <c r="N35" s="117"/>
    </row>
    <row r="36" spans="2:14">
      <c r="B36" t="s">
        <v>335</v>
      </c>
      <c r="C36" s="108">
        <v>378</v>
      </c>
      <c r="D36" s="108">
        <v>540</v>
      </c>
      <c r="E36" s="108">
        <v>672</v>
      </c>
      <c r="F36" s="108">
        <v>948</v>
      </c>
      <c r="G36" s="108">
        <v>1163</v>
      </c>
      <c r="H36" s="108">
        <v>1609</v>
      </c>
      <c r="I36" s="108">
        <v>1947</v>
      </c>
      <c r="J36" s="108">
        <v>2248</v>
      </c>
      <c r="K36" s="108">
        <v>2743</v>
      </c>
      <c r="L36" s="108">
        <v>3243</v>
      </c>
      <c r="M36" s="108">
        <v>3927</v>
      </c>
      <c r="N36" s="108"/>
    </row>
    <row r="37" spans="2:14">
      <c r="B37" t="s">
        <v>357</v>
      </c>
      <c r="C37" s="108">
        <v>10</v>
      </c>
      <c r="D37" s="108">
        <v>7</v>
      </c>
      <c r="E37" s="108">
        <v>8</v>
      </c>
      <c r="F37" s="108">
        <v>21</v>
      </c>
      <c r="G37" s="108">
        <v>34</v>
      </c>
      <c r="H37" s="108">
        <v>64</v>
      </c>
      <c r="I37" s="108">
        <v>20</v>
      </c>
      <c r="J37" s="108">
        <v>44</v>
      </c>
      <c r="K37" s="108">
        <v>67</v>
      </c>
      <c r="L37" s="108">
        <v>62</v>
      </c>
      <c r="M37" s="108">
        <v>166</v>
      </c>
      <c r="N37" s="108"/>
    </row>
    <row r="38" spans="2:14">
      <c r="B38" t="s">
        <v>336</v>
      </c>
      <c r="C38" s="108">
        <v>55</v>
      </c>
      <c r="D38" s="108">
        <v>38</v>
      </c>
      <c r="E38" s="108">
        <v>35</v>
      </c>
      <c r="F38" s="108">
        <v>1884</v>
      </c>
      <c r="G38" s="108">
        <v>560</v>
      </c>
      <c r="H38" s="108">
        <v>219</v>
      </c>
      <c r="I38" s="108">
        <v>108</v>
      </c>
      <c r="J38" s="108">
        <v>1446</v>
      </c>
      <c r="K38" s="108">
        <v>299</v>
      </c>
      <c r="L38" s="108">
        <v>1408</v>
      </c>
      <c r="M38" s="108">
        <v>638</v>
      </c>
      <c r="N38" s="108"/>
    </row>
    <row r="39" spans="2:14">
      <c r="B39" t="s">
        <v>337</v>
      </c>
      <c r="C39" s="108">
        <v>14</v>
      </c>
      <c r="D39" s="108">
        <v>21</v>
      </c>
      <c r="E39" s="108">
        <v>32</v>
      </c>
      <c r="F39" s="108">
        <v>45</v>
      </c>
      <c r="G39" s="108">
        <v>51</v>
      </c>
      <c r="H39" s="108">
        <v>98</v>
      </c>
      <c r="I39" s="108">
        <v>94</v>
      </c>
      <c r="J39" s="108">
        <v>81</v>
      </c>
      <c r="K39" s="108">
        <v>109</v>
      </c>
      <c r="L39" s="108">
        <v>97</v>
      </c>
      <c r="M39" s="108">
        <v>105</v>
      </c>
      <c r="N39" s="108"/>
    </row>
    <row r="40" spans="2:14">
      <c r="B40" t="s">
        <v>338</v>
      </c>
      <c r="C40" s="108">
        <v>74</v>
      </c>
      <c r="D40" s="108">
        <v>108</v>
      </c>
      <c r="E40" s="108">
        <v>150</v>
      </c>
      <c r="F40" s="108">
        <v>165</v>
      </c>
      <c r="G40" s="108">
        <v>225</v>
      </c>
      <c r="H40" s="108">
        <v>221</v>
      </c>
      <c r="I40" s="108">
        <v>3580</v>
      </c>
      <c r="J40" s="108">
        <v>1806</v>
      </c>
      <c r="K40" s="108">
        <v>1859</v>
      </c>
      <c r="L40" s="108">
        <v>922</v>
      </c>
      <c r="M40" s="108">
        <v>1879</v>
      </c>
      <c r="N40" s="108"/>
    </row>
    <row r="41" spans="2:14">
      <c r="B41" s="116" t="s">
        <v>253</v>
      </c>
      <c r="C41" s="118">
        <v>1808</v>
      </c>
      <c r="D41" s="118">
        <v>2355</v>
      </c>
      <c r="E41" s="118">
        <v>3102</v>
      </c>
      <c r="F41" s="118">
        <v>5819</v>
      </c>
      <c r="G41" s="118">
        <v>5648</v>
      </c>
      <c r="H41" s="118">
        <v>7006</v>
      </c>
      <c r="I41" s="118">
        <v>12076</v>
      </c>
      <c r="J41" s="118">
        <v>13655</v>
      </c>
      <c r="K41" s="118">
        <v>15471</v>
      </c>
      <c r="L41" s="118">
        <v>18105</v>
      </c>
      <c r="M41" s="118">
        <v>21172</v>
      </c>
      <c r="N41" s="118"/>
    </row>
    <row r="42" spans="2:14">
      <c r="B42" s="103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</row>
    <row r="43" spans="2:14">
      <c r="B43" s="171" t="s">
        <v>339</v>
      </c>
      <c r="C43" s="172">
        <v>41699</v>
      </c>
      <c r="D43" s="172">
        <v>42064</v>
      </c>
      <c r="E43" s="172">
        <v>42430</v>
      </c>
      <c r="F43" s="172">
        <v>42795</v>
      </c>
      <c r="G43" s="172">
        <v>43160</v>
      </c>
      <c r="H43" s="172">
        <v>43525</v>
      </c>
      <c r="I43" s="172">
        <v>43891</v>
      </c>
      <c r="J43" s="172">
        <v>44256</v>
      </c>
      <c r="K43" s="172">
        <v>44621</v>
      </c>
      <c r="L43" s="172">
        <v>44986</v>
      </c>
      <c r="M43" s="172">
        <v>45352</v>
      </c>
      <c r="N43" s="172">
        <v>45717</v>
      </c>
    </row>
    <row r="45" spans="2:14">
      <c r="B45" s="170" t="s">
        <v>415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</row>
    <row r="46" spans="2:14">
      <c r="B46" s="169" t="s">
        <v>352</v>
      </c>
      <c r="C46" s="173">
        <v>198</v>
      </c>
      <c r="D46" s="173">
        <v>222</v>
      </c>
      <c r="E46" s="173">
        <v>433</v>
      </c>
      <c r="F46" s="173">
        <v>455</v>
      </c>
      <c r="G46" s="173">
        <v>730</v>
      </c>
      <c r="H46" s="173">
        <v>807</v>
      </c>
      <c r="I46" s="173">
        <v>1280</v>
      </c>
      <c r="J46" s="173">
        <v>1375</v>
      </c>
      <c r="K46" s="173">
        <v>1372</v>
      </c>
      <c r="L46" s="173">
        <v>2630</v>
      </c>
      <c r="M46" s="173">
        <v>2746</v>
      </c>
      <c r="N46" s="173">
        <v>2463</v>
      </c>
    </row>
    <row r="47" spans="2:14">
      <c r="B47" s="121" t="s">
        <v>254</v>
      </c>
      <c r="C47" s="174">
        <v>356</v>
      </c>
      <c r="D47" s="174">
        <v>474</v>
      </c>
      <c r="E47" s="174">
        <v>666</v>
      </c>
      <c r="F47" s="174">
        <v>984</v>
      </c>
      <c r="G47" s="174">
        <v>1375</v>
      </c>
      <c r="H47" s="174">
        <v>1659</v>
      </c>
      <c r="I47" s="174">
        <v>2149</v>
      </c>
      <c r="J47" s="174">
        <v>1764</v>
      </c>
      <c r="K47" s="174">
        <v>2515</v>
      </c>
      <c r="L47" s="174">
        <v>3659</v>
      </c>
      <c r="M47" s="174">
        <v>4131</v>
      </c>
      <c r="N47" s="174">
        <v>4535</v>
      </c>
    </row>
    <row r="48" spans="2:14">
      <c r="B48" s="103" t="s">
        <v>249</v>
      </c>
      <c r="C48" s="109">
        <v>4</v>
      </c>
      <c r="D48" s="109">
        <v>2</v>
      </c>
      <c r="E48" s="109">
        <v>-1</v>
      </c>
      <c r="F48" s="109">
        <v>54</v>
      </c>
      <c r="G48" s="109">
        <v>-13</v>
      </c>
      <c r="H48" s="109">
        <v>-31</v>
      </c>
      <c r="I48" s="109">
        <v>45</v>
      </c>
      <c r="J48" s="109">
        <v>-24</v>
      </c>
      <c r="K48" s="109">
        <v>-23</v>
      </c>
      <c r="L48" s="109">
        <v>5</v>
      </c>
      <c r="M48" s="109">
        <v>-104</v>
      </c>
      <c r="N48" s="109">
        <v>13</v>
      </c>
    </row>
    <row r="49" spans="2:14">
      <c r="B49" s="103" t="s">
        <v>250</v>
      </c>
      <c r="C49" s="109">
        <v>-102</v>
      </c>
      <c r="D49" s="109">
        <v>-161</v>
      </c>
      <c r="E49" s="109">
        <v>-132</v>
      </c>
      <c r="F49" s="109">
        <v>-276</v>
      </c>
      <c r="G49" s="109">
        <v>-212</v>
      </c>
      <c r="H49" s="109">
        <v>-445</v>
      </c>
      <c r="I49" s="109">
        <v>-339</v>
      </c>
      <c r="J49" s="109">
        <v>-301</v>
      </c>
      <c r="K49" s="109">
        <v>-494</v>
      </c>
      <c r="L49" s="109">
        <v>-501</v>
      </c>
      <c r="M49" s="109">
        <v>-684</v>
      </c>
      <c r="N49" s="109">
        <v>-1117</v>
      </c>
    </row>
    <row r="50" spans="2:14">
      <c r="B50" s="103" t="s">
        <v>255</v>
      </c>
      <c r="C50" s="109">
        <v>28</v>
      </c>
      <c r="D50" s="109">
        <v>-4</v>
      </c>
      <c r="E50" s="109">
        <v>72</v>
      </c>
      <c r="F50" s="109">
        <v>0</v>
      </c>
      <c r="G50" s="109">
        <v>55</v>
      </c>
      <c r="H50" s="109">
        <v>146</v>
      </c>
      <c r="I50" s="109">
        <v>-30</v>
      </c>
      <c r="J50" s="109">
        <v>145</v>
      </c>
      <c r="K50" s="109">
        <v>11</v>
      </c>
      <c r="L50" s="109">
        <v>165</v>
      </c>
      <c r="M50" s="109">
        <v>231</v>
      </c>
      <c r="N50" s="109">
        <v>86</v>
      </c>
    </row>
    <row r="51" spans="2:14">
      <c r="B51" s="103" t="s">
        <v>256</v>
      </c>
      <c r="C51" s="109">
        <v>-18</v>
      </c>
      <c r="D51" s="109">
        <v>-5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9">
        <v>0</v>
      </c>
      <c r="L51" s="109">
        <v>0</v>
      </c>
      <c r="M51" s="109">
        <v>0</v>
      </c>
      <c r="N51" s="109">
        <v>0</v>
      </c>
    </row>
    <row r="52" spans="2:14">
      <c r="B52" s="103" t="s">
        <v>359</v>
      </c>
      <c r="C52" s="109">
        <v>0</v>
      </c>
      <c r="D52" s="109">
        <v>0</v>
      </c>
      <c r="E52" s="109">
        <v>0</v>
      </c>
      <c r="F52" s="109">
        <v>-2</v>
      </c>
      <c r="G52" s="109">
        <v>-62</v>
      </c>
      <c r="H52" s="109">
        <v>52</v>
      </c>
      <c r="I52" s="109">
        <v>2</v>
      </c>
      <c r="J52" s="109">
        <v>12</v>
      </c>
      <c r="K52" s="109">
        <v>-3</v>
      </c>
      <c r="L52" s="109">
        <v>0</v>
      </c>
      <c r="M52" s="109">
        <v>0</v>
      </c>
      <c r="N52" s="109">
        <v>0</v>
      </c>
    </row>
    <row r="53" spans="2:14">
      <c r="B53" s="103" t="s">
        <v>257</v>
      </c>
      <c r="C53" s="109">
        <v>6</v>
      </c>
      <c r="D53" s="109">
        <v>16</v>
      </c>
      <c r="E53" s="109">
        <v>-7</v>
      </c>
      <c r="F53" s="109">
        <v>-46</v>
      </c>
      <c r="G53" s="109">
        <v>-11</v>
      </c>
      <c r="H53" s="109">
        <v>-72</v>
      </c>
      <c r="I53" s="109">
        <v>-54</v>
      </c>
      <c r="J53" s="109">
        <v>41</v>
      </c>
      <c r="K53" s="109">
        <v>-73</v>
      </c>
      <c r="L53" s="109">
        <v>12</v>
      </c>
      <c r="M53" s="109">
        <v>-87</v>
      </c>
      <c r="N53" s="109">
        <v>-94</v>
      </c>
    </row>
    <row r="54" spans="2:14">
      <c r="B54" s="121" t="s">
        <v>353</v>
      </c>
      <c r="C54" s="174">
        <v>-83</v>
      </c>
      <c r="D54" s="174">
        <v>-152</v>
      </c>
      <c r="E54" s="174">
        <v>-69</v>
      </c>
      <c r="F54" s="174">
        <v>-270</v>
      </c>
      <c r="G54" s="174">
        <v>-243</v>
      </c>
      <c r="H54" s="174">
        <v>-351</v>
      </c>
      <c r="I54" s="174">
        <v>-376</v>
      </c>
      <c r="J54" s="174">
        <v>-127</v>
      </c>
      <c r="K54" s="174">
        <v>-582</v>
      </c>
      <c r="L54" s="174">
        <v>-320</v>
      </c>
      <c r="M54" s="174">
        <v>-644</v>
      </c>
      <c r="N54" s="174">
        <v>-1113</v>
      </c>
    </row>
    <row r="55" spans="2:14">
      <c r="B55" s="103" t="s">
        <v>258</v>
      </c>
      <c r="C55" s="109">
        <v>-75</v>
      </c>
      <c r="D55" s="109">
        <v>-100</v>
      </c>
      <c r="E55" s="109">
        <v>-164</v>
      </c>
      <c r="F55" s="109">
        <v>-258</v>
      </c>
      <c r="G55" s="109">
        <v>-403</v>
      </c>
      <c r="H55" s="109">
        <v>-502</v>
      </c>
      <c r="I55" s="109">
        <v>-492</v>
      </c>
      <c r="J55" s="109">
        <v>-262</v>
      </c>
      <c r="K55" s="109">
        <v>-560</v>
      </c>
      <c r="L55" s="109">
        <v>-709</v>
      </c>
      <c r="M55" s="109">
        <v>-742</v>
      </c>
      <c r="N55" s="109">
        <v>-959</v>
      </c>
    </row>
    <row r="56" spans="2:14">
      <c r="B56" s="103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</row>
    <row r="57" spans="2:14">
      <c r="B57" s="169" t="s">
        <v>354</v>
      </c>
      <c r="C57" s="173">
        <v>-270</v>
      </c>
      <c r="D57" s="173">
        <v>-474</v>
      </c>
      <c r="E57" s="173">
        <v>-633</v>
      </c>
      <c r="F57" s="173">
        <v>-2482</v>
      </c>
      <c r="G57" s="173">
        <v>464</v>
      </c>
      <c r="H57" s="173">
        <v>-958</v>
      </c>
      <c r="I57" s="173">
        <v>-4657</v>
      </c>
      <c r="J57" s="173">
        <v>-1110</v>
      </c>
      <c r="K57" s="173">
        <v>-1289</v>
      </c>
      <c r="L57" s="173">
        <v>-2313</v>
      </c>
      <c r="M57" s="173">
        <v>-2468</v>
      </c>
      <c r="N57" s="173">
        <v>-2185</v>
      </c>
    </row>
    <row r="58" spans="2:14">
      <c r="B58" s="103" t="s">
        <v>259</v>
      </c>
      <c r="C58" s="109">
        <v>-272</v>
      </c>
      <c r="D58" s="109">
        <v>-477</v>
      </c>
      <c r="E58" s="109">
        <v>0</v>
      </c>
      <c r="F58" s="109">
        <v>-645</v>
      </c>
      <c r="G58" s="109">
        <v>-916</v>
      </c>
      <c r="H58" s="109">
        <v>-1417</v>
      </c>
      <c r="I58" s="109">
        <v>-1712</v>
      </c>
      <c r="J58" s="109">
        <v>-2029</v>
      </c>
      <c r="K58" s="109">
        <v>-2410</v>
      </c>
      <c r="L58" s="109">
        <v>-2212</v>
      </c>
      <c r="M58" s="109">
        <v>-2731</v>
      </c>
      <c r="N58" s="109">
        <v>-3423</v>
      </c>
    </row>
    <row r="59" spans="2:14">
      <c r="B59" s="103" t="s">
        <v>260</v>
      </c>
      <c r="C59" s="109">
        <v>1</v>
      </c>
      <c r="D59" s="109">
        <v>0</v>
      </c>
      <c r="E59" s="109">
        <v>2</v>
      </c>
      <c r="F59" s="109">
        <v>10</v>
      </c>
      <c r="G59" s="109">
        <v>7</v>
      </c>
      <c r="H59" s="109">
        <v>8</v>
      </c>
      <c r="I59" s="109">
        <v>6</v>
      </c>
      <c r="J59" s="109">
        <v>2</v>
      </c>
      <c r="K59" s="109">
        <v>21</v>
      </c>
      <c r="L59" s="109">
        <v>5</v>
      </c>
      <c r="M59" s="109">
        <v>9</v>
      </c>
      <c r="N59" s="109">
        <v>6</v>
      </c>
    </row>
    <row r="60" spans="2:14">
      <c r="B60" s="103" t="s">
        <v>261</v>
      </c>
      <c r="C60" s="109">
        <v>-644</v>
      </c>
      <c r="D60" s="109">
        <v>-2901</v>
      </c>
      <c r="E60" s="109">
        <v>-638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09">
        <v>-193</v>
      </c>
      <c r="M60" s="109">
        <v>0</v>
      </c>
      <c r="N60" s="109">
        <v>-4948</v>
      </c>
    </row>
    <row r="61" spans="2:14">
      <c r="B61" s="103" t="s">
        <v>262</v>
      </c>
      <c r="C61" s="109">
        <v>645</v>
      </c>
      <c r="D61" s="109">
        <v>2904</v>
      </c>
      <c r="E61" s="109">
        <v>0</v>
      </c>
      <c r="F61" s="109">
        <v>0</v>
      </c>
      <c r="G61" s="109">
        <v>1376</v>
      </c>
      <c r="H61" s="109">
        <v>410</v>
      </c>
      <c r="I61" s="109">
        <v>232</v>
      </c>
      <c r="J61" s="109">
        <v>3</v>
      </c>
      <c r="K61" s="109">
        <v>4</v>
      </c>
      <c r="L61" s="109">
        <v>6</v>
      </c>
      <c r="M61" s="109">
        <v>123</v>
      </c>
      <c r="N61" s="109">
        <v>5074</v>
      </c>
    </row>
    <row r="62" spans="2:14">
      <c r="B62" s="103" t="s">
        <v>360</v>
      </c>
      <c r="C62" s="109">
        <v>0</v>
      </c>
      <c r="D62" s="109">
        <v>0</v>
      </c>
      <c r="E62" s="109">
        <v>3</v>
      </c>
      <c r="F62" s="109">
        <v>8</v>
      </c>
      <c r="G62" s="109">
        <v>0</v>
      </c>
      <c r="H62" s="109">
        <v>0</v>
      </c>
      <c r="I62" s="109">
        <v>0</v>
      </c>
      <c r="J62" s="109">
        <v>0</v>
      </c>
      <c r="K62" s="109">
        <v>0</v>
      </c>
      <c r="L62" s="109">
        <v>0</v>
      </c>
      <c r="M62" s="109">
        <v>0</v>
      </c>
      <c r="N62" s="109">
        <v>0</v>
      </c>
    </row>
    <row r="63" spans="2:14">
      <c r="B63" s="103" t="s">
        <v>263</v>
      </c>
      <c r="C63" s="109">
        <v>0</v>
      </c>
      <c r="D63" s="109">
        <v>0</v>
      </c>
      <c r="E63" s="109">
        <v>1</v>
      </c>
      <c r="F63" s="109">
        <v>1</v>
      </c>
      <c r="G63" s="109">
        <v>31</v>
      </c>
      <c r="H63" s="109">
        <v>36</v>
      </c>
      <c r="I63" s="109">
        <v>12</v>
      </c>
      <c r="J63" s="109">
        <v>129</v>
      </c>
      <c r="K63" s="109">
        <v>43</v>
      </c>
      <c r="L63" s="109">
        <v>39</v>
      </c>
      <c r="M63" s="109">
        <v>262</v>
      </c>
      <c r="N63" s="109">
        <v>103</v>
      </c>
    </row>
    <row r="64" spans="2:14">
      <c r="B64" s="103" t="s">
        <v>264</v>
      </c>
      <c r="C64" s="109">
        <v>0</v>
      </c>
      <c r="D64" s="109">
        <v>0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9">
        <v>0</v>
      </c>
      <c r="L64" s="109">
        <v>0</v>
      </c>
      <c r="M64" s="109">
        <v>0</v>
      </c>
      <c r="N64" s="109">
        <v>0</v>
      </c>
    </row>
    <row r="65" spans="2:14">
      <c r="B65" s="103" t="s">
        <v>265</v>
      </c>
      <c r="C65" s="109">
        <v>0</v>
      </c>
      <c r="D65" s="109">
        <v>0</v>
      </c>
      <c r="E65" s="109">
        <v>-14</v>
      </c>
      <c r="F65" s="109">
        <v>-21</v>
      </c>
      <c r="G65" s="109">
        <v>-49</v>
      </c>
      <c r="H65" s="109">
        <v>0</v>
      </c>
      <c r="I65" s="109">
        <v>0</v>
      </c>
      <c r="J65" s="109">
        <v>0</v>
      </c>
      <c r="K65" s="109">
        <v>0</v>
      </c>
      <c r="L65" s="109">
        <v>0</v>
      </c>
      <c r="M65" s="109">
        <v>0</v>
      </c>
      <c r="N65" s="109">
        <v>0</v>
      </c>
    </row>
    <row r="66" spans="2:14">
      <c r="B66" s="103" t="s">
        <v>266</v>
      </c>
      <c r="C66" s="109">
        <v>0</v>
      </c>
      <c r="D66" s="109">
        <v>0</v>
      </c>
      <c r="E66" s="109">
        <v>0</v>
      </c>
      <c r="F66" s="109">
        <v>0</v>
      </c>
      <c r="G66" s="109">
        <v>8</v>
      </c>
      <c r="H66" s="109">
        <v>0</v>
      </c>
      <c r="I66" s="109">
        <v>0</v>
      </c>
      <c r="J66" s="109">
        <v>0</v>
      </c>
      <c r="K66" s="109">
        <v>0</v>
      </c>
      <c r="L66" s="109">
        <v>0</v>
      </c>
      <c r="M66" s="109">
        <v>0</v>
      </c>
      <c r="N66" s="109">
        <v>0</v>
      </c>
    </row>
    <row r="67" spans="2:14">
      <c r="B67" s="103" t="s">
        <v>267</v>
      </c>
      <c r="C67" s="109">
        <v>0</v>
      </c>
      <c r="D67" s="109">
        <v>0</v>
      </c>
      <c r="E67" s="109">
        <v>14</v>
      </c>
      <c r="F67" s="109">
        <v>-1835</v>
      </c>
      <c r="G67" s="109">
        <v>7</v>
      </c>
      <c r="H67" s="109">
        <v>3</v>
      </c>
      <c r="I67" s="109">
        <v>-3194</v>
      </c>
      <c r="J67" s="109">
        <v>786</v>
      </c>
      <c r="K67" s="109">
        <v>1054</v>
      </c>
      <c r="L67" s="109">
        <v>42</v>
      </c>
      <c r="M67" s="109">
        <v>-131</v>
      </c>
      <c r="N67" s="109">
        <v>1004</v>
      </c>
    </row>
    <row r="68" spans="2:14">
      <c r="B68" s="103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</row>
    <row r="69" spans="2:14">
      <c r="B69" s="169" t="s">
        <v>355</v>
      </c>
      <c r="C69" s="173">
        <v>65</v>
      </c>
      <c r="D69" s="173">
        <v>234</v>
      </c>
      <c r="E69" s="173">
        <v>196</v>
      </c>
      <c r="F69" s="173">
        <v>2025</v>
      </c>
      <c r="G69" s="173">
        <v>-1159</v>
      </c>
      <c r="H69" s="173">
        <v>209</v>
      </c>
      <c r="I69" s="173">
        <v>3357</v>
      </c>
      <c r="J69" s="173">
        <v>-180</v>
      </c>
      <c r="K69" s="173">
        <v>-179</v>
      </c>
      <c r="L69" s="173">
        <v>-205</v>
      </c>
      <c r="M69" s="173">
        <v>-148</v>
      </c>
      <c r="N69" s="173">
        <v>-259</v>
      </c>
    </row>
    <row r="70" spans="2:14">
      <c r="B70" s="103" t="s">
        <v>269</v>
      </c>
      <c r="C70" s="109">
        <v>5</v>
      </c>
      <c r="D70" s="109">
        <v>33</v>
      </c>
      <c r="E70" s="109">
        <v>0</v>
      </c>
      <c r="F70" s="109">
        <v>1841</v>
      </c>
      <c r="G70" s="109">
        <v>0</v>
      </c>
      <c r="H70" s="109">
        <v>0</v>
      </c>
      <c r="I70" s="109">
        <v>110</v>
      </c>
      <c r="J70" s="109">
        <v>0</v>
      </c>
      <c r="K70" s="109">
        <v>0</v>
      </c>
      <c r="L70" s="109">
        <v>15</v>
      </c>
      <c r="M70" s="109">
        <v>75</v>
      </c>
      <c r="N70" s="109">
        <v>0</v>
      </c>
    </row>
    <row r="71" spans="2:14">
      <c r="B71" s="103" t="s">
        <v>361</v>
      </c>
      <c r="C71" s="109">
        <v>0</v>
      </c>
      <c r="D71" s="109">
        <v>200</v>
      </c>
      <c r="E71" s="109">
        <v>350</v>
      </c>
      <c r="F71" s="109">
        <v>250</v>
      </c>
      <c r="G71" s="109">
        <v>0</v>
      </c>
      <c r="H71" s="109">
        <v>0</v>
      </c>
      <c r="I71" s="109">
        <v>300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</row>
    <row r="72" spans="2:14">
      <c r="B72" s="103" t="s">
        <v>270</v>
      </c>
      <c r="C72" s="109">
        <v>0</v>
      </c>
      <c r="D72" s="109">
        <v>0</v>
      </c>
      <c r="E72" s="109">
        <v>0</v>
      </c>
      <c r="F72" s="109">
        <v>0</v>
      </c>
      <c r="G72" s="109">
        <v>-384</v>
      </c>
      <c r="H72" s="109">
        <v>-170</v>
      </c>
      <c r="I72" s="109">
        <v>-512</v>
      </c>
      <c r="J72" s="109">
        <v>-34</v>
      </c>
      <c r="K72" s="109">
        <v>0</v>
      </c>
      <c r="L72" s="109">
        <v>0</v>
      </c>
      <c r="M72" s="109">
        <v>0</v>
      </c>
      <c r="N72" s="109">
        <v>0</v>
      </c>
    </row>
    <row r="73" spans="2:14">
      <c r="B73" s="103" t="s">
        <v>271</v>
      </c>
      <c r="C73" s="109">
        <v>245</v>
      </c>
      <c r="D73" s="109">
        <v>295</v>
      </c>
      <c r="E73" s="109">
        <v>-60</v>
      </c>
      <c r="F73" s="109">
        <v>260</v>
      </c>
      <c r="G73" s="109">
        <v>0</v>
      </c>
      <c r="H73" s="109">
        <v>992</v>
      </c>
      <c r="I73" s="109">
        <v>1100</v>
      </c>
      <c r="J73" s="109">
        <v>200</v>
      </c>
      <c r="K73" s="109">
        <v>248</v>
      </c>
      <c r="L73" s="109">
        <v>0</v>
      </c>
      <c r="M73" s="109">
        <v>0</v>
      </c>
      <c r="N73" s="109">
        <v>0</v>
      </c>
    </row>
    <row r="74" spans="2:14">
      <c r="B74" s="103" t="s">
        <v>272</v>
      </c>
      <c r="C74" s="109">
        <v>-130</v>
      </c>
      <c r="D74" s="109">
        <v>-232</v>
      </c>
      <c r="E74" s="109">
        <v>0</v>
      </c>
      <c r="F74" s="109">
        <v>-155</v>
      </c>
      <c r="G74" s="109">
        <v>-695</v>
      </c>
      <c r="H74" s="109">
        <v>-562</v>
      </c>
      <c r="I74" s="109">
        <v>-1550</v>
      </c>
      <c r="J74" s="109">
        <v>-204</v>
      </c>
      <c r="K74" s="109">
        <v>-248</v>
      </c>
      <c r="L74" s="109">
        <v>0</v>
      </c>
      <c r="M74" s="109">
        <v>0</v>
      </c>
      <c r="N74" s="109">
        <v>0</v>
      </c>
    </row>
    <row r="75" spans="2:14">
      <c r="B75" s="103" t="s">
        <v>273</v>
      </c>
      <c r="C75" s="109">
        <v>-54</v>
      </c>
      <c r="D75" s="109">
        <v>-62</v>
      </c>
      <c r="E75" s="109">
        <v>-93</v>
      </c>
      <c r="F75" s="109">
        <v>-120</v>
      </c>
      <c r="G75" s="109">
        <v>-80</v>
      </c>
      <c r="H75" s="109">
        <v>-51</v>
      </c>
      <c r="I75" s="109">
        <v>-98</v>
      </c>
      <c r="J75" s="109">
        <v>-44</v>
      </c>
      <c r="K75" s="109">
        <v>-54</v>
      </c>
      <c r="L75" s="109">
        <v>-67</v>
      </c>
      <c r="M75" s="109">
        <v>-58</v>
      </c>
      <c r="N75" s="109">
        <v>-69</v>
      </c>
    </row>
    <row r="76" spans="2:14">
      <c r="B76" s="103" t="s">
        <v>274</v>
      </c>
      <c r="C76" s="109">
        <v>0</v>
      </c>
      <c r="D76" s="109">
        <v>0</v>
      </c>
      <c r="E76" s="109">
        <v>0</v>
      </c>
      <c r="F76" s="109">
        <v>0</v>
      </c>
      <c r="G76" s="109">
        <v>0</v>
      </c>
      <c r="H76" s="109">
        <v>0</v>
      </c>
      <c r="I76" s="109">
        <v>-70</v>
      </c>
      <c r="J76" s="109">
        <v>-98</v>
      </c>
      <c r="K76" s="109">
        <v>-125</v>
      </c>
      <c r="L76" s="109">
        <v>-153</v>
      </c>
      <c r="M76" s="109">
        <v>-164</v>
      </c>
      <c r="N76" s="109">
        <v>-380</v>
      </c>
    </row>
    <row r="77" spans="2:14">
      <c r="B77" s="103" t="s">
        <v>362</v>
      </c>
      <c r="C77" s="109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09">
        <v>1</v>
      </c>
      <c r="M77" s="109">
        <v>0</v>
      </c>
      <c r="N77" s="109">
        <v>0</v>
      </c>
    </row>
    <row r="78" spans="2:14">
      <c r="B78" s="103" t="s">
        <v>275</v>
      </c>
      <c r="C78" s="109">
        <v>0</v>
      </c>
      <c r="D78" s="109">
        <v>0</v>
      </c>
      <c r="E78" s="109">
        <v>0</v>
      </c>
      <c r="F78" s="109">
        <v>-50</v>
      </c>
      <c r="G78" s="109">
        <v>0</v>
      </c>
      <c r="H78" s="109">
        <v>0</v>
      </c>
      <c r="I78" s="109">
        <v>4077</v>
      </c>
      <c r="J78" s="109">
        <v>0</v>
      </c>
      <c r="K78" s="109">
        <v>0</v>
      </c>
      <c r="L78" s="109">
        <v>0</v>
      </c>
      <c r="M78" s="109">
        <v>0</v>
      </c>
      <c r="N78" s="109">
        <v>190</v>
      </c>
    </row>
    <row r="79" spans="2:14" ht="17" thickBot="1">
      <c r="B79" s="175" t="s">
        <v>276</v>
      </c>
      <c r="C79" s="176">
        <v>-7</v>
      </c>
      <c r="D79" s="176">
        <v>-17</v>
      </c>
      <c r="E79" s="176">
        <v>-3</v>
      </c>
      <c r="F79" s="176">
        <v>-1</v>
      </c>
      <c r="G79" s="176">
        <v>34</v>
      </c>
      <c r="H79" s="176">
        <v>57</v>
      </c>
      <c r="I79" s="176">
        <v>-19</v>
      </c>
      <c r="J79" s="176">
        <v>86</v>
      </c>
      <c r="K79" s="176">
        <v>-96</v>
      </c>
      <c r="L79" s="176">
        <v>112</v>
      </c>
      <c r="M79" s="176">
        <v>130</v>
      </c>
      <c r="N79" s="17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4B4B-4B81-D440-AF90-C26EC51DD672}">
  <dimension ref="B2:Q254"/>
  <sheetViews>
    <sheetView showGridLines="0" workbookViewId="0">
      <selection activeCell="N25" sqref="N25"/>
    </sheetView>
  </sheetViews>
  <sheetFormatPr baseColWidth="10" defaultRowHeight="16"/>
  <cols>
    <col min="1" max="1" width="2" customWidth="1"/>
    <col min="2" max="2" width="14.6640625" style="17" bestFit="1" customWidth="1"/>
    <col min="3" max="3" width="14.6640625" style="19" bestFit="1" customWidth="1"/>
    <col min="4" max="4" width="15.5" bestFit="1" customWidth="1"/>
    <col min="6" max="6" width="12.1640625" bestFit="1" customWidth="1"/>
    <col min="7" max="7" width="17.83203125" customWidth="1"/>
    <col min="9" max="9" width="15.5" bestFit="1" customWidth="1"/>
    <col min="10" max="10" width="12.6640625" bestFit="1" customWidth="1"/>
  </cols>
  <sheetData>
    <row r="2" spans="2:12">
      <c r="C2" s="16"/>
    </row>
    <row r="3" spans="2:12">
      <c r="B3" s="4" t="s">
        <v>416</v>
      </c>
      <c r="C3" s="16"/>
    </row>
    <row r="4" spans="2:12">
      <c r="B4" s="16" t="s">
        <v>160</v>
      </c>
      <c r="C4" s="16"/>
    </row>
    <row r="5" spans="2:12">
      <c r="B5" s="180" t="s">
        <v>125</v>
      </c>
      <c r="C5" s="180"/>
      <c r="D5" s="180"/>
      <c r="E5" s="27"/>
      <c r="F5" s="180" t="s">
        <v>126</v>
      </c>
      <c r="G5" s="180"/>
      <c r="I5" s="180" t="s">
        <v>154</v>
      </c>
      <c r="J5" s="180"/>
    </row>
    <row r="6" spans="2:12">
      <c r="E6" s="12"/>
      <c r="F6" s="12"/>
    </row>
    <row r="7" spans="2:12">
      <c r="B7" s="22" t="s">
        <v>15</v>
      </c>
      <c r="C7" s="22" t="s">
        <v>123</v>
      </c>
      <c r="D7" s="22" t="s">
        <v>124</v>
      </c>
      <c r="E7" s="16"/>
      <c r="F7" s="25" t="s">
        <v>123</v>
      </c>
      <c r="G7" s="26" t="s">
        <v>124</v>
      </c>
      <c r="I7" t="s">
        <v>155</v>
      </c>
      <c r="J7" s="28">
        <f>J16</f>
        <v>1.0972945231684821</v>
      </c>
      <c r="L7" s="16"/>
    </row>
    <row r="8" spans="2:12">
      <c r="B8" s="14" t="s">
        <v>122</v>
      </c>
      <c r="C8" s="20">
        <v>3680.25</v>
      </c>
      <c r="D8" s="12"/>
      <c r="E8" s="12"/>
      <c r="F8" s="24">
        <v>18314.8</v>
      </c>
      <c r="I8" t="s">
        <v>156</v>
      </c>
      <c r="J8" s="32">
        <v>0.75</v>
      </c>
    </row>
    <row r="9" spans="2:12">
      <c r="B9" s="15" t="s">
        <v>121</v>
      </c>
      <c r="C9" s="20">
        <v>3394.55</v>
      </c>
      <c r="D9" s="21">
        <f t="shared" ref="D9:D40" si="0">C9/C8-1</f>
        <v>-7.7630595747571474E-2</v>
      </c>
      <c r="E9" s="12"/>
      <c r="F9" s="24">
        <v>18203.400000000001</v>
      </c>
      <c r="G9" s="10">
        <f>F9/F8-1</f>
        <v>-6.0825125035489647E-3</v>
      </c>
    </row>
    <row r="10" spans="2:12">
      <c r="B10" s="15" t="s">
        <v>120</v>
      </c>
      <c r="C10" s="20">
        <v>3502.25</v>
      </c>
      <c r="D10" s="21">
        <f t="shared" si="0"/>
        <v>3.1727327628109814E-2</v>
      </c>
      <c r="E10" s="12"/>
      <c r="F10" s="24">
        <v>18499.349999999999</v>
      </c>
      <c r="G10" s="10">
        <f t="shared" ref="G10:G73" si="1">F10/F9-1</f>
        <v>1.6257951811200044E-2</v>
      </c>
      <c r="I10" t="s">
        <v>158</v>
      </c>
      <c r="J10" s="33">
        <v>1</v>
      </c>
    </row>
    <row r="11" spans="2:12">
      <c r="B11" s="15" t="s">
        <v>119</v>
      </c>
      <c r="C11" s="20">
        <v>3533.95</v>
      </c>
      <c r="D11" s="21">
        <f t="shared" si="0"/>
        <v>9.0513241487615304E-3</v>
      </c>
      <c r="E11" s="12"/>
      <c r="F11" s="24">
        <v>18534.099999999999</v>
      </c>
      <c r="G11" s="10">
        <f t="shared" si="1"/>
        <v>1.8784443777755122E-3</v>
      </c>
      <c r="I11" t="s">
        <v>157</v>
      </c>
      <c r="J11" s="34">
        <v>0.25</v>
      </c>
    </row>
    <row r="12" spans="2:12">
      <c r="B12" s="15" t="s">
        <v>118</v>
      </c>
      <c r="C12" s="20">
        <v>3631.7</v>
      </c>
      <c r="D12" s="21">
        <f t="shared" si="0"/>
        <v>2.766026684022127E-2</v>
      </c>
      <c r="E12" s="12"/>
      <c r="F12" s="24">
        <v>18563.400000000001</v>
      </c>
      <c r="G12" s="10">
        <f t="shared" si="1"/>
        <v>1.5808698561032841E-3</v>
      </c>
    </row>
    <row r="13" spans="2:12">
      <c r="B13" s="15" t="s">
        <v>117</v>
      </c>
      <c r="C13" s="20">
        <v>4083.75</v>
      </c>
      <c r="D13" s="21">
        <f t="shared" si="0"/>
        <v>0.12447338711898004</v>
      </c>
      <c r="E13" s="12"/>
      <c r="F13" s="24">
        <v>18826</v>
      </c>
      <c r="G13" s="10">
        <f t="shared" si="1"/>
        <v>1.4146115474535925E-2</v>
      </c>
      <c r="I13" s="35" t="s">
        <v>159</v>
      </c>
      <c r="J13" s="36">
        <f>(J7*J8)+(J10*J11)</f>
        <v>1.0729708923763615</v>
      </c>
    </row>
    <row r="14" spans="2:12">
      <c r="B14" s="15" t="s">
        <v>116</v>
      </c>
      <c r="C14" s="20">
        <v>3744.45</v>
      </c>
      <c r="D14" s="21">
        <f t="shared" si="0"/>
        <v>-8.3085399449035813E-2</v>
      </c>
      <c r="E14" s="12"/>
      <c r="F14" s="24">
        <v>18665.5</v>
      </c>
      <c r="G14" s="10">
        <f t="shared" si="1"/>
        <v>-8.5254435355359703E-3</v>
      </c>
      <c r="J14" s="28"/>
    </row>
    <row r="15" spans="2:12">
      <c r="B15" s="15" t="s">
        <v>115</v>
      </c>
      <c r="C15" s="20">
        <v>3889.8</v>
      </c>
      <c r="D15" s="21">
        <f t="shared" si="0"/>
        <v>3.881744982574209E-2</v>
      </c>
      <c r="E15" s="12"/>
      <c r="F15" s="24">
        <v>19189.05</v>
      </c>
      <c r="G15" s="10">
        <f t="shared" si="1"/>
        <v>2.8049074495727355E-2</v>
      </c>
    </row>
    <row r="16" spans="2:12">
      <c r="B16" s="15" t="s">
        <v>114</v>
      </c>
      <c r="C16" s="20">
        <v>3810.05</v>
      </c>
      <c r="D16" s="21">
        <f t="shared" si="0"/>
        <v>-2.0502339451899831E-2</v>
      </c>
      <c r="E16" s="12"/>
      <c r="F16" s="24">
        <v>19331.8</v>
      </c>
      <c r="G16" s="10">
        <f t="shared" si="1"/>
        <v>7.4391384669902916E-3</v>
      </c>
      <c r="I16" t="s">
        <v>127</v>
      </c>
      <c r="J16" s="28">
        <f>SLOPE(D9:D113,G9:G113)</f>
        <v>1.0972945231684821</v>
      </c>
    </row>
    <row r="17" spans="2:14">
      <c r="B17" s="15" t="s">
        <v>113</v>
      </c>
      <c r="C17" s="20">
        <v>3845.5</v>
      </c>
      <c r="D17" s="21">
        <f t="shared" si="0"/>
        <v>9.3043398380598941E-3</v>
      </c>
      <c r="E17" s="12"/>
      <c r="F17" s="24">
        <v>19564.5</v>
      </c>
      <c r="G17" s="10">
        <f t="shared" si="1"/>
        <v>1.2037161567986399E-2</v>
      </c>
      <c r="I17" t="s">
        <v>128</v>
      </c>
    </row>
    <row r="18" spans="2:14">
      <c r="B18" s="15" t="s">
        <v>112</v>
      </c>
      <c r="C18" s="20">
        <v>3675.65</v>
      </c>
      <c r="D18" s="21">
        <f t="shared" si="0"/>
        <v>-4.4168508646469928E-2</v>
      </c>
      <c r="E18" s="12"/>
      <c r="F18" s="24">
        <v>19745</v>
      </c>
      <c r="G18" s="10">
        <f t="shared" si="1"/>
        <v>9.225893838329613E-3</v>
      </c>
    </row>
    <row r="19" spans="2:14">
      <c r="B19" s="15" t="s">
        <v>111</v>
      </c>
      <c r="C19" s="20">
        <v>3716.65</v>
      </c>
      <c r="D19" s="21">
        <f t="shared" si="0"/>
        <v>1.115448968209698E-2</v>
      </c>
      <c r="E19" s="12"/>
      <c r="F19" s="24">
        <v>19646.05</v>
      </c>
      <c r="G19" s="10">
        <f t="shared" si="1"/>
        <v>-5.0113952899468739E-3</v>
      </c>
    </row>
    <row r="20" spans="2:14">
      <c r="B20" s="15" t="s">
        <v>110</v>
      </c>
      <c r="C20" s="20">
        <v>3652.4</v>
      </c>
      <c r="D20" s="21">
        <f t="shared" si="0"/>
        <v>-1.7287073036201916E-2</v>
      </c>
      <c r="E20" s="12"/>
      <c r="F20" s="24">
        <v>19517</v>
      </c>
      <c r="G20" s="10">
        <f t="shared" si="1"/>
        <v>-6.568750461288575E-3</v>
      </c>
      <c r="I20" t="s">
        <v>129</v>
      </c>
    </row>
    <row r="21" spans="2:14" ht="17" thickBot="1">
      <c r="B21" s="15" t="s">
        <v>109</v>
      </c>
      <c r="C21" s="20">
        <v>3551.35</v>
      </c>
      <c r="D21" s="21">
        <f t="shared" si="0"/>
        <v>-2.7666739678020025E-2</v>
      </c>
      <c r="E21" s="12"/>
      <c r="F21" s="24">
        <v>19428.3</v>
      </c>
      <c r="G21" s="10">
        <f t="shared" si="1"/>
        <v>-4.5447558538710409E-3</v>
      </c>
    </row>
    <row r="22" spans="2:14">
      <c r="B22" s="15" t="s">
        <v>108</v>
      </c>
      <c r="C22" s="20">
        <v>3540.05</v>
      </c>
      <c r="D22" s="21">
        <f t="shared" si="0"/>
        <v>-3.1818885775830585E-3</v>
      </c>
      <c r="E22" s="12"/>
      <c r="F22" s="24">
        <v>19310.150000000001</v>
      </c>
      <c r="G22" s="10">
        <f t="shared" si="1"/>
        <v>-6.0813349598265454E-3</v>
      </c>
      <c r="I22" s="31" t="s">
        <v>130</v>
      </c>
      <c r="J22" s="31"/>
    </row>
    <row r="23" spans="2:14">
      <c r="B23" s="15" t="s">
        <v>107</v>
      </c>
      <c r="C23" s="20">
        <v>3532.95</v>
      </c>
      <c r="D23" s="21">
        <f t="shared" si="0"/>
        <v>-2.0056213895285335E-3</v>
      </c>
      <c r="E23" s="12"/>
      <c r="F23" s="24">
        <v>19265.8</v>
      </c>
      <c r="G23" s="10">
        <f t="shared" si="1"/>
        <v>-2.2967196008317758E-3</v>
      </c>
      <c r="I23" t="s">
        <v>131</v>
      </c>
      <c r="J23">
        <v>0.41062126668215698</v>
      </c>
    </row>
    <row r="24" spans="2:14">
      <c r="B24" s="15" t="s">
        <v>106</v>
      </c>
      <c r="C24" s="20">
        <v>3760</v>
      </c>
      <c r="D24" s="21">
        <f t="shared" si="0"/>
        <v>6.426640626105673E-2</v>
      </c>
      <c r="E24" s="12"/>
      <c r="F24" s="24">
        <v>19435.3</v>
      </c>
      <c r="G24" s="10">
        <f t="shared" si="1"/>
        <v>8.7979736112697715E-3</v>
      </c>
      <c r="I24" t="s">
        <v>132</v>
      </c>
      <c r="J24">
        <v>0.16860982465165908</v>
      </c>
    </row>
    <row r="25" spans="2:14">
      <c r="B25" s="15" t="s">
        <v>105</v>
      </c>
      <c r="C25" s="20">
        <v>3783.75</v>
      </c>
      <c r="D25" s="21">
        <f t="shared" si="0"/>
        <v>6.3164893617020379E-3</v>
      </c>
      <c r="E25" s="12"/>
      <c r="F25" s="24">
        <v>19819.95</v>
      </c>
      <c r="G25" s="10">
        <f t="shared" si="1"/>
        <v>1.9791307569216876E-2</v>
      </c>
      <c r="I25" t="s">
        <v>133</v>
      </c>
      <c r="J25">
        <v>0.16053807537643247</v>
      </c>
    </row>
    <row r="26" spans="2:14">
      <c r="B26" s="15" t="s">
        <v>104</v>
      </c>
      <c r="C26" s="20">
        <v>3795.7</v>
      </c>
      <c r="D26" s="21">
        <f t="shared" si="0"/>
        <v>3.1582424843077384E-3</v>
      </c>
      <c r="E26" s="12"/>
      <c r="F26" s="24">
        <v>20192.349999999999</v>
      </c>
      <c r="G26" s="10">
        <f t="shared" si="1"/>
        <v>1.8789149316723597E-2</v>
      </c>
      <c r="I26" t="s">
        <v>134</v>
      </c>
      <c r="J26">
        <v>4.0743323268110775E-2</v>
      </c>
    </row>
    <row r="27" spans="2:14" ht="17" thickBot="1">
      <c r="B27" s="15" t="s">
        <v>103</v>
      </c>
      <c r="C27" s="20">
        <v>3688.45</v>
      </c>
      <c r="D27" s="21">
        <f t="shared" si="0"/>
        <v>-2.8255657717944027E-2</v>
      </c>
      <c r="E27" s="12"/>
      <c r="F27" s="24">
        <v>19674.25</v>
      </c>
      <c r="G27" s="10">
        <f t="shared" si="1"/>
        <v>-2.5658231954180599E-2</v>
      </c>
      <c r="I27" s="29" t="s">
        <v>135</v>
      </c>
      <c r="J27" s="29">
        <v>105</v>
      </c>
    </row>
    <row r="28" spans="2:14">
      <c r="B28" s="15" t="s">
        <v>102</v>
      </c>
      <c r="C28" s="20">
        <v>3674.25</v>
      </c>
      <c r="D28" s="21">
        <f t="shared" si="0"/>
        <v>-3.8498556304138454E-3</v>
      </c>
      <c r="E28" s="12"/>
      <c r="F28" s="24">
        <v>19638.3</v>
      </c>
      <c r="G28" s="10">
        <f t="shared" si="1"/>
        <v>-1.8272615220402688E-3</v>
      </c>
    </row>
    <row r="29" spans="2:14" ht="17" thickBot="1">
      <c r="B29" s="15" t="s">
        <v>101</v>
      </c>
      <c r="C29" s="20">
        <v>3833.7</v>
      </c>
      <c r="D29" s="21">
        <f t="shared" si="0"/>
        <v>4.339661155337815E-2</v>
      </c>
      <c r="E29" s="12"/>
      <c r="F29" s="24">
        <v>19653.5</v>
      </c>
      <c r="G29" s="10">
        <f t="shared" si="1"/>
        <v>7.7399774929598486E-4</v>
      </c>
      <c r="I29" t="s">
        <v>136</v>
      </c>
    </row>
    <row r="30" spans="2:14">
      <c r="B30" s="15" t="s">
        <v>100</v>
      </c>
      <c r="C30" s="20">
        <v>3932.75</v>
      </c>
      <c r="D30" s="21">
        <f t="shared" si="0"/>
        <v>2.583665910217281E-2</v>
      </c>
      <c r="E30" s="12"/>
      <c r="F30" s="24">
        <v>19751.05</v>
      </c>
      <c r="G30" s="10">
        <f t="shared" si="1"/>
        <v>4.9634925076957881E-3</v>
      </c>
      <c r="I30" s="30"/>
      <c r="J30" s="30" t="s">
        <v>141</v>
      </c>
      <c r="K30" s="30" t="s">
        <v>142</v>
      </c>
      <c r="L30" s="30" t="s">
        <v>143</v>
      </c>
      <c r="M30" s="30" t="s">
        <v>144</v>
      </c>
      <c r="N30" s="30" t="s">
        <v>145</v>
      </c>
    </row>
    <row r="31" spans="2:14">
      <c r="B31" s="15" t="s">
        <v>99</v>
      </c>
      <c r="C31" s="20">
        <v>3746.4</v>
      </c>
      <c r="D31" s="21">
        <f t="shared" si="0"/>
        <v>-4.7384145953849099E-2</v>
      </c>
      <c r="E31" s="12"/>
      <c r="F31" s="24">
        <v>19542.650000000001</v>
      </c>
      <c r="G31" s="10">
        <f t="shared" si="1"/>
        <v>-1.0551337776978809E-2</v>
      </c>
      <c r="I31" t="s">
        <v>137</v>
      </c>
      <c r="J31" s="28">
        <v>1</v>
      </c>
      <c r="K31">
        <v>3.4675929624355312E-2</v>
      </c>
      <c r="L31">
        <v>3.4675929624355312E-2</v>
      </c>
      <c r="M31">
        <v>20.888882806252109</v>
      </c>
      <c r="N31">
        <v>1.3568213930226361E-5</v>
      </c>
    </row>
    <row r="32" spans="2:14">
      <c r="B32" s="15" t="s">
        <v>98</v>
      </c>
      <c r="C32" s="20">
        <v>3665.7</v>
      </c>
      <c r="D32" s="21">
        <f t="shared" si="0"/>
        <v>-2.1540679051889833E-2</v>
      </c>
      <c r="E32" s="12"/>
      <c r="F32" s="24">
        <v>19047.25</v>
      </c>
      <c r="G32" s="10">
        <f t="shared" si="1"/>
        <v>-2.5349683896503383E-2</v>
      </c>
      <c r="I32" t="s">
        <v>138</v>
      </c>
      <c r="J32">
        <v>103</v>
      </c>
      <c r="K32">
        <v>0.17098189426576704</v>
      </c>
      <c r="L32">
        <v>1.6600183909297771E-3</v>
      </c>
    </row>
    <row r="33" spans="2:17" ht="17" thickBot="1">
      <c r="B33" s="15" t="s">
        <v>97</v>
      </c>
      <c r="C33" s="20">
        <v>3645.5</v>
      </c>
      <c r="D33" s="21">
        <f t="shared" si="0"/>
        <v>-5.51054368879067E-3</v>
      </c>
      <c r="E33" s="12"/>
      <c r="F33" s="24">
        <v>19230.599999999999</v>
      </c>
      <c r="G33" s="10">
        <f t="shared" si="1"/>
        <v>9.6260615049414966E-3</v>
      </c>
      <c r="I33" s="29" t="s">
        <v>139</v>
      </c>
      <c r="J33" s="29">
        <v>104</v>
      </c>
      <c r="K33" s="29">
        <v>0.20565782389012235</v>
      </c>
      <c r="L33" s="29"/>
      <c r="M33" s="29"/>
      <c r="N33" s="29"/>
    </row>
    <row r="34" spans="2:17" ht="17" thickBot="1">
      <c r="B34" s="15" t="s">
        <v>96</v>
      </c>
      <c r="C34" s="20">
        <v>3802.8</v>
      </c>
      <c r="D34" s="21">
        <f t="shared" si="0"/>
        <v>4.3149087916609652E-2</v>
      </c>
      <c r="E34" s="12"/>
      <c r="F34" s="24">
        <v>19425.349999999999</v>
      </c>
      <c r="G34" s="10">
        <f t="shared" si="1"/>
        <v>1.0127089118384225E-2</v>
      </c>
    </row>
    <row r="35" spans="2:17">
      <c r="B35" s="15" t="s">
        <v>95</v>
      </c>
      <c r="C35" s="20">
        <v>3808.55</v>
      </c>
      <c r="D35" s="21">
        <f t="shared" si="0"/>
        <v>1.5120437572315737E-3</v>
      </c>
      <c r="E35" s="12"/>
      <c r="F35" s="24">
        <v>19731.8</v>
      </c>
      <c r="G35" s="10">
        <f t="shared" si="1"/>
        <v>1.5775777527818002E-2</v>
      </c>
      <c r="I35" s="30"/>
      <c r="J35" s="30" t="s">
        <v>146</v>
      </c>
      <c r="K35" s="30" t="s">
        <v>134</v>
      </c>
      <c r="L35" s="30" t="s">
        <v>147</v>
      </c>
      <c r="M35" s="30" t="s">
        <v>148</v>
      </c>
      <c r="N35" s="30" t="s">
        <v>149</v>
      </c>
      <c r="O35" s="30" t="s">
        <v>150</v>
      </c>
      <c r="P35" s="30" t="s">
        <v>151</v>
      </c>
      <c r="Q35" s="30" t="s">
        <v>152</v>
      </c>
    </row>
    <row r="36" spans="2:17">
      <c r="B36" s="15" t="s">
        <v>94</v>
      </c>
      <c r="C36" s="20">
        <v>3836.65</v>
      </c>
      <c r="D36" s="21">
        <f t="shared" si="0"/>
        <v>7.3781360360241077E-3</v>
      </c>
      <c r="E36" s="12"/>
      <c r="F36" s="24">
        <v>19794.7</v>
      </c>
      <c r="G36" s="10">
        <f t="shared" si="1"/>
        <v>3.1877476966115648E-3</v>
      </c>
      <c r="I36" t="s">
        <v>140</v>
      </c>
      <c r="J36">
        <v>-1.212439646443066E-3</v>
      </c>
      <c r="K36">
        <v>4.029356349063146E-3</v>
      </c>
      <c r="L36">
        <v>-0.30090156873937618</v>
      </c>
      <c r="M36">
        <v>0.76409611895194174</v>
      </c>
      <c r="N36">
        <v>-9.2037176200552989E-3</v>
      </c>
      <c r="O36">
        <v>6.7788383271691673E-3</v>
      </c>
      <c r="P36">
        <v>-9.2037176200552989E-3</v>
      </c>
      <c r="Q36">
        <v>6.7788383271691673E-3</v>
      </c>
    </row>
    <row r="37" spans="2:17" ht="17" thickBot="1">
      <c r="B37" s="15" t="s">
        <v>93</v>
      </c>
      <c r="C37" s="20">
        <v>3986.25</v>
      </c>
      <c r="D37" s="21">
        <f t="shared" si="0"/>
        <v>3.8992350097089901E-2</v>
      </c>
      <c r="E37" s="12"/>
      <c r="F37" s="24">
        <v>20267.900000000001</v>
      </c>
      <c r="G37" s="10">
        <f t="shared" si="1"/>
        <v>2.3905388816198414E-2</v>
      </c>
      <c r="I37" s="29" t="s">
        <v>153</v>
      </c>
      <c r="J37" s="29">
        <v>1.0972945231684812</v>
      </c>
      <c r="K37" s="29">
        <v>0.24008531939421712</v>
      </c>
      <c r="L37" s="29">
        <v>4.5704357348344864</v>
      </c>
      <c r="M37" s="29">
        <v>1.3568213930226689E-5</v>
      </c>
      <c r="N37" s="29">
        <v>0.62114191752744607</v>
      </c>
      <c r="O37" s="29">
        <v>1.5734471288095164</v>
      </c>
      <c r="P37" s="29">
        <v>0.62114191752744607</v>
      </c>
      <c r="Q37" s="29">
        <v>1.5734471288095164</v>
      </c>
    </row>
    <row r="38" spans="2:17">
      <c r="B38" s="15" t="s">
        <v>92</v>
      </c>
      <c r="C38" s="20">
        <v>4061.75</v>
      </c>
      <c r="D38" s="21">
        <f t="shared" si="0"/>
        <v>1.8940106616494257E-2</v>
      </c>
      <c r="E38" s="12"/>
      <c r="F38" s="24">
        <v>20969.400000000001</v>
      </c>
      <c r="G38" s="10">
        <f t="shared" si="1"/>
        <v>3.4611380557433069E-2</v>
      </c>
    </row>
    <row r="39" spans="2:17">
      <c r="B39" s="15" t="s">
        <v>91</v>
      </c>
      <c r="C39" s="20">
        <v>4042.35</v>
      </c>
      <c r="D39" s="21">
        <f t="shared" si="0"/>
        <v>-4.7762663876408373E-3</v>
      </c>
      <c r="E39" s="12"/>
      <c r="F39" s="24">
        <v>21456.65</v>
      </c>
      <c r="G39" s="10">
        <f t="shared" si="1"/>
        <v>2.3236239472755438E-2</v>
      </c>
    </row>
    <row r="40" spans="2:17">
      <c r="B40" s="15" t="s">
        <v>90</v>
      </c>
      <c r="C40" s="20">
        <v>4013.2</v>
      </c>
      <c r="D40" s="21">
        <f t="shared" si="0"/>
        <v>-7.2111519289522752E-3</v>
      </c>
      <c r="E40" s="12"/>
      <c r="F40" s="24">
        <v>21349.4</v>
      </c>
      <c r="G40" s="10">
        <f t="shared" si="1"/>
        <v>-4.9984503638732525E-3</v>
      </c>
    </row>
    <row r="41" spans="2:17">
      <c r="B41" s="15" t="s">
        <v>89</v>
      </c>
      <c r="C41" s="20">
        <v>4078.75</v>
      </c>
      <c r="D41" s="21">
        <f t="shared" ref="D41:D72" si="2">C41/C40-1</f>
        <v>1.633359912289456E-2</v>
      </c>
      <c r="E41" s="12"/>
      <c r="F41" s="24">
        <v>21731.4</v>
      </c>
      <c r="G41" s="10">
        <f t="shared" si="1"/>
        <v>1.7892774504201459E-2</v>
      </c>
    </row>
    <row r="42" spans="2:17">
      <c r="B42" s="15" t="s">
        <v>88</v>
      </c>
      <c r="C42" s="20">
        <v>3863.95</v>
      </c>
      <c r="D42" s="21">
        <f t="shared" si="2"/>
        <v>-5.266319338032488E-2</v>
      </c>
      <c r="E42" s="12"/>
      <c r="F42" s="24">
        <v>21710.799999999999</v>
      </c>
      <c r="G42" s="10">
        <f t="shared" si="1"/>
        <v>-9.479370864280412E-4</v>
      </c>
    </row>
    <row r="43" spans="2:17">
      <c r="B43" s="15" t="s">
        <v>87</v>
      </c>
      <c r="C43" s="20">
        <v>3840.1</v>
      </c>
      <c r="D43" s="21">
        <f t="shared" si="2"/>
        <v>-6.1724401195667467E-3</v>
      </c>
      <c r="E43" s="12"/>
      <c r="F43" s="24">
        <v>21894.55</v>
      </c>
      <c r="G43" s="10">
        <f t="shared" si="1"/>
        <v>8.4635296718684749E-3</v>
      </c>
    </row>
    <row r="44" spans="2:17">
      <c r="B44" s="15" t="s">
        <v>86</v>
      </c>
      <c r="C44" s="20">
        <v>3674.05</v>
      </c>
      <c r="D44" s="21">
        <f t="shared" si="2"/>
        <v>-4.3241061430691841E-2</v>
      </c>
      <c r="E44" s="12"/>
      <c r="F44" s="24">
        <v>21622.400000000001</v>
      </c>
      <c r="G44" s="10">
        <f t="shared" si="1"/>
        <v>-1.2430033958222397E-2</v>
      </c>
    </row>
    <row r="45" spans="2:17">
      <c r="B45" s="15" t="s">
        <v>85</v>
      </c>
      <c r="C45" s="20">
        <v>3732.3</v>
      </c>
      <c r="D45" s="21">
        <f t="shared" si="2"/>
        <v>1.585443856234936E-2</v>
      </c>
      <c r="E45" s="12"/>
      <c r="F45" s="24">
        <v>21352.6</v>
      </c>
      <c r="G45" s="10">
        <f t="shared" si="1"/>
        <v>-1.2477800799171379E-2</v>
      </c>
    </row>
    <row r="46" spans="2:17">
      <c r="B46" s="15" t="s">
        <v>84</v>
      </c>
      <c r="C46" s="20">
        <v>3781.5</v>
      </c>
      <c r="D46" s="21">
        <f t="shared" si="2"/>
        <v>1.3182220078771678E-2</v>
      </c>
      <c r="E46" s="12"/>
      <c r="F46" s="24">
        <v>21853.8</v>
      </c>
      <c r="G46" s="10">
        <f t="shared" si="1"/>
        <v>2.3472551352060167E-2</v>
      </c>
    </row>
    <row r="47" spans="2:17">
      <c r="B47" s="15" t="s">
        <v>83</v>
      </c>
      <c r="C47" s="20">
        <v>3714.4</v>
      </c>
      <c r="D47" s="21">
        <f t="shared" si="2"/>
        <v>-1.7744281369826753E-2</v>
      </c>
      <c r="E47" s="12"/>
      <c r="F47" s="24">
        <v>21782.5</v>
      </c>
      <c r="G47" s="10">
        <f t="shared" si="1"/>
        <v>-3.2625904876955047E-3</v>
      </c>
    </row>
    <row r="48" spans="2:17">
      <c r="B48" s="15" t="s">
        <v>82</v>
      </c>
      <c r="C48" s="20">
        <v>3687.2</v>
      </c>
      <c r="D48" s="21">
        <f t="shared" si="2"/>
        <v>-7.3228516045661385E-3</v>
      </c>
      <c r="E48" s="12"/>
      <c r="F48" s="24">
        <v>22040.7</v>
      </c>
      <c r="G48" s="10">
        <f t="shared" si="1"/>
        <v>1.1853552163433978E-2</v>
      </c>
    </row>
    <row r="49" spans="2:7">
      <c r="B49" s="15" t="s">
        <v>81</v>
      </c>
      <c r="C49" s="20">
        <v>3837.95</v>
      </c>
      <c r="D49" s="21">
        <f t="shared" si="2"/>
        <v>4.0884682143631945E-2</v>
      </c>
      <c r="E49" s="12"/>
      <c r="F49" s="24">
        <v>22212.7</v>
      </c>
      <c r="G49" s="10">
        <f t="shared" si="1"/>
        <v>7.8037448901351336E-3</v>
      </c>
    </row>
    <row r="50" spans="2:7">
      <c r="B50" s="15" t="s">
        <v>80</v>
      </c>
      <c r="C50" s="20">
        <v>3868.8</v>
      </c>
      <c r="D50" s="21">
        <f t="shared" si="2"/>
        <v>8.0381453640616662E-3</v>
      </c>
      <c r="E50" s="12"/>
      <c r="F50" s="24">
        <v>22338.75</v>
      </c>
      <c r="G50" s="10">
        <f t="shared" si="1"/>
        <v>5.6746816010659895E-3</v>
      </c>
    </row>
    <row r="51" spans="2:7">
      <c r="B51" s="15" t="s">
        <v>79</v>
      </c>
      <c r="C51" s="20">
        <v>3924.3</v>
      </c>
      <c r="D51" s="21">
        <f t="shared" si="2"/>
        <v>1.4345533498759222E-2</v>
      </c>
      <c r="E51" s="12"/>
      <c r="F51" s="24">
        <v>22493.55</v>
      </c>
      <c r="G51" s="10">
        <f t="shared" si="1"/>
        <v>6.929662581836471E-3</v>
      </c>
    </row>
    <row r="52" spans="2:7">
      <c r="B52" s="15" t="s">
        <v>78</v>
      </c>
      <c r="C52" s="20">
        <v>3934.4</v>
      </c>
      <c r="D52" s="21">
        <f t="shared" si="2"/>
        <v>2.5737074127869519E-3</v>
      </c>
      <c r="E52" s="12"/>
      <c r="F52" s="24">
        <v>22023.35</v>
      </c>
      <c r="G52" s="10">
        <f t="shared" si="1"/>
        <v>-2.0903770191899484E-2</v>
      </c>
    </row>
    <row r="53" spans="2:7">
      <c r="B53" s="15" t="s">
        <v>77</v>
      </c>
      <c r="C53" s="20">
        <v>4294.75</v>
      </c>
      <c r="D53" s="21">
        <f t="shared" si="2"/>
        <v>9.1589568930459553E-2</v>
      </c>
      <c r="E53" s="12"/>
      <c r="F53" s="24">
        <v>22096.75</v>
      </c>
      <c r="G53" s="10">
        <f t="shared" si="1"/>
        <v>3.3328262957270649E-3</v>
      </c>
    </row>
    <row r="54" spans="2:7">
      <c r="B54" s="15" t="s">
        <v>76</v>
      </c>
      <c r="C54" s="20">
        <v>4529.3500000000004</v>
      </c>
      <c r="D54" s="21">
        <f t="shared" si="2"/>
        <v>5.4624832644508015E-2</v>
      </c>
      <c r="E54" s="12"/>
      <c r="F54" s="24">
        <v>22326.9</v>
      </c>
      <c r="G54" s="10">
        <f t="shared" si="1"/>
        <v>1.0415558849152129E-2</v>
      </c>
    </row>
    <row r="55" spans="2:7">
      <c r="B55" s="15" t="s">
        <v>75</v>
      </c>
      <c r="C55" s="20">
        <v>4622.55</v>
      </c>
      <c r="D55" s="21">
        <f t="shared" si="2"/>
        <v>2.057690397076839E-2</v>
      </c>
      <c r="E55" s="12"/>
      <c r="F55" s="24">
        <v>22513.7</v>
      </c>
      <c r="G55" s="10">
        <f t="shared" si="1"/>
        <v>8.3665891816597782E-3</v>
      </c>
    </row>
    <row r="56" spans="2:7">
      <c r="B56" s="15" t="s">
        <v>74</v>
      </c>
      <c r="C56" s="20">
        <v>4771.6499999999996</v>
      </c>
      <c r="D56" s="21">
        <f t="shared" si="2"/>
        <v>3.2254924230132653E-2</v>
      </c>
      <c r="E56" s="12"/>
      <c r="F56" s="24">
        <v>22519.4</v>
      </c>
      <c r="G56" s="10">
        <f t="shared" si="1"/>
        <v>2.5317917534661838E-4</v>
      </c>
    </row>
    <row r="57" spans="2:7">
      <c r="B57" s="15" t="s">
        <v>73</v>
      </c>
      <c r="C57" s="20">
        <v>4701.8999999999996</v>
      </c>
      <c r="D57" s="21">
        <f t="shared" si="2"/>
        <v>-1.4617585112068121E-2</v>
      </c>
      <c r="E57" s="12"/>
      <c r="F57" s="24">
        <v>22147</v>
      </c>
      <c r="G57" s="10">
        <f t="shared" si="1"/>
        <v>-1.6536852669254087E-2</v>
      </c>
    </row>
    <row r="58" spans="2:7">
      <c r="B58" s="15" t="s">
        <v>72</v>
      </c>
      <c r="C58" s="20">
        <v>4555.1000000000004</v>
      </c>
      <c r="D58" s="21">
        <f t="shared" si="2"/>
        <v>-3.1221421127629156E-2</v>
      </c>
      <c r="E58" s="12"/>
      <c r="F58" s="24">
        <v>22419.95</v>
      </c>
      <c r="G58" s="10">
        <f t="shared" si="1"/>
        <v>1.2324468325281002E-2</v>
      </c>
    </row>
    <row r="59" spans="2:7">
      <c r="B59" s="15" t="s">
        <v>71</v>
      </c>
      <c r="C59" s="20">
        <v>4610.3500000000004</v>
      </c>
      <c r="D59" s="21">
        <f t="shared" si="2"/>
        <v>1.2129261706658401E-2</v>
      </c>
      <c r="E59" s="12"/>
      <c r="F59" s="24">
        <v>22475.85</v>
      </c>
      <c r="G59" s="10">
        <f t="shared" si="1"/>
        <v>2.4933151055197555E-3</v>
      </c>
    </row>
    <row r="60" spans="2:7">
      <c r="B60" s="15" t="s">
        <v>70</v>
      </c>
      <c r="C60" s="20">
        <v>4794.7</v>
      </c>
      <c r="D60" s="21">
        <f t="shared" si="2"/>
        <v>3.9986118190592723E-2</v>
      </c>
      <c r="E60" s="12"/>
      <c r="F60" s="24">
        <v>22055.200000000001</v>
      </c>
      <c r="G60" s="10">
        <f t="shared" si="1"/>
        <v>-1.8715643679771743E-2</v>
      </c>
    </row>
    <row r="61" spans="2:7">
      <c r="B61" s="15" t="s">
        <v>69</v>
      </c>
      <c r="C61" s="20">
        <v>4666.3999999999996</v>
      </c>
      <c r="D61" s="21">
        <f t="shared" si="2"/>
        <v>-2.6758712745323043E-2</v>
      </c>
      <c r="E61" s="12"/>
      <c r="F61" s="24">
        <v>22466.1</v>
      </c>
      <c r="G61" s="10">
        <f t="shared" si="1"/>
        <v>1.8630527041241907E-2</v>
      </c>
    </row>
    <row r="62" spans="2:7">
      <c r="B62" s="15" t="s">
        <v>68</v>
      </c>
      <c r="C62" s="20">
        <v>4684.6499999999996</v>
      </c>
      <c r="D62" s="21">
        <f t="shared" si="2"/>
        <v>3.9109377678725465E-3</v>
      </c>
      <c r="E62" s="12"/>
      <c r="F62" s="24">
        <v>22957.1</v>
      </c>
      <c r="G62" s="10">
        <f t="shared" si="1"/>
        <v>2.1855150649200406E-2</v>
      </c>
    </row>
    <row r="63" spans="2:7">
      <c r="B63" s="15" t="s">
        <v>67</v>
      </c>
      <c r="C63" s="20">
        <v>4305.7</v>
      </c>
      <c r="D63" s="21">
        <f t="shared" si="2"/>
        <v>-8.0891848910804365E-2</v>
      </c>
      <c r="E63" s="12"/>
      <c r="F63" s="24">
        <v>22530.7</v>
      </c>
      <c r="G63" s="10">
        <f t="shared" si="1"/>
        <v>-1.8573774562117951E-2</v>
      </c>
    </row>
    <row r="64" spans="2:7">
      <c r="B64" s="15" t="s">
        <v>66</v>
      </c>
      <c r="C64" s="20">
        <v>4745.45</v>
      </c>
      <c r="D64" s="21">
        <f t="shared" si="2"/>
        <v>0.10213205750516763</v>
      </c>
      <c r="E64" s="12"/>
      <c r="F64" s="24">
        <v>23290.15</v>
      </c>
      <c r="G64" s="10">
        <f t="shared" si="1"/>
        <v>3.3707341538434354E-2</v>
      </c>
    </row>
    <row r="65" spans="2:7">
      <c r="B65" s="15" t="s">
        <v>65</v>
      </c>
      <c r="C65" s="20">
        <v>4736.5</v>
      </c>
      <c r="D65" s="21">
        <f t="shared" si="2"/>
        <v>-1.8860171322002683E-3</v>
      </c>
      <c r="E65" s="12"/>
      <c r="F65" s="24">
        <v>23465.599999999999</v>
      </c>
      <c r="G65" s="10">
        <f t="shared" si="1"/>
        <v>7.5332275661599279E-3</v>
      </c>
    </row>
    <row r="66" spans="2:7">
      <c r="B66" s="15" t="s">
        <v>64</v>
      </c>
      <c r="C66" s="20">
        <v>4812.2</v>
      </c>
      <c r="D66" s="21">
        <f t="shared" si="2"/>
        <v>1.5982265385833472E-2</v>
      </c>
      <c r="E66" s="12"/>
      <c r="F66" s="24">
        <v>23501.1</v>
      </c>
      <c r="G66" s="10">
        <f t="shared" si="1"/>
        <v>1.5128528569481325E-3</v>
      </c>
    </row>
    <row r="67" spans="2:7">
      <c r="B67" s="15" t="s">
        <v>63</v>
      </c>
      <c r="C67" s="20">
        <v>4717</v>
      </c>
      <c r="D67" s="21">
        <f t="shared" si="2"/>
        <v>-1.978305141099701E-2</v>
      </c>
      <c r="E67" s="12"/>
      <c r="F67" s="24">
        <v>24010.6</v>
      </c>
      <c r="G67" s="10">
        <f t="shared" si="1"/>
        <v>2.1679836262983532E-2</v>
      </c>
    </row>
    <row r="68" spans="2:7">
      <c r="B68" s="15" t="s">
        <v>62</v>
      </c>
      <c r="C68" s="20">
        <v>4852.55</v>
      </c>
      <c r="D68" s="21">
        <f t="shared" si="2"/>
        <v>2.8736485054059902E-2</v>
      </c>
      <c r="E68" s="12"/>
      <c r="F68" s="24">
        <v>24323.85</v>
      </c>
      <c r="G68" s="10">
        <f t="shared" si="1"/>
        <v>1.3046321208133094E-2</v>
      </c>
    </row>
    <row r="69" spans="2:7">
      <c r="B69" s="15" t="s">
        <v>61</v>
      </c>
      <c r="C69" s="20">
        <v>4953.3500000000004</v>
      </c>
      <c r="D69" s="21">
        <f t="shared" si="2"/>
        <v>2.0772583487032703E-2</v>
      </c>
      <c r="E69" s="12"/>
      <c r="F69" s="24">
        <v>24502.15</v>
      </c>
      <c r="G69" s="10">
        <f t="shared" si="1"/>
        <v>7.3302540510651326E-3</v>
      </c>
    </row>
    <row r="70" spans="2:7">
      <c r="B70" s="15" t="s">
        <v>60</v>
      </c>
      <c r="C70" s="20">
        <v>5013.6000000000004</v>
      </c>
      <c r="D70" s="21">
        <f t="shared" si="2"/>
        <v>1.2163485318017031E-2</v>
      </c>
      <c r="E70" s="12"/>
      <c r="F70" s="24">
        <v>24530.9</v>
      </c>
      <c r="G70" s="10">
        <f t="shared" si="1"/>
        <v>1.1733664188653403E-3</v>
      </c>
    </row>
    <row r="71" spans="2:7">
      <c r="B71" s="15" t="s">
        <v>59</v>
      </c>
      <c r="C71" s="20">
        <v>5069.3</v>
      </c>
      <c r="D71" s="21">
        <f t="shared" si="2"/>
        <v>1.110978139460661E-2</v>
      </c>
      <c r="E71" s="12"/>
      <c r="F71" s="24">
        <v>24834.85</v>
      </c>
      <c r="G71" s="10">
        <f t="shared" si="1"/>
        <v>1.2390495252925682E-2</v>
      </c>
    </row>
    <row r="72" spans="2:7">
      <c r="B72" s="15" t="s">
        <v>58</v>
      </c>
      <c r="C72" s="20">
        <v>4907.8</v>
      </c>
      <c r="D72" s="21">
        <f t="shared" si="2"/>
        <v>-3.1858441993963704E-2</v>
      </c>
      <c r="E72" s="12"/>
      <c r="F72" s="24">
        <v>24717.7</v>
      </c>
      <c r="G72" s="10">
        <f t="shared" si="1"/>
        <v>-4.7171615693268887E-3</v>
      </c>
    </row>
    <row r="73" spans="2:7">
      <c r="B73" s="15" t="s">
        <v>57</v>
      </c>
      <c r="C73" s="20">
        <v>4988.1499999999996</v>
      </c>
      <c r="D73" s="21">
        <f t="shared" ref="D73:D104" si="3">C73/C72-1</f>
        <v>1.637189779534598E-2</v>
      </c>
      <c r="E73" s="12"/>
      <c r="F73" s="24">
        <v>24367.5</v>
      </c>
      <c r="G73" s="10">
        <f t="shared" si="1"/>
        <v>-1.4167984885325113E-2</v>
      </c>
    </row>
    <row r="74" spans="2:7">
      <c r="B74" s="15" t="s">
        <v>56</v>
      </c>
      <c r="C74" s="20">
        <v>5019</v>
      </c>
      <c r="D74" s="21">
        <f t="shared" si="3"/>
        <v>6.1846576386035412E-3</v>
      </c>
      <c r="E74" s="12"/>
      <c r="F74" s="24">
        <v>24541.15</v>
      </c>
      <c r="G74" s="10">
        <f t="shared" ref="G74:G113" si="4">F74/F73-1</f>
        <v>7.1262952703396998E-3</v>
      </c>
    </row>
    <row r="75" spans="2:7">
      <c r="B75" s="15" t="s">
        <v>55</v>
      </c>
      <c r="C75" s="20">
        <v>4879.55</v>
      </c>
      <c r="D75" s="21">
        <f t="shared" si="3"/>
        <v>-2.7784419207013356E-2</v>
      </c>
      <c r="E75" s="12"/>
      <c r="F75" s="24">
        <v>24823.15</v>
      </c>
      <c r="G75" s="10">
        <f t="shared" si="4"/>
        <v>1.1490904052988471E-2</v>
      </c>
    </row>
    <row r="76" spans="2:7">
      <c r="B76" s="15" t="s">
        <v>54</v>
      </c>
      <c r="C76" s="20">
        <v>4927.55</v>
      </c>
      <c r="D76" s="21">
        <f t="shared" si="3"/>
        <v>9.8369726716602823E-3</v>
      </c>
      <c r="E76" s="12"/>
      <c r="F76" s="24">
        <v>25235.9</v>
      </c>
      <c r="G76" s="10">
        <f t="shared" si="4"/>
        <v>1.6627623810837822E-2</v>
      </c>
    </row>
    <row r="77" spans="2:7">
      <c r="B77" s="15" t="s">
        <v>53</v>
      </c>
      <c r="C77" s="20">
        <v>5307.65</v>
      </c>
      <c r="D77" s="21">
        <f t="shared" si="3"/>
        <v>7.7137725644589983E-2</v>
      </c>
      <c r="E77" s="12"/>
      <c r="F77" s="24">
        <v>24852.15</v>
      </c>
      <c r="G77" s="10">
        <f t="shared" si="4"/>
        <v>-1.5206511358818231E-2</v>
      </c>
    </row>
    <row r="78" spans="2:7">
      <c r="B78" s="15" t="s">
        <v>52</v>
      </c>
      <c r="C78" s="20">
        <v>5186.8500000000004</v>
      </c>
      <c r="D78" s="21">
        <f t="shared" si="3"/>
        <v>-2.2759601706970001E-2</v>
      </c>
      <c r="E78" s="12"/>
      <c r="F78" s="24">
        <v>25356.5</v>
      </c>
      <c r="G78" s="10">
        <f t="shared" si="4"/>
        <v>2.0294018827344829E-2</v>
      </c>
    </row>
    <row r="79" spans="2:7">
      <c r="B79" s="15" t="s">
        <v>51</v>
      </c>
      <c r="C79" s="20">
        <v>5326.95</v>
      </c>
      <c r="D79" s="21">
        <f t="shared" si="3"/>
        <v>2.7010613378061654E-2</v>
      </c>
      <c r="E79" s="12"/>
      <c r="F79" s="24">
        <v>25790.95</v>
      </c>
      <c r="G79" s="10">
        <f t="shared" si="4"/>
        <v>1.7133673811448702E-2</v>
      </c>
    </row>
    <row r="80" spans="2:7">
      <c r="B80" s="15" t="s">
        <v>50</v>
      </c>
      <c r="C80" s="20">
        <v>5102</v>
      </c>
      <c r="D80" s="21">
        <f t="shared" si="3"/>
        <v>-4.2228667436337797E-2</v>
      </c>
      <c r="E80" s="12"/>
      <c r="F80" s="24">
        <v>26178.95</v>
      </c>
      <c r="G80" s="10">
        <f t="shared" si="4"/>
        <v>1.5044036764834123E-2</v>
      </c>
    </row>
    <row r="81" spans="2:7">
      <c r="B81" s="15" t="s">
        <v>49</v>
      </c>
      <c r="C81" s="20">
        <v>4736.75</v>
      </c>
      <c r="D81" s="21">
        <f t="shared" si="3"/>
        <v>-7.1589572716581729E-2</v>
      </c>
      <c r="E81" s="12"/>
      <c r="F81" s="24">
        <v>25014.6</v>
      </c>
      <c r="G81" s="10">
        <f t="shared" si="4"/>
        <v>-4.4476573735768743E-2</v>
      </c>
    </row>
    <row r="82" spans="2:7">
      <c r="B82" s="15" t="s">
        <v>48</v>
      </c>
      <c r="C82" s="20">
        <v>4572.3500000000004</v>
      </c>
      <c r="D82" s="21">
        <f t="shared" si="3"/>
        <v>-3.470734153164079E-2</v>
      </c>
      <c r="E82" s="12"/>
      <c r="F82" s="24">
        <v>24964.25</v>
      </c>
      <c r="G82" s="10">
        <f t="shared" si="4"/>
        <v>-2.0128245104857889E-3</v>
      </c>
    </row>
    <row r="83" spans="2:7">
      <c r="B83" s="15" t="s">
        <v>47</v>
      </c>
      <c r="C83" s="20">
        <v>3986.4</v>
      </c>
      <c r="D83" s="21">
        <f t="shared" si="3"/>
        <v>-0.1281507321180575</v>
      </c>
      <c r="E83" s="12"/>
      <c r="F83" s="24">
        <v>24854.05</v>
      </c>
      <c r="G83" s="10">
        <f t="shared" si="4"/>
        <v>-4.4143124668275524E-3</v>
      </c>
    </row>
    <row r="84" spans="2:7">
      <c r="B84" s="15" t="s">
        <v>46</v>
      </c>
      <c r="C84" s="20">
        <v>4051.2</v>
      </c>
      <c r="D84" s="21">
        <f t="shared" si="3"/>
        <v>1.6255267910896931E-2</v>
      </c>
      <c r="E84" s="12"/>
      <c r="F84" s="24">
        <v>24180.799999999999</v>
      </c>
      <c r="G84" s="10">
        <f t="shared" si="4"/>
        <v>-2.7088140564616281E-2</v>
      </c>
    </row>
    <row r="85" spans="2:7">
      <c r="B85" s="15" t="s">
        <v>45</v>
      </c>
      <c r="C85" s="20">
        <v>4003.3</v>
      </c>
      <c r="D85" s="21">
        <f t="shared" si="3"/>
        <v>-1.1823657187993608E-2</v>
      </c>
      <c r="E85" s="12"/>
      <c r="F85" s="24">
        <v>24304.35</v>
      </c>
      <c r="G85" s="10">
        <f t="shared" si="4"/>
        <v>5.1094256600276999E-3</v>
      </c>
    </row>
    <row r="86" spans="2:7">
      <c r="B86" s="15" t="s">
        <v>44</v>
      </c>
      <c r="C86" s="20">
        <v>3872.8</v>
      </c>
      <c r="D86" s="21">
        <f t="shared" si="3"/>
        <v>-3.2598106562086282E-2</v>
      </c>
      <c r="E86" s="12"/>
      <c r="F86" s="24">
        <v>24148.2</v>
      </c>
      <c r="G86" s="10">
        <f t="shared" si="4"/>
        <v>-6.4247758117372822E-3</v>
      </c>
    </row>
    <row r="87" spans="2:7">
      <c r="B87" s="15" t="s">
        <v>43</v>
      </c>
      <c r="C87" s="20">
        <v>3821.8</v>
      </c>
      <c r="D87" s="21">
        <f t="shared" si="3"/>
        <v>-1.3168766783722363E-2</v>
      </c>
      <c r="E87" s="12"/>
      <c r="F87" s="24">
        <v>23532.7</v>
      </c>
      <c r="G87" s="10">
        <f t="shared" si="4"/>
        <v>-2.5488442202731498E-2</v>
      </c>
    </row>
    <row r="88" spans="2:7">
      <c r="B88" s="15" t="s">
        <v>42</v>
      </c>
      <c r="C88" s="20">
        <v>3613.7</v>
      </c>
      <c r="D88" s="21">
        <f t="shared" si="3"/>
        <v>-5.4450782353864802E-2</v>
      </c>
      <c r="E88" s="12"/>
      <c r="F88" s="24">
        <v>23907.25</v>
      </c>
      <c r="G88" s="10">
        <f t="shared" si="4"/>
        <v>1.5916150717937061E-2</v>
      </c>
    </row>
    <row r="89" spans="2:7">
      <c r="B89" s="15" t="s">
        <v>41</v>
      </c>
      <c r="C89" s="20">
        <v>3709.45</v>
      </c>
      <c r="D89" s="21">
        <f t="shared" si="3"/>
        <v>2.6496388742839772E-2</v>
      </c>
      <c r="E89" s="12"/>
      <c r="F89" s="24">
        <v>24131.1</v>
      </c>
      <c r="G89" s="10">
        <f t="shared" si="4"/>
        <v>9.3632684645870157E-3</v>
      </c>
    </row>
    <row r="90" spans="2:7">
      <c r="B90" s="15" t="s">
        <v>40</v>
      </c>
      <c r="C90" s="20">
        <v>3804.9</v>
      </c>
      <c r="D90" s="21">
        <f t="shared" si="3"/>
        <v>2.5731577457574595E-2</v>
      </c>
      <c r="E90" s="12"/>
      <c r="F90" s="24">
        <v>24677.8</v>
      </c>
      <c r="G90" s="10">
        <f t="shared" si="4"/>
        <v>2.2655411481449228E-2</v>
      </c>
    </row>
    <row r="91" spans="2:7">
      <c r="B91" s="15" t="s">
        <v>39</v>
      </c>
      <c r="C91" s="20">
        <v>3652</v>
      </c>
      <c r="D91" s="21">
        <f t="shared" si="3"/>
        <v>-4.01850245735762E-2</v>
      </c>
      <c r="E91" s="12"/>
      <c r="F91" s="24">
        <v>24768.3</v>
      </c>
      <c r="G91" s="10">
        <f t="shared" si="4"/>
        <v>3.6672636944945491E-3</v>
      </c>
    </row>
    <row r="92" spans="2:7">
      <c r="B92" s="15" t="s">
        <v>38</v>
      </c>
      <c r="C92" s="20">
        <v>3408.5</v>
      </c>
      <c r="D92" s="21">
        <f t="shared" si="3"/>
        <v>-6.6675794085432671E-2</v>
      </c>
      <c r="E92" s="12"/>
      <c r="F92" s="24">
        <v>23587.5</v>
      </c>
      <c r="G92" s="10">
        <f t="shared" si="4"/>
        <v>-4.7673841159869612E-2</v>
      </c>
    </row>
    <row r="93" spans="2:7">
      <c r="B93" s="15" t="s">
        <v>37</v>
      </c>
      <c r="C93" s="20">
        <v>3568.7</v>
      </c>
      <c r="D93" s="21">
        <f t="shared" si="3"/>
        <v>4.7000146692093292E-2</v>
      </c>
      <c r="E93" s="12"/>
      <c r="F93" s="24">
        <v>23813.4</v>
      </c>
      <c r="G93" s="10">
        <f t="shared" si="4"/>
        <v>9.5771065182830295E-3</v>
      </c>
    </row>
    <row r="94" spans="2:7">
      <c r="B94" s="15" t="s">
        <v>36</v>
      </c>
      <c r="C94" s="20">
        <v>4023.25</v>
      </c>
      <c r="D94" s="21">
        <f t="shared" si="3"/>
        <v>0.12737131168212512</v>
      </c>
      <c r="E94" s="12"/>
      <c r="F94" s="24">
        <v>24004.75</v>
      </c>
      <c r="G94" s="10">
        <f t="shared" si="4"/>
        <v>8.035391838208783E-3</v>
      </c>
    </row>
    <row r="95" spans="2:7">
      <c r="B95" s="15" t="s">
        <v>35</v>
      </c>
      <c r="C95" s="20">
        <v>3685.7</v>
      </c>
      <c r="D95" s="21">
        <f t="shared" si="3"/>
        <v>-8.3899832225191151E-2</v>
      </c>
      <c r="E95" s="12"/>
      <c r="F95" s="24">
        <v>23431.5</v>
      </c>
      <c r="G95" s="10">
        <f t="shared" si="4"/>
        <v>-2.3880690280048689E-2</v>
      </c>
    </row>
    <row r="96" spans="2:7">
      <c r="B96" s="15" t="s">
        <v>34</v>
      </c>
      <c r="C96" s="20">
        <v>3620.35</v>
      </c>
      <c r="D96" s="21">
        <f t="shared" si="3"/>
        <v>-1.7730688878639045E-2</v>
      </c>
      <c r="E96" s="12"/>
      <c r="F96" s="24">
        <v>23203.200000000001</v>
      </c>
      <c r="G96" s="10">
        <f t="shared" si="4"/>
        <v>-9.7432942833365344E-3</v>
      </c>
    </row>
    <row r="97" spans="2:7">
      <c r="B97" s="15" t="s">
        <v>33</v>
      </c>
      <c r="C97" s="20">
        <v>3583</v>
      </c>
      <c r="D97" s="21">
        <f t="shared" si="3"/>
        <v>-1.0316682088748252E-2</v>
      </c>
      <c r="E97" s="12"/>
      <c r="F97" s="24">
        <v>23092.2</v>
      </c>
      <c r="G97" s="10">
        <f t="shared" si="4"/>
        <v>-4.7838229209764549E-3</v>
      </c>
    </row>
    <row r="98" spans="2:7">
      <c r="B98" s="15" t="s">
        <v>32</v>
      </c>
      <c r="C98" s="20">
        <v>4016.45</v>
      </c>
      <c r="D98" s="21">
        <f t="shared" si="3"/>
        <v>0.1209740440971252</v>
      </c>
      <c r="E98" s="12"/>
      <c r="F98" s="24">
        <v>23508.400000000001</v>
      </c>
      <c r="G98" s="10">
        <f t="shared" si="4"/>
        <v>1.8023401841314346E-2</v>
      </c>
    </row>
    <row r="99" spans="2:7">
      <c r="B99" s="15" t="s">
        <v>31</v>
      </c>
      <c r="C99" s="20">
        <v>3745.65</v>
      </c>
      <c r="D99" s="21">
        <f t="shared" si="3"/>
        <v>-6.7422724047355165E-2</v>
      </c>
      <c r="E99" s="12"/>
      <c r="F99" s="24">
        <v>23559.95</v>
      </c>
      <c r="G99" s="10">
        <f t="shared" si="4"/>
        <v>2.1928332000475947E-3</v>
      </c>
    </row>
    <row r="100" spans="2:7">
      <c r="B100" s="15" t="s">
        <v>30</v>
      </c>
      <c r="C100" s="20">
        <v>3679.95</v>
      </c>
      <c r="D100" s="21">
        <f t="shared" si="3"/>
        <v>-1.7540346802290774E-2</v>
      </c>
      <c r="E100" s="12"/>
      <c r="F100" s="24">
        <v>22929.25</v>
      </c>
      <c r="G100" s="10">
        <f t="shared" si="4"/>
        <v>-2.6770005878620329E-2</v>
      </c>
    </row>
    <row r="101" spans="2:7">
      <c r="B101" s="15" t="s">
        <v>29</v>
      </c>
      <c r="C101" s="20">
        <v>3595.25</v>
      </c>
      <c r="D101" s="21">
        <f t="shared" si="3"/>
        <v>-2.3016617073601475E-2</v>
      </c>
      <c r="E101" s="12"/>
      <c r="F101" s="24">
        <v>22795.9</v>
      </c>
      <c r="G101" s="10">
        <f t="shared" si="4"/>
        <v>-5.8157157342695331E-3</v>
      </c>
    </row>
    <row r="102" spans="2:7">
      <c r="B102" s="15" t="s">
        <v>28</v>
      </c>
      <c r="C102" s="20">
        <v>3403.3</v>
      </c>
      <c r="D102" s="21">
        <f t="shared" si="3"/>
        <v>-5.3389889437452154E-2</v>
      </c>
      <c r="E102" s="12"/>
      <c r="F102" s="24">
        <v>22124.7</v>
      </c>
      <c r="G102" s="10">
        <f t="shared" si="4"/>
        <v>-2.9443891226053842E-2</v>
      </c>
    </row>
    <row r="103" spans="2:7">
      <c r="B103" s="15" t="s">
        <v>27</v>
      </c>
      <c r="C103" s="20">
        <v>3593.6</v>
      </c>
      <c r="D103" s="21">
        <f t="shared" si="3"/>
        <v>5.591631651632234E-2</v>
      </c>
      <c r="E103" s="12"/>
      <c r="F103" s="24">
        <v>22552.5</v>
      </c>
      <c r="G103" s="10">
        <f t="shared" si="4"/>
        <v>1.9335855401429125E-2</v>
      </c>
    </row>
    <row r="104" spans="2:7">
      <c r="B104" s="15" t="s">
        <v>26</v>
      </c>
      <c r="C104" s="20">
        <v>3797.55</v>
      </c>
      <c r="D104" s="21">
        <f t="shared" si="3"/>
        <v>5.6753673196794363E-2</v>
      </c>
      <c r="E104" s="12"/>
      <c r="F104" s="24">
        <v>22397.200000000001</v>
      </c>
      <c r="G104" s="10">
        <f t="shared" si="4"/>
        <v>-6.8861545283227521E-3</v>
      </c>
    </row>
    <row r="105" spans="2:7">
      <c r="B105" s="15" t="s">
        <v>25</v>
      </c>
      <c r="C105" s="20">
        <v>3896.8</v>
      </c>
      <c r="D105" s="21">
        <f t="shared" ref="D105:D113" si="5">C105/C104-1</f>
        <v>2.6135271424997608E-2</v>
      </c>
      <c r="E105" s="12"/>
      <c r="F105" s="24">
        <v>23350.400000000001</v>
      </c>
      <c r="G105" s="10">
        <f t="shared" si="4"/>
        <v>4.2558891289982803E-2</v>
      </c>
    </row>
    <row r="106" spans="2:7">
      <c r="B106" s="15" t="s">
        <v>24</v>
      </c>
      <c r="C106" s="20">
        <v>4078.15</v>
      </c>
      <c r="D106" s="21">
        <f t="shared" si="5"/>
        <v>4.6538185177581681E-2</v>
      </c>
      <c r="E106" s="12"/>
      <c r="F106" s="24">
        <v>23519.35</v>
      </c>
      <c r="G106" s="10">
        <f t="shared" si="4"/>
        <v>7.2354220912702605E-3</v>
      </c>
    </row>
    <row r="107" spans="2:7">
      <c r="B107" s="15" t="s">
        <v>23</v>
      </c>
      <c r="C107" s="20">
        <v>4039.3</v>
      </c>
      <c r="D107" s="21">
        <f t="shared" si="5"/>
        <v>-9.5263783823547055E-3</v>
      </c>
      <c r="E107" s="12"/>
      <c r="F107" s="24">
        <v>22904.45</v>
      </c>
      <c r="G107" s="10">
        <f t="shared" si="4"/>
        <v>-2.6144430011883713E-2</v>
      </c>
    </row>
    <row r="108" spans="2:7">
      <c r="B108" s="15" t="s">
        <v>22</v>
      </c>
      <c r="C108" s="20">
        <v>4122.1000000000004</v>
      </c>
      <c r="D108" s="21">
        <f t="shared" si="5"/>
        <v>2.0498601242789682E-2</v>
      </c>
      <c r="E108" s="12"/>
      <c r="F108" s="24">
        <v>22828.55</v>
      </c>
      <c r="G108" s="10">
        <f t="shared" si="4"/>
        <v>-3.3137665388167648E-3</v>
      </c>
    </row>
    <row r="109" spans="2:7">
      <c r="B109" s="15" t="s">
        <v>21</v>
      </c>
      <c r="C109" s="20">
        <v>4357.45</v>
      </c>
      <c r="D109" s="21">
        <f t="shared" si="5"/>
        <v>5.7094684748065117E-2</v>
      </c>
      <c r="E109" s="12"/>
      <c r="F109" s="24">
        <v>23851.65</v>
      </c>
      <c r="G109" s="10">
        <f t="shared" si="4"/>
        <v>4.4816687875489425E-2</v>
      </c>
    </row>
    <row r="110" spans="2:7">
      <c r="B110" s="15" t="s">
        <v>20</v>
      </c>
      <c r="C110" s="20">
        <v>4373.55</v>
      </c>
      <c r="D110" s="21">
        <f t="shared" si="5"/>
        <v>3.6948215125820472E-3</v>
      </c>
      <c r="E110" s="12"/>
      <c r="F110" s="24">
        <v>24039.35</v>
      </c>
      <c r="G110" s="10">
        <f t="shared" si="4"/>
        <v>7.86947653516612E-3</v>
      </c>
    </row>
    <row r="111" spans="2:7">
      <c r="B111" s="15" t="s">
        <v>19</v>
      </c>
      <c r="C111" s="20">
        <v>4060.5</v>
      </c>
      <c r="D111" s="21">
        <f t="shared" si="5"/>
        <v>-7.1578008711458696E-2</v>
      </c>
      <c r="F111" s="24">
        <v>24346.7</v>
      </c>
      <c r="G111" s="10">
        <f t="shared" si="4"/>
        <v>1.2785287455775673E-2</v>
      </c>
    </row>
    <row r="112" spans="2:7">
      <c r="B112" s="15" t="s">
        <v>18</v>
      </c>
      <c r="C112" s="20">
        <v>3999.95</v>
      </c>
      <c r="D112" s="21">
        <f t="shared" si="5"/>
        <v>-1.4911956655584313E-2</v>
      </c>
      <c r="F112" s="24">
        <v>24273.8</v>
      </c>
      <c r="G112" s="10">
        <f t="shared" si="4"/>
        <v>-2.9942456267174622E-3</v>
      </c>
    </row>
    <row r="113" spans="2:7">
      <c r="B113" s="15" t="s">
        <v>17</v>
      </c>
      <c r="C113" s="20">
        <v>4001.05</v>
      </c>
      <c r="D113" s="21">
        <f t="shared" si="5"/>
        <v>2.7500343754316425E-4</v>
      </c>
      <c r="F113" s="24">
        <v>24008</v>
      </c>
      <c r="G113" s="10">
        <f t="shared" si="4"/>
        <v>-1.0950077861727414E-2</v>
      </c>
    </row>
    <row r="115" spans="2:7" ht="18">
      <c r="B115" s="18"/>
    </row>
    <row r="121" spans="2:7">
      <c r="G121" s="11"/>
    </row>
    <row r="122" spans="2:7">
      <c r="G122" s="11"/>
    </row>
    <row r="123" spans="2:7">
      <c r="G123" s="11"/>
    </row>
    <row r="124" spans="2:7">
      <c r="G124" s="11"/>
    </row>
    <row r="125" spans="2:7">
      <c r="G125" s="11"/>
    </row>
    <row r="126" spans="2:7">
      <c r="G126" s="11"/>
    </row>
    <row r="127" spans="2:7">
      <c r="G127" s="11"/>
    </row>
    <row r="128" spans="2:7">
      <c r="G128" s="11"/>
    </row>
    <row r="129" spans="7:7">
      <c r="G129" s="11"/>
    </row>
    <row r="130" spans="7:7">
      <c r="G130" s="11"/>
    </row>
    <row r="131" spans="7:7">
      <c r="G131" s="11"/>
    </row>
    <row r="132" spans="7:7">
      <c r="G132" s="11"/>
    </row>
    <row r="133" spans="7:7">
      <c r="G133" s="11"/>
    </row>
    <row r="134" spans="7:7">
      <c r="G134" s="11"/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  <row r="151" spans="7:7">
      <c r="G151" s="11"/>
    </row>
    <row r="152" spans="7:7">
      <c r="G152" s="11"/>
    </row>
    <row r="153" spans="7:7">
      <c r="G153" s="11"/>
    </row>
    <row r="154" spans="7:7">
      <c r="G154" s="11"/>
    </row>
    <row r="155" spans="7:7">
      <c r="G155" s="11"/>
    </row>
    <row r="156" spans="7:7">
      <c r="G156" s="11"/>
    </row>
    <row r="157" spans="7:7">
      <c r="G157" s="11"/>
    </row>
    <row r="158" spans="7:7">
      <c r="G158" s="11"/>
    </row>
    <row r="159" spans="7:7">
      <c r="G159" s="11"/>
    </row>
    <row r="160" spans="7:7">
      <c r="G160" s="11"/>
    </row>
    <row r="161" spans="7:7">
      <c r="G161" s="11"/>
    </row>
    <row r="162" spans="7:7">
      <c r="G162" s="11"/>
    </row>
    <row r="163" spans="7:7">
      <c r="G163" s="11"/>
    </row>
    <row r="164" spans="7:7">
      <c r="G164" s="11"/>
    </row>
    <row r="165" spans="7:7">
      <c r="G165" s="11"/>
    </row>
    <row r="166" spans="7:7">
      <c r="G166" s="11"/>
    </row>
    <row r="167" spans="7:7">
      <c r="G167" s="11"/>
    </row>
    <row r="168" spans="7:7">
      <c r="G168" s="11"/>
    </row>
    <row r="169" spans="7:7">
      <c r="G169" s="11"/>
    </row>
    <row r="170" spans="7:7">
      <c r="G170" s="11"/>
    </row>
    <row r="171" spans="7:7">
      <c r="G171" s="11"/>
    </row>
    <row r="172" spans="7:7">
      <c r="G172" s="11"/>
    </row>
    <row r="173" spans="7:7">
      <c r="G173" s="11"/>
    </row>
    <row r="174" spans="7:7">
      <c r="G174" s="11"/>
    </row>
    <row r="175" spans="7:7">
      <c r="G175" s="11"/>
    </row>
    <row r="176" spans="7:7">
      <c r="G176" s="11"/>
    </row>
    <row r="177" spans="7:7">
      <c r="G177" s="11"/>
    </row>
    <row r="178" spans="7:7">
      <c r="G178" s="11"/>
    </row>
    <row r="179" spans="7:7">
      <c r="G179" s="11"/>
    </row>
    <row r="180" spans="7:7">
      <c r="G180" s="11"/>
    </row>
    <row r="181" spans="7:7">
      <c r="G181" s="11"/>
    </row>
    <row r="182" spans="7:7">
      <c r="G182" s="11"/>
    </row>
    <row r="183" spans="7:7">
      <c r="G183" s="11"/>
    </row>
    <row r="184" spans="7:7">
      <c r="G184" s="11"/>
    </row>
    <row r="185" spans="7:7">
      <c r="G185" s="11"/>
    </row>
    <row r="186" spans="7:7">
      <c r="G186" s="11"/>
    </row>
    <row r="187" spans="7:7">
      <c r="G187" s="11"/>
    </row>
    <row r="188" spans="7:7">
      <c r="G188" s="11"/>
    </row>
    <row r="189" spans="7:7">
      <c r="G189" s="11"/>
    </row>
    <row r="190" spans="7:7">
      <c r="G190" s="11"/>
    </row>
    <row r="191" spans="7:7">
      <c r="G191" s="11"/>
    </row>
    <row r="192" spans="7:7">
      <c r="G192" s="11"/>
    </row>
    <row r="193" spans="7:7">
      <c r="G193" s="11"/>
    </row>
    <row r="194" spans="7:7">
      <c r="G194" s="11"/>
    </row>
    <row r="195" spans="7:7">
      <c r="G195" s="11"/>
    </row>
    <row r="196" spans="7:7">
      <c r="G196" s="11"/>
    </row>
    <row r="197" spans="7:7">
      <c r="G197" s="11"/>
    </row>
    <row r="198" spans="7:7">
      <c r="G198" s="11"/>
    </row>
    <row r="199" spans="7:7">
      <c r="G199" s="11"/>
    </row>
    <row r="200" spans="7:7">
      <c r="G200" s="11"/>
    </row>
    <row r="201" spans="7:7">
      <c r="G201" s="11"/>
    </row>
    <row r="202" spans="7:7">
      <c r="G202" s="11"/>
    </row>
    <row r="203" spans="7:7">
      <c r="G203" s="11"/>
    </row>
    <row r="204" spans="7:7">
      <c r="G204" s="11"/>
    </row>
    <row r="205" spans="7:7">
      <c r="G205" s="11"/>
    </row>
    <row r="206" spans="7:7">
      <c r="G206" s="11"/>
    </row>
    <row r="207" spans="7:7">
      <c r="G207" s="11"/>
    </row>
    <row r="208" spans="7:7">
      <c r="G208" s="11"/>
    </row>
    <row r="209" spans="7:7">
      <c r="G209" s="11"/>
    </row>
    <row r="210" spans="7:7">
      <c r="G210" s="11"/>
    </row>
    <row r="211" spans="7:7">
      <c r="G211" s="11"/>
    </row>
    <row r="212" spans="7:7">
      <c r="G212" s="11"/>
    </row>
    <row r="213" spans="7:7">
      <c r="G213" s="11"/>
    </row>
    <row r="214" spans="7:7">
      <c r="G214" s="11"/>
    </row>
    <row r="215" spans="7:7">
      <c r="G215" s="11"/>
    </row>
    <row r="216" spans="7:7">
      <c r="G216" s="11"/>
    </row>
    <row r="217" spans="7:7">
      <c r="G217" s="11"/>
    </row>
    <row r="218" spans="7:7">
      <c r="G218" s="11"/>
    </row>
    <row r="219" spans="7:7">
      <c r="G219" s="11"/>
    </row>
    <row r="220" spans="7:7">
      <c r="G220" s="11"/>
    </row>
    <row r="221" spans="7:7">
      <c r="G221" s="11"/>
    </row>
    <row r="222" spans="7:7">
      <c r="G222" s="11"/>
    </row>
    <row r="223" spans="7:7">
      <c r="G223" s="11"/>
    </row>
    <row r="224" spans="7:7">
      <c r="G224" s="11"/>
    </row>
    <row r="225" spans="7:7">
      <c r="G225" s="11"/>
    </row>
    <row r="226" spans="7:7">
      <c r="G226" s="11"/>
    </row>
    <row r="227" spans="7:7">
      <c r="G227" s="11"/>
    </row>
    <row r="228" spans="7:7">
      <c r="G228" s="11"/>
    </row>
    <row r="229" spans="7:7">
      <c r="G229" s="11"/>
    </row>
    <row r="230" spans="7:7">
      <c r="G230" s="11"/>
    </row>
    <row r="231" spans="7:7">
      <c r="G231" s="11"/>
    </row>
    <row r="232" spans="7:7">
      <c r="G232" s="11"/>
    </row>
    <row r="233" spans="7:7">
      <c r="G233" s="11"/>
    </row>
    <row r="234" spans="7:7">
      <c r="G234" s="11"/>
    </row>
    <row r="235" spans="7:7">
      <c r="G235" s="11"/>
    </row>
    <row r="236" spans="7:7">
      <c r="G236" s="11"/>
    </row>
    <row r="237" spans="7:7">
      <c r="G237" s="11"/>
    </row>
    <row r="238" spans="7:7">
      <c r="G238" s="11"/>
    </row>
    <row r="239" spans="7:7">
      <c r="G239" s="11"/>
    </row>
    <row r="240" spans="7:7">
      <c r="G240" s="11"/>
    </row>
    <row r="241" spans="7:7">
      <c r="G241" s="11"/>
    </row>
    <row r="242" spans="7:7">
      <c r="G242" s="11"/>
    </row>
    <row r="243" spans="7:7">
      <c r="G243" s="11"/>
    </row>
    <row r="244" spans="7:7">
      <c r="G244" s="11"/>
    </row>
    <row r="245" spans="7:7">
      <c r="G245" s="11"/>
    </row>
    <row r="246" spans="7:7">
      <c r="G246" s="11"/>
    </row>
    <row r="247" spans="7:7">
      <c r="G247" s="11"/>
    </row>
    <row r="248" spans="7:7">
      <c r="G248" s="11"/>
    </row>
    <row r="249" spans="7:7">
      <c r="G249" s="11"/>
    </row>
    <row r="250" spans="7:7">
      <c r="G250" s="11"/>
    </row>
    <row r="251" spans="7:7">
      <c r="G251" s="11"/>
    </row>
    <row r="252" spans="7:7">
      <c r="G252" s="11"/>
    </row>
    <row r="253" spans="7:7">
      <c r="G253" s="11"/>
    </row>
    <row r="254" spans="7:7">
      <c r="G254" s="11"/>
    </row>
  </sheetData>
  <sortState xmlns:xlrd2="http://schemas.microsoft.com/office/spreadsheetml/2017/richdata2" ref="I8:L254">
    <sortCondition descending="1" ref="L8:L254"/>
  </sortState>
  <mergeCells count="3">
    <mergeCell ref="B5:D5"/>
    <mergeCell ref="F5:G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EE04-2E56-7545-B145-DFD91E7B57A8}">
  <dimension ref="B1:Z266"/>
  <sheetViews>
    <sheetView showGridLines="0" workbookViewId="0">
      <selection activeCell="C2" sqref="C2"/>
    </sheetView>
  </sheetViews>
  <sheetFormatPr baseColWidth="10" defaultRowHeight="16"/>
  <cols>
    <col min="1" max="1" width="2" customWidth="1"/>
    <col min="2" max="2" width="2.33203125" customWidth="1"/>
    <col min="3" max="3" width="13.33203125" bestFit="1" customWidth="1"/>
    <col min="5" max="5" width="14.6640625" bestFit="1" customWidth="1"/>
    <col min="6" max="6" width="13.83203125" bestFit="1" customWidth="1"/>
    <col min="7" max="7" width="14.6640625" bestFit="1" customWidth="1"/>
    <col min="8" max="8" width="11.83203125" bestFit="1" customWidth="1"/>
    <col min="9" max="9" width="14.6640625" bestFit="1" customWidth="1"/>
    <col min="11" max="11" width="14.6640625" bestFit="1" customWidth="1"/>
    <col min="12" max="12" width="12.5" bestFit="1" customWidth="1"/>
    <col min="13" max="13" width="13" bestFit="1" customWidth="1"/>
    <col min="15" max="15" width="18.33203125" bestFit="1" customWidth="1"/>
  </cols>
  <sheetData>
    <row r="1" spans="2:26">
      <c r="O1" s="11"/>
    </row>
    <row r="2" spans="2:26">
      <c r="C2" s="4" t="s">
        <v>416</v>
      </c>
      <c r="L2" s="37" t="s">
        <v>126</v>
      </c>
      <c r="M2" s="37"/>
      <c r="O2" s="11"/>
    </row>
    <row r="3" spans="2:26" ht="26" customHeight="1">
      <c r="B3" s="23"/>
      <c r="C3" s="11" t="s">
        <v>193</v>
      </c>
      <c r="D3" s="12" t="s">
        <v>192</v>
      </c>
      <c r="E3" t="s">
        <v>194</v>
      </c>
      <c r="F3" t="s">
        <v>198</v>
      </c>
      <c r="G3" t="s">
        <v>194</v>
      </c>
      <c r="H3" t="s">
        <v>191</v>
      </c>
      <c r="I3" t="s">
        <v>194</v>
      </c>
      <c r="J3" t="s">
        <v>200</v>
      </c>
      <c r="K3" t="s">
        <v>194</v>
      </c>
      <c r="L3" s="25" t="s">
        <v>123</v>
      </c>
      <c r="M3" s="26" t="s">
        <v>124</v>
      </c>
      <c r="O3" s="110" t="s">
        <v>196</v>
      </c>
      <c r="P3" s="110" t="s">
        <v>195</v>
      </c>
    </row>
    <row r="4" spans="2:26">
      <c r="C4" s="11" t="s">
        <v>122</v>
      </c>
      <c r="D4" s="11">
        <v>34.159999999999997</v>
      </c>
      <c r="F4" s="11">
        <v>721.95</v>
      </c>
      <c r="H4">
        <v>198.85</v>
      </c>
      <c r="J4" s="12">
        <v>2142.5</v>
      </c>
      <c r="L4" s="24">
        <v>18314.8</v>
      </c>
      <c r="O4" s="151" t="s">
        <v>192</v>
      </c>
      <c r="P4" s="139">
        <f>SLOPE(E5:E109,M5:M109)</f>
        <v>-0.74623727601150491</v>
      </c>
    </row>
    <row r="5" spans="2:26">
      <c r="C5" s="11" t="s">
        <v>121</v>
      </c>
      <c r="D5" s="11">
        <v>32.01</v>
      </c>
      <c r="E5" s="10">
        <f>IFERROR(D5/D4-1,0)</f>
        <v>-6.2939110070257542E-2</v>
      </c>
      <c r="F5" s="11">
        <v>686.65</v>
      </c>
      <c r="G5" s="10">
        <f>F5/F4-1</f>
        <v>-4.8895352863771779E-2</v>
      </c>
      <c r="H5">
        <v>190.95</v>
      </c>
      <c r="I5" s="10">
        <f>IFERROR(H5/H4-1,0)</f>
        <v>-3.9728438521498655E-2</v>
      </c>
      <c r="J5" s="12">
        <v>2041.6</v>
      </c>
      <c r="K5" s="10">
        <f>J5/J4-1</f>
        <v>-4.7094515752625465E-2</v>
      </c>
      <c r="L5" s="24">
        <v>18203.400000000001</v>
      </c>
      <c r="M5" s="10">
        <f>L5/L4-1</f>
        <v>-6.0825125035489647E-3</v>
      </c>
      <c r="O5" s="151" t="str">
        <f>F3</f>
        <v>Medplus Health</v>
      </c>
      <c r="P5" s="139">
        <f>SLOPE(G5:G109,$M$5:$M$109)</f>
        <v>0.36767440152309483</v>
      </c>
    </row>
    <row r="6" spans="2:26">
      <c r="C6" s="11" t="s">
        <v>120</v>
      </c>
      <c r="D6" s="11">
        <v>30.71</v>
      </c>
      <c r="E6" s="10">
        <f t="shared" ref="E6:E69" si="0">IFERROR(D6/D5-1,0)</f>
        <v>-4.0612308653545703E-2</v>
      </c>
      <c r="F6" s="11">
        <v>808.95</v>
      </c>
      <c r="G6" s="10">
        <f t="shared" ref="G6:G69" si="1">F6/F5-1</f>
        <v>0.17811111920192246</v>
      </c>
      <c r="H6">
        <v>197.1</v>
      </c>
      <c r="I6" s="10">
        <f t="shared" ref="I6:I69" si="2">IFERROR(H6/H5-1,0)</f>
        <v>3.2207384131971661E-2</v>
      </c>
      <c r="J6" s="12">
        <v>2034.9</v>
      </c>
      <c r="K6" s="10">
        <f t="shared" ref="K6:K69" si="3">J6/J5-1</f>
        <v>-3.2817398119121544E-3</v>
      </c>
      <c r="L6" s="24">
        <v>18499.349999999999</v>
      </c>
      <c r="M6" s="10">
        <f t="shared" ref="M6:M69" si="4">L6/L5-1</f>
        <v>1.6257951811200044E-2</v>
      </c>
      <c r="O6" s="151" t="s">
        <v>197</v>
      </c>
      <c r="P6" s="139">
        <f>SLOPE(I5:I109,M5:M109)</f>
        <v>1.3627210549333</v>
      </c>
    </row>
    <row r="7" spans="2:26">
      <c r="C7" s="11" t="s">
        <v>119</v>
      </c>
      <c r="D7" s="11">
        <v>30.64</v>
      </c>
      <c r="E7" s="10">
        <f t="shared" si="0"/>
        <v>-2.2793878215564556E-3</v>
      </c>
      <c r="F7" s="11">
        <v>811.95</v>
      </c>
      <c r="G7" s="10">
        <f t="shared" si="1"/>
        <v>3.7085110328203275E-3</v>
      </c>
      <c r="H7">
        <v>202.55</v>
      </c>
      <c r="I7" s="10">
        <f t="shared" si="2"/>
        <v>2.7650938609842912E-2</v>
      </c>
      <c r="J7" s="12">
        <v>2022.55</v>
      </c>
      <c r="K7" s="10">
        <f t="shared" si="3"/>
        <v>-6.0690943043885115E-3</v>
      </c>
      <c r="L7" s="24">
        <v>18534.099999999999</v>
      </c>
      <c r="M7" s="10">
        <f t="shared" si="4"/>
        <v>1.8784443777755122E-3</v>
      </c>
      <c r="O7" s="151" t="str">
        <f>J3</f>
        <v>Vmart</v>
      </c>
      <c r="P7" s="139">
        <f>SLOPE(K5:K109,M5:M109)</f>
        <v>0.96053162914863011</v>
      </c>
    </row>
    <row r="8" spans="2:26">
      <c r="C8" s="11" t="s">
        <v>190</v>
      </c>
      <c r="D8" s="11">
        <v>0</v>
      </c>
      <c r="E8" s="10">
        <f t="shared" si="0"/>
        <v>-1</v>
      </c>
      <c r="F8" s="11">
        <v>778.1</v>
      </c>
      <c r="G8" s="10">
        <f t="shared" si="1"/>
        <v>-4.1689759221626987E-2</v>
      </c>
      <c r="H8">
        <v>199.25</v>
      </c>
      <c r="I8" s="10">
        <f t="shared" si="2"/>
        <v>-1.6292273512713007E-2</v>
      </c>
      <c r="J8" s="12">
        <v>1985.45</v>
      </c>
      <c r="K8" s="10">
        <f t="shared" si="3"/>
        <v>-1.8343180638303092E-2</v>
      </c>
      <c r="L8" s="24">
        <v>18563.400000000001</v>
      </c>
      <c r="M8" s="10">
        <f t="shared" si="4"/>
        <v>1.5808698561032841E-3</v>
      </c>
      <c r="O8" s="11"/>
      <c r="Q8" s="11"/>
      <c r="S8" s="11"/>
    </row>
    <row r="9" spans="2:26">
      <c r="C9" s="11" t="s">
        <v>118</v>
      </c>
      <c r="D9" s="11">
        <v>32.380000000000003</v>
      </c>
      <c r="E9" s="10">
        <f t="shared" si="0"/>
        <v>0</v>
      </c>
      <c r="F9" s="11">
        <v>798.6</v>
      </c>
      <c r="G9" s="10">
        <f t="shared" si="1"/>
        <v>2.634622799126074E-2</v>
      </c>
      <c r="H9">
        <v>208.95</v>
      </c>
      <c r="I9" s="10">
        <f t="shared" si="2"/>
        <v>4.8682559598494324E-2</v>
      </c>
      <c r="J9" s="12">
        <v>2138.1999999999998</v>
      </c>
      <c r="K9" s="10">
        <f t="shared" si="3"/>
        <v>7.6934699942078577E-2</v>
      </c>
      <c r="L9" s="24">
        <v>18826</v>
      </c>
      <c r="M9" s="10">
        <f t="shared" si="4"/>
        <v>1.4146115474535925E-2</v>
      </c>
      <c r="O9" s="11"/>
      <c r="Q9" s="12"/>
      <c r="S9" s="12"/>
    </row>
    <row r="10" spans="2:26">
      <c r="C10" s="11" t="s">
        <v>117</v>
      </c>
      <c r="D10" s="11">
        <v>33.25</v>
      </c>
      <c r="E10" s="10">
        <f t="shared" si="0"/>
        <v>2.6868437306979631E-2</v>
      </c>
      <c r="F10" s="11">
        <v>783.25</v>
      </c>
      <c r="G10" s="10">
        <f t="shared" si="1"/>
        <v>-1.9221136989732046E-2</v>
      </c>
      <c r="H10">
        <v>203.95</v>
      </c>
      <c r="I10" s="10">
        <f t="shared" si="2"/>
        <v>-2.3929169657812888E-2</v>
      </c>
      <c r="J10" s="12">
        <v>2098.65</v>
      </c>
      <c r="K10" s="10">
        <f t="shared" si="3"/>
        <v>-1.8496866523243671E-2</v>
      </c>
      <c r="L10" s="24">
        <v>18665.5</v>
      </c>
      <c r="M10" s="10">
        <f t="shared" si="4"/>
        <v>-8.5254435355359703E-3</v>
      </c>
      <c r="O10" s="11"/>
      <c r="Q10" s="12"/>
      <c r="S10" s="12"/>
    </row>
    <row r="11" spans="2:26">
      <c r="C11" s="11" t="s">
        <v>116</v>
      </c>
      <c r="D11" s="11">
        <v>32.18</v>
      </c>
      <c r="E11" s="10">
        <f t="shared" si="0"/>
        <v>-3.2180451127819532E-2</v>
      </c>
      <c r="F11" s="11">
        <v>767.4</v>
      </c>
      <c r="G11" s="10">
        <f t="shared" si="1"/>
        <v>-2.0236195339929819E-2</v>
      </c>
      <c r="H11">
        <v>212.75</v>
      </c>
      <c r="I11" s="10">
        <f t="shared" si="2"/>
        <v>4.3147830350576122E-2</v>
      </c>
      <c r="J11" s="12">
        <v>2211.85</v>
      </c>
      <c r="K11" s="10">
        <f t="shared" si="3"/>
        <v>5.3939437257284339E-2</v>
      </c>
      <c r="L11" s="24">
        <v>19189.05</v>
      </c>
      <c r="M11" s="10">
        <f t="shared" si="4"/>
        <v>2.8049074495727355E-2</v>
      </c>
      <c r="O11" s="11"/>
    </row>
    <row r="12" spans="2:26" ht="18">
      <c r="C12" s="11" t="s">
        <v>115</v>
      </c>
      <c r="D12" s="11">
        <v>31.69</v>
      </c>
      <c r="E12" s="10">
        <f t="shared" si="0"/>
        <v>-1.5226848974518314E-2</v>
      </c>
      <c r="F12" s="11">
        <v>821.9</v>
      </c>
      <c r="G12" s="10">
        <f t="shared" si="1"/>
        <v>7.1019025280166792E-2</v>
      </c>
      <c r="H12">
        <v>213.55</v>
      </c>
      <c r="I12" s="10">
        <f t="shared" si="2"/>
        <v>3.7602820211517507E-3</v>
      </c>
      <c r="J12" s="12">
        <v>2179.1999999999998</v>
      </c>
      <c r="K12" s="10">
        <f t="shared" si="3"/>
        <v>-1.47613988290346E-2</v>
      </c>
      <c r="L12" s="24">
        <v>19331.8</v>
      </c>
      <c r="M12" s="10">
        <f t="shared" si="4"/>
        <v>7.4391384669902916E-3</v>
      </c>
      <c r="O12" s="11"/>
      <c r="Q12" s="63"/>
      <c r="T12" s="63"/>
    </row>
    <row r="13" spans="2:26" ht="18">
      <c r="C13" s="11" t="s">
        <v>114</v>
      </c>
      <c r="D13" s="11">
        <v>29.13</v>
      </c>
      <c r="E13" s="10">
        <f t="shared" si="0"/>
        <v>-8.0782581255916752E-2</v>
      </c>
      <c r="F13" s="11">
        <v>870.45</v>
      </c>
      <c r="G13" s="10">
        <f t="shared" si="1"/>
        <v>5.9070446526341414E-2</v>
      </c>
      <c r="H13">
        <v>215.15</v>
      </c>
      <c r="I13" s="10">
        <f t="shared" si="2"/>
        <v>7.4923905408568192E-3</v>
      </c>
      <c r="J13" s="12">
        <v>2222.8000000000002</v>
      </c>
      <c r="K13" s="10">
        <f t="shared" si="3"/>
        <v>2.0007342143906204E-2</v>
      </c>
      <c r="L13" s="24">
        <v>19564.5</v>
      </c>
      <c r="M13" s="10">
        <f t="shared" si="4"/>
        <v>1.2037161567986399E-2</v>
      </c>
      <c r="O13" s="11"/>
      <c r="Q13" s="63"/>
      <c r="T13" s="63"/>
    </row>
    <row r="14" spans="2:26" ht="18">
      <c r="C14" s="11" t="s">
        <v>113</v>
      </c>
      <c r="D14" s="11">
        <v>30.59</v>
      </c>
      <c r="E14" s="10">
        <f t="shared" si="0"/>
        <v>5.0120151047030603E-2</v>
      </c>
      <c r="F14" s="11">
        <v>941.8</v>
      </c>
      <c r="G14" s="10">
        <f t="shared" si="1"/>
        <v>8.1969096444367784E-2</v>
      </c>
      <c r="H14">
        <v>213.2</v>
      </c>
      <c r="I14" s="10">
        <f t="shared" si="2"/>
        <v>-9.0634441087613649E-3</v>
      </c>
      <c r="J14" s="12">
        <v>2225.15</v>
      </c>
      <c r="K14" s="10">
        <f t="shared" si="3"/>
        <v>1.0572251214684414E-3</v>
      </c>
      <c r="L14" s="24">
        <v>19745</v>
      </c>
      <c r="M14" s="10">
        <f t="shared" si="4"/>
        <v>9.225893838329613E-3</v>
      </c>
      <c r="O14" s="11"/>
      <c r="Q14" s="63"/>
      <c r="T14" s="63"/>
    </row>
    <row r="15" spans="2:26" ht="18">
      <c r="C15" s="11" t="s">
        <v>112</v>
      </c>
      <c r="D15" s="11">
        <v>32.32</v>
      </c>
      <c r="E15" s="10">
        <f t="shared" si="0"/>
        <v>5.6554429552141183E-2</v>
      </c>
      <c r="F15" s="11">
        <v>953.6</v>
      </c>
      <c r="G15" s="10">
        <f t="shared" si="1"/>
        <v>1.2529199405393987E-2</v>
      </c>
      <c r="H15">
        <v>222.95</v>
      </c>
      <c r="I15" s="10">
        <f t="shared" si="2"/>
        <v>4.57317073170731E-2</v>
      </c>
      <c r="J15" s="12">
        <v>2245.5500000000002</v>
      </c>
      <c r="K15" s="10">
        <f t="shared" si="3"/>
        <v>9.1679212637350016E-3</v>
      </c>
      <c r="L15" s="24">
        <v>19646.05</v>
      </c>
      <c r="M15" s="10">
        <f t="shared" si="4"/>
        <v>-5.0113952899468739E-3</v>
      </c>
      <c r="O15" s="11"/>
      <c r="Q15" s="63"/>
      <c r="T15" s="63"/>
    </row>
    <row r="16" spans="2:26">
      <c r="C16" s="11" t="s">
        <v>111</v>
      </c>
      <c r="D16" s="11">
        <v>31.35</v>
      </c>
      <c r="E16" s="10">
        <f t="shared" si="0"/>
        <v>-3.0012376237623761E-2</v>
      </c>
      <c r="F16" s="11">
        <v>940.85</v>
      </c>
      <c r="G16" s="10">
        <f t="shared" si="1"/>
        <v>-1.3370385906040227E-2</v>
      </c>
      <c r="H16">
        <v>210.25</v>
      </c>
      <c r="I16" s="10">
        <f t="shared" si="2"/>
        <v>-5.6963444718546752E-2</v>
      </c>
      <c r="J16" s="12">
        <v>2291.85</v>
      </c>
      <c r="K16" s="10">
        <f t="shared" si="3"/>
        <v>2.0618556701030855E-2</v>
      </c>
      <c r="L16" s="24">
        <v>19517</v>
      </c>
      <c r="M16" s="10">
        <f t="shared" si="4"/>
        <v>-6.568750461288575E-3</v>
      </c>
      <c r="O16" s="11"/>
      <c r="Q16" s="11"/>
      <c r="S16" s="11"/>
      <c r="T16" s="11"/>
      <c r="V16" s="11"/>
      <c r="W16" s="11"/>
      <c r="X16" s="11"/>
      <c r="Z16" s="11"/>
    </row>
    <row r="17" spans="3:26">
      <c r="C17" s="11" t="s">
        <v>110</v>
      </c>
      <c r="D17" s="11">
        <v>30.35</v>
      </c>
      <c r="E17" s="10">
        <f t="shared" si="0"/>
        <v>-3.1897926634768758E-2</v>
      </c>
      <c r="F17" s="11">
        <v>869.95</v>
      </c>
      <c r="G17" s="10">
        <f t="shared" si="1"/>
        <v>-7.5357389594515545E-2</v>
      </c>
      <c r="H17">
        <v>211.1</v>
      </c>
      <c r="I17" s="10">
        <f t="shared" si="2"/>
        <v>4.0428061831152551E-3</v>
      </c>
      <c r="J17" s="12">
        <v>2338.5</v>
      </c>
      <c r="K17" s="10">
        <f t="shared" si="3"/>
        <v>2.0354735257543055E-2</v>
      </c>
      <c r="L17" s="24">
        <v>19428.3</v>
      </c>
      <c r="M17" s="10">
        <f t="shared" si="4"/>
        <v>-4.5447558538710409E-3</v>
      </c>
      <c r="O17" s="11"/>
      <c r="Q17" s="11"/>
      <c r="S17" s="11"/>
      <c r="T17" s="11"/>
      <c r="V17" s="12"/>
      <c r="W17" s="12"/>
      <c r="X17" s="12"/>
      <c r="Z17" s="13"/>
    </row>
    <row r="18" spans="3:26">
      <c r="C18" s="11" t="s">
        <v>109</v>
      </c>
      <c r="D18" s="11">
        <v>28.6</v>
      </c>
      <c r="E18" s="10">
        <f t="shared" si="0"/>
        <v>-5.766062602965405E-2</v>
      </c>
      <c r="F18" s="11">
        <v>882.35</v>
      </c>
      <c r="G18" s="10">
        <f t="shared" si="1"/>
        <v>1.4253692740961998E-2</v>
      </c>
      <c r="H18">
        <v>214.85</v>
      </c>
      <c r="I18" s="10">
        <f t="shared" si="2"/>
        <v>1.7764092846991986E-2</v>
      </c>
      <c r="J18" s="12">
        <v>2198.9499999999998</v>
      </c>
      <c r="K18" s="10">
        <f t="shared" si="3"/>
        <v>-5.9675005345306897E-2</v>
      </c>
      <c r="L18" s="24">
        <v>19310.150000000001</v>
      </c>
      <c r="M18" s="10">
        <f t="shared" si="4"/>
        <v>-6.0813349598265454E-3</v>
      </c>
      <c r="O18" s="11"/>
      <c r="Q18" s="11"/>
      <c r="S18" s="11"/>
      <c r="T18" s="11"/>
      <c r="V18" s="12"/>
      <c r="W18" s="12"/>
      <c r="X18" s="12"/>
      <c r="Z18" s="13"/>
    </row>
    <row r="19" spans="3:26">
      <c r="C19" s="11" t="s">
        <v>108</v>
      </c>
      <c r="D19" s="11">
        <v>28.18</v>
      </c>
      <c r="E19" s="10">
        <f t="shared" si="0"/>
        <v>-1.4685314685314754E-2</v>
      </c>
      <c r="F19" s="11">
        <v>893.7</v>
      </c>
      <c r="G19" s="10">
        <f t="shared" si="1"/>
        <v>1.2863376211253996E-2</v>
      </c>
      <c r="H19">
        <v>213.7</v>
      </c>
      <c r="I19" s="10">
        <f t="shared" si="2"/>
        <v>-5.3525715615545533E-3</v>
      </c>
      <c r="J19" s="12">
        <v>2176.75</v>
      </c>
      <c r="K19" s="10">
        <f t="shared" si="3"/>
        <v>-1.0095727506309715E-2</v>
      </c>
      <c r="L19" s="24">
        <v>19265.8</v>
      </c>
      <c r="M19" s="10">
        <f t="shared" si="4"/>
        <v>-2.2967196008317758E-3</v>
      </c>
      <c r="O19" s="11"/>
      <c r="Q19" s="11"/>
      <c r="S19" s="11"/>
      <c r="T19" s="11"/>
      <c r="V19" s="12"/>
      <c r="W19" s="12"/>
      <c r="X19" s="12"/>
      <c r="Z19" s="13"/>
    </row>
    <row r="20" spans="3:26">
      <c r="C20" s="11" t="s">
        <v>107</v>
      </c>
      <c r="D20" s="11">
        <v>28.21</v>
      </c>
      <c r="E20" s="10">
        <f t="shared" si="0"/>
        <v>1.0645848119232859E-3</v>
      </c>
      <c r="F20" s="11">
        <v>832.15</v>
      </c>
      <c r="G20" s="10">
        <f t="shared" si="1"/>
        <v>-6.8870985789414862E-2</v>
      </c>
      <c r="H20">
        <v>218.2</v>
      </c>
      <c r="I20" s="10">
        <f t="shared" si="2"/>
        <v>2.1057557323350462E-2</v>
      </c>
      <c r="J20" s="12">
        <v>2254.6999999999998</v>
      </c>
      <c r="K20" s="10">
        <f t="shared" si="3"/>
        <v>3.5810267600780987E-2</v>
      </c>
      <c r="L20" s="24">
        <v>19435.3</v>
      </c>
      <c r="M20" s="10">
        <f t="shared" si="4"/>
        <v>8.7979736112697715E-3</v>
      </c>
      <c r="O20" s="11"/>
      <c r="Q20" s="11"/>
      <c r="S20" s="11"/>
      <c r="T20" s="11"/>
      <c r="V20" s="12"/>
      <c r="W20" s="12"/>
      <c r="X20" s="12"/>
      <c r="Z20" s="13"/>
    </row>
    <row r="21" spans="3:26">
      <c r="C21" s="11" t="s">
        <v>106</v>
      </c>
      <c r="D21" s="11">
        <v>28.9</v>
      </c>
      <c r="E21" s="10">
        <f t="shared" si="0"/>
        <v>2.4459411556185584E-2</v>
      </c>
      <c r="F21" s="11">
        <v>807.95</v>
      </c>
      <c r="G21" s="10">
        <f t="shared" si="1"/>
        <v>-2.9081295439524091E-2</v>
      </c>
      <c r="H21">
        <v>229.05</v>
      </c>
      <c r="I21" s="10">
        <f t="shared" si="2"/>
        <v>4.9725022914757222E-2</v>
      </c>
      <c r="J21" s="12">
        <v>2226.35</v>
      </c>
      <c r="K21" s="10">
        <f t="shared" si="3"/>
        <v>-1.2573734864948727E-2</v>
      </c>
      <c r="L21" s="24">
        <v>19819.95</v>
      </c>
      <c r="M21" s="10">
        <f t="shared" si="4"/>
        <v>1.9791307569216876E-2</v>
      </c>
      <c r="O21" s="11"/>
      <c r="Q21" s="11"/>
      <c r="S21" s="11"/>
      <c r="T21" s="11"/>
      <c r="V21" s="12"/>
      <c r="W21" s="12"/>
      <c r="X21" s="12"/>
      <c r="Z21" s="13"/>
    </row>
    <row r="22" spans="3:26">
      <c r="C22" s="11" t="s">
        <v>105</v>
      </c>
      <c r="D22" s="11">
        <v>29.27</v>
      </c>
      <c r="E22" s="10">
        <f t="shared" si="0"/>
        <v>1.2802768166090051E-2</v>
      </c>
      <c r="F22" s="11">
        <v>806.9</v>
      </c>
      <c r="G22" s="10">
        <f t="shared" si="1"/>
        <v>-1.2995853703818838E-3</v>
      </c>
      <c r="H22">
        <v>225.25</v>
      </c>
      <c r="I22" s="10">
        <f t="shared" si="2"/>
        <v>-1.6590264134468513E-2</v>
      </c>
      <c r="J22" s="12">
        <v>2119.4</v>
      </c>
      <c r="K22" s="10">
        <f t="shared" si="3"/>
        <v>-4.8038268915489346E-2</v>
      </c>
      <c r="L22" s="24">
        <v>20192.349999999999</v>
      </c>
      <c r="M22" s="10">
        <f t="shared" si="4"/>
        <v>1.8789149316723597E-2</v>
      </c>
      <c r="O22" s="11"/>
      <c r="Q22" s="11"/>
      <c r="S22" s="11"/>
      <c r="T22" s="11"/>
      <c r="V22" s="12"/>
      <c r="W22" s="12"/>
      <c r="X22" s="12"/>
      <c r="Z22" s="13"/>
    </row>
    <row r="23" spans="3:26">
      <c r="C23" s="11" t="s">
        <v>104</v>
      </c>
      <c r="D23" s="11">
        <v>28.8</v>
      </c>
      <c r="E23" s="10">
        <f t="shared" si="0"/>
        <v>-1.6057396651861899E-2</v>
      </c>
      <c r="F23" s="11">
        <v>782.65</v>
      </c>
      <c r="G23" s="10">
        <f t="shared" si="1"/>
        <v>-3.0053290370553931E-2</v>
      </c>
      <c r="H23">
        <v>214.75</v>
      </c>
      <c r="I23" s="10">
        <f t="shared" si="2"/>
        <v>-4.6614872364039939E-2</v>
      </c>
      <c r="J23" s="12">
        <v>2063.3000000000002</v>
      </c>
      <c r="K23" s="10">
        <f t="shared" si="3"/>
        <v>-2.6469755591205013E-2</v>
      </c>
      <c r="L23" s="24">
        <v>19674.25</v>
      </c>
      <c r="M23" s="10">
        <f t="shared" si="4"/>
        <v>-2.5658231954180599E-2</v>
      </c>
      <c r="O23" s="11"/>
      <c r="Q23" s="11"/>
      <c r="S23" s="11"/>
      <c r="T23" s="11"/>
      <c r="V23" s="12"/>
      <c r="W23" s="12"/>
      <c r="X23" s="12"/>
      <c r="Z23" s="13"/>
    </row>
    <row r="24" spans="3:26">
      <c r="C24" s="11" t="s">
        <v>103</v>
      </c>
      <c r="D24" s="11">
        <v>27.67</v>
      </c>
      <c r="E24" s="10">
        <f t="shared" si="0"/>
        <v>-3.9236111111111027E-2</v>
      </c>
      <c r="F24" s="11">
        <v>768.85</v>
      </c>
      <c r="G24" s="10">
        <f t="shared" si="1"/>
        <v>-1.7632402734300112E-2</v>
      </c>
      <c r="H24">
        <v>214.6</v>
      </c>
      <c r="I24" s="10">
        <f t="shared" si="2"/>
        <v>-6.9848661233995468E-4</v>
      </c>
      <c r="J24" s="12">
        <v>1972.3</v>
      </c>
      <c r="K24" s="10">
        <f t="shared" si="3"/>
        <v>-4.4104105074395439E-2</v>
      </c>
      <c r="L24" s="24">
        <v>19638.3</v>
      </c>
      <c r="M24" s="10">
        <f t="shared" si="4"/>
        <v>-1.8272615220402688E-3</v>
      </c>
      <c r="O24" s="11"/>
      <c r="Q24" s="11"/>
      <c r="S24" s="11"/>
      <c r="T24" s="11"/>
      <c r="V24" s="12"/>
      <c r="W24" s="12"/>
      <c r="X24" s="12"/>
      <c r="Z24" s="13"/>
    </row>
    <row r="25" spans="3:26">
      <c r="C25" s="11" t="s">
        <v>102</v>
      </c>
      <c r="D25" s="11">
        <v>26.81</v>
      </c>
      <c r="E25" s="10">
        <f t="shared" si="0"/>
        <v>-3.1080592699674892E-2</v>
      </c>
      <c r="F25" s="11">
        <v>759.75</v>
      </c>
      <c r="G25" s="10">
        <f t="shared" si="1"/>
        <v>-1.1835858750081307E-2</v>
      </c>
      <c r="H25">
        <v>219.1</v>
      </c>
      <c r="I25" s="10">
        <f t="shared" si="2"/>
        <v>2.0969245107176127E-2</v>
      </c>
      <c r="J25" s="12">
        <v>1997.75</v>
      </c>
      <c r="K25" s="10">
        <f t="shared" si="3"/>
        <v>1.2903716473153137E-2</v>
      </c>
      <c r="L25" s="24">
        <v>19653.5</v>
      </c>
      <c r="M25" s="10">
        <f t="shared" si="4"/>
        <v>7.7399774929598486E-4</v>
      </c>
      <c r="O25" s="11"/>
      <c r="Q25" s="11"/>
      <c r="S25" s="11"/>
      <c r="T25" s="11"/>
      <c r="V25" s="12"/>
      <c r="W25" s="12"/>
      <c r="X25" s="12"/>
      <c r="Z25" s="13"/>
    </row>
    <row r="26" spans="3:26">
      <c r="C26" s="11" t="s">
        <v>101</v>
      </c>
      <c r="D26" s="11">
        <v>26.51</v>
      </c>
      <c r="E26" s="10">
        <f t="shared" si="0"/>
        <v>-1.118985453189103E-2</v>
      </c>
      <c r="F26" s="11">
        <v>760.8</v>
      </c>
      <c r="G26" s="10">
        <f t="shared" si="1"/>
        <v>1.3820335636722803E-3</v>
      </c>
      <c r="H26">
        <v>222.4</v>
      </c>
      <c r="I26" s="10">
        <f t="shared" si="2"/>
        <v>1.5061615700593389E-2</v>
      </c>
      <c r="J26" s="12">
        <v>1942.4</v>
      </c>
      <c r="K26" s="10">
        <f t="shared" si="3"/>
        <v>-2.7706169440620654E-2</v>
      </c>
      <c r="L26" s="24">
        <v>19751.05</v>
      </c>
      <c r="M26" s="10">
        <f t="shared" si="4"/>
        <v>4.9634925076957881E-3</v>
      </c>
      <c r="O26" s="11"/>
      <c r="Q26" s="11"/>
      <c r="S26" s="11"/>
      <c r="T26" s="11"/>
      <c r="V26" s="12"/>
      <c r="W26" s="12"/>
      <c r="X26" s="12"/>
      <c r="Z26" s="13"/>
    </row>
    <row r="27" spans="3:26">
      <c r="C27" s="11" t="s">
        <v>100</v>
      </c>
      <c r="D27" s="11">
        <v>28.07</v>
      </c>
      <c r="E27" s="10">
        <f t="shared" si="0"/>
        <v>5.8845718596755914E-2</v>
      </c>
      <c r="F27" s="11">
        <v>784.1</v>
      </c>
      <c r="G27" s="10">
        <f t="shared" si="1"/>
        <v>3.0625657202944412E-2</v>
      </c>
      <c r="H27">
        <v>229.3</v>
      </c>
      <c r="I27" s="10">
        <f t="shared" si="2"/>
        <v>3.1025179856115193E-2</v>
      </c>
      <c r="J27" s="12">
        <v>1885.55</v>
      </c>
      <c r="K27" s="10">
        <f t="shared" si="3"/>
        <v>-2.9267915980230708E-2</v>
      </c>
      <c r="L27" s="24">
        <v>19542.650000000001</v>
      </c>
      <c r="M27" s="10">
        <f t="shared" si="4"/>
        <v>-1.0551337776978809E-2</v>
      </c>
      <c r="O27" s="11"/>
      <c r="Q27" s="11"/>
      <c r="S27" s="11"/>
      <c r="T27" s="11"/>
      <c r="V27" s="12"/>
      <c r="W27" s="12"/>
      <c r="X27" s="12"/>
      <c r="Z27" s="13"/>
    </row>
    <row r="28" spans="3:26">
      <c r="C28" s="11" t="s">
        <v>99</v>
      </c>
      <c r="D28" s="11">
        <v>28.6</v>
      </c>
      <c r="E28" s="10">
        <f t="shared" si="0"/>
        <v>1.8881368008550004E-2</v>
      </c>
      <c r="F28" s="11">
        <v>812.8</v>
      </c>
      <c r="G28" s="10">
        <f t="shared" si="1"/>
        <v>3.6602474174212363E-2</v>
      </c>
      <c r="H28">
        <v>215.75</v>
      </c>
      <c r="I28" s="10">
        <f t="shared" si="2"/>
        <v>-5.9092891408635051E-2</v>
      </c>
      <c r="J28" s="12">
        <v>1745.2</v>
      </c>
      <c r="K28" s="10">
        <f t="shared" si="3"/>
        <v>-7.4434515128211864E-2</v>
      </c>
      <c r="L28" s="24">
        <v>19047.25</v>
      </c>
      <c r="M28" s="10">
        <f t="shared" si="4"/>
        <v>-2.5349683896503383E-2</v>
      </c>
      <c r="O28" s="11"/>
      <c r="Q28" s="11"/>
      <c r="S28" s="11"/>
      <c r="T28" s="11"/>
      <c r="V28" s="12"/>
      <c r="W28" s="12"/>
      <c r="X28" s="12"/>
      <c r="Z28" s="13"/>
    </row>
    <row r="29" spans="3:26">
      <c r="C29" s="11" t="s">
        <v>98</v>
      </c>
      <c r="D29" s="11">
        <v>30.29</v>
      </c>
      <c r="E29" s="10">
        <f t="shared" si="0"/>
        <v>5.9090909090909083E-2</v>
      </c>
      <c r="F29" s="11">
        <v>789.7</v>
      </c>
      <c r="G29" s="10">
        <f t="shared" si="1"/>
        <v>-2.8420275590551047E-2</v>
      </c>
      <c r="H29">
        <v>215.6</v>
      </c>
      <c r="I29" s="10">
        <f t="shared" si="2"/>
        <v>-6.952491309386577E-4</v>
      </c>
      <c r="J29" s="12">
        <v>1709.25</v>
      </c>
      <c r="K29" s="10">
        <f t="shared" si="3"/>
        <v>-2.0599358239743348E-2</v>
      </c>
      <c r="L29" s="24">
        <v>19230.599999999999</v>
      </c>
      <c r="M29" s="10">
        <f t="shared" si="4"/>
        <v>9.6260615049414966E-3</v>
      </c>
      <c r="O29" s="11"/>
      <c r="Q29" s="11"/>
      <c r="S29" s="11"/>
      <c r="T29" s="11"/>
      <c r="V29" s="12"/>
      <c r="W29" s="12"/>
      <c r="X29" s="12"/>
      <c r="Z29" s="13"/>
    </row>
    <row r="30" spans="3:26">
      <c r="C30" s="11" t="s">
        <v>97</v>
      </c>
      <c r="D30" s="11">
        <v>31.74</v>
      </c>
      <c r="E30" s="10">
        <f t="shared" si="0"/>
        <v>4.7870584351271006E-2</v>
      </c>
      <c r="F30" s="11">
        <v>812.35</v>
      </c>
      <c r="G30" s="10">
        <f t="shared" si="1"/>
        <v>2.86817778903381E-2</v>
      </c>
      <c r="H30">
        <v>218.35</v>
      </c>
      <c r="I30" s="10">
        <f t="shared" si="2"/>
        <v>1.2755102040816313E-2</v>
      </c>
      <c r="J30" s="12">
        <v>1682</v>
      </c>
      <c r="K30" s="10">
        <f t="shared" si="3"/>
        <v>-1.5942664911510862E-2</v>
      </c>
      <c r="L30" s="24">
        <v>19425.349999999999</v>
      </c>
      <c r="M30" s="10">
        <f t="shared" si="4"/>
        <v>1.0127089118384225E-2</v>
      </c>
      <c r="O30" s="11"/>
      <c r="Q30" s="11"/>
      <c r="S30" s="11"/>
      <c r="T30" s="11"/>
      <c r="V30" s="12"/>
      <c r="W30" s="12"/>
      <c r="X30" s="12"/>
      <c r="Z30" s="13"/>
    </row>
    <row r="31" spans="3:26">
      <c r="C31" s="11" t="s">
        <v>96</v>
      </c>
      <c r="D31" s="11">
        <v>30.84</v>
      </c>
      <c r="E31" s="10">
        <f t="shared" si="0"/>
        <v>-2.8355387523629427E-2</v>
      </c>
      <c r="F31" s="11">
        <v>819.6</v>
      </c>
      <c r="G31" s="10">
        <f t="shared" si="1"/>
        <v>8.9247245645349693E-3</v>
      </c>
      <c r="H31">
        <v>215.5</v>
      </c>
      <c r="I31" s="10">
        <f t="shared" si="2"/>
        <v>-1.3052438745133954E-2</v>
      </c>
      <c r="J31" s="12">
        <v>1695.75</v>
      </c>
      <c r="K31" s="10">
        <f t="shared" si="3"/>
        <v>8.1747919143875247E-3</v>
      </c>
      <c r="L31" s="24">
        <v>19731.8</v>
      </c>
      <c r="M31" s="10">
        <f t="shared" si="4"/>
        <v>1.5775777527818002E-2</v>
      </c>
      <c r="O31" s="11"/>
      <c r="Q31" s="11"/>
      <c r="S31" s="11"/>
      <c r="T31" s="11"/>
      <c r="V31" s="12"/>
      <c r="W31" s="12"/>
      <c r="X31" s="12"/>
      <c r="Z31" s="13"/>
    </row>
    <row r="32" spans="3:26">
      <c r="C32" s="11" t="s">
        <v>95</v>
      </c>
      <c r="D32" s="11">
        <v>32.53</v>
      </c>
      <c r="E32" s="10">
        <f t="shared" si="0"/>
        <v>5.4798962386511052E-2</v>
      </c>
      <c r="F32" s="11">
        <v>808.65</v>
      </c>
      <c r="G32" s="10">
        <f t="shared" si="1"/>
        <v>-1.3360175695461218E-2</v>
      </c>
      <c r="H32">
        <v>228.25</v>
      </c>
      <c r="I32" s="10">
        <f t="shared" si="2"/>
        <v>5.9164733178654227E-2</v>
      </c>
      <c r="J32" s="12">
        <v>1849.65</v>
      </c>
      <c r="K32" s="10">
        <f t="shared" si="3"/>
        <v>9.0756302521008525E-2</v>
      </c>
      <c r="L32" s="24">
        <v>19794.7</v>
      </c>
      <c r="M32" s="10">
        <f t="shared" si="4"/>
        <v>3.1877476966115648E-3</v>
      </c>
      <c r="O32" s="11"/>
      <c r="Q32" s="11"/>
      <c r="S32" s="11"/>
      <c r="T32" s="11"/>
      <c r="V32" s="12"/>
      <c r="W32" s="12"/>
      <c r="X32" s="12"/>
      <c r="Z32" s="13"/>
    </row>
    <row r="33" spans="3:26">
      <c r="C33" s="11" t="s">
        <v>94</v>
      </c>
      <c r="D33" s="11">
        <v>32.119999999999997</v>
      </c>
      <c r="E33" s="10">
        <f t="shared" si="0"/>
        <v>-1.2603750384260759E-2</v>
      </c>
      <c r="F33" s="11">
        <v>793.3</v>
      </c>
      <c r="G33" s="10">
        <f t="shared" si="1"/>
        <v>-1.8982254374574903E-2</v>
      </c>
      <c r="H33">
        <v>231.35</v>
      </c>
      <c r="I33" s="10">
        <f t="shared" si="2"/>
        <v>1.3581599123767774E-2</v>
      </c>
      <c r="J33" s="12">
        <v>1781.15</v>
      </c>
      <c r="K33" s="10">
        <f t="shared" si="3"/>
        <v>-3.7034033465790817E-2</v>
      </c>
      <c r="L33" s="24">
        <v>20267.900000000001</v>
      </c>
      <c r="M33" s="10">
        <f t="shared" si="4"/>
        <v>2.3905388816198414E-2</v>
      </c>
      <c r="O33" s="11"/>
      <c r="Q33" s="11"/>
      <c r="S33" s="11"/>
      <c r="T33" s="11"/>
      <c r="V33" s="12"/>
      <c r="W33" s="12"/>
      <c r="X33" s="12"/>
      <c r="Z33" s="13"/>
    </row>
    <row r="34" spans="3:26">
      <c r="C34" s="11" t="s">
        <v>93</v>
      </c>
      <c r="D34" s="11">
        <v>31.62</v>
      </c>
      <c r="E34" s="10">
        <f t="shared" si="0"/>
        <v>-1.5566625155666092E-2</v>
      </c>
      <c r="F34" s="11">
        <v>727.55</v>
      </c>
      <c r="G34" s="10">
        <f t="shared" si="1"/>
        <v>-8.2881633682087452E-2</v>
      </c>
      <c r="H34">
        <v>233.8</v>
      </c>
      <c r="I34" s="10">
        <f t="shared" si="2"/>
        <v>1.0590015128593144E-2</v>
      </c>
      <c r="J34" s="12">
        <v>1780</v>
      </c>
      <c r="K34" s="10">
        <f t="shared" si="3"/>
        <v>-6.4565028212115738E-4</v>
      </c>
      <c r="L34" s="24">
        <v>20969.400000000001</v>
      </c>
      <c r="M34" s="10">
        <f t="shared" si="4"/>
        <v>3.4611380557433069E-2</v>
      </c>
      <c r="O34" s="11"/>
      <c r="Q34" s="11"/>
      <c r="S34" s="11"/>
      <c r="T34" s="11"/>
      <c r="V34" s="12"/>
      <c r="W34" s="12"/>
      <c r="X34" s="12"/>
      <c r="Z34" s="13"/>
    </row>
    <row r="35" spans="3:26">
      <c r="C35" s="11" t="s">
        <v>92</v>
      </c>
      <c r="D35" s="11">
        <v>32.299999999999997</v>
      </c>
      <c r="E35" s="10">
        <f t="shared" si="0"/>
        <v>2.1505376344086002E-2</v>
      </c>
      <c r="F35" s="11">
        <v>752.2</v>
      </c>
      <c r="G35" s="10">
        <f t="shared" si="1"/>
        <v>3.3880832932444704E-2</v>
      </c>
      <c r="H35">
        <v>232.6</v>
      </c>
      <c r="I35" s="10">
        <f t="shared" si="2"/>
        <v>-5.1325919589393365E-3</v>
      </c>
      <c r="J35" s="12">
        <v>1832.55</v>
      </c>
      <c r="K35" s="10">
        <f t="shared" si="3"/>
        <v>2.9522471910112369E-2</v>
      </c>
      <c r="L35" s="24">
        <v>21456.65</v>
      </c>
      <c r="M35" s="10">
        <f t="shared" si="4"/>
        <v>2.3236239472755438E-2</v>
      </c>
      <c r="O35" s="11"/>
      <c r="Q35" s="11"/>
      <c r="S35" s="11"/>
      <c r="T35" s="11"/>
      <c r="V35" s="12"/>
      <c r="W35" s="12"/>
      <c r="X35" s="12"/>
      <c r="Z35" s="13"/>
    </row>
    <row r="36" spans="3:26">
      <c r="C36" s="11" t="s">
        <v>189</v>
      </c>
      <c r="D36" s="11">
        <v>0</v>
      </c>
      <c r="E36" s="10">
        <f t="shared" si="0"/>
        <v>-1</v>
      </c>
      <c r="F36" s="11">
        <v>728.2</v>
      </c>
      <c r="G36" s="10">
        <f t="shared" si="1"/>
        <v>-3.1906407870247233E-2</v>
      </c>
      <c r="H36">
        <v>219.75</v>
      </c>
      <c r="I36" s="10">
        <f t="shared" si="2"/>
        <v>-5.5245055889939776E-2</v>
      </c>
      <c r="J36" s="12">
        <v>2104.4499999999998</v>
      </c>
      <c r="K36" s="10">
        <f t="shared" si="3"/>
        <v>0.1483724864260183</v>
      </c>
      <c r="L36" s="24">
        <v>21349.4</v>
      </c>
      <c r="M36" s="10">
        <f t="shared" si="4"/>
        <v>-4.9984503638732525E-3</v>
      </c>
      <c r="O36" s="11"/>
      <c r="Q36" s="11"/>
      <c r="S36" s="11"/>
      <c r="T36" s="11"/>
      <c r="V36" s="12"/>
      <c r="W36" s="12"/>
      <c r="X36" s="12"/>
      <c r="Z36" s="13"/>
    </row>
    <row r="37" spans="3:26">
      <c r="C37" s="11" t="s">
        <v>91</v>
      </c>
      <c r="D37" s="11">
        <v>31.68</v>
      </c>
      <c r="E37" s="10">
        <f t="shared" si="0"/>
        <v>0</v>
      </c>
      <c r="F37" s="11">
        <v>751.3</v>
      </c>
      <c r="G37" s="10">
        <f t="shared" si="1"/>
        <v>3.1722054380664444E-2</v>
      </c>
      <c r="H37">
        <v>223.6</v>
      </c>
      <c r="I37" s="10">
        <f t="shared" si="2"/>
        <v>1.7519908987485788E-2</v>
      </c>
      <c r="J37" s="12">
        <v>2004.7</v>
      </c>
      <c r="K37" s="10">
        <f t="shared" si="3"/>
        <v>-4.7399558079308068E-2</v>
      </c>
      <c r="L37" s="24">
        <v>21731.4</v>
      </c>
      <c r="M37" s="10">
        <f t="shared" si="4"/>
        <v>1.7892774504201459E-2</v>
      </c>
      <c r="O37" s="11"/>
      <c r="Q37" s="11"/>
      <c r="S37" s="11"/>
      <c r="T37" s="11"/>
      <c r="V37" s="12"/>
      <c r="W37" s="12"/>
      <c r="X37" s="12"/>
      <c r="Z37" s="13"/>
    </row>
    <row r="38" spans="3:26">
      <c r="C38" s="11" t="s">
        <v>90</v>
      </c>
      <c r="D38" s="11">
        <v>33.28</v>
      </c>
      <c r="E38" s="10">
        <f t="shared" si="0"/>
        <v>5.0505050505050608E-2</v>
      </c>
      <c r="F38" s="11">
        <v>750.6</v>
      </c>
      <c r="G38" s="10">
        <f t="shared" si="1"/>
        <v>-9.3171835485150734E-4</v>
      </c>
      <c r="H38">
        <v>238.05</v>
      </c>
      <c r="I38" s="10">
        <f t="shared" si="2"/>
        <v>6.4624329159213012E-2</v>
      </c>
      <c r="J38" s="12">
        <v>2197</v>
      </c>
      <c r="K38" s="10">
        <f t="shared" si="3"/>
        <v>9.5924577243477804E-2</v>
      </c>
      <c r="L38" s="24">
        <v>21710.799999999999</v>
      </c>
      <c r="M38" s="10">
        <f t="shared" si="4"/>
        <v>-9.479370864280412E-4</v>
      </c>
      <c r="O38" s="11"/>
      <c r="Q38" s="11"/>
      <c r="S38" s="11"/>
      <c r="T38" s="11"/>
      <c r="V38" s="12"/>
      <c r="W38" s="12"/>
      <c r="X38" s="12"/>
      <c r="Z38" s="13"/>
    </row>
    <row r="39" spans="3:26">
      <c r="C39" s="11" t="s">
        <v>89</v>
      </c>
      <c r="D39" s="11">
        <v>31.5</v>
      </c>
      <c r="E39" s="10">
        <f t="shared" si="0"/>
        <v>-5.3485576923076983E-2</v>
      </c>
      <c r="F39" s="11">
        <v>741.45</v>
      </c>
      <c r="G39" s="10">
        <f t="shared" si="1"/>
        <v>-1.2190247801758591E-2</v>
      </c>
      <c r="H39">
        <v>233.1</v>
      </c>
      <c r="I39" s="10">
        <f t="shared" si="2"/>
        <v>-2.0793950850661713E-2</v>
      </c>
      <c r="J39" s="12">
        <v>2088.25</v>
      </c>
      <c r="K39" s="10">
        <f t="shared" si="3"/>
        <v>-4.9499317250796593E-2</v>
      </c>
      <c r="L39" s="24">
        <v>21894.55</v>
      </c>
      <c r="M39" s="10">
        <f t="shared" si="4"/>
        <v>8.4635296718684749E-3</v>
      </c>
      <c r="O39" s="11"/>
      <c r="Q39" s="11"/>
      <c r="S39" s="11"/>
      <c r="T39" s="11"/>
      <c r="V39" s="12"/>
      <c r="W39" s="12"/>
      <c r="X39" s="12"/>
      <c r="Z39" s="13"/>
    </row>
    <row r="40" spans="3:26">
      <c r="C40" s="11" t="s">
        <v>88</v>
      </c>
      <c r="D40" s="11">
        <v>31.2</v>
      </c>
      <c r="E40" s="10">
        <f t="shared" si="0"/>
        <v>-9.523809523809601E-3</v>
      </c>
      <c r="F40" s="11">
        <v>726.1</v>
      </c>
      <c r="G40" s="10">
        <f t="shared" si="1"/>
        <v>-2.070267718659391E-2</v>
      </c>
      <c r="H40">
        <v>225.5</v>
      </c>
      <c r="I40" s="10">
        <f t="shared" si="2"/>
        <v>-3.2604032604032551E-2</v>
      </c>
      <c r="J40" s="12">
        <v>2068.5</v>
      </c>
      <c r="K40" s="10">
        <f t="shared" si="3"/>
        <v>-9.4576798754938407E-3</v>
      </c>
      <c r="L40" s="24">
        <v>21622.400000000001</v>
      </c>
      <c r="M40" s="10">
        <f t="shared" si="4"/>
        <v>-1.2430033958222397E-2</v>
      </c>
      <c r="O40" s="11"/>
      <c r="Q40" s="11"/>
      <c r="S40" s="11"/>
      <c r="T40" s="11"/>
      <c r="V40" s="12"/>
      <c r="W40" s="12"/>
      <c r="X40" s="12"/>
      <c r="Z40" s="13"/>
    </row>
    <row r="41" spans="3:26">
      <c r="C41" s="11" t="s">
        <v>87</v>
      </c>
      <c r="D41" s="11">
        <v>31.66</v>
      </c>
      <c r="E41" s="10">
        <f t="shared" si="0"/>
        <v>1.4743589743589691E-2</v>
      </c>
      <c r="F41" s="11">
        <v>721.4</v>
      </c>
      <c r="G41" s="10">
        <f t="shared" si="1"/>
        <v>-6.4729376118992654E-3</v>
      </c>
      <c r="H41">
        <v>241.4</v>
      </c>
      <c r="I41" s="10">
        <f t="shared" si="2"/>
        <v>7.050997782705104E-2</v>
      </c>
      <c r="J41" s="12">
        <v>2073.5</v>
      </c>
      <c r="K41" s="10">
        <f t="shared" si="3"/>
        <v>2.4172105390378729E-3</v>
      </c>
      <c r="L41" s="24">
        <v>21352.6</v>
      </c>
      <c r="M41" s="10">
        <f t="shared" si="4"/>
        <v>-1.2477800799171379E-2</v>
      </c>
      <c r="O41" s="11"/>
      <c r="Q41" s="11"/>
      <c r="S41" s="11"/>
      <c r="T41" s="11"/>
      <c r="V41" s="12"/>
      <c r="W41" s="12"/>
      <c r="X41" s="12"/>
      <c r="Z41" s="13"/>
    </row>
    <row r="42" spans="3:26">
      <c r="C42" s="11" t="s">
        <v>86</v>
      </c>
      <c r="D42" s="11">
        <v>30.35</v>
      </c>
      <c r="E42" s="10">
        <f t="shared" si="0"/>
        <v>-4.1377132027795249E-2</v>
      </c>
      <c r="F42" s="11">
        <v>686.35</v>
      </c>
      <c r="G42" s="10">
        <f t="shared" si="1"/>
        <v>-4.8586082617133264E-2</v>
      </c>
      <c r="H42">
        <v>248.25</v>
      </c>
      <c r="I42" s="10">
        <f t="shared" si="2"/>
        <v>2.8376139188069471E-2</v>
      </c>
      <c r="J42" s="12">
        <v>2084.75</v>
      </c>
      <c r="K42" s="10">
        <f t="shared" si="3"/>
        <v>5.4256088738846575E-3</v>
      </c>
      <c r="L42" s="24">
        <v>21853.8</v>
      </c>
      <c r="M42" s="10">
        <f t="shared" si="4"/>
        <v>2.3472551352060167E-2</v>
      </c>
      <c r="O42" s="11"/>
      <c r="Q42" s="11"/>
      <c r="S42" s="11"/>
      <c r="T42" s="11"/>
      <c r="V42" s="12"/>
      <c r="W42" s="12"/>
      <c r="X42" s="12"/>
      <c r="Z42" s="13"/>
    </row>
    <row r="43" spans="3:26">
      <c r="C43" s="11" t="s">
        <v>85</v>
      </c>
      <c r="D43" s="11">
        <v>30.96</v>
      </c>
      <c r="E43" s="10">
        <f t="shared" si="0"/>
        <v>2.0098846787479419E-2</v>
      </c>
      <c r="F43" s="11">
        <v>627.5</v>
      </c>
      <c r="G43" s="10">
        <f t="shared" si="1"/>
        <v>-8.5743425366066939E-2</v>
      </c>
      <c r="H43">
        <v>252.75</v>
      </c>
      <c r="I43" s="10">
        <f t="shared" si="2"/>
        <v>1.812688821752273E-2</v>
      </c>
      <c r="J43" s="12">
        <v>2164.65</v>
      </c>
      <c r="K43" s="10">
        <f t="shared" si="3"/>
        <v>3.8325938361913892E-2</v>
      </c>
      <c r="L43" s="24">
        <v>21782.5</v>
      </c>
      <c r="M43" s="10">
        <f t="shared" si="4"/>
        <v>-3.2625904876955047E-3</v>
      </c>
      <c r="O43" s="11"/>
      <c r="Q43" s="11"/>
      <c r="S43" s="11"/>
      <c r="T43" s="11"/>
      <c r="V43" s="12"/>
      <c r="W43" s="12"/>
      <c r="X43" s="12"/>
      <c r="Z43" s="13"/>
    </row>
    <row r="44" spans="3:26">
      <c r="C44" s="11" t="s">
        <v>84</v>
      </c>
      <c r="D44" s="11">
        <v>31.19</v>
      </c>
      <c r="E44" s="10">
        <f t="shared" si="0"/>
        <v>7.4289405684755394E-3</v>
      </c>
      <c r="F44" s="11">
        <v>679.7</v>
      </c>
      <c r="G44" s="10">
        <f t="shared" si="1"/>
        <v>8.3187250996016093E-2</v>
      </c>
      <c r="H44">
        <v>230.9</v>
      </c>
      <c r="I44" s="10">
        <f t="shared" si="2"/>
        <v>-8.644906033630062E-2</v>
      </c>
      <c r="J44" s="12">
        <v>1988.75</v>
      </c>
      <c r="K44" s="10">
        <f t="shared" si="3"/>
        <v>-8.1260249924930195E-2</v>
      </c>
      <c r="L44" s="24">
        <v>22040.7</v>
      </c>
      <c r="M44" s="10">
        <f t="shared" si="4"/>
        <v>1.1853552163433978E-2</v>
      </c>
      <c r="O44" s="11"/>
      <c r="Q44" s="11"/>
      <c r="S44" s="11"/>
      <c r="T44" s="11"/>
      <c r="V44" s="12"/>
      <c r="W44" s="12"/>
      <c r="X44" s="12"/>
      <c r="Z44" s="13"/>
    </row>
    <row r="45" spans="3:26">
      <c r="C45" s="11" t="s">
        <v>83</v>
      </c>
      <c r="D45" s="11">
        <v>29.87</v>
      </c>
      <c r="E45" s="10">
        <f t="shared" si="0"/>
        <v>-4.2321256813081076E-2</v>
      </c>
      <c r="F45" s="11">
        <v>689.2</v>
      </c>
      <c r="G45" s="10">
        <f t="shared" si="1"/>
        <v>1.3976754450492956E-2</v>
      </c>
      <c r="H45">
        <v>226.2</v>
      </c>
      <c r="I45" s="10">
        <f t="shared" si="2"/>
        <v>-2.035513209181472E-2</v>
      </c>
      <c r="J45" s="12">
        <v>1988.05</v>
      </c>
      <c r="K45" s="10">
        <f t="shared" si="3"/>
        <v>-3.5197988686364035E-4</v>
      </c>
      <c r="L45" s="24">
        <v>22212.7</v>
      </c>
      <c r="M45" s="10">
        <f t="shared" si="4"/>
        <v>7.8037448901351336E-3</v>
      </c>
      <c r="O45" s="11"/>
      <c r="Q45" s="11"/>
      <c r="S45" s="11"/>
      <c r="T45" s="11"/>
      <c r="V45" s="12"/>
      <c r="W45" s="12"/>
      <c r="X45" s="12"/>
      <c r="Z45" s="13"/>
    </row>
    <row r="46" spans="3:26">
      <c r="C46" s="11" t="s">
        <v>82</v>
      </c>
      <c r="D46" s="11">
        <v>30.94</v>
      </c>
      <c r="E46" s="10">
        <f t="shared" si="0"/>
        <v>3.5821894877803739E-2</v>
      </c>
      <c r="F46" s="11">
        <v>691.1</v>
      </c>
      <c r="G46" s="10">
        <f t="shared" si="1"/>
        <v>2.7568195008704777E-3</v>
      </c>
      <c r="H46">
        <v>231.25</v>
      </c>
      <c r="I46" s="10">
        <f t="shared" si="2"/>
        <v>2.2325375773651679E-2</v>
      </c>
      <c r="J46" s="12">
        <v>1934.15</v>
      </c>
      <c r="K46" s="10">
        <f t="shared" si="3"/>
        <v>-2.7111994165136655E-2</v>
      </c>
      <c r="L46" s="24">
        <v>22338.75</v>
      </c>
      <c r="M46" s="10">
        <f t="shared" si="4"/>
        <v>5.6746816010659895E-3</v>
      </c>
      <c r="O46" s="11"/>
      <c r="Q46" s="11"/>
      <c r="S46" s="11"/>
      <c r="T46" s="11"/>
      <c r="V46" s="12"/>
      <c r="W46" s="12"/>
      <c r="X46" s="12"/>
      <c r="Z46" s="13"/>
    </row>
    <row r="47" spans="3:26">
      <c r="C47" s="11" t="s">
        <v>81</v>
      </c>
      <c r="D47" s="11">
        <v>30.66</v>
      </c>
      <c r="E47" s="10">
        <f t="shared" si="0"/>
        <v>-9.0497737556561875E-3</v>
      </c>
      <c r="F47" s="11">
        <v>696.4</v>
      </c>
      <c r="G47" s="10">
        <f t="shared" si="1"/>
        <v>7.6689335841411133E-3</v>
      </c>
      <c r="H47">
        <v>225.35</v>
      </c>
      <c r="I47" s="10">
        <f t="shared" si="2"/>
        <v>-2.5513513513513497E-2</v>
      </c>
      <c r="J47" s="12">
        <v>1914.45</v>
      </c>
      <c r="K47" s="10">
        <f t="shared" si="3"/>
        <v>-1.0185352738929287E-2</v>
      </c>
      <c r="L47" s="24">
        <v>22493.55</v>
      </c>
      <c r="M47" s="10">
        <f t="shared" si="4"/>
        <v>6.929662581836471E-3</v>
      </c>
      <c r="O47" s="11"/>
      <c r="Q47" s="11"/>
      <c r="S47" s="11"/>
      <c r="T47" s="11"/>
      <c r="V47" s="12"/>
      <c r="W47" s="12"/>
      <c r="X47" s="12"/>
      <c r="Z47" s="13"/>
    </row>
    <row r="48" spans="3:26">
      <c r="C48" s="11" t="s">
        <v>80</v>
      </c>
      <c r="D48" s="11">
        <v>30.68</v>
      </c>
      <c r="E48" s="10">
        <f t="shared" si="0"/>
        <v>6.5231572080892697E-4</v>
      </c>
      <c r="F48" s="11">
        <v>668.45</v>
      </c>
      <c r="G48" s="10">
        <f t="shared" si="1"/>
        <v>-4.0134979896611078E-2</v>
      </c>
      <c r="H48">
        <v>207.35</v>
      </c>
      <c r="I48" s="10">
        <f t="shared" si="2"/>
        <v>-7.9875748835145366E-2</v>
      </c>
      <c r="J48" s="12">
        <v>1889.85</v>
      </c>
      <c r="K48" s="10">
        <f t="shared" si="3"/>
        <v>-1.2849643500744357E-2</v>
      </c>
      <c r="L48" s="24">
        <v>22023.35</v>
      </c>
      <c r="M48" s="10">
        <f t="shared" si="4"/>
        <v>-2.0903770191899484E-2</v>
      </c>
      <c r="O48" s="11"/>
      <c r="Q48" s="11"/>
      <c r="S48" s="11"/>
      <c r="T48" s="11"/>
      <c r="V48" s="12"/>
      <c r="W48" s="12"/>
      <c r="X48" s="12"/>
      <c r="Z48" s="13"/>
    </row>
    <row r="49" spans="3:26">
      <c r="C49" s="11" t="s">
        <v>79</v>
      </c>
      <c r="D49" s="11">
        <v>32.08</v>
      </c>
      <c r="E49" s="10">
        <f t="shared" si="0"/>
        <v>4.5632333767926969E-2</v>
      </c>
      <c r="F49" s="11">
        <v>688.6</v>
      </c>
      <c r="G49" s="10">
        <f t="shared" si="1"/>
        <v>3.0144363826763332E-2</v>
      </c>
      <c r="H49">
        <v>205.55</v>
      </c>
      <c r="I49" s="10">
        <f t="shared" si="2"/>
        <v>-8.680974198215452E-3</v>
      </c>
      <c r="J49" s="12">
        <v>2016.05</v>
      </c>
      <c r="K49" s="10">
        <f t="shared" si="3"/>
        <v>6.6777786596819988E-2</v>
      </c>
      <c r="L49" s="24">
        <v>22096.75</v>
      </c>
      <c r="M49" s="10">
        <f t="shared" si="4"/>
        <v>3.3328262957270649E-3</v>
      </c>
      <c r="O49" s="11"/>
      <c r="Q49" s="11"/>
      <c r="S49" s="11"/>
      <c r="T49" s="11"/>
      <c r="V49" s="12"/>
      <c r="W49" s="12"/>
      <c r="X49" s="12"/>
      <c r="Z49" s="13"/>
    </row>
    <row r="50" spans="3:26">
      <c r="C50" s="11" t="s">
        <v>78</v>
      </c>
      <c r="D50" s="11">
        <v>31.75</v>
      </c>
      <c r="E50" s="10">
        <f t="shared" si="0"/>
        <v>-1.0286783042393943E-2</v>
      </c>
      <c r="F50" s="11">
        <v>689.45</v>
      </c>
      <c r="G50" s="10">
        <f t="shared" si="1"/>
        <v>1.2343886145802507E-3</v>
      </c>
      <c r="H50">
        <v>205.5</v>
      </c>
      <c r="I50" s="10">
        <f t="shared" si="2"/>
        <v>-2.4324981756274067E-4</v>
      </c>
      <c r="J50" s="12">
        <v>2153.9499999999998</v>
      </c>
      <c r="K50" s="10">
        <f t="shared" si="3"/>
        <v>6.8401081322387869E-2</v>
      </c>
      <c r="L50" s="24">
        <v>22326.9</v>
      </c>
      <c r="M50" s="10">
        <f t="shared" si="4"/>
        <v>1.0415558849152129E-2</v>
      </c>
      <c r="O50" s="11"/>
      <c r="Q50" s="11"/>
      <c r="S50" s="11"/>
      <c r="T50" s="11"/>
      <c r="V50" s="12"/>
      <c r="W50" s="12"/>
      <c r="X50" s="12"/>
      <c r="Z50" s="13"/>
    </row>
    <row r="51" spans="3:26">
      <c r="C51" s="11" t="s">
        <v>77</v>
      </c>
      <c r="D51" s="11">
        <v>31.16</v>
      </c>
      <c r="E51" s="10">
        <f t="shared" si="0"/>
        <v>-1.8582677165354333E-2</v>
      </c>
      <c r="F51" s="11">
        <v>692.45</v>
      </c>
      <c r="G51" s="10">
        <f t="shared" si="1"/>
        <v>4.3512945101167322E-3</v>
      </c>
      <c r="H51">
        <v>237.35</v>
      </c>
      <c r="I51" s="10">
        <f t="shared" si="2"/>
        <v>0.1549878345498783</v>
      </c>
      <c r="J51" s="12">
        <v>2173.4499999999998</v>
      </c>
      <c r="K51" s="10">
        <f t="shared" si="3"/>
        <v>9.0531349381368642E-3</v>
      </c>
      <c r="L51" s="24">
        <v>22513.7</v>
      </c>
      <c r="M51" s="10">
        <f t="shared" si="4"/>
        <v>8.3665891816597782E-3</v>
      </c>
      <c r="O51" s="11"/>
      <c r="Q51" s="11"/>
      <c r="S51" s="11"/>
      <c r="T51" s="11"/>
      <c r="V51" s="12"/>
      <c r="W51" s="12"/>
      <c r="X51" s="12"/>
      <c r="Z51" s="13"/>
    </row>
    <row r="52" spans="3:26">
      <c r="C52" s="11" t="s">
        <v>76</v>
      </c>
      <c r="D52" s="11">
        <v>30.52</v>
      </c>
      <c r="E52" s="10">
        <f t="shared" si="0"/>
        <v>-2.0539152759948665E-2</v>
      </c>
      <c r="F52" s="11">
        <v>694.8</v>
      </c>
      <c r="G52" s="10">
        <f t="shared" si="1"/>
        <v>3.393746840927081E-3</v>
      </c>
      <c r="H52">
        <v>233.55</v>
      </c>
      <c r="I52" s="10">
        <f t="shared" si="2"/>
        <v>-1.6010111649462755E-2</v>
      </c>
      <c r="J52" s="12">
        <v>2103.3000000000002</v>
      </c>
      <c r="K52" s="10">
        <f t="shared" si="3"/>
        <v>-3.2275874761323986E-2</v>
      </c>
      <c r="L52" s="24">
        <v>22519.4</v>
      </c>
      <c r="M52" s="10">
        <f t="shared" si="4"/>
        <v>2.5317917534661838E-4</v>
      </c>
      <c r="O52" s="11"/>
      <c r="Q52" s="11"/>
      <c r="S52" s="11"/>
      <c r="T52" s="11"/>
      <c r="V52" s="12"/>
      <c r="W52" s="12"/>
      <c r="X52" s="12"/>
      <c r="Z52" s="13"/>
    </row>
    <row r="53" spans="3:26">
      <c r="C53" s="11" t="s">
        <v>75</v>
      </c>
      <c r="D53" s="11">
        <v>29.62</v>
      </c>
      <c r="E53" s="10">
        <f t="shared" si="0"/>
        <v>-2.9488859764089104E-2</v>
      </c>
      <c r="F53" s="11">
        <v>693.8</v>
      </c>
      <c r="G53" s="10">
        <f t="shared" si="1"/>
        <v>-1.4392630972941411E-3</v>
      </c>
      <c r="H53">
        <v>231.4</v>
      </c>
      <c r="I53" s="10">
        <f t="shared" si="2"/>
        <v>-9.2057375294369859E-3</v>
      </c>
      <c r="J53" s="12">
        <v>2051.9499999999998</v>
      </c>
      <c r="K53" s="10">
        <f t="shared" si="3"/>
        <v>-2.4414016069985389E-2</v>
      </c>
      <c r="L53" s="24">
        <v>22147</v>
      </c>
      <c r="M53" s="10">
        <f t="shared" si="4"/>
        <v>-1.6536852669254087E-2</v>
      </c>
      <c r="O53" s="11"/>
      <c r="Q53" s="11"/>
      <c r="S53" s="11"/>
      <c r="T53" s="11"/>
      <c r="V53" s="12"/>
      <c r="W53" s="12"/>
      <c r="X53" s="12"/>
      <c r="Z53" s="13"/>
    </row>
    <row r="54" spans="3:26">
      <c r="C54" s="11" t="s">
        <v>74</v>
      </c>
      <c r="D54" s="11">
        <v>28.41</v>
      </c>
      <c r="E54" s="10">
        <f t="shared" si="0"/>
        <v>-4.0850776502363351E-2</v>
      </c>
      <c r="F54" s="11">
        <v>673.7</v>
      </c>
      <c r="G54" s="10">
        <f t="shared" si="1"/>
        <v>-2.8970884981262435E-2</v>
      </c>
      <c r="H54">
        <v>268.75</v>
      </c>
      <c r="I54" s="10">
        <f t="shared" si="2"/>
        <v>0.16140881590319789</v>
      </c>
      <c r="J54" s="12">
        <v>2164.75</v>
      </c>
      <c r="K54" s="10">
        <f t="shared" si="3"/>
        <v>5.497209971003203E-2</v>
      </c>
      <c r="L54" s="24">
        <v>22419.95</v>
      </c>
      <c r="M54" s="10">
        <f t="shared" si="4"/>
        <v>1.2324468325281002E-2</v>
      </c>
      <c r="O54" s="11"/>
      <c r="Q54" s="11"/>
      <c r="S54" s="11"/>
      <c r="T54" s="11"/>
      <c r="V54" s="12"/>
      <c r="W54" s="12"/>
      <c r="X54" s="12"/>
      <c r="Z54" s="13"/>
    </row>
    <row r="55" spans="3:26">
      <c r="C55" s="11" t="s">
        <v>73</v>
      </c>
      <c r="D55" s="11">
        <v>29.07</v>
      </c>
      <c r="E55" s="10">
        <f t="shared" si="0"/>
        <v>2.3231256599788752E-2</v>
      </c>
      <c r="F55" s="11">
        <v>667.5</v>
      </c>
      <c r="G55" s="10">
        <f t="shared" si="1"/>
        <v>-9.2029093068132228E-3</v>
      </c>
      <c r="H55">
        <v>254.2</v>
      </c>
      <c r="I55" s="10">
        <f t="shared" si="2"/>
        <v>-5.4139534883720919E-2</v>
      </c>
      <c r="J55" s="12">
        <v>2188.25</v>
      </c>
      <c r="K55" s="10">
        <f t="shared" si="3"/>
        <v>1.0855757015821643E-2</v>
      </c>
      <c r="L55" s="24">
        <v>22475.85</v>
      </c>
      <c r="M55" s="10">
        <f t="shared" si="4"/>
        <v>2.4933151055197555E-3</v>
      </c>
      <c r="O55" s="11"/>
      <c r="Q55" s="11"/>
      <c r="S55" s="11"/>
      <c r="T55" s="11"/>
      <c r="V55" s="12"/>
      <c r="W55" s="12"/>
      <c r="X55" s="12"/>
      <c r="Z55" s="13"/>
    </row>
    <row r="56" spans="3:26">
      <c r="C56" s="11" t="s">
        <v>72</v>
      </c>
      <c r="D56" s="11">
        <v>30.1</v>
      </c>
      <c r="E56" s="10">
        <f t="shared" si="0"/>
        <v>3.5431716546267644E-2</v>
      </c>
      <c r="F56" s="11">
        <v>704.4</v>
      </c>
      <c r="G56" s="10">
        <f t="shared" si="1"/>
        <v>5.5280898876404416E-2</v>
      </c>
      <c r="H56">
        <v>256.25</v>
      </c>
      <c r="I56" s="10">
        <f t="shared" si="2"/>
        <v>8.0645161290322509E-3</v>
      </c>
      <c r="J56" s="12">
        <v>2104.0500000000002</v>
      </c>
      <c r="K56" s="10">
        <f t="shared" si="3"/>
        <v>-3.8478236033359869E-2</v>
      </c>
      <c r="L56" s="24">
        <v>22055.200000000001</v>
      </c>
      <c r="M56" s="10">
        <f t="shared" si="4"/>
        <v>-1.8715643679771743E-2</v>
      </c>
      <c r="O56" s="11"/>
      <c r="Q56" s="11"/>
      <c r="S56" s="11"/>
      <c r="T56" s="11"/>
      <c r="V56" s="12"/>
      <c r="W56" s="12"/>
      <c r="X56" s="12"/>
      <c r="Z56" s="13"/>
    </row>
    <row r="57" spans="3:26">
      <c r="C57" s="11" t="s">
        <v>71</v>
      </c>
      <c r="D57" s="11">
        <v>30.78</v>
      </c>
      <c r="E57" s="10">
        <f t="shared" si="0"/>
        <v>2.2591362126245906E-2</v>
      </c>
      <c r="F57" s="11">
        <v>693.7</v>
      </c>
      <c r="G57" s="10">
        <f t="shared" si="1"/>
        <v>-1.5190232822259953E-2</v>
      </c>
      <c r="H57">
        <v>264</v>
      </c>
      <c r="I57" s="10">
        <f t="shared" si="2"/>
        <v>3.0243902439024417E-2</v>
      </c>
      <c r="J57" s="12">
        <v>2237.9</v>
      </c>
      <c r="K57" s="10">
        <f t="shared" si="3"/>
        <v>6.3615408379078309E-2</v>
      </c>
      <c r="L57" s="24">
        <v>22466.1</v>
      </c>
      <c r="M57" s="10">
        <f t="shared" si="4"/>
        <v>1.8630527041241907E-2</v>
      </c>
      <c r="O57" s="11"/>
      <c r="Q57" s="11"/>
      <c r="S57" s="11"/>
      <c r="T57" s="11"/>
      <c r="V57" s="12"/>
      <c r="W57" s="12"/>
      <c r="X57" s="12"/>
      <c r="Z57" s="13"/>
    </row>
    <row r="58" spans="3:26">
      <c r="C58" s="11" t="s">
        <v>70</v>
      </c>
      <c r="D58" s="11">
        <v>31.52</v>
      </c>
      <c r="E58" s="10">
        <f t="shared" si="0"/>
        <v>2.404158544509416E-2</v>
      </c>
      <c r="F58" s="11">
        <v>703.4</v>
      </c>
      <c r="G58" s="10">
        <f t="shared" si="1"/>
        <v>1.3982989765028098E-2</v>
      </c>
      <c r="H58">
        <v>289.89999999999998</v>
      </c>
      <c r="I58" s="10">
        <f t="shared" si="2"/>
        <v>9.8106060606060419E-2</v>
      </c>
      <c r="J58" s="12">
        <v>2270.15</v>
      </c>
      <c r="K58" s="10">
        <f t="shared" si="3"/>
        <v>1.4410831583180572E-2</v>
      </c>
      <c r="L58" s="24">
        <v>22957.1</v>
      </c>
      <c r="M58" s="10">
        <f t="shared" si="4"/>
        <v>2.1855150649200406E-2</v>
      </c>
      <c r="O58" s="11"/>
      <c r="Q58" s="11"/>
      <c r="S58" s="11"/>
      <c r="T58" s="11"/>
      <c r="V58" s="12"/>
      <c r="W58" s="12"/>
      <c r="X58" s="12"/>
      <c r="Z58" s="13"/>
    </row>
    <row r="59" spans="3:26">
      <c r="C59" s="11" t="s">
        <v>69</v>
      </c>
      <c r="D59" s="11">
        <v>32.99</v>
      </c>
      <c r="E59" s="10">
        <f t="shared" si="0"/>
        <v>4.6637055837563501E-2</v>
      </c>
      <c r="F59" s="11">
        <v>731.75</v>
      </c>
      <c r="G59" s="10">
        <f t="shared" si="1"/>
        <v>4.0304236565254614E-2</v>
      </c>
      <c r="H59">
        <v>287.7</v>
      </c>
      <c r="I59" s="10">
        <f t="shared" si="2"/>
        <v>-7.5888237323215035E-3</v>
      </c>
      <c r="J59" s="12">
        <v>2093.9</v>
      </c>
      <c r="K59" s="10">
        <f t="shared" si="3"/>
        <v>-7.7638041539105362E-2</v>
      </c>
      <c r="L59" s="24">
        <v>22530.7</v>
      </c>
      <c r="M59" s="10">
        <f t="shared" si="4"/>
        <v>-1.8573774562117951E-2</v>
      </c>
      <c r="O59" s="11"/>
      <c r="Q59" s="11"/>
      <c r="S59" s="11"/>
      <c r="T59" s="11"/>
      <c r="V59" s="12"/>
      <c r="W59" s="12"/>
      <c r="X59" s="12"/>
      <c r="Z59" s="13"/>
    </row>
    <row r="60" spans="3:26">
      <c r="C60" s="11" t="s">
        <v>68</v>
      </c>
      <c r="D60" s="11">
        <v>30.45</v>
      </c>
      <c r="E60" s="10">
        <f t="shared" si="0"/>
        <v>-7.6993028190360802E-2</v>
      </c>
      <c r="F60" s="11">
        <v>703.3</v>
      </c>
      <c r="G60" s="10">
        <f t="shared" si="1"/>
        <v>-3.8879398701742507E-2</v>
      </c>
      <c r="H60">
        <v>324.25</v>
      </c>
      <c r="I60" s="10">
        <f t="shared" si="2"/>
        <v>0.12704205769899213</v>
      </c>
      <c r="J60" s="12">
        <v>2634.1</v>
      </c>
      <c r="K60" s="10">
        <f t="shared" si="3"/>
        <v>0.25798748746358457</v>
      </c>
      <c r="L60" s="24">
        <v>23290.15</v>
      </c>
      <c r="M60" s="10">
        <f t="shared" si="4"/>
        <v>3.3707341538434354E-2</v>
      </c>
      <c r="O60" s="11"/>
      <c r="Q60" s="11"/>
      <c r="S60" s="11"/>
      <c r="T60" s="11"/>
      <c r="V60" s="12"/>
      <c r="W60" s="12"/>
      <c r="X60" s="12"/>
      <c r="Z60" s="13"/>
    </row>
    <row r="61" spans="3:26">
      <c r="C61" s="11" t="s">
        <v>67</v>
      </c>
      <c r="D61" s="11">
        <v>30.35</v>
      </c>
      <c r="E61" s="10">
        <f t="shared" si="0"/>
        <v>-3.2840722495893759E-3</v>
      </c>
      <c r="F61" s="11">
        <v>696.9</v>
      </c>
      <c r="G61" s="10">
        <f t="shared" si="1"/>
        <v>-9.0999573439499715E-3</v>
      </c>
      <c r="H61">
        <v>328.35</v>
      </c>
      <c r="I61" s="10">
        <f t="shared" si="2"/>
        <v>1.264456437933692E-2</v>
      </c>
      <c r="J61" s="12">
        <v>2772.75</v>
      </c>
      <c r="K61" s="10">
        <f t="shared" si="3"/>
        <v>5.2636574161952776E-2</v>
      </c>
      <c r="L61" s="24">
        <v>23465.599999999999</v>
      </c>
      <c r="M61" s="10">
        <f t="shared" si="4"/>
        <v>7.5332275661599279E-3</v>
      </c>
      <c r="O61" s="11"/>
      <c r="Q61" s="11"/>
      <c r="S61" s="11"/>
      <c r="T61" s="11"/>
      <c r="V61" s="12"/>
      <c r="W61" s="12"/>
      <c r="X61" s="12"/>
      <c r="Z61" s="13"/>
    </row>
    <row r="62" spans="3:26">
      <c r="C62" s="11" t="s">
        <v>66</v>
      </c>
      <c r="D62" s="11">
        <v>29.93</v>
      </c>
      <c r="E62" s="10">
        <f t="shared" si="0"/>
        <v>-1.3838550247116999E-2</v>
      </c>
      <c r="F62" s="11">
        <v>685.8</v>
      </c>
      <c r="G62" s="10">
        <f t="shared" si="1"/>
        <v>-1.592767972449427E-2</v>
      </c>
      <c r="H62">
        <v>314.55</v>
      </c>
      <c r="I62" s="10">
        <f t="shared" si="2"/>
        <v>-4.2028323435358672E-2</v>
      </c>
      <c r="J62" s="12">
        <v>2836.5</v>
      </c>
      <c r="K62" s="10">
        <f t="shared" si="3"/>
        <v>2.2991614822829298E-2</v>
      </c>
      <c r="L62" s="24">
        <v>23501.1</v>
      </c>
      <c r="M62" s="10">
        <f t="shared" si="4"/>
        <v>1.5128528569481325E-3</v>
      </c>
      <c r="O62" s="11"/>
      <c r="Q62" s="11"/>
      <c r="S62" s="11"/>
      <c r="T62" s="11"/>
      <c r="V62" s="12"/>
      <c r="W62" s="12"/>
      <c r="X62" s="12"/>
      <c r="Z62" s="13"/>
    </row>
    <row r="63" spans="3:26">
      <c r="C63" s="11" t="s">
        <v>66</v>
      </c>
      <c r="D63" s="11">
        <v>0</v>
      </c>
      <c r="E63" s="10">
        <f t="shared" si="0"/>
        <v>-1</v>
      </c>
      <c r="F63" s="11">
        <v>681.45</v>
      </c>
      <c r="G63" s="10">
        <f t="shared" si="1"/>
        <v>-6.3429571303585952E-3</v>
      </c>
      <c r="H63">
        <v>311.89999999999998</v>
      </c>
      <c r="I63" s="10">
        <f t="shared" si="2"/>
        <v>-8.4247337466222261E-3</v>
      </c>
      <c r="J63" s="12">
        <v>2922.35</v>
      </c>
      <c r="K63" s="10">
        <f t="shared" si="3"/>
        <v>3.0266173100652161E-2</v>
      </c>
      <c r="L63" s="24">
        <v>24010.6</v>
      </c>
      <c r="M63" s="10">
        <f t="shared" si="4"/>
        <v>2.1679836262983532E-2</v>
      </c>
      <c r="O63" s="11"/>
      <c r="Q63" s="11"/>
      <c r="S63" s="11"/>
      <c r="T63" s="11"/>
      <c r="V63" s="12"/>
      <c r="W63" s="12"/>
      <c r="X63" s="12"/>
      <c r="Z63" s="13"/>
    </row>
    <row r="64" spans="3:26">
      <c r="C64" s="11" t="s">
        <v>65</v>
      </c>
      <c r="D64" s="11">
        <v>31.36</v>
      </c>
      <c r="E64" s="10">
        <f t="shared" si="0"/>
        <v>0</v>
      </c>
      <c r="F64" s="11">
        <v>669.35</v>
      </c>
      <c r="G64" s="10">
        <f t="shared" si="1"/>
        <v>-1.7756255044390712E-2</v>
      </c>
      <c r="H64">
        <v>327.8</v>
      </c>
      <c r="I64" s="10">
        <f t="shared" si="2"/>
        <v>5.0977877524847726E-2</v>
      </c>
      <c r="J64" s="12">
        <v>3248.8</v>
      </c>
      <c r="K64" s="10">
        <f t="shared" si="3"/>
        <v>0.11170804318442351</v>
      </c>
      <c r="L64" s="24">
        <v>24323.85</v>
      </c>
      <c r="M64" s="10">
        <f t="shared" si="4"/>
        <v>1.3046321208133094E-2</v>
      </c>
      <c r="O64" s="11"/>
      <c r="Q64" s="11"/>
      <c r="S64" s="11"/>
      <c r="T64" s="11"/>
      <c r="V64" s="12"/>
      <c r="W64" s="12"/>
      <c r="X64" s="12"/>
      <c r="Z64" s="13"/>
    </row>
    <row r="65" spans="3:26">
      <c r="C65" s="11" t="s">
        <v>64</v>
      </c>
      <c r="D65" s="11">
        <v>31.21</v>
      </c>
      <c r="E65" s="10">
        <f t="shared" si="0"/>
        <v>-4.7831632653060341E-3</v>
      </c>
      <c r="F65" s="11">
        <v>673.5</v>
      </c>
      <c r="G65" s="10">
        <f t="shared" si="1"/>
        <v>6.2000448196011249E-3</v>
      </c>
      <c r="H65">
        <v>323.14999999999998</v>
      </c>
      <c r="I65" s="10">
        <f t="shared" si="2"/>
        <v>-1.4185478950579755E-2</v>
      </c>
      <c r="J65" s="12">
        <v>3274.8</v>
      </c>
      <c r="K65" s="10">
        <f t="shared" si="3"/>
        <v>8.0029549372075959E-3</v>
      </c>
      <c r="L65" s="24">
        <v>24502.15</v>
      </c>
      <c r="M65" s="10">
        <f t="shared" si="4"/>
        <v>7.3302540510651326E-3</v>
      </c>
      <c r="O65" s="11"/>
      <c r="Q65" s="11"/>
      <c r="S65" s="11"/>
      <c r="T65" s="11"/>
      <c r="V65" s="12"/>
      <c r="W65" s="12"/>
      <c r="X65" s="12"/>
      <c r="Z65" s="13"/>
    </row>
    <row r="66" spans="3:26">
      <c r="C66" s="11" t="s">
        <v>63</v>
      </c>
      <c r="D66" s="11">
        <v>29.59</v>
      </c>
      <c r="E66" s="10">
        <f t="shared" si="0"/>
        <v>-5.1906440243511764E-2</v>
      </c>
      <c r="F66" s="11">
        <v>671.4</v>
      </c>
      <c r="G66" s="10">
        <f t="shared" si="1"/>
        <v>-3.1180400890868931E-3</v>
      </c>
      <c r="H66">
        <v>315.89999999999998</v>
      </c>
      <c r="I66" s="10">
        <f t="shared" si="2"/>
        <v>-2.2435401516323727E-2</v>
      </c>
      <c r="J66" s="12">
        <v>3201.65</v>
      </c>
      <c r="K66" s="10">
        <f t="shared" si="3"/>
        <v>-2.2337241968975241E-2</v>
      </c>
      <c r="L66" s="24">
        <v>24530.9</v>
      </c>
      <c r="M66" s="10">
        <f t="shared" si="4"/>
        <v>1.1733664188653403E-3</v>
      </c>
      <c r="O66" s="11"/>
      <c r="Q66" s="11"/>
      <c r="S66" s="11"/>
      <c r="T66" s="11"/>
      <c r="V66" s="12"/>
      <c r="W66" s="12"/>
      <c r="X66" s="12"/>
      <c r="Z66" s="13"/>
    </row>
    <row r="67" spans="3:26">
      <c r="C67" s="11" t="s">
        <v>62</v>
      </c>
      <c r="D67" s="11">
        <v>32.07</v>
      </c>
      <c r="E67" s="10">
        <f t="shared" si="0"/>
        <v>8.3812098681987246E-2</v>
      </c>
      <c r="F67" s="11">
        <v>667.7</v>
      </c>
      <c r="G67" s="10">
        <f t="shared" si="1"/>
        <v>-5.5108728030979215E-3</v>
      </c>
      <c r="H67">
        <v>330</v>
      </c>
      <c r="I67" s="10">
        <f t="shared" si="2"/>
        <v>4.4634377967711414E-2</v>
      </c>
      <c r="J67" s="12">
        <v>3403.15</v>
      </c>
      <c r="K67" s="10">
        <f t="shared" si="3"/>
        <v>6.2936298471100827E-2</v>
      </c>
      <c r="L67" s="24">
        <v>24834.85</v>
      </c>
      <c r="M67" s="10">
        <f t="shared" si="4"/>
        <v>1.2390495252925682E-2</v>
      </c>
      <c r="O67" s="11"/>
      <c r="Q67" s="11"/>
      <c r="S67" s="11"/>
      <c r="T67" s="11"/>
      <c r="V67" s="12"/>
      <c r="W67" s="12"/>
      <c r="X67" s="12"/>
      <c r="Z67" s="13"/>
    </row>
    <row r="68" spans="3:26">
      <c r="C68" s="11" t="s">
        <v>61</v>
      </c>
      <c r="D68" s="11">
        <v>34</v>
      </c>
      <c r="E68" s="10">
        <f t="shared" si="0"/>
        <v>6.0180854381041371E-2</v>
      </c>
      <c r="F68" s="11">
        <v>673.85</v>
      </c>
      <c r="G68" s="10">
        <f t="shared" si="1"/>
        <v>9.2107233787628306E-3</v>
      </c>
      <c r="H68">
        <v>335.45</v>
      </c>
      <c r="I68" s="10">
        <f t="shared" si="2"/>
        <v>1.6515151515151372E-2</v>
      </c>
      <c r="J68" s="12">
        <v>3412.4</v>
      </c>
      <c r="K68" s="10">
        <f t="shared" si="3"/>
        <v>2.7180700233606636E-3</v>
      </c>
      <c r="L68" s="24">
        <v>24717.7</v>
      </c>
      <c r="M68" s="10">
        <f t="shared" si="4"/>
        <v>-4.7171615693268887E-3</v>
      </c>
      <c r="O68" s="11"/>
      <c r="Q68" s="11"/>
      <c r="S68" s="11"/>
      <c r="T68" s="11"/>
      <c r="V68" s="12"/>
      <c r="W68" s="12"/>
      <c r="X68" s="12"/>
      <c r="Z68" s="13"/>
    </row>
    <row r="69" spans="3:26">
      <c r="C69" s="11" t="s">
        <v>60</v>
      </c>
      <c r="D69" s="11">
        <v>32.53</v>
      </c>
      <c r="E69" s="10">
        <f t="shared" si="0"/>
        <v>-4.3235294117647038E-2</v>
      </c>
      <c r="F69" s="11">
        <v>644.4</v>
      </c>
      <c r="G69" s="10">
        <f t="shared" si="1"/>
        <v>-4.3704088446983813E-2</v>
      </c>
      <c r="H69">
        <v>324.5</v>
      </c>
      <c r="I69" s="10">
        <f t="shared" si="2"/>
        <v>-3.2642718736026199E-2</v>
      </c>
      <c r="J69" s="12">
        <v>3669.9</v>
      </c>
      <c r="K69" s="10">
        <f t="shared" si="3"/>
        <v>7.5460086742468624E-2</v>
      </c>
      <c r="L69" s="24">
        <v>24367.5</v>
      </c>
      <c r="M69" s="10">
        <f t="shared" si="4"/>
        <v>-1.4167984885325113E-2</v>
      </c>
      <c r="O69" s="11"/>
      <c r="Q69" s="11"/>
      <c r="S69" s="11"/>
      <c r="T69" s="11"/>
      <c r="V69" s="12"/>
      <c r="W69" s="12"/>
      <c r="X69" s="12"/>
      <c r="Z69" s="13"/>
    </row>
    <row r="70" spans="3:26">
      <c r="C70" s="11" t="s">
        <v>59</v>
      </c>
      <c r="D70" s="11">
        <v>31.84</v>
      </c>
      <c r="E70" s="10">
        <f t="shared" ref="E70:E109" si="5">IFERROR(D70/D69-1,0)</f>
        <v>-2.1211189671072939E-2</v>
      </c>
      <c r="F70" s="11">
        <v>643.29999999999995</v>
      </c>
      <c r="G70" s="10">
        <f t="shared" ref="G70:G109" si="6">F70/F69-1</f>
        <v>-1.7070142768467189E-3</v>
      </c>
      <c r="H70">
        <v>319.2</v>
      </c>
      <c r="I70" s="10">
        <f t="shared" ref="I70:I109" si="7">IFERROR(H70/H69-1,0)</f>
        <v>-1.6332819722650216E-2</v>
      </c>
      <c r="J70" s="12">
        <v>3680.6</v>
      </c>
      <c r="K70" s="10">
        <f t="shared" ref="K70:K109" si="8">J70/J69-1</f>
        <v>2.9156107795851316E-3</v>
      </c>
      <c r="L70" s="24">
        <v>24541.15</v>
      </c>
      <c r="M70" s="10">
        <f t="shared" ref="M70:M109" si="9">L70/L69-1</f>
        <v>7.1262952703396998E-3</v>
      </c>
      <c r="O70" s="11"/>
      <c r="Q70" s="11"/>
      <c r="S70" s="11"/>
      <c r="T70" s="11"/>
      <c r="V70" s="12"/>
      <c r="W70" s="12"/>
      <c r="X70" s="12"/>
      <c r="Z70" s="13"/>
    </row>
    <row r="71" spans="3:26">
      <c r="C71" s="11" t="s">
        <v>58</v>
      </c>
      <c r="D71" s="11">
        <v>33.51</v>
      </c>
      <c r="E71" s="10">
        <f t="shared" si="5"/>
        <v>5.2449748743718549E-2</v>
      </c>
      <c r="F71" s="11">
        <v>636.45000000000005</v>
      </c>
      <c r="G71" s="10">
        <f t="shared" si="6"/>
        <v>-1.0648220115031748E-2</v>
      </c>
      <c r="H71">
        <v>318.89999999999998</v>
      </c>
      <c r="I71" s="10">
        <f t="shared" si="7"/>
        <v>-9.3984962406024053E-4</v>
      </c>
      <c r="J71" s="12">
        <v>3629.5</v>
      </c>
      <c r="K71" s="10">
        <f t="shared" si="8"/>
        <v>-1.3883605933815102E-2</v>
      </c>
      <c r="L71" s="24">
        <v>24823.15</v>
      </c>
      <c r="M71" s="10">
        <f t="shared" si="9"/>
        <v>1.1490904052988471E-2</v>
      </c>
      <c r="O71" s="11"/>
      <c r="Q71" s="11"/>
      <c r="S71" s="11"/>
      <c r="T71" s="11"/>
      <c r="V71" s="12"/>
      <c r="W71" s="12"/>
      <c r="X71" s="12"/>
      <c r="Z71" s="13"/>
    </row>
    <row r="72" spans="3:26">
      <c r="C72" s="11" t="s">
        <v>57</v>
      </c>
      <c r="D72" s="11">
        <v>32.14</v>
      </c>
      <c r="E72" s="10">
        <f t="shared" si="5"/>
        <v>-4.0883318412414105E-2</v>
      </c>
      <c r="F72" s="11">
        <v>681.85</v>
      </c>
      <c r="G72" s="10">
        <f t="shared" si="6"/>
        <v>7.1333176211799687E-2</v>
      </c>
      <c r="H72">
        <v>311.60000000000002</v>
      </c>
      <c r="I72" s="10">
        <f t="shared" si="7"/>
        <v>-2.2891188460332224E-2</v>
      </c>
      <c r="J72" s="12">
        <v>3601</v>
      </c>
      <c r="K72" s="10">
        <f t="shared" si="8"/>
        <v>-7.852321256371364E-3</v>
      </c>
      <c r="L72" s="24">
        <v>25235.9</v>
      </c>
      <c r="M72" s="10">
        <f t="shared" si="9"/>
        <v>1.6627623810837822E-2</v>
      </c>
      <c r="O72" s="11"/>
      <c r="Q72" s="11"/>
      <c r="S72" s="11"/>
      <c r="T72" s="11"/>
      <c r="V72" s="12"/>
      <c r="W72" s="12"/>
      <c r="X72" s="12"/>
      <c r="Z72" s="13"/>
    </row>
    <row r="73" spans="3:26">
      <c r="C73" s="11" t="s">
        <v>56</v>
      </c>
      <c r="D73" s="11">
        <v>32.450000000000003</v>
      </c>
      <c r="E73" s="10">
        <f t="shared" si="5"/>
        <v>9.6453018046049888E-3</v>
      </c>
      <c r="F73" s="11">
        <v>730.9</v>
      </c>
      <c r="G73" s="10">
        <f t="shared" si="6"/>
        <v>7.1936642956661911E-2</v>
      </c>
      <c r="H73">
        <v>309.55</v>
      </c>
      <c r="I73" s="10">
        <f t="shared" si="7"/>
        <v>-6.5789473684211286E-3</v>
      </c>
      <c r="J73" s="12">
        <v>3588.15</v>
      </c>
      <c r="K73" s="10">
        <f t="shared" si="8"/>
        <v>-3.568453207442368E-3</v>
      </c>
      <c r="L73" s="24">
        <v>24852.15</v>
      </c>
      <c r="M73" s="10">
        <f t="shared" si="9"/>
        <v>-1.5206511358818231E-2</v>
      </c>
      <c r="O73" s="11"/>
      <c r="Q73" s="11"/>
      <c r="S73" s="11"/>
      <c r="T73" s="11"/>
      <c r="V73" s="12"/>
      <c r="W73" s="12"/>
      <c r="X73" s="12"/>
      <c r="Z73" s="13"/>
    </row>
    <row r="74" spans="3:26">
      <c r="C74" s="11" t="s">
        <v>55</v>
      </c>
      <c r="D74" s="11">
        <v>32.619999999999997</v>
      </c>
      <c r="E74" s="10">
        <f t="shared" si="5"/>
        <v>5.2388289676423838E-3</v>
      </c>
      <c r="F74" s="11">
        <v>707.75</v>
      </c>
      <c r="G74" s="10">
        <f t="shared" si="6"/>
        <v>-3.1673279518401931E-2</v>
      </c>
      <c r="H74">
        <v>328.6</v>
      </c>
      <c r="I74" s="10">
        <f t="shared" si="7"/>
        <v>6.1540946535293184E-2</v>
      </c>
      <c r="J74" s="12">
        <v>3639.95</v>
      </c>
      <c r="K74" s="10">
        <f t="shared" si="8"/>
        <v>1.443640873430585E-2</v>
      </c>
      <c r="L74" s="24">
        <v>25356.5</v>
      </c>
      <c r="M74" s="10">
        <f t="shared" si="9"/>
        <v>2.0294018827344829E-2</v>
      </c>
      <c r="O74" s="11"/>
      <c r="Q74" s="11"/>
      <c r="S74" s="11"/>
      <c r="T74" s="11"/>
      <c r="V74" s="12"/>
      <c r="W74" s="12"/>
      <c r="X74" s="12"/>
      <c r="Z74" s="13"/>
    </row>
    <row r="75" spans="3:26">
      <c r="C75" s="11" t="s">
        <v>54</v>
      </c>
      <c r="D75" s="11">
        <v>33.32</v>
      </c>
      <c r="E75" s="10">
        <f t="shared" si="5"/>
        <v>2.1459227467811148E-2</v>
      </c>
      <c r="F75" s="11">
        <v>667</v>
      </c>
      <c r="G75" s="10">
        <f t="shared" si="6"/>
        <v>-5.7576827975980183E-2</v>
      </c>
      <c r="H75">
        <v>328.2</v>
      </c>
      <c r="I75" s="10">
        <f t="shared" si="7"/>
        <v>-1.2172854534389099E-3</v>
      </c>
      <c r="J75" s="12">
        <v>3698.55</v>
      </c>
      <c r="K75" s="10">
        <f t="shared" si="8"/>
        <v>1.6099122240690322E-2</v>
      </c>
      <c r="L75" s="24">
        <v>25790.95</v>
      </c>
      <c r="M75" s="10">
        <f t="shared" si="9"/>
        <v>1.7133673811448702E-2</v>
      </c>
      <c r="O75" s="11"/>
      <c r="Q75" s="11"/>
      <c r="S75" s="11"/>
      <c r="T75" s="11"/>
      <c r="V75" s="12"/>
      <c r="W75" s="12"/>
      <c r="X75" s="12"/>
      <c r="Z75" s="13"/>
    </row>
    <row r="76" spans="3:26">
      <c r="C76" s="11" t="s">
        <v>53</v>
      </c>
      <c r="D76" s="11">
        <v>34.950000000000003</v>
      </c>
      <c r="E76" s="10">
        <f t="shared" si="5"/>
        <v>4.8919567827131027E-2</v>
      </c>
      <c r="F76" s="11">
        <v>669.9</v>
      </c>
      <c r="G76" s="10">
        <f t="shared" si="6"/>
        <v>4.3478260869564966E-3</v>
      </c>
      <c r="H76">
        <v>352.15</v>
      </c>
      <c r="I76" s="10">
        <f t="shared" si="7"/>
        <v>7.2973796465569674E-2</v>
      </c>
      <c r="J76" s="12">
        <v>4000.35</v>
      </c>
      <c r="K76" s="10">
        <f t="shared" si="8"/>
        <v>8.1599545767935933E-2</v>
      </c>
      <c r="L76" s="24">
        <v>26178.95</v>
      </c>
      <c r="M76" s="10">
        <f t="shared" si="9"/>
        <v>1.5044036764834123E-2</v>
      </c>
      <c r="O76" s="11"/>
      <c r="Q76" s="11"/>
      <c r="S76" s="11"/>
      <c r="T76" s="11"/>
      <c r="V76" s="12"/>
      <c r="W76" s="12"/>
      <c r="X76" s="12"/>
      <c r="Z76" s="13"/>
    </row>
    <row r="77" spans="3:26">
      <c r="C77" s="11" t="s">
        <v>52</v>
      </c>
      <c r="D77" s="11">
        <v>34.61</v>
      </c>
      <c r="E77" s="10">
        <f t="shared" si="5"/>
        <v>-9.7281831187411294E-3</v>
      </c>
      <c r="F77" s="11">
        <v>654.5</v>
      </c>
      <c r="G77" s="10">
        <f t="shared" si="6"/>
        <v>-2.2988505747126409E-2</v>
      </c>
      <c r="H77">
        <v>332.75</v>
      </c>
      <c r="I77" s="10">
        <f t="shared" si="7"/>
        <v>-5.5090160442992975E-2</v>
      </c>
      <c r="J77" s="12">
        <v>4457.1499999999996</v>
      </c>
      <c r="K77" s="10">
        <f t="shared" si="8"/>
        <v>0.11419000837426729</v>
      </c>
      <c r="L77" s="24">
        <v>25014.6</v>
      </c>
      <c r="M77" s="10">
        <f t="shared" si="9"/>
        <v>-4.4476573735768743E-2</v>
      </c>
      <c r="O77" s="11"/>
      <c r="Q77" s="11"/>
      <c r="S77" s="11"/>
      <c r="T77" s="11"/>
      <c r="V77" s="12"/>
      <c r="W77" s="12"/>
      <c r="X77" s="12"/>
      <c r="Z77" s="13"/>
    </row>
    <row r="78" spans="3:26">
      <c r="C78" s="11" t="s">
        <v>51</v>
      </c>
      <c r="D78" s="11">
        <v>35.01</v>
      </c>
      <c r="E78" s="10">
        <f t="shared" si="5"/>
        <v>1.1557353366079104E-2</v>
      </c>
      <c r="F78" s="11">
        <v>666.95</v>
      </c>
      <c r="G78" s="10">
        <f t="shared" si="6"/>
        <v>1.9022154316272077E-2</v>
      </c>
      <c r="H78">
        <v>340.15</v>
      </c>
      <c r="I78" s="10">
        <f t="shared" si="7"/>
        <v>2.2238918106686656E-2</v>
      </c>
      <c r="J78" s="12">
        <v>4469.45</v>
      </c>
      <c r="K78" s="10">
        <f t="shared" si="8"/>
        <v>2.7596109621619291E-3</v>
      </c>
      <c r="L78" s="24">
        <v>24964.25</v>
      </c>
      <c r="M78" s="10">
        <f t="shared" si="9"/>
        <v>-2.0128245104857889E-3</v>
      </c>
      <c r="O78" s="11"/>
      <c r="Q78" s="11"/>
      <c r="S78" s="11"/>
      <c r="T78" s="11"/>
      <c r="V78" s="12"/>
      <c r="W78" s="12"/>
      <c r="X78" s="12"/>
      <c r="Z78" s="13"/>
    </row>
    <row r="79" spans="3:26">
      <c r="C79" s="11" t="s">
        <v>50</v>
      </c>
      <c r="D79" s="11">
        <v>35.159999999999997</v>
      </c>
      <c r="E79" s="10">
        <f t="shared" si="5"/>
        <v>4.2844901456726703E-3</v>
      </c>
      <c r="F79" s="11">
        <v>682</v>
      </c>
      <c r="G79" s="10">
        <f t="shared" si="6"/>
        <v>2.2565409700876948E-2</v>
      </c>
      <c r="H79">
        <v>334.85</v>
      </c>
      <c r="I79" s="10">
        <f t="shared" si="7"/>
        <v>-1.5581361164192176E-2</v>
      </c>
      <c r="J79" s="12">
        <v>4299.45</v>
      </c>
      <c r="K79" s="10">
        <f t="shared" si="8"/>
        <v>-3.8035999955251754E-2</v>
      </c>
      <c r="L79" s="24">
        <v>24854.05</v>
      </c>
      <c r="M79" s="10">
        <f t="shared" si="9"/>
        <v>-4.4143124668275524E-3</v>
      </c>
      <c r="O79" s="11"/>
      <c r="Q79" s="11"/>
      <c r="S79" s="11"/>
      <c r="T79" s="11"/>
      <c r="V79" s="12"/>
      <c r="W79" s="12"/>
      <c r="X79" s="12"/>
      <c r="Z79" s="13"/>
    </row>
    <row r="80" spans="3:26">
      <c r="C80" s="11" t="s">
        <v>49</v>
      </c>
      <c r="D80" s="11">
        <v>33.14</v>
      </c>
      <c r="E80" s="10">
        <f t="shared" si="5"/>
        <v>-5.7451649601820143E-2</v>
      </c>
      <c r="F80" s="11">
        <v>657.55</v>
      </c>
      <c r="G80" s="10">
        <f t="shared" si="6"/>
        <v>-3.5850439882697982E-2</v>
      </c>
      <c r="H80">
        <v>299.95</v>
      </c>
      <c r="I80" s="10">
        <f t="shared" si="7"/>
        <v>-0.10422577273406008</v>
      </c>
      <c r="J80" s="12">
        <v>4345.7</v>
      </c>
      <c r="K80" s="10">
        <f t="shared" si="8"/>
        <v>1.0757189873123352E-2</v>
      </c>
      <c r="L80" s="24">
        <v>24180.799999999999</v>
      </c>
      <c r="M80" s="10">
        <f t="shared" si="9"/>
        <v>-2.7088140564616281E-2</v>
      </c>
      <c r="O80" s="11"/>
      <c r="Q80" s="11"/>
      <c r="S80" s="11"/>
      <c r="T80" s="11"/>
      <c r="V80" s="12"/>
      <c r="W80" s="12"/>
      <c r="X80" s="12"/>
      <c r="Z80" s="13"/>
    </row>
    <row r="81" spans="3:26">
      <c r="C81" s="11" t="s">
        <v>48</v>
      </c>
      <c r="D81" s="11">
        <v>32.979999999999997</v>
      </c>
      <c r="E81" s="10">
        <f t="shared" si="5"/>
        <v>-4.8280024140012756E-3</v>
      </c>
      <c r="F81" s="11">
        <v>679.1</v>
      </c>
      <c r="G81" s="10">
        <f t="shared" si="6"/>
        <v>3.2773173142726986E-2</v>
      </c>
      <c r="H81">
        <v>314.3</v>
      </c>
      <c r="I81" s="10">
        <f t="shared" si="7"/>
        <v>4.7841306884480739E-2</v>
      </c>
      <c r="J81" s="12">
        <v>4191.1499999999996</v>
      </c>
      <c r="K81" s="10">
        <f t="shared" si="8"/>
        <v>-3.5563890742573157E-2</v>
      </c>
      <c r="L81" s="24">
        <v>24304.35</v>
      </c>
      <c r="M81" s="10">
        <f t="shared" si="9"/>
        <v>5.1094256600276999E-3</v>
      </c>
      <c r="O81" s="11"/>
      <c r="Q81" s="11"/>
      <c r="S81" s="11"/>
      <c r="T81" s="11"/>
      <c r="V81" s="12"/>
      <c r="W81" s="12"/>
      <c r="X81" s="12"/>
      <c r="Z81" s="13"/>
    </row>
    <row r="82" spans="3:26">
      <c r="C82" s="11" t="s">
        <v>47</v>
      </c>
      <c r="D82" s="11">
        <v>34.94</v>
      </c>
      <c r="E82" s="10">
        <f t="shared" si="5"/>
        <v>5.9429957550030332E-2</v>
      </c>
      <c r="F82" s="11">
        <v>679.15</v>
      </c>
      <c r="G82" s="10">
        <f t="shared" si="6"/>
        <v>7.3626859078190776E-5</v>
      </c>
      <c r="H82">
        <v>297.75</v>
      </c>
      <c r="I82" s="10">
        <f t="shared" si="7"/>
        <v>-5.2656697422844401E-2</v>
      </c>
      <c r="J82" s="12">
        <v>4107.6000000000004</v>
      </c>
      <c r="K82" s="10">
        <f t="shared" si="8"/>
        <v>-1.9934862746501358E-2</v>
      </c>
      <c r="L82" s="24">
        <v>24148.2</v>
      </c>
      <c r="M82" s="10">
        <f t="shared" si="9"/>
        <v>-6.4247758117372822E-3</v>
      </c>
      <c r="O82" s="11"/>
      <c r="Q82" s="11"/>
      <c r="S82" s="11"/>
      <c r="T82" s="11"/>
      <c r="V82" s="12"/>
      <c r="W82" s="12"/>
      <c r="X82" s="12"/>
      <c r="Z82" s="13"/>
    </row>
    <row r="83" spans="3:26">
      <c r="C83" s="11" t="s">
        <v>46</v>
      </c>
      <c r="D83" s="11">
        <v>33.61</v>
      </c>
      <c r="E83" s="10">
        <f t="shared" si="5"/>
        <v>-3.8065254722381203E-2</v>
      </c>
      <c r="F83" s="11">
        <v>704.2</v>
      </c>
      <c r="G83" s="10">
        <f t="shared" si="6"/>
        <v>3.6884340720017672E-2</v>
      </c>
      <c r="H83">
        <v>287.89999999999998</v>
      </c>
      <c r="I83" s="10">
        <f t="shared" si="7"/>
        <v>-3.3081444164567708E-2</v>
      </c>
      <c r="J83" s="12">
        <v>3663.7</v>
      </c>
      <c r="K83" s="10">
        <f t="shared" si="8"/>
        <v>-0.10806797156490422</v>
      </c>
      <c r="L83" s="24">
        <v>23532.7</v>
      </c>
      <c r="M83" s="10">
        <f t="shared" si="9"/>
        <v>-2.5488442202731498E-2</v>
      </c>
      <c r="O83" s="11"/>
      <c r="Q83" s="11"/>
      <c r="S83" s="11"/>
      <c r="T83" s="11"/>
      <c r="V83" s="12"/>
      <c r="W83" s="12"/>
      <c r="X83" s="12"/>
      <c r="Z83" s="13"/>
    </row>
    <row r="84" spans="3:26">
      <c r="C84" s="11" t="s">
        <v>45</v>
      </c>
      <c r="D84" s="11">
        <v>33.36</v>
      </c>
      <c r="E84" s="10">
        <f t="shared" si="5"/>
        <v>-7.4382624218982674E-3</v>
      </c>
      <c r="F84" s="11">
        <v>741.45</v>
      </c>
      <c r="G84" s="10">
        <f t="shared" si="6"/>
        <v>5.2896904288554314E-2</v>
      </c>
      <c r="H84">
        <v>288.5</v>
      </c>
      <c r="I84" s="10">
        <f t="shared" si="7"/>
        <v>2.0840569642237572E-3</v>
      </c>
      <c r="J84" s="12">
        <v>3845.05</v>
      </c>
      <c r="K84" s="10">
        <f t="shared" si="8"/>
        <v>4.9499140213445481E-2</v>
      </c>
      <c r="L84" s="24">
        <v>23907.25</v>
      </c>
      <c r="M84" s="10">
        <f t="shared" si="9"/>
        <v>1.5916150717937061E-2</v>
      </c>
      <c r="O84" s="11"/>
      <c r="Q84" s="11"/>
      <c r="S84" s="11"/>
      <c r="T84" s="11"/>
      <c r="V84" s="12"/>
      <c r="W84" s="12"/>
      <c r="X84" s="12"/>
      <c r="Z84" s="13"/>
    </row>
    <row r="85" spans="3:26">
      <c r="C85" s="11" t="s">
        <v>44</v>
      </c>
      <c r="D85" s="11">
        <v>33.619999999999997</v>
      </c>
      <c r="E85" s="10">
        <f t="shared" si="5"/>
        <v>7.7937649880095439E-3</v>
      </c>
      <c r="F85" s="11">
        <v>781.75</v>
      </c>
      <c r="G85" s="10">
        <f t="shared" si="6"/>
        <v>5.4352957043630745E-2</v>
      </c>
      <c r="H85">
        <v>313.64999999999998</v>
      </c>
      <c r="I85" s="10">
        <f t="shared" si="7"/>
        <v>8.7175043327556212E-2</v>
      </c>
      <c r="J85" s="12">
        <v>3954</v>
      </c>
      <c r="K85" s="10">
        <f t="shared" si="8"/>
        <v>2.8335132182936373E-2</v>
      </c>
      <c r="L85" s="24">
        <v>24131.1</v>
      </c>
      <c r="M85" s="10">
        <f t="shared" si="9"/>
        <v>9.3632684645870157E-3</v>
      </c>
      <c r="O85" s="11"/>
      <c r="Q85" s="11"/>
      <c r="S85" s="11"/>
      <c r="T85" s="11"/>
      <c r="V85" s="12"/>
      <c r="W85" s="12"/>
      <c r="X85" s="12"/>
      <c r="Z85" s="13"/>
    </row>
    <row r="86" spans="3:26">
      <c r="C86" s="11" t="s">
        <v>43</v>
      </c>
      <c r="D86" s="11">
        <v>33.61</v>
      </c>
      <c r="E86" s="10">
        <f t="shared" si="5"/>
        <v>-2.9744199881021061E-4</v>
      </c>
      <c r="F86" s="11">
        <v>849.8</v>
      </c>
      <c r="G86" s="10">
        <f t="shared" si="6"/>
        <v>8.7048289094979081E-2</v>
      </c>
      <c r="H86">
        <v>307.05</v>
      </c>
      <c r="I86" s="10">
        <f t="shared" si="7"/>
        <v>-2.1042563366809985E-2</v>
      </c>
      <c r="J86" s="12">
        <v>3975.1</v>
      </c>
      <c r="K86" s="10">
        <f t="shared" si="8"/>
        <v>5.3363682346989627E-3</v>
      </c>
      <c r="L86" s="24">
        <v>24677.8</v>
      </c>
      <c r="M86" s="10">
        <f t="shared" si="9"/>
        <v>2.2655411481449228E-2</v>
      </c>
      <c r="O86" s="11"/>
      <c r="Q86" s="11"/>
      <c r="S86" s="11"/>
      <c r="T86" s="11"/>
      <c r="V86" s="12"/>
      <c r="W86" s="12"/>
      <c r="X86" s="12"/>
      <c r="Z86" s="13"/>
    </row>
    <row r="87" spans="3:26">
      <c r="C87" s="11" t="s">
        <v>42</v>
      </c>
      <c r="D87" s="11">
        <v>34.49</v>
      </c>
      <c r="E87" s="10">
        <f t="shared" si="5"/>
        <v>2.6182683725081812E-2</v>
      </c>
      <c r="F87" s="11">
        <v>855.4</v>
      </c>
      <c r="G87" s="10">
        <f t="shared" si="6"/>
        <v>6.5897858319605707E-3</v>
      </c>
      <c r="H87">
        <v>301.55</v>
      </c>
      <c r="I87" s="10">
        <f t="shared" si="7"/>
        <v>-1.7912392118547449E-2</v>
      </c>
      <c r="J87" s="12">
        <v>3836.25</v>
      </c>
      <c r="K87" s="10">
        <f t="shared" si="8"/>
        <v>-3.4929938869462385E-2</v>
      </c>
      <c r="L87" s="24">
        <v>24768.3</v>
      </c>
      <c r="M87" s="10">
        <f t="shared" si="9"/>
        <v>3.6672636944945491E-3</v>
      </c>
      <c r="O87" s="11"/>
      <c r="Q87" s="11"/>
      <c r="S87" s="11"/>
      <c r="T87" s="11"/>
      <c r="V87" s="12"/>
      <c r="W87" s="12"/>
      <c r="X87" s="12"/>
      <c r="Z87" s="13"/>
    </row>
    <row r="88" spans="3:26">
      <c r="C88" s="11" t="s">
        <v>41</v>
      </c>
      <c r="D88" s="11">
        <v>34.86</v>
      </c>
      <c r="E88" s="10">
        <f t="shared" si="5"/>
        <v>1.0727747173093549E-2</v>
      </c>
      <c r="F88" s="11">
        <v>848.9</v>
      </c>
      <c r="G88" s="10">
        <f t="shared" si="6"/>
        <v>-7.5987841945288626E-3</v>
      </c>
      <c r="H88">
        <v>282.25</v>
      </c>
      <c r="I88" s="10">
        <f t="shared" si="7"/>
        <v>-6.4002652959708195E-2</v>
      </c>
      <c r="J88" s="12">
        <v>3780.3</v>
      </c>
      <c r="K88" s="10">
        <f t="shared" si="8"/>
        <v>-1.4584555229716467E-2</v>
      </c>
      <c r="L88" s="24">
        <v>23587.5</v>
      </c>
      <c r="M88" s="10">
        <f t="shared" si="9"/>
        <v>-4.7673841159869612E-2</v>
      </c>
      <c r="O88" s="11"/>
      <c r="Q88" s="11"/>
      <c r="S88" s="11"/>
      <c r="T88" s="11"/>
      <c r="V88" s="12"/>
      <c r="W88" s="12"/>
      <c r="X88" s="12"/>
      <c r="Z88" s="13"/>
    </row>
    <row r="89" spans="3:26">
      <c r="C89" s="11" t="s">
        <v>40</v>
      </c>
      <c r="D89" s="11">
        <v>33.33</v>
      </c>
      <c r="E89" s="10">
        <f t="shared" si="5"/>
        <v>-4.3889845094664426E-2</v>
      </c>
      <c r="F89" s="11">
        <v>839.55</v>
      </c>
      <c r="G89" s="10">
        <f t="shared" si="6"/>
        <v>-1.1014253740134317E-2</v>
      </c>
      <c r="H89">
        <v>281.89999999999998</v>
      </c>
      <c r="I89" s="10">
        <f t="shared" si="7"/>
        <v>-1.2400354295837301E-3</v>
      </c>
      <c r="J89" s="12">
        <v>3846.8</v>
      </c>
      <c r="K89" s="10">
        <f t="shared" si="8"/>
        <v>1.7591196465889025E-2</v>
      </c>
      <c r="L89" s="24">
        <v>23813.4</v>
      </c>
      <c r="M89" s="10">
        <f t="shared" si="9"/>
        <v>9.5771065182830295E-3</v>
      </c>
      <c r="O89" s="11"/>
      <c r="Q89" s="11"/>
      <c r="S89" s="11"/>
      <c r="T89" s="11"/>
      <c r="V89" s="12"/>
      <c r="W89" s="12"/>
      <c r="X89" s="12"/>
      <c r="Z89" s="13"/>
    </row>
    <row r="90" spans="3:26">
      <c r="C90" s="11" t="s">
        <v>40</v>
      </c>
      <c r="D90" s="11">
        <v>0</v>
      </c>
      <c r="E90" s="10">
        <f t="shared" si="5"/>
        <v>-1</v>
      </c>
      <c r="F90" s="11">
        <v>831.85</v>
      </c>
      <c r="G90" s="10">
        <f t="shared" si="6"/>
        <v>-9.171580013102143E-3</v>
      </c>
      <c r="H90">
        <v>280.35000000000002</v>
      </c>
      <c r="I90" s="10">
        <f t="shared" si="7"/>
        <v>-5.4984036892513632E-3</v>
      </c>
      <c r="J90" s="12">
        <v>3745.65</v>
      </c>
      <c r="K90" s="10">
        <f t="shared" si="8"/>
        <v>-2.6294582510138276E-2</v>
      </c>
      <c r="L90" s="24">
        <v>24004.75</v>
      </c>
      <c r="M90" s="10">
        <f t="shared" si="9"/>
        <v>8.035391838208783E-3</v>
      </c>
      <c r="O90" s="11"/>
      <c r="Q90" s="11"/>
      <c r="S90" s="11"/>
      <c r="T90" s="11"/>
      <c r="V90" s="12"/>
      <c r="W90" s="12"/>
      <c r="X90" s="12"/>
      <c r="Z90" s="13"/>
    </row>
    <row r="91" spans="3:26">
      <c r="C91" s="11" t="s">
        <v>39</v>
      </c>
      <c r="D91" s="11">
        <v>32.65</v>
      </c>
      <c r="E91" s="10">
        <f t="shared" si="5"/>
        <v>0</v>
      </c>
      <c r="F91" s="11">
        <v>834.35</v>
      </c>
      <c r="G91" s="10">
        <f t="shared" si="6"/>
        <v>3.0053495221493698E-3</v>
      </c>
      <c r="H91">
        <v>274.25</v>
      </c>
      <c r="I91" s="10">
        <f t="shared" si="7"/>
        <v>-2.1758516140538697E-2</v>
      </c>
      <c r="J91" s="12">
        <v>3410.8</v>
      </c>
      <c r="K91" s="10">
        <f t="shared" si="8"/>
        <v>-8.9397033892648747E-2</v>
      </c>
      <c r="L91" s="24">
        <v>23431.5</v>
      </c>
      <c r="M91" s="10">
        <f t="shared" si="9"/>
        <v>-2.3880690280048689E-2</v>
      </c>
      <c r="O91" s="11"/>
      <c r="Q91" s="11"/>
      <c r="S91" s="11"/>
      <c r="T91" s="11"/>
      <c r="V91" s="12"/>
      <c r="W91" s="12"/>
      <c r="X91" s="12"/>
      <c r="Z91" s="13"/>
    </row>
    <row r="92" spans="3:26">
      <c r="C92" s="11" t="s">
        <v>38</v>
      </c>
      <c r="D92" s="11">
        <v>31.77</v>
      </c>
      <c r="E92" s="10">
        <f t="shared" si="5"/>
        <v>-2.6952526799387422E-2</v>
      </c>
      <c r="F92" s="11">
        <v>784.4</v>
      </c>
      <c r="G92" s="10">
        <f t="shared" si="6"/>
        <v>-5.9866962305986759E-2</v>
      </c>
      <c r="H92">
        <v>274.10000000000002</v>
      </c>
      <c r="I92" s="10">
        <f t="shared" si="7"/>
        <v>-5.4694621695527967E-4</v>
      </c>
      <c r="J92" s="12">
        <v>3232.65</v>
      </c>
      <c r="K92" s="10">
        <f t="shared" si="8"/>
        <v>-5.2231148117743653E-2</v>
      </c>
      <c r="L92" s="24">
        <v>23203.200000000001</v>
      </c>
      <c r="M92" s="10">
        <f t="shared" si="9"/>
        <v>-9.7432942833365344E-3</v>
      </c>
      <c r="O92" s="11"/>
      <c r="Q92" s="11"/>
      <c r="S92" s="11"/>
      <c r="T92" s="11"/>
      <c r="V92" s="12"/>
      <c r="W92" s="12"/>
      <c r="X92" s="12"/>
      <c r="Z92" s="13"/>
    </row>
    <row r="93" spans="3:26">
      <c r="C93" s="11" t="s">
        <v>37</v>
      </c>
      <c r="D93" s="11">
        <v>32.07</v>
      </c>
      <c r="E93" s="10">
        <f t="shared" si="5"/>
        <v>9.4428706326723511E-3</v>
      </c>
      <c r="F93" s="11">
        <v>719.75</v>
      </c>
      <c r="G93" s="10">
        <f t="shared" si="6"/>
        <v>-8.2419683834778157E-2</v>
      </c>
      <c r="H93">
        <v>272.05</v>
      </c>
      <c r="I93" s="10">
        <f t="shared" si="7"/>
        <v>-7.4790222546515794E-3</v>
      </c>
      <c r="J93" s="12">
        <v>2976.55</v>
      </c>
      <c r="K93" s="10">
        <f t="shared" si="8"/>
        <v>-7.9222928557066141E-2</v>
      </c>
      <c r="L93" s="24">
        <v>23092.2</v>
      </c>
      <c r="M93" s="10">
        <f t="shared" si="9"/>
        <v>-4.7838229209764549E-3</v>
      </c>
      <c r="O93" s="11"/>
      <c r="Q93" s="11"/>
      <c r="S93" s="11"/>
      <c r="T93" s="11"/>
      <c r="V93" s="12"/>
      <c r="W93" s="12"/>
      <c r="X93" s="12"/>
      <c r="Z93" s="13"/>
    </row>
    <row r="94" spans="3:26">
      <c r="C94" s="11" t="s">
        <v>36</v>
      </c>
      <c r="D94" s="11">
        <v>30.79</v>
      </c>
      <c r="E94" s="10">
        <f t="shared" si="5"/>
        <v>-3.9912690988462729E-2</v>
      </c>
      <c r="F94" s="11">
        <v>787.2</v>
      </c>
      <c r="G94" s="10">
        <f t="shared" si="6"/>
        <v>9.3713094824591892E-2</v>
      </c>
      <c r="H94">
        <v>283</v>
      </c>
      <c r="I94" s="10">
        <f t="shared" si="7"/>
        <v>4.0249954052563819E-2</v>
      </c>
      <c r="J94" s="12">
        <v>3397.4</v>
      </c>
      <c r="K94" s="10">
        <f t="shared" si="8"/>
        <v>0.14138852026675175</v>
      </c>
      <c r="L94" s="24">
        <v>23508.400000000001</v>
      </c>
      <c r="M94" s="10">
        <f t="shared" si="9"/>
        <v>1.8023401841314346E-2</v>
      </c>
      <c r="O94" s="11"/>
      <c r="Q94" s="11"/>
      <c r="S94" s="11"/>
      <c r="T94" s="11"/>
      <c r="V94" s="12"/>
      <c r="W94" s="12"/>
      <c r="X94" s="12"/>
      <c r="Z94" s="13"/>
    </row>
    <row r="95" spans="3:26">
      <c r="C95" s="11" t="s">
        <v>35</v>
      </c>
      <c r="D95" s="11">
        <v>29.49</v>
      </c>
      <c r="E95" s="10">
        <f t="shared" si="5"/>
        <v>-4.2221500487171215E-2</v>
      </c>
      <c r="F95" s="11">
        <v>797.15</v>
      </c>
      <c r="G95" s="10">
        <f t="shared" si="6"/>
        <v>1.2639735772357552E-2</v>
      </c>
      <c r="H95">
        <v>275.85000000000002</v>
      </c>
      <c r="I95" s="10">
        <f t="shared" si="7"/>
        <v>-2.5265017667844392E-2</v>
      </c>
      <c r="J95" s="12">
        <v>3464.55</v>
      </c>
      <c r="K95" s="10">
        <f t="shared" si="8"/>
        <v>1.9765114499322944E-2</v>
      </c>
      <c r="L95" s="24">
        <v>23559.95</v>
      </c>
      <c r="M95" s="10">
        <f t="shared" si="9"/>
        <v>2.1928332000475947E-3</v>
      </c>
      <c r="O95" s="11"/>
      <c r="Q95" s="11"/>
      <c r="S95" s="11"/>
      <c r="T95" s="11"/>
      <c r="V95" s="12"/>
      <c r="W95" s="12"/>
      <c r="X95" s="12"/>
      <c r="Z95" s="13"/>
    </row>
    <row r="96" spans="3:26">
      <c r="C96" s="11" t="s">
        <v>34</v>
      </c>
      <c r="D96" s="11">
        <v>30.79</v>
      </c>
      <c r="E96" s="10">
        <f t="shared" si="5"/>
        <v>4.4082739911834645E-2</v>
      </c>
      <c r="F96" s="11">
        <v>721.4</v>
      </c>
      <c r="G96" s="10">
        <f t="shared" si="6"/>
        <v>-9.5026030232704062E-2</v>
      </c>
      <c r="H96">
        <v>247.55</v>
      </c>
      <c r="I96" s="10">
        <f t="shared" si="7"/>
        <v>-0.10259198839949246</v>
      </c>
      <c r="J96" s="12">
        <v>3244.8</v>
      </c>
      <c r="K96" s="10">
        <f t="shared" si="8"/>
        <v>-6.3428150842100739E-2</v>
      </c>
      <c r="L96" s="24">
        <v>22929.25</v>
      </c>
      <c r="M96" s="10">
        <f t="shared" si="9"/>
        <v>-2.6770005878620329E-2</v>
      </c>
      <c r="O96" s="11"/>
      <c r="Q96" s="11"/>
      <c r="S96" s="11"/>
      <c r="T96" s="11"/>
      <c r="V96" s="12"/>
      <c r="W96" s="12"/>
      <c r="X96" s="12"/>
      <c r="Z96" s="13"/>
    </row>
    <row r="97" spans="3:26">
      <c r="C97" s="11" t="s">
        <v>33</v>
      </c>
      <c r="D97" s="11">
        <v>30.42</v>
      </c>
      <c r="E97" s="10">
        <f t="shared" si="5"/>
        <v>-1.2016888600194786E-2</v>
      </c>
      <c r="F97" s="11">
        <v>722.85</v>
      </c>
      <c r="G97" s="10">
        <f t="shared" si="6"/>
        <v>2.0099805932909387E-3</v>
      </c>
      <c r="H97">
        <v>250.4</v>
      </c>
      <c r="I97" s="10">
        <f t="shared" si="7"/>
        <v>1.151282569177936E-2</v>
      </c>
      <c r="J97" s="12">
        <v>3044.95</v>
      </c>
      <c r="K97" s="10">
        <f t="shared" si="8"/>
        <v>-6.1590853057199357E-2</v>
      </c>
      <c r="L97" s="24">
        <v>22795.9</v>
      </c>
      <c r="M97" s="10">
        <f t="shared" si="9"/>
        <v>-5.8157157342695331E-3</v>
      </c>
      <c r="O97" s="11"/>
      <c r="Q97" s="11"/>
      <c r="S97" s="11"/>
      <c r="T97" s="11"/>
      <c r="V97" s="12"/>
      <c r="W97" s="12"/>
      <c r="X97" s="12"/>
      <c r="Z97" s="13"/>
    </row>
    <row r="98" spans="3:26">
      <c r="C98" s="11" t="s">
        <v>32</v>
      </c>
      <c r="D98" s="11">
        <v>31.26</v>
      </c>
      <c r="E98" s="10">
        <f t="shared" si="5"/>
        <v>2.7613412228796763E-2</v>
      </c>
      <c r="F98" s="11">
        <v>716.5</v>
      </c>
      <c r="G98" s="10">
        <f t="shared" si="6"/>
        <v>-8.7846717852944067E-3</v>
      </c>
      <c r="H98">
        <v>241.9</v>
      </c>
      <c r="I98" s="10">
        <f t="shared" si="7"/>
        <v>-3.3945686900958449E-2</v>
      </c>
      <c r="J98" s="12">
        <v>2991.15</v>
      </c>
      <c r="K98" s="10">
        <f t="shared" si="8"/>
        <v>-1.7668598827566884E-2</v>
      </c>
      <c r="L98" s="24">
        <v>22124.7</v>
      </c>
      <c r="M98" s="10">
        <f t="shared" si="9"/>
        <v>-2.9443891226053842E-2</v>
      </c>
      <c r="O98" s="11"/>
      <c r="Q98" s="11"/>
      <c r="S98" s="11"/>
      <c r="T98" s="11"/>
      <c r="V98" s="12"/>
      <c r="W98" s="12"/>
      <c r="X98" s="12"/>
      <c r="Z98" s="13"/>
    </row>
    <row r="99" spans="3:26">
      <c r="C99" s="11" t="s">
        <v>31</v>
      </c>
      <c r="D99" s="11">
        <v>30.77</v>
      </c>
      <c r="E99" s="10">
        <f t="shared" si="5"/>
        <v>-1.5674984005118464E-2</v>
      </c>
      <c r="F99" s="11">
        <v>707.9</v>
      </c>
      <c r="G99" s="10">
        <f t="shared" si="6"/>
        <v>-1.2002791346824915E-2</v>
      </c>
      <c r="H99">
        <v>241.9</v>
      </c>
      <c r="I99" s="10">
        <f t="shared" si="7"/>
        <v>0</v>
      </c>
      <c r="J99" s="12">
        <v>2910.1</v>
      </c>
      <c r="K99" s="10">
        <f t="shared" si="8"/>
        <v>-2.7096601641509177E-2</v>
      </c>
      <c r="L99" s="24">
        <v>22552.5</v>
      </c>
      <c r="M99" s="10">
        <f t="shared" si="9"/>
        <v>1.9335855401429125E-2</v>
      </c>
      <c r="O99" s="11"/>
      <c r="Q99" s="11"/>
      <c r="S99" s="11"/>
      <c r="T99" s="11"/>
      <c r="V99" s="12"/>
      <c r="W99" s="12"/>
      <c r="X99" s="12"/>
      <c r="Z99" s="13"/>
    </row>
    <row r="100" spans="3:26">
      <c r="C100" s="11" t="s">
        <v>30</v>
      </c>
      <c r="D100" s="11">
        <v>31.12</v>
      </c>
      <c r="E100" s="10">
        <f t="shared" si="5"/>
        <v>1.1374715632109345E-2</v>
      </c>
      <c r="F100" s="11">
        <v>708.4</v>
      </c>
      <c r="G100" s="10">
        <f t="shared" si="6"/>
        <v>7.0631445119362368E-4</v>
      </c>
      <c r="H100">
        <v>240.05</v>
      </c>
      <c r="I100" s="10">
        <f t="shared" si="7"/>
        <v>-7.6477883422901849E-3</v>
      </c>
      <c r="J100" s="12">
        <v>2780</v>
      </c>
      <c r="K100" s="10">
        <f t="shared" si="8"/>
        <v>-4.4706367478780762E-2</v>
      </c>
      <c r="L100" s="24">
        <v>22397.200000000001</v>
      </c>
      <c r="M100" s="10">
        <f t="shared" si="9"/>
        <v>-6.8861545283227521E-3</v>
      </c>
      <c r="O100" s="11"/>
      <c r="Q100" s="11"/>
      <c r="S100" s="11"/>
      <c r="T100" s="11"/>
      <c r="V100" s="12"/>
      <c r="W100" s="12"/>
      <c r="X100" s="12"/>
      <c r="Z100" s="13"/>
    </row>
    <row r="101" spans="3:26">
      <c r="C101" s="11" t="s">
        <v>29</v>
      </c>
      <c r="D101" s="11">
        <v>30.77</v>
      </c>
      <c r="E101" s="10">
        <f t="shared" si="5"/>
        <v>-1.1246786632390759E-2</v>
      </c>
      <c r="F101" s="11">
        <v>729.2</v>
      </c>
      <c r="G101" s="10">
        <f t="shared" si="6"/>
        <v>2.9361942405420782E-2</v>
      </c>
      <c r="H101">
        <v>252.85</v>
      </c>
      <c r="I101" s="10">
        <f t="shared" si="7"/>
        <v>5.3322224536554774E-2</v>
      </c>
      <c r="J101" s="12">
        <v>2892.3</v>
      </c>
      <c r="K101" s="10">
        <f t="shared" si="8"/>
        <v>4.0395683453237519E-2</v>
      </c>
      <c r="L101" s="24">
        <v>23350.400000000001</v>
      </c>
      <c r="M101" s="10">
        <f t="shared" si="9"/>
        <v>4.2558891289982803E-2</v>
      </c>
      <c r="O101" s="11"/>
      <c r="Q101" s="11"/>
      <c r="S101" s="11"/>
      <c r="T101" s="11"/>
      <c r="V101" s="12"/>
      <c r="W101" s="12"/>
      <c r="X101" s="12"/>
      <c r="Z101" s="13"/>
    </row>
    <row r="102" spans="3:26">
      <c r="C102" s="11" t="s">
        <v>28</v>
      </c>
      <c r="D102" s="11">
        <v>31.58</v>
      </c>
      <c r="E102" s="10">
        <f t="shared" si="5"/>
        <v>2.6324341891452718E-2</v>
      </c>
      <c r="F102" s="11">
        <v>759.55</v>
      </c>
      <c r="G102" s="10">
        <f t="shared" si="6"/>
        <v>4.1620954470652727E-2</v>
      </c>
      <c r="H102">
        <v>256.10000000000002</v>
      </c>
      <c r="I102" s="10">
        <f t="shared" si="7"/>
        <v>1.2853470437018011E-2</v>
      </c>
      <c r="J102" s="12">
        <v>2910.75</v>
      </c>
      <c r="K102" s="10">
        <f t="shared" si="8"/>
        <v>6.3790063271444986E-3</v>
      </c>
      <c r="L102" s="24">
        <v>23519.35</v>
      </c>
      <c r="M102" s="10">
        <f t="shared" si="9"/>
        <v>7.2354220912702605E-3</v>
      </c>
      <c r="O102" s="11"/>
      <c r="Q102" s="11"/>
      <c r="S102" s="11"/>
      <c r="T102" s="11"/>
      <c r="V102" s="12"/>
      <c r="W102" s="12"/>
      <c r="X102" s="12"/>
      <c r="Z102" s="13"/>
    </row>
    <row r="103" spans="3:26">
      <c r="C103" s="11" t="s">
        <v>27</v>
      </c>
      <c r="D103" s="11">
        <v>31.06</v>
      </c>
      <c r="E103" s="10">
        <f t="shared" si="5"/>
        <v>-1.6466117796073432E-2</v>
      </c>
      <c r="F103" s="11">
        <v>730.6</v>
      </c>
      <c r="G103" s="10">
        <f t="shared" si="6"/>
        <v>-3.8114673161740442E-2</v>
      </c>
      <c r="H103">
        <v>258.39999999999998</v>
      </c>
      <c r="I103" s="10">
        <f t="shared" si="7"/>
        <v>8.9808668488868815E-3</v>
      </c>
      <c r="J103" s="12">
        <v>3139</v>
      </c>
      <c r="K103" s="10">
        <f t="shared" si="8"/>
        <v>7.8416215751953899E-2</v>
      </c>
      <c r="L103" s="24">
        <v>22904.45</v>
      </c>
      <c r="M103" s="10">
        <f t="shared" si="9"/>
        <v>-2.6144430011883713E-2</v>
      </c>
      <c r="O103" s="11"/>
      <c r="Q103" s="11"/>
      <c r="S103" s="11"/>
      <c r="T103" s="11"/>
      <c r="V103" s="12"/>
      <c r="W103" s="12"/>
      <c r="X103" s="12"/>
      <c r="Z103" s="13"/>
    </row>
    <row r="104" spans="3:26">
      <c r="C104" s="11" t="s">
        <v>26</v>
      </c>
      <c r="D104" s="11">
        <v>31.94</v>
      </c>
      <c r="E104" s="10">
        <f t="shared" si="5"/>
        <v>2.8332260141661347E-2</v>
      </c>
      <c r="F104" s="11">
        <v>790.1</v>
      </c>
      <c r="G104" s="10">
        <f t="shared" si="6"/>
        <v>8.1439912400766534E-2</v>
      </c>
      <c r="H104">
        <v>254</v>
      </c>
      <c r="I104" s="10">
        <f t="shared" si="7"/>
        <v>-1.7027863777089647E-2</v>
      </c>
      <c r="J104" s="12">
        <v>3148.95</v>
      </c>
      <c r="K104" s="10">
        <f t="shared" si="8"/>
        <v>3.1697992991397417E-3</v>
      </c>
      <c r="L104" s="24">
        <v>22828.55</v>
      </c>
      <c r="M104" s="10">
        <f t="shared" si="9"/>
        <v>-3.3137665388167648E-3</v>
      </c>
      <c r="O104" s="11"/>
      <c r="Q104" s="11"/>
      <c r="S104" s="11"/>
      <c r="T104" s="11"/>
      <c r="V104" s="12"/>
      <c r="W104" s="12"/>
      <c r="X104" s="12"/>
      <c r="Z104" s="13"/>
    </row>
    <row r="105" spans="3:26">
      <c r="C105" s="11" t="s">
        <v>25</v>
      </c>
      <c r="D105" s="11">
        <v>31.68</v>
      </c>
      <c r="E105" s="10">
        <f t="shared" si="5"/>
        <v>-8.1402629931121018E-3</v>
      </c>
      <c r="F105" s="11">
        <v>795.85</v>
      </c>
      <c r="G105" s="10">
        <f t="shared" si="6"/>
        <v>7.2775598025567323E-3</v>
      </c>
      <c r="H105">
        <v>265.8</v>
      </c>
      <c r="I105" s="10">
        <f t="shared" si="7"/>
        <v>4.6456692913385833E-2</v>
      </c>
      <c r="J105" s="12">
        <v>3268.4</v>
      </c>
      <c r="K105" s="10">
        <f t="shared" si="8"/>
        <v>3.7933279347084126E-2</v>
      </c>
      <c r="L105" s="24">
        <v>23851.65</v>
      </c>
      <c r="M105" s="10">
        <f t="shared" si="9"/>
        <v>4.4816687875489425E-2</v>
      </c>
      <c r="O105" s="11"/>
      <c r="Q105" s="11"/>
      <c r="S105" s="11"/>
      <c r="T105" s="11"/>
      <c r="V105" s="12"/>
      <c r="W105" s="12"/>
      <c r="X105" s="12"/>
      <c r="Z105" s="13"/>
    </row>
    <row r="106" spans="3:26">
      <c r="C106" s="11" t="s">
        <v>24</v>
      </c>
      <c r="D106" s="11">
        <v>32.46</v>
      </c>
      <c r="E106" s="10">
        <f t="shared" si="5"/>
        <v>2.4621212121212155E-2</v>
      </c>
      <c r="F106" s="11">
        <v>792.1</v>
      </c>
      <c r="G106" s="10">
        <f t="shared" si="6"/>
        <v>-4.7119432053779331E-3</v>
      </c>
      <c r="H106">
        <v>264.10000000000002</v>
      </c>
      <c r="I106" s="10">
        <f t="shared" si="7"/>
        <v>-6.3957863054927566E-3</v>
      </c>
      <c r="J106" s="12">
        <v>3196</v>
      </c>
      <c r="K106" s="10">
        <f t="shared" si="8"/>
        <v>-2.2151511442907834E-2</v>
      </c>
      <c r="L106" s="24">
        <v>24039.35</v>
      </c>
      <c r="M106" s="10">
        <f t="shared" si="9"/>
        <v>7.86947653516612E-3</v>
      </c>
      <c r="O106" s="11"/>
      <c r="Q106" s="11"/>
      <c r="S106" s="11"/>
      <c r="T106" s="11"/>
      <c r="V106" s="12"/>
      <c r="W106" s="12"/>
      <c r="X106" s="12"/>
      <c r="Z106" s="13"/>
    </row>
    <row r="107" spans="3:26">
      <c r="C107" s="11" t="s">
        <v>23</v>
      </c>
      <c r="D107" s="11">
        <v>33.32</v>
      </c>
      <c r="E107" s="10">
        <f t="shared" si="5"/>
        <v>2.6494146642020988E-2</v>
      </c>
      <c r="F107" s="11">
        <v>800.85</v>
      </c>
      <c r="G107" s="10">
        <f t="shared" si="6"/>
        <v>1.1046585027143063E-2</v>
      </c>
      <c r="H107">
        <v>255.95</v>
      </c>
      <c r="I107" s="10">
        <f t="shared" si="7"/>
        <v>-3.0859522907989545E-2</v>
      </c>
      <c r="J107" s="12">
        <v>3345.9</v>
      </c>
      <c r="K107" s="10">
        <f t="shared" si="8"/>
        <v>4.6902377972465548E-2</v>
      </c>
      <c r="L107" s="24">
        <v>24346.7</v>
      </c>
      <c r="M107" s="10">
        <f t="shared" si="9"/>
        <v>1.2785287455775673E-2</v>
      </c>
      <c r="O107" s="11"/>
      <c r="Q107" s="11"/>
      <c r="S107" s="11"/>
      <c r="T107" s="11"/>
      <c r="V107" s="12"/>
      <c r="W107" s="12"/>
      <c r="X107" s="12"/>
      <c r="Z107" s="13"/>
    </row>
    <row r="108" spans="3:26">
      <c r="C108" s="11" t="s">
        <v>22</v>
      </c>
      <c r="D108" s="11">
        <v>34</v>
      </c>
      <c r="E108" s="10">
        <f t="shared" si="5"/>
        <v>2.0408163265306145E-2</v>
      </c>
      <c r="F108" s="11">
        <v>795.9</v>
      </c>
      <c r="G108" s="10">
        <f t="shared" si="6"/>
        <v>-6.1809327589437135E-3</v>
      </c>
      <c r="H108">
        <v>254</v>
      </c>
      <c r="I108" s="10">
        <f t="shared" si="7"/>
        <v>-7.618675522562901E-3</v>
      </c>
      <c r="J108" s="12">
        <v>3434.1</v>
      </c>
      <c r="K108" s="10">
        <f t="shared" si="8"/>
        <v>2.6360620460862405E-2</v>
      </c>
      <c r="L108" s="24">
        <v>24273.8</v>
      </c>
      <c r="M108" s="10">
        <f t="shared" si="9"/>
        <v>-2.9942456267174622E-3</v>
      </c>
      <c r="O108" s="11"/>
      <c r="Q108" s="11"/>
      <c r="S108" s="11"/>
      <c r="T108" s="11"/>
      <c r="V108" s="12"/>
      <c r="W108" s="12"/>
      <c r="X108" s="12"/>
      <c r="Z108" s="13"/>
    </row>
    <row r="109" spans="3:26">
      <c r="C109" s="11" t="s">
        <v>21</v>
      </c>
      <c r="D109" s="11">
        <v>36.35</v>
      </c>
      <c r="E109" s="10">
        <f t="shared" si="5"/>
        <v>6.9117647058823506E-2</v>
      </c>
      <c r="F109" s="11">
        <v>795.9</v>
      </c>
      <c r="G109" s="10">
        <f t="shared" si="6"/>
        <v>0</v>
      </c>
      <c r="H109">
        <v>254</v>
      </c>
      <c r="I109" s="10">
        <f t="shared" si="7"/>
        <v>0</v>
      </c>
      <c r="J109" s="12">
        <v>3434.1</v>
      </c>
      <c r="K109" s="10">
        <f t="shared" si="8"/>
        <v>0</v>
      </c>
      <c r="L109" s="24">
        <v>24008</v>
      </c>
      <c r="M109" s="10">
        <f t="shared" si="9"/>
        <v>-1.0950077861727414E-2</v>
      </c>
      <c r="O109" s="11"/>
      <c r="Q109" s="11"/>
      <c r="S109" s="11"/>
      <c r="T109" s="11"/>
      <c r="V109" s="12"/>
      <c r="W109" s="12"/>
      <c r="X109" s="12"/>
      <c r="Z109" s="13"/>
    </row>
    <row r="110" spans="3:26">
      <c r="C110" s="11"/>
      <c r="D110" s="11"/>
      <c r="E110" s="10"/>
      <c r="G110" s="10"/>
      <c r="I110" s="10"/>
      <c r="O110" s="11"/>
      <c r="Q110" s="11"/>
      <c r="S110" s="11"/>
      <c r="T110" s="11"/>
      <c r="V110" s="12"/>
      <c r="W110" s="12"/>
      <c r="X110" s="12"/>
      <c r="Z110" s="13"/>
    </row>
    <row r="111" spans="3:26">
      <c r="C111" s="11"/>
      <c r="D111" s="11"/>
      <c r="E111" s="10"/>
      <c r="G111" s="10"/>
      <c r="I111" s="10"/>
      <c r="Q111" s="11"/>
      <c r="S111" s="11"/>
      <c r="T111" s="11"/>
      <c r="V111" s="12"/>
      <c r="W111" s="12"/>
      <c r="X111" s="12"/>
      <c r="Z111" s="13"/>
    </row>
    <row r="112" spans="3:26">
      <c r="C112" s="11"/>
      <c r="D112" s="11"/>
      <c r="E112" s="10"/>
      <c r="G112" s="10"/>
      <c r="I112" s="10"/>
      <c r="Q112" s="11"/>
      <c r="S112" s="11"/>
      <c r="T112" s="11"/>
      <c r="V112" s="12"/>
      <c r="W112" s="12"/>
      <c r="X112" s="12"/>
      <c r="Z112" s="13"/>
    </row>
    <row r="113" spans="3:26">
      <c r="C113" s="11"/>
      <c r="D113" s="11"/>
      <c r="E113" s="10"/>
      <c r="G113" s="10"/>
      <c r="I113" s="10"/>
      <c r="Q113" s="11"/>
      <c r="S113" s="11"/>
      <c r="T113" s="11"/>
      <c r="V113" s="12"/>
      <c r="W113" s="12"/>
      <c r="X113" s="12"/>
      <c r="Z113" s="13"/>
    </row>
    <row r="114" spans="3:26">
      <c r="Q114" s="11"/>
      <c r="S114" s="11"/>
      <c r="T114" s="11"/>
      <c r="V114" s="12"/>
      <c r="W114" s="12"/>
      <c r="X114" s="12"/>
      <c r="Z114" s="13"/>
    </row>
    <row r="115" spans="3:26">
      <c r="Q115" s="11"/>
      <c r="S115" s="11"/>
      <c r="T115" s="11"/>
      <c r="V115" s="12"/>
      <c r="W115" s="12"/>
      <c r="X115" s="12"/>
      <c r="Z115" s="13"/>
    </row>
    <row r="116" spans="3:26">
      <c r="Q116" s="11"/>
      <c r="S116" s="11"/>
      <c r="T116" s="11"/>
      <c r="V116" s="12"/>
      <c r="W116" s="12"/>
      <c r="X116" s="12"/>
      <c r="Z116" s="13"/>
    </row>
    <row r="117" spans="3:26">
      <c r="I117" s="11" t="s">
        <v>16</v>
      </c>
      <c r="Q117" s="11"/>
      <c r="S117" s="11"/>
      <c r="T117" s="11"/>
      <c r="V117" s="12"/>
      <c r="W117" s="12"/>
      <c r="X117" s="12"/>
      <c r="Z117" s="13"/>
    </row>
    <row r="118" spans="3:26">
      <c r="D118" s="11"/>
      <c r="Q118" s="11"/>
      <c r="S118" s="11"/>
      <c r="T118" s="11"/>
      <c r="V118" s="12"/>
      <c r="W118" s="12"/>
      <c r="X118" s="12"/>
      <c r="Z118" s="13"/>
    </row>
    <row r="119" spans="3:26">
      <c r="D119" s="13"/>
      <c r="Q119" s="11"/>
      <c r="S119" s="11"/>
      <c r="T119" s="11"/>
      <c r="V119" s="12"/>
      <c r="W119" s="12"/>
      <c r="X119" s="12"/>
      <c r="Z119" s="13"/>
    </row>
    <row r="120" spans="3:26">
      <c r="D120" s="13"/>
      <c r="Q120" s="11"/>
      <c r="S120" s="11"/>
      <c r="T120" s="11"/>
      <c r="V120" s="12"/>
      <c r="W120" s="12"/>
      <c r="X120" s="12"/>
      <c r="Z120" s="13"/>
    </row>
    <row r="121" spans="3:26">
      <c r="D121" s="13"/>
      <c r="Q121" s="11"/>
      <c r="S121" s="11"/>
      <c r="T121" s="11"/>
      <c r="V121" s="12"/>
      <c r="W121" s="12"/>
      <c r="X121" s="12"/>
      <c r="Z121" s="13"/>
    </row>
    <row r="122" spans="3:26">
      <c r="D122" s="13"/>
      <c r="Q122" s="11"/>
      <c r="S122" s="11"/>
      <c r="T122" s="11"/>
      <c r="V122" s="12"/>
      <c r="W122" s="12"/>
      <c r="X122" s="12"/>
      <c r="Z122" s="13"/>
    </row>
    <row r="123" spans="3:26">
      <c r="D123" s="13"/>
      <c r="T123" s="11"/>
      <c r="V123" s="11"/>
      <c r="W123" s="11"/>
      <c r="X123" s="11"/>
      <c r="Z123" s="13"/>
    </row>
    <row r="124" spans="3:26">
      <c r="D124" s="13"/>
      <c r="T124" s="11"/>
      <c r="V124" s="11"/>
      <c r="W124" s="11"/>
      <c r="X124" s="11"/>
      <c r="Z124" s="13"/>
    </row>
    <row r="125" spans="3:26">
      <c r="D125" s="13"/>
      <c r="T125" s="11"/>
      <c r="V125" s="11"/>
      <c r="W125" s="11"/>
      <c r="X125" s="11"/>
      <c r="Z125" s="13"/>
    </row>
    <row r="126" spans="3:26">
      <c r="D126" s="13"/>
      <c r="T126" s="11"/>
      <c r="V126" s="11"/>
      <c r="W126" s="11"/>
      <c r="X126" s="11"/>
      <c r="Z126" s="13"/>
    </row>
    <row r="127" spans="3:26">
      <c r="D127" s="13"/>
      <c r="T127" s="11"/>
      <c r="V127" s="11"/>
      <c r="W127" s="11"/>
      <c r="X127" s="11"/>
      <c r="Z127" s="13"/>
    </row>
    <row r="128" spans="3:26">
      <c r="D128" s="13"/>
      <c r="T128" s="11"/>
      <c r="V128" s="11"/>
      <c r="W128" s="11"/>
      <c r="X128" s="11"/>
      <c r="Z128" s="13"/>
    </row>
    <row r="129" spans="4:26">
      <c r="D129" s="13"/>
      <c r="T129" s="11"/>
      <c r="V129" s="11"/>
      <c r="W129" s="11"/>
      <c r="X129" s="11"/>
      <c r="Z129" s="13"/>
    </row>
    <row r="130" spans="4:26">
      <c r="D130" s="13"/>
      <c r="T130" s="11"/>
      <c r="V130" s="11"/>
      <c r="W130" s="11"/>
      <c r="X130" s="11"/>
      <c r="Z130" s="13"/>
    </row>
    <row r="131" spans="4:26">
      <c r="D131" s="13"/>
      <c r="T131" s="11"/>
      <c r="V131" s="11"/>
      <c r="W131" s="11"/>
      <c r="X131" s="11"/>
      <c r="Z131" s="13"/>
    </row>
    <row r="132" spans="4:26">
      <c r="D132" s="13"/>
      <c r="T132" s="11"/>
      <c r="V132" s="11"/>
      <c r="W132" s="11"/>
      <c r="X132" s="11"/>
      <c r="Z132" s="13"/>
    </row>
    <row r="133" spans="4:26">
      <c r="D133" s="13"/>
      <c r="T133" s="11"/>
      <c r="V133" s="11"/>
      <c r="W133" s="11"/>
      <c r="X133" s="11"/>
      <c r="Z133" s="13"/>
    </row>
    <row r="134" spans="4:26">
      <c r="D134" s="13"/>
      <c r="T134" s="11"/>
      <c r="V134" s="11"/>
      <c r="W134" s="11"/>
      <c r="X134" s="11"/>
      <c r="Z134" s="13"/>
    </row>
    <row r="135" spans="4:26">
      <c r="D135" s="13"/>
      <c r="T135" s="11"/>
      <c r="V135" s="11"/>
      <c r="W135" s="11"/>
      <c r="X135" s="11"/>
      <c r="Z135" s="13"/>
    </row>
    <row r="136" spans="4:26">
      <c r="D136" s="13"/>
      <c r="T136" s="11"/>
      <c r="V136" s="11"/>
      <c r="W136" s="11"/>
      <c r="X136" s="11"/>
      <c r="Z136" s="13"/>
    </row>
    <row r="137" spans="4:26">
      <c r="D137" s="13"/>
      <c r="T137" s="11"/>
      <c r="V137" s="11"/>
      <c r="W137" s="11"/>
      <c r="X137" s="11"/>
      <c r="Z137" s="13"/>
    </row>
    <row r="138" spans="4:26">
      <c r="D138" s="13"/>
      <c r="T138" s="11"/>
      <c r="V138" s="11"/>
      <c r="W138" s="11"/>
      <c r="X138" s="11"/>
      <c r="Z138" s="13"/>
    </row>
    <row r="139" spans="4:26">
      <c r="D139" s="13"/>
      <c r="T139" s="11"/>
      <c r="V139" s="11"/>
      <c r="W139" s="11"/>
      <c r="X139" s="11"/>
      <c r="Z139" s="13"/>
    </row>
    <row r="140" spans="4:26">
      <c r="D140" s="13"/>
      <c r="T140" s="11"/>
      <c r="V140" s="11"/>
      <c r="W140" s="11"/>
      <c r="X140" s="11"/>
      <c r="Z140" s="13"/>
    </row>
    <row r="141" spans="4:26">
      <c r="D141" s="13"/>
      <c r="T141" s="11"/>
      <c r="V141" s="11"/>
      <c r="W141" s="11"/>
      <c r="X141" s="11"/>
      <c r="Z141" s="13"/>
    </row>
    <row r="142" spans="4:26">
      <c r="D142" s="13"/>
      <c r="T142" s="11"/>
      <c r="V142" s="11"/>
      <c r="W142" s="11"/>
      <c r="X142" s="11"/>
      <c r="Z142" s="13"/>
    </row>
    <row r="143" spans="4:26">
      <c r="D143" s="13"/>
      <c r="T143" s="11"/>
      <c r="V143" s="11"/>
      <c r="W143" s="11"/>
      <c r="X143" s="11"/>
      <c r="Z143" s="13"/>
    </row>
    <row r="144" spans="4:26">
      <c r="D144" s="13"/>
      <c r="T144" s="11"/>
      <c r="V144" s="11"/>
      <c r="W144" s="11"/>
      <c r="X144" s="11"/>
      <c r="Z144" s="13"/>
    </row>
    <row r="145" spans="4:26">
      <c r="D145" s="13"/>
      <c r="T145" s="11"/>
      <c r="V145" s="11"/>
      <c r="W145" s="11"/>
      <c r="X145" s="11"/>
      <c r="Z145" s="13"/>
    </row>
    <row r="146" spans="4:26">
      <c r="D146" s="13"/>
      <c r="T146" s="11"/>
      <c r="V146" s="11"/>
      <c r="W146" s="11"/>
      <c r="X146" s="11"/>
      <c r="Z146" s="13"/>
    </row>
    <row r="147" spans="4:26">
      <c r="D147" s="13"/>
      <c r="T147" s="11"/>
      <c r="V147" s="11"/>
      <c r="W147" s="11"/>
      <c r="X147" s="11"/>
      <c r="Z147" s="13"/>
    </row>
    <row r="148" spans="4:26">
      <c r="D148" s="13"/>
      <c r="T148" s="11"/>
      <c r="V148" s="11"/>
      <c r="W148" s="11"/>
      <c r="X148" s="11"/>
      <c r="Z148" s="13"/>
    </row>
    <row r="149" spans="4:26">
      <c r="D149" s="13"/>
      <c r="T149" s="11"/>
      <c r="V149" s="11"/>
      <c r="W149" s="11"/>
      <c r="X149" s="11"/>
      <c r="Z149" s="13"/>
    </row>
    <row r="150" spans="4:26">
      <c r="D150" s="13"/>
      <c r="T150" s="11"/>
      <c r="V150" s="11"/>
      <c r="W150" s="11"/>
      <c r="X150" s="11"/>
      <c r="Z150" s="13"/>
    </row>
    <row r="151" spans="4:26">
      <c r="D151" s="13"/>
      <c r="T151" s="11"/>
      <c r="V151" s="11"/>
      <c r="W151" s="11"/>
      <c r="X151" s="11"/>
      <c r="Z151" s="13"/>
    </row>
    <row r="152" spans="4:26">
      <c r="D152" s="13"/>
      <c r="T152" s="11"/>
      <c r="V152" s="11"/>
      <c r="W152" s="11"/>
      <c r="X152" s="11"/>
      <c r="Z152" s="13"/>
    </row>
    <row r="153" spans="4:26">
      <c r="D153" s="13"/>
      <c r="T153" s="11"/>
      <c r="V153" s="11"/>
      <c r="W153" s="11"/>
      <c r="X153" s="11"/>
      <c r="Z153" s="13"/>
    </row>
    <row r="154" spans="4:26">
      <c r="D154" s="13"/>
      <c r="T154" s="11"/>
      <c r="V154" s="11"/>
      <c r="W154" s="11"/>
      <c r="X154" s="11"/>
      <c r="Z154" s="13"/>
    </row>
    <row r="155" spans="4:26">
      <c r="D155" s="13"/>
      <c r="T155" s="11"/>
      <c r="V155" s="11"/>
      <c r="W155" s="11"/>
      <c r="X155" s="11"/>
      <c r="Z155" s="13"/>
    </row>
    <row r="156" spans="4:26">
      <c r="D156" s="13"/>
      <c r="T156" s="11"/>
      <c r="V156" s="11"/>
      <c r="W156" s="11"/>
      <c r="X156" s="11"/>
      <c r="Z156" s="13"/>
    </row>
    <row r="157" spans="4:26">
      <c r="D157" s="13"/>
      <c r="T157" s="11"/>
      <c r="V157" s="11"/>
      <c r="W157" s="11"/>
      <c r="X157" s="11"/>
      <c r="Z157" s="13"/>
    </row>
    <row r="158" spans="4:26">
      <c r="D158" s="13"/>
      <c r="T158" s="11"/>
      <c r="V158" s="11"/>
      <c r="W158" s="11"/>
      <c r="X158" s="11"/>
      <c r="Z158" s="13"/>
    </row>
    <row r="159" spans="4:26">
      <c r="D159" s="13"/>
      <c r="T159" s="11"/>
      <c r="V159" s="11"/>
      <c r="W159" s="11"/>
      <c r="X159" s="11"/>
      <c r="Z159" s="13"/>
    </row>
    <row r="160" spans="4:26">
      <c r="D160" s="13"/>
      <c r="T160" s="11"/>
      <c r="V160" s="11"/>
      <c r="W160" s="11"/>
      <c r="X160" s="11"/>
      <c r="Z160" s="13"/>
    </row>
    <row r="161" spans="4:26">
      <c r="D161" s="13"/>
      <c r="T161" s="11"/>
      <c r="V161" s="11"/>
      <c r="W161" s="11"/>
      <c r="X161" s="11"/>
      <c r="Z161" s="13"/>
    </row>
    <row r="162" spans="4:26">
      <c r="D162" s="13"/>
      <c r="T162" s="11"/>
      <c r="V162" s="11"/>
      <c r="W162" s="11"/>
      <c r="X162" s="11"/>
      <c r="Z162" s="13"/>
    </row>
    <row r="163" spans="4:26">
      <c r="D163" s="13"/>
      <c r="T163" s="11"/>
      <c r="V163" s="11"/>
      <c r="W163" s="11"/>
      <c r="X163" s="11"/>
      <c r="Z163" s="13"/>
    </row>
    <row r="164" spans="4:26">
      <c r="D164" s="13"/>
      <c r="T164" s="11"/>
      <c r="V164" s="11"/>
      <c r="W164" s="11"/>
      <c r="X164" s="11"/>
      <c r="Z164" s="13"/>
    </row>
    <row r="165" spans="4:26">
      <c r="D165" s="13"/>
      <c r="T165" s="11"/>
      <c r="V165" s="11"/>
      <c r="W165" s="11"/>
      <c r="X165" s="11"/>
      <c r="Z165" s="13"/>
    </row>
    <row r="166" spans="4:26">
      <c r="D166" s="13"/>
      <c r="T166" s="11"/>
      <c r="V166" s="11"/>
      <c r="W166" s="11"/>
      <c r="X166" s="11"/>
      <c r="Z166" s="13"/>
    </row>
    <row r="167" spans="4:26">
      <c r="D167" s="13"/>
      <c r="T167" s="11"/>
      <c r="V167" s="11"/>
      <c r="W167" s="11"/>
      <c r="X167" s="11"/>
      <c r="Z167" s="13"/>
    </row>
    <row r="168" spans="4:26">
      <c r="D168" s="13"/>
      <c r="T168" s="11"/>
      <c r="V168" s="11"/>
      <c r="W168" s="11"/>
      <c r="X168" s="11"/>
      <c r="Z168" s="13"/>
    </row>
    <row r="169" spans="4:26">
      <c r="D169" s="13"/>
      <c r="T169" s="11"/>
      <c r="V169" s="11"/>
      <c r="W169" s="11"/>
      <c r="X169" s="11"/>
      <c r="Z169" s="13"/>
    </row>
    <row r="170" spans="4:26">
      <c r="D170" s="13"/>
      <c r="T170" s="11"/>
      <c r="V170" s="11"/>
      <c r="W170" s="11"/>
      <c r="X170" s="11"/>
      <c r="Z170" s="13"/>
    </row>
    <row r="171" spans="4:26">
      <c r="D171" s="13"/>
      <c r="T171" s="11"/>
      <c r="V171" s="11"/>
      <c r="W171" s="11"/>
      <c r="X171" s="11"/>
      <c r="Z171" s="13"/>
    </row>
    <row r="172" spans="4:26">
      <c r="D172" s="13"/>
      <c r="T172" s="11"/>
      <c r="V172" s="11"/>
      <c r="W172" s="11"/>
      <c r="X172" s="11"/>
      <c r="Z172" s="13"/>
    </row>
    <row r="173" spans="4:26">
      <c r="D173" s="13"/>
      <c r="T173" s="11"/>
      <c r="V173" s="11"/>
      <c r="W173" s="11"/>
      <c r="X173" s="11"/>
      <c r="Z173" s="13"/>
    </row>
    <row r="174" spans="4:26">
      <c r="D174" s="13"/>
      <c r="T174" s="11"/>
      <c r="V174" s="11"/>
      <c r="W174" s="11"/>
      <c r="X174" s="11"/>
      <c r="Z174" s="13"/>
    </row>
    <row r="175" spans="4:26">
      <c r="D175" s="13"/>
      <c r="T175" s="11"/>
      <c r="V175" s="11"/>
      <c r="W175" s="11"/>
      <c r="X175" s="11"/>
      <c r="Z175" s="13"/>
    </row>
    <row r="176" spans="4:26">
      <c r="D176" s="13"/>
      <c r="T176" s="11"/>
      <c r="V176" s="11"/>
      <c r="W176" s="11"/>
      <c r="X176" s="11"/>
      <c r="Z176" s="13"/>
    </row>
    <row r="177" spans="4:26">
      <c r="D177" s="13"/>
      <c r="T177" s="11"/>
      <c r="V177" s="11"/>
      <c r="W177" s="11"/>
      <c r="X177" s="11"/>
      <c r="Z177" s="13"/>
    </row>
    <row r="178" spans="4:26">
      <c r="D178" s="13"/>
      <c r="T178" s="11"/>
      <c r="V178" s="11"/>
      <c r="W178" s="11"/>
      <c r="X178" s="11"/>
      <c r="Z178" s="13"/>
    </row>
    <row r="179" spans="4:26">
      <c r="D179" s="13"/>
      <c r="T179" s="11"/>
      <c r="V179" s="11"/>
      <c r="W179" s="11"/>
      <c r="X179" s="11"/>
      <c r="Z179" s="13"/>
    </row>
    <row r="180" spans="4:26">
      <c r="D180" s="13"/>
      <c r="T180" s="11"/>
      <c r="V180" s="11"/>
      <c r="W180" s="11"/>
      <c r="X180" s="11"/>
      <c r="Z180" s="13"/>
    </row>
    <row r="181" spans="4:26">
      <c r="D181" s="13"/>
      <c r="T181" s="11"/>
      <c r="V181" s="11"/>
      <c r="W181" s="11"/>
      <c r="X181" s="11"/>
      <c r="Z181" s="13"/>
    </row>
    <row r="182" spans="4:26">
      <c r="D182" s="13"/>
      <c r="T182" s="11"/>
      <c r="V182" s="11"/>
      <c r="W182" s="11"/>
      <c r="X182" s="11"/>
      <c r="Z182" s="13"/>
    </row>
    <row r="183" spans="4:26">
      <c r="D183" s="13"/>
      <c r="T183" s="11"/>
      <c r="V183" s="11"/>
      <c r="W183" s="11"/>
      <c r="X183" s="11"/>
      <c r="Z183" s="13"/>
    </row>
    <row r="184" spans="4:26">
      <c r="D184" s="13"/>
      <c r="T184" s="11"/>
      <c r="V184" s="11"/>
      <c r="W184" s="11"/>
      <c r="X184" s="11"/>
      <c r="Z184" s="13"/>
    </row>
    <row r="185" spans="4:26">
      <c r="D185" s="13"/>
      <c r="T185" s="11"/>
      <c r="V185" s="11"/>
      <c r="W185" s="11"/>
      <c r="X185" s="11"/>
      <c r="Z185" s="13"/>
    </row>
    <row r="186" spans="4:26">
      <c r="D186" s="13"/>
      <c r="T186" s="11"/>
      <c r="V186" s="11"/>
      <c r="W186" s="11"/>
      <c r="X186" s="11"/>
      <c r="Z186" s="13"/>
    </row>
    <row r="187" spans="4:26">
      <c r="D187" s="13"/>
      <c r="T187" s="11"/>
      <c r="V187" s="11"/>
      <c r="W187" s="11"/>
      <c r="X187" s="11"/>
      <c r="Z187" s="13"/>
    </row>
    <row r="188" spans="4:26">
      <c r="D188" s="13"/>
      <c r="T188" s="11"/>
      <c r="V188" s="11"/>
      <c r="W188" s="11"/>
      <c r="X188" s="11"/>
      <c r="Z188" s="13"/>
    </row>
    <row r="189" spans="4:26">
      <c r="D189" s="13"/>
      <c r="T189" s="11"/>
      <c r="V189" s="11"/>
      <c r="W189" s="11"/>
      <c r="X189" s="11"/>
      <c r="Z189" s="13"/>
    </row>
    <row r="190" spans="4:26">
      <c r="D190" s="13"/>
      <c r="T190" s="11"/>
      <c r="V190" s="11"/>
      <c r="W190" s="11"/>
      <c r="X190" s="11"/>
      <c r="Z190" s="13"/>
    </row>
    <row r="191" spans="4:26">
      <c r="D191" s="13"/>
      <c r="T191" s="11"/>
      <c r="V191" s="11"/>
      <c r="W191" s="11"/>
      <c r="X191" s="11"/>
      <c r="Z191" s="13"/>
    </row>
    <row r="192" spans="4:26">
      <c r="D192" s="13"/>
      <c r="T192" s="11"/>
      <c r="V192" s="11"/>
      <c r="W192" s="11"/>
      <c r="X192" s="11"/>
      <c r="Z192" s="13"/>
    </row>
    <row r="193" spans="4:26">
      <c r="D193" s="13"/>
      <c r="T193" s="11"/>
      <c r="V193" s="11"/>
      <c r="W193" s="11"/>
      <c r="X193" s="11"/>
      <c r="Z193" s="13"/>
    </row>
    <row r="194" spans="4:26">
      <c r="D194" s="13"/>
      <c r="T194" s="11"/>
      <c r="V194" s="11"/>
      <c r="W194" s="11"/>
      <c r="X194" s="11"/>
      <c r="Z194" s="13"/>
    </row>
    <row r="195" spans="4:26">
      <c r="D195" s="13"/>
      <c r="T195" s="11"/>
      <c r="V195" s="11"/>
      <c r="W195" s="11"/>
      <c r="X195" s="11"/>
      <c r="Z195" s="13"/>
    </row>
    <row r="196" spans="4:26">
      <c r="D196" s="13"/>
      <c r="T196" s="11"/>
      <c r="V196" s="11"/>
      <c r="W196" s="11"/>
      <c r="X196" s="11"/>
      <c r="Z196" s="13"/>
    </row>
    <row r="197" spans="4:26">
      <c r="D197" s="13"/>
      <c r="T197" s="11"/>
      <c r="V197" s="11"/>
      <c r="W197" s="11"/>
      <c r="X197" s="11"/>
      <c r="Z197" s="13"/>
    </row>
    <row r="198" spans="4:26">
      <c r="D198" s="13"/>
      <c r="T198" s="11"/>
      <c r="V198" s="11"/>
      <c r="W198" s="11"/>
      <c r="X198" s="11"/>
      <c r="Z198" s="13"/>
    </row>
    <row r="199" spans="4:26">
      <c r="D199" s="13"/>
      <c r="T199" s="11"/>
      <c r="V199" s="11"/>
      <c r="W199" s="11"/>
      <c r="X199" s="11"/>
      <c r="Z199" s="13"/>
    </row>
    <row r="200" spans="4:26">
      <c r="D200" s="13"/>
      <c r="T200" s="11"/>
      <c r="V200" s="11"/>
      <c r="W200" s="11"/>
      <c r="X200" s="11"/>
      <c r="Z200" s="13"/>
    </row>
    <row r="201" spans="4:26">
      <c r="D201" s="13"/>
      <c r="T201" s="11"/>
      <c r="V201" s="11"/>
      <c r="W201" s="11"/>
      <c r="X201" s="11"/>
      <c r="Z201" s="13"/>
    </row>
    <row r="202" spans="4:26">
      <c r="D202" s="13"/>
      <c r="T202" s="11"/>
      <c r="V202" s="11"/>
      <c r="W202" s="11"/>
      <c r="X202" s="11"/>
      <c r="Z202" s="13"/>
    </row>
    <row r="203" spans="4:26">
      <c r="D203" s="13"/>
      <c r="T203" s="11"/>
      <c r="V203" s="11"/>
      <c r="W203" s="11"/>
      <c r="X203" s="11"/>
      <c r="Z203" s="13"/>
    </row>
    <row r="204" spans="4:26">
      <c r="D204" s="13"/>
      <c r="T204" s="11"/>
      <c r="V204" s="11"/>
      <c r="W204" s="11"/>
      <c r="X204" s="11"/>
      <c r="Z204" s="13"/>
    </row>
    <row r="205" spans="4:26">
      <c r="D205" s="13"/>
      <c r="T205" s="11"/>
      <c r="V205" s="11"/>
      <c r="W205" s="11"/>
      <c r="X205" s="11"/>
      <c r="Z205" s="13"/>
    </row>
    <row r="206" spans="4:26">
      <c r="D206" s="13"/>
      <c r="T206" s="11"/>
      <c r="V206" s="11"/>
      <c r="W206" s="11"/>
      <c r="X206" s="11"/>
      <c r="Z206" s="13"/>
    </row>
    <row r="207" spans="4:26">
      <c r="D207" s="13"/>
      <c r="T207" s="11"/>
      <c r="V207" s="11"/>
      <c r="W207" s="11"/>
      <c r="X207" s="11"/>
      <c r="Z207" s="13"/>
    </row>
    <row r="208" spans="4:26">
      <c r="D208" s="13"/>
      <c r="T208" s="11"/>
      <c r="V208" s="11"/>
      <c r="W208" s="11"/>
      <c r="X208" s="11"/>
      <c r="Z208" s="13"/>
    </row>
    <row r="209" spans="4:26">
      <c r="D209" s="13"/>
      <c r="T209" s="11"/>
      <c r="V209" s="11"/>
      <c r="W209" s="11"/>
      <c r="X209" s="11"/>
      <c r="Z209" s="13"/>
    </row>
    <row r="210" spans="4:26">
      <c r="D210" s="13"/>
      <c r="T210" s="11"/>
      <c r="V210" s="11"/>
      <c r="W210" s="11"/>
      <c r="X210" s="11"/>
      <c r="Z210" s="13"/>
    </row>
    <row r="211" spans="4:26">
      <c r="D211" s="13"/>
      <c r="T211" s="11"/>
      <c r="V211" s="11"/>
      <c r="W211" s="11"/>
      <c r="X211" s="11"/>
      <c r="Z211" s="13"/>
    </row>
    <row r="212" spans="4:26">
      <c r="D212" s="13"/>
      <c r="T212" s="11"/>
      <c r="V212" s="11"/>
      <c r="W212" s="11"/>
      <c r="X212" s="11"/>
      <c r="Z212" s="13"/>
    </row>
    <row r="213" spans="4:26">
      <c r="D213" s="13"/>
      <c r="T213" s="11"/>
      <c r="V213" s="11"/>
      <c r="W213" s="11"/>
      <c r="X213" s="11"/>
      <c r="Z213" s="13"/>
    </row>
    <row r="214" spans="4:26">
      <c r="D214" s="13"/>
      <c r="T214" s="11"/>
      <c r="V214" s="11"/>
      <c r="W214" s="11"/>
      <c r="X214" s="11"/>
      <c r="Z214" s="13"/>
    </row>
    <row r="215" spans="4:26">
      <c r="D215" s="13"/>
      <c r="T215" s="11"/>
      <c r="V215" s="11"/>
      <c r="W215" s="11"/>
      <c r="X215" s="11"/>
      <c r="Z215" s="13"/>
    </row>
    <row r="216" spans="4:26">
      <c r="D216" s="13"/>
      <c r="T216" s="11"/>
      <c r="V216" s="11"/>
      <c r="W216" s="11"/>
      <c r="X216" s="11"/>
      <c r="Z216" s="13"/>
    </row>
    <row r="217" spans="4:26">
      <c r="D217" s="13"/>
      <c r="T217" s="11"/>
      <c r="V217" s="11"/>
      <c r="W217" s="11"/>
      <c r="X217" s="11"/>
      <c r="Z217" s="13"/>
    </row>
    <row r="218" spans="4:26">
      <c r="D218" s="13"/>
      <c r="T218" s="11"/>
      <c r="V218" s="11"/>
      <c r="W218" s="11"/>
      <c r="X218" s="11"/>
      <c r="Z218" s="13"/>
    </row>
    <row r="219" spans="4:26">
      <c r="D219" s="13"/>
      <c r="T219" s="11"/>
      <c r="V219" s="11"/>
      <c r="W219" s="11"/>
      <c r="X219" s="11"/>
      <c r="Z219" s="13"/>
    </row>
    <row r="220" spans="4:26">
      <c r="D220" s="13"/>
      <c r="T220" s="11"/>
      <c r="V220" s="11"/>
      <c r="W220" s="11"/>
      <c r="X220" s="11"/>
      <c r="Z220" s="13"/>
    </row>
    <row r="221" spans="4:26">
      <c r="D221" s="11"/>
      <c r="T221" s="11"/>
      <c r="V221" s="11"/>
      <c r="W221" s="11"/>
      <c r="X221" s="11"/>
      <c r="Z221" s="13"/>
    </row>
    <row r="222" spans="4:26">
      <c r="D222" s="11"/>
      <c r="T222" s="11"/>
      <c r="V222" s="11"/>
      <c r="W222" s="11"/>
      <c r="X222" s="11"/>
      <c r="Z222" s="13"/>
    </row>
    <row r="223" spans="4:26">
      <c r="D223" s="11"/>
      <c r="T223" s="11"/>
      <c r="V223" s="11"/>
      <c r="W223" s="11"/>
      <c r="X223" s="11"/>
      <c r="Z223" s="13"/>
    </row>
    <row r="224" spans="4:26">
      <c r="D224" s="13"/>
      <c r="T224" s="11"/>
      <c r="V224" s="11"/>
      <c r="W224" s="11"/>
      <c r="X224" s="11"/>
      <c r="Z224" s="13"/>
    </row>
    <row r="225" spans="4:26">
      <c r="D225" s="13"/>
      <c r="T225" s="11"/>
      <c r="V225" s="11"/>
      <c r="W225" s="11"/>
      <c r="X225" s="11"/>
      <c r="Z225" s="13"/>
    </row>
    <row r="226" spans="4:26">
      <c r="D226" s="13"/>
      <c r="T226" s="11"/>
      <c r="V226" s="11"/>
      <c r="W226" s="11"/>
      <c r="X226" s="11"/>
      <c r="Z226" s="13"/>
    </row>
    <row r="227" spans="4:26">
      <c r="D227" s="13"/>
      <c r="T227" s="11"/>
      <c r="V227" s="11"/>
      <c r="W227" s="11"/>
      <c r="X227" s="11"/>
      <c r="Z227" s="13"/>
    </row>
    <row r="228" spans="4:26">
      <c r="D228" s="13"/>
      <c r="T228" s="11"/>
      <c r="V228" s="11"/>
      <c r="W228" s="11"/>
      <c r="X228" s="11"/>
      <c r="Z228" s="13"/>
    </row>
    <row r="229" spans="4:26">
      <c r="D229" s="13"/>
      <c r="T229" s="11"/>
      <c r="V229" s="11"/>
      <c r="W229" s="11"/>
      <c r="X229" s="11"/>
      <c r="Z229" s="13"/>
    </row>
    <row r="230" spans="4:26">
      <c r="D230" s="13"/>
      <c r="T230" s="11"/>
      <c r="V230" s="11"/>
      <c r="W230" s="11"/>
      <c r="X230" s="11"/>
      <c r="Z230" s="13"/>
    </row>
    <row r="231" spans="4:26">
      <c r="D231" s="13"/>
      <c r="T231" s="11"/>
      <c r="V231" s="11"/>
      <c r="W231" s="11"/>
      <c r="X231" s="11"/>
      <c r="Z231" s="13"/>
    </row>
    <row r="232" spans="4:26">
      <c r="D232" s="13"/>
      <c r="T232" s="11"/>
      <c r="V232" s="11"/>
      <c r="W232" s="11"/>
      <c r="X232" s="11"/>
      <c r="Z232" s="13"/>
    </row>
    <row r="233" spans="4:26">
      <c r="D233" s="13"/>
      <c r="T233" s="11"/>
      <c r="V233" s="11"/>
      <c r="W233" s="11"/>
      <c r="X233" s="11"/>
      <c r="Z233" s="13"/>
    </row>
    <row r="234" spans="4:26">
      <c r="D234" s="13"/>
      <c r="T234" s="11"/>
      <c r="V234" s="11"/>
      <c r="W234" s="11"/>
      <c r="X234" s="11"/>
      <c r="Z234" s="13"/>
    </row>
    <row r="235" spans="4:26">
      <c r="D235" s="13"/>
      <c r="T235" s="11"/>
      <c r="V235" s="11"/>
      <c r="W235" s="11"/>
      <c r="X235" s="11"/>
      <c r="Z235" s="13"/>
    </row>
    <row r="236" spans="4:26">
      <c r="D236" s="13"/>
      <c r="T236" s="11"/>
      <c r="V236" s="11"/>
      <c r="W236" s="11"/>
      <c r="X236" s="11"/>
      <c r="Z236" s="13"/>
    </row>
    <row r="237" spans="4:26">
      <c r="D237" s="13"/>
      <c r="T237" s="11"/>
      <c r="V237" s="11"/>
      <c r="W237" s="11"/>
      <c r="X237" s="11"/>
      <c r="Z237" s="13"/>
    </row>
    <row r="238" spans="4:26">
      <c r="D238" s="13"/>
      <c r="T238" s="11"/>
      <c r="V238" s="11"/>
      <c r="W238" s="11"/>
      <c r="X238" s="11"/>
      <c r="Z238" s="13"/>
    </row>
    <row r="239" spans="4:26">
      <c r="D239" s="13"/>
      <c r="T239" s="11"/>
      <c r="V239" s="11"/>
      <c r="W239" s="11"/>
      <c r="X239" s="11"/>
      <c r="Z239" s="13"/>
    </row>
    <row r="240" spans="4:26">
      <c r="D240" s="13"/>
      <c r="T240" s="11"/>
      <c r="V240" s="11"/>
      <c r="W240" s="11"/>
      <c r="X240" s="11"/>
      <c r="Z240" s="13"/>
    </row>
    <row r="241" spans="4:26">
      <c r="D241" s="13"/>
      <c r="T241" s="11"/>
      <c r="V241" s="11"/>
      <c r="W241" s="11"/>
      <c r="X241" s="11"/>
      <c r="Z241" s="13"/>
    </row>
    <row r="242" spans="4:26">
      <c r="D242" s="13"/>
      <c r="T242" s="11"/>
      <c r="V242" s="11"/>
      <c r="W242" s="11"/>
      <c r="X242" s="11"/>
      <c r="Z242" s="13"/>
    </row>
    <row r="243" spans="4:26">
      <c r="D243" s="13"/>
      <c r="T243" s="11"/>
      <c r="V243" s="11"/>
      <c r="W243" s="11"/>
      <c r="X243" s="11"/>
      <c r="Z243" s="13"/>
    </row>
    <row r="244" spans="4:26">
      <c r="D244" s="13"/>
      <c r="T244" s="11"/>
      <c r="V244" s="11"/>
      <c r="W244" s="11"/>
      <c r="X244" s="11"/>
      <c r="Z244" s="13"/>
    </row>
    <row r="245" spans="4:26">
      <c r="D245" s="13"/>
      <c r="T245" s="11"/>
      <c r="V245" s="11"/>
      <c r="W245" s="11"/>
      <c r="X245" s="11"/>
      <c r="Z245" s="13"/>
    </row>
    <row r="246" spans="4:26">
      <c r="D246" s="13"/>
      <c r="T246" s="11"/>
      <c r="V246" s="11"/>
      <c r="W246" s="11"/>
      <c r="X246" s="11"/>
      <c r="Z246" s="13"/>
    </row>
    <row r="247" spans="4:26">
      <c r="D247" s="13"/>
      <c r="T247" s="11"/>
      <c r="V247" s="11"/>
      <c r="W247" s="11"/>
      <c r="X247" s="11"/>
      <c r="Z247" s="13"/>
    </row>
    <row r="248" spans="4:26">
      <c r="D248" s="13"/>
      <c r="T248" s="11"/>
      <c r="V248" s="11"/>
      <c r="W248" s="11"/>
      <c r="X248" s="11"/>
      <c r="Z248" s="13"/>
    </row>
    <row r="249" spans="4:26">
      <c r="D249" s="13"/>
      <c r="T249" s="11"/>
      <c r="V249" s="11"/>
      <c r="W249" s="11"/>
      <c r="X249" s="11"/>
      <c r="Z249" s="13"/>
    </row>
    <row r="250" spans="4:26">
      <c r="D250" s="13"/>
      <c r="T250" s="11"/>
      <c r="V250" s="11"/>
      <c r="W250" s="11"/>
      <c r="X250" s="11"/>
      <c r="Z250" s="13"/>
    </row>
    <row r="251" spans="4:26">
      <c r="D251" s="13"/>
      <c r="T251" s="11"/>
      <c r="V251" s="11"/>
      <c r="W251" s="11"/>
      <c r="X251" s="11"/>
      <c r="Z251" s="13"/>
    </row>
    <row r="252" spans="4:26">
      <c r="D252" s="13"/>
      <c r="T252" s="11"/>
      <c r="V252" s="11"/>
      <c r="W252" s="11"/>
      <c r="X252" s="11"/>
      <c r="Z252" s="13"/>
    </row>
    <row r="253" spans="4:26">
      <c r="D253" s="13"/>
      <c r="T253" s="11"/>
      <c r="V253" s="11"/>
      <c r="W253" s="11"/>
      <c r="X253" s="11"/>
      <c r="Z253" s="13"/>
    </row>
    <row r="254" spans="4:26">
      <c r="D254" s="13"/>
      <c r="T254" s="11"/>
      <c r="V254" s="11"/>
      <c r="W254" s="11"/>
      <c r="X254" s="11"/>
      <c r="Z254" s="13"/>
    </row>
    <row r="255" spans="4:26">
      <c r="D255" s="13"/>
      <c r="T255" s="11"/>
      <c r="V255" s="11"/>
      <c r="W255" s="11"/>
      <c r="X255" s="11"/>
      <c r="Z255" s="13"/>
    </row>
    <row r="256" spans="4:26">
      <c r="D256" s="13"/>
      <c r="T256" s="11"/>
      <c r="V256" s="11"/>
      <c r="W256" s="11"/>
      <c r="X256" s="11"/>
      <c r="Z256" s="13"/>
    </row>
    <row r="257" spans="4:26">
      <c r="D257" s="13"/>
      <c r="T257" s="11"/>
      <c r="V257" s="11"/>
      <c r="W257" s="11"/>
      <c r="X257" s="11"/>
      <c r="Z257" s="13"/>
    </row>
    <row r="258" spans="4:26">
      <c r="D258" s="13"/>
      <c r="T258" s="11"/>
      <c r="V258" s="11"/>
      <c r="W258" s="11"/>
      <c r="X258" s="11"/>
      <c r="Z258" s="13"/>
    </row>
    <row r="259" spans="4:26">
      <c r="T259" s="11"/>
      <c r="V259" s="11"/>
      <c r="W259" s="11"/>
      <c r="X259" s="11"/>
      <c r="Z259" s="13"/>
    </row>
    <row r="260" spans="4:26">
      <c r="T260" s="11"/>
      <c r="V260" s="11"/>
      <c r="W260" s="11"/>
      <c r="X260" s="11"/>
      <c r="Z260" s="13"/>
    </row>
    <row r="261" spans="4:26">
      <c r="T261" s="11"/>
      <c r="V261" s="11"/>
      <c r="W261" s="11"/>
      <c r="X261" s="11"/>
      <c r="Z261" s="13"/>
    </row>
    <row r="262" spans="4:26">
      <c r="T262" s="11"/>
      <c r="V262" s="11"/>
      <c r="W262" s="11"/>
      <c r="X262" s="11"/>
      <c r="Z262" s="13"/>
    </row>
    <row r="263" spans="4:26">
      <c r="T263" s="11"/>
      <c r="V263" s="11"/>
      <c r="W263" s="11"/>
      <c r="X263" s="11"/>
      <c r="Z263" s="13"/>
    </row>
    <row r="264" spans="4:26">
      <c r="T264" s="11"/>
      <c r="V264" s="11"/>
      <c r="W264" s="11"/>
      <c r="X264" s="11"/>
      <c r="Z264" s="13"/>
    </row>
    <row r="265" spans="4:26">
      <c r="T265" s="11"/>
      <c r="V265" s="11"/>
      <c r="W265" s="11"/>
      <c r="X265" s="11"/>
      <c r="Z265" s="13"/>
    </row>
    <row r="266" spans="4:26">
      <c r="T266" s="11"/>
      <c r="V266" s="11"/>
      <c r="W266" s="11"/>
      <c r="X266" s="11"/>
      <c r="Z266" s="13"/>
    </row>
  </sheetData>
  <sortState xmlns:xlrd2="http://schemas.microsoft.com/office/spreadsheetml/2017/richdata2" ref="Q17:U122">
    <sortCondition descending="1" ref="S17:S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D149-53C7-7B41-B1ED-5B367D11AE51}">
  <dimension ref="B3:G31"/>
  <sheetViews>
    <sheetView showGridLines="0" workbookViewId="0">
      <selection activeCell="F8" sqref="F8"/>
    </sheetView>
  </sheetViews>
  <sheetFormatPr baseColWidth="10" defaultRowHeight="16"/>
  <cols>
    <col min="1" max="1" width="2" customWidth="1"/>
    <col min="2" max="2" width="5.1640625" bestFit="1" customWidth="1"/>
    <col min="5" max="5" width="17.1640625" bestFit="1" customWidth="1"/>
    <col min="6" max="6" width="8.1640625" bestFit="1" customWidth="1"/>
  </cols>
  <sheetData>
    <row r="3" spans="2:7">
      <c r="B3" s="72" t="s">
        <v>203</v>
      </c>
      <c r="C3" s="72"/>
      <c r="D3" s="72"/>
      <c r="E3" s="72"/>
      <c r="F3" s="72"/>
      <c r="G3" s="72"/>
    </row>
    <row r="5" spans="2:7">
      <c r="B5" s="67" t="s">
        <v>201</v>
      </c>
      <c r="C5" s="70" t="s">
        <v>202</v>
      </c>
    </row>
    <row r="6" spans="2:7">
      <c r="B6" s="69">
        <v>2000</v>
      </c>
      <c r="C6" s="71">
        <v>-0.14649999999999999</v>
      </c>
      <c r="D6" s="10"/>
      <c r="E6" s="135" t="s">
        <v>204</v>
      </c>
      <c r="F6" s="53">
        <f>AVERAGE(C6:C30)</f>
        <v>0.15334799999999998</v>
      </c>
    </row>
    <row r="7" spans="2:7" ht="19">
      <c r="B7" s="69">
        <v>2001</v>
      </c>
      <c r="C7" s="71">
        <v>-0.1618</v>
      </c>
      <c r="D7" s="10"/>
      <c r="E7" s="135" t="s">
        <v>205</v>
      </c>
      <c r="F7" s="152" t="s">
        <v>207</v>
      </c>
    </row>
    <row r="8" spans="2:7">
      <c r="B8" s="69">
        <v>2002</v>
      </c>
      <c r="C8" s="71">
        <v>3.2500000000000001E-2</v>
      </c>
      <c r="D8" s="10"/>
      <c r="E8" s="77" t="s">
        <v>208</v>
      </c>
      <c r="F8" s="78">
        <f>SUM(F6:F7)</f>
        <v>0.15334799999999998</v>
      </c>
      <c r="G8" s="73"/>
    </row>
    <row r="9" spans="2:7">
      <c r="B9" s="69">
        <v>2003</v>
      </c>
      <c r="C9" s="71">
        <v>0.71900000000000008</v>
      </c>
      <c r="D9" s="10"/>
    </row>
    <row r="10" spans="2:7">
      <c r="B10" s="69">
        <v>2004</v>
      </c>
      <c r="C10" s="71">
        <v>0.10679999999999999</v>
      </c>
      <c r="D10" s="10"/>
    </row>
    <row r="11" spans="2:7">
      <c r="B11" s="69">
        <v>2005</v>
      </c>
      <c r="C11" s="71">
        <v>0.36340000000000006</v>
      </c>
      <c r="D11" s="10"/>
    </row>
    <row r="12" spans="2:7">
      <c r="B12" s="69">
        <v>2006</v>
      </c>
      <c r="C12" s="71">
        <v>0.39829999999999999</v>
      </c>
      <c r="D12" s="10"/>
    </row>
    <row r="13" spans="2:7">
      <c r="B13" s="69">
        <v>2007</v>
      </c>
      <c r="C13" s="71">
        <v>0.54770000000000008</v>
      </c>
      <c r="D13" s="10"/>
    </row>
    <row r="14" spans="2:7">
      <c r="B14" s="69">
        <v>2008</v>
      </c>
      <c r="C14" s="71">
        <v>-0.51790000000000003</v>
      </c>
      <c r="D14" s="10"/>
    </row>
    <row r="15" spans="2:7">
      <c r="B15" s="69">
        <v>2009</v>
      </c>
      <c r="C15" s="71">
        <v>0.75760000000000005</v>
      </c>
      <c r="D15" s="10"/>
    </row>
    <row r="16" spans="2:7">
      <c r="B16" s="69">
        <v>2010</v>
      </c>
      <c r="C16" s="71">
        <v>0.17949999999999999</v>
      </c>
      <c r="D16" s="10"/>
    </row>
    <row r="17" spans="2:4">
      <c r="B17" s="69">
        <v>2011</v>
      </c>
      <c r="C17" s="71">
        <v>-0.2462</v>
      </c>
      <c r="D17" s="10"/>
    </row>
    <row r="18" spans="2:4">
      <c r="B18" s="69">
        <v>2012</v>
      </c>
      <c r="C18" s="71">
        <v>0.27699999999999997</v>
      </c>
      <c r="D18" s="10"/>
    </row>
    <row r="19" spans="2:4">
      <c r="B19" s="69">
        <v>2013</v>
      </c>
      <c r="C19" s="71">
        <v>6.7599999999999993E-2</v>
      </c>
      <c r="D19" s="10"/>
    </row>
    <row r="20" spans="2:4">
      <c r="B20" s="69">
        <v>2014</v>
      </c>
      <c r="C20" s="71">
        <v>0.31390000000000001</v>
      </c>
      <c r="D20" s="10"/>
    </row>
    <row r="21" spans="2:4">
      <c r="B21" s="69">
        <v>2015</v>
      </c>
      <c r="C21" s="71">
        <v>-4.0599999999999997E-2</v>
      </c>
      <c r="D21" s="10"/>
    </row>
    <row r="22" spans="2:4">
      <c r="B22" s="69">
        <v>2016</v>
      </c>
      <c r="C22" s="71">
        <v>3.0099999999999998E-2</v>
      </c>
      <c r="D22" s="10"/>
    </row>
    <row r="23" spans="2:4">
      <c r="B23" s="69">
        <v>2017</v>
      </c>
      <c r="C23" s="71">
        <v>0.28649999999999998</v>
      </c>
      <c r="D23" s="10"/>
    </row>
    <row r="24" spans="2:4">
      <c r="B24" s="69">
        <v>2018</v>
      </c>
      <c r="C24" s="71">
        <v>3.15E-2</v>
      </c>
      <c r="D24" s="10"/>
    </row>
    <row r="25" spans="2:4">
      <c r="B25" s="69">
        <v>2019</v>
      </c>
      <c r="C25" s="71">
        <v>0.1202</v>
      </c>
      <c r="D25" s="10"/>
    </row>
    <row r="26" spans="2:4">
      <c r="B26" s="69">
        <v>2020</v>
      </c>
      <c r="C26" s="71">
        <v>0.14899999999999999</v>
      </c>
      <c r="D26" s="10"/>
    </row>
    <row r="27" spans="2:4">
      <c r="B27" s="69">
        <v>2021</v>
      </c>
      <c r="C27" s="71">
        <v>0.2412</v>
      </c>
      <c r="D27" s="10"/>
    </row>
    <row r="28" spans="2:4">
      <c r="B28" s="69">
        <v>2022</v>
      </c>
      <c r="C28" s="71">
        <v>4.3200000000000002E-2</v>
      </c>
      <c r="D28" s="10"/>
    </row>
    <row r="29" spans="2:4">
      <c r="B29" s="69">
        <v>2023</v>
      </c>
      <c r="C29" s="71">
        <v>0.19420000000000001</v>
      </c>
      <c r="D29" s="10"/>
    </row>
    <row r="30" spans="2:4">
      <c r="B30" s="69">
        <v>2024</v>
      </c>
      <c r="C30" s="71">
        <v>8.7499999999999994E-2</v>
      </c>
      <c r="D30" s="10"/>
    </row>
    <row r="31" spans="2:4">
      <c r="B31" s="68"/>
      <c r="C3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AB12-431A-FE47-BC80-6AC97EE2F0D7}">
  <dimension ref="A1:L63"/>
  <sheetViews>
    <sheetView showGridLines="0" workbookViewId="0">
      <pane ySplit="2" topLeftCell="A3" activePane="bottomLeft" state="frozen"/>
      <selection pane="bottomLeft" activeCell="H60" sqref="H60"/>
    </sheetView>
  </sheetViews>
  <sheetFormatPr baseColWidth="10" defaultRowHeight="16"/>
  <cols>
    <col min="1" max="1" width="2" customWidth="1"/>
    <col min="4" max="4" width="8.1640625" customWidth="1"/>
    <col min="5" max="5" width="6.83203125" customWidth="1"/>
    <col min="6" max="6" width="4.83203125" customWidth="1"/>
    <col min="8" max="8" width="20.33203125" bestFit="1" customWidth="1"/>
    <col min="10" max="10" width="12.83203125" bestFit="1" customWidth="1"/>
  </cols>
  <sheetData>
    <row r="1" spans="2:11">
      <c r="B1" s="4" t="s">
        <v>416</v>
      </c>
    </row>
    <row r="2" spans="2:11">
      <c r="B2" s="110" t="s">
        <v>340</v>
      </c>
      <c r="C2" s="110"/>
      <c r="D2" s="110"/>
      <c r="E2" s="110"/>
      <c r="F2" s="110"/>
      <c r="G2" s="105">
        <v>43891</v>
      </c>
      <c r="H2" s="105">
        <v>44256</v>
      </c>
      <c r="I2" s="105">
        <v>44621</v>
      </c>
      <c r="J2" s="105">
        <v>44986</v>
      </c>
      <c r="K2" s="105">
        <v>45352</v>
      </c>
    </row>
    <row r="4" spans="2:11">
      <c r="B4" s="73" t="s">
        <v>341</v>
      </c>
    </row>
    <row r="5" spans="2:11">
      <c r="B5" t="str">
        <f>'BS AS'!B36</f>
        <v>Inventories</v>
      </c>
      <c r="G5" s="123">
        <f>'BS AS'!I36</f>
        <v>1947</v>
      </c>
      <c r="H5" s="123">
        <f>'BS AS'!J36</f>
        <v>2248</v>
      </c>
      <c r="I5" s="123">
        <f>'BS AS'!K36</f>
        <v>2743</v>
      </c>
      <c r="J5" s="123">
        <f>'BS AS'!L36</f>
        <v>3243</v>
      </c>
      <c r="K5" s="123">
        <f>'BS AS'!M36</f>
        <v>3927</v>
      </c>
    </row>
    <row r="6" spans="2:11">
      <c r="B6" t="str">
        <f>'BS AS'!B37</f>
        <v>Trade receivables</v>
      </c>
      <c r="G6" s="123">
        <f>'BS AS'!I37</f>
        <v>20</v>
      </c>
      <c r="H6" s="123">
        <f>'BS AS'!J37</f>
        <v>44</v>
      </c>
      <c r="I6" s="123">
        <f>'BS AS'!K37</f>
        <v>67</v>
      </c>
      <c r="J6" s="123">
        <f>'BS AS'!L37</f>
        <v>62</v>
      </c>
      <c r="K6" s="123">
        <f>'BS AS'!M37</f>
        <v>166</v>
      </c>
    </row>
    <row r="7" spans="2:11">
      <c r="B7" t="str">
        <f>'BS AS'!B39</f>
        <v>Loans n Advances</v>
      </c>
      <c r="G7" s="123">
        <f>'BS AS'!I39</f>
        <v>94</v>
      </c>
      <c r="H7" s="123">
        <f>'BS AS'!J39</f>
        <v>81</v>
      </c>
      <c r="I7" s="123">
        <f>'BS AS'!K39</f>
        <v>109</v>
      </c>
      <c r="J7" s="123">
        <f>'BS AS'!L39</f>
        <v>97</v>
      </c>
      <c r="K7" s="123">
        <f>'BS AS'!M39</f>
        <v>105</v>
      </c>
    </row>
    <row r="8" spans="2:11">
      <c r="B8" t="str">
        <f>'BS AS'!B40</f>
        <v>Other asset items</v>
      </c>
      <c r="G8" s="123">
        <f>'BS AS'!I40</f>
        <v>3580</v>
      </c>
      <c r="H8" s="123">
        <f>'BS AS'!J40</f>
        <v>1806</v>
      </c>
      <c r="I8" s="123">
        <f>'BS AS'!K40</f>
        <v>1859</v>
      </c>
      <c r="J8" s="123">
        <f>'BS AS'!L40</f>
        <v>922</v>
      </c>
      <c r="K8" s="123">
        <f>'BS AS'!M40</f>
        <v>1879</v>
      </c>
    </row>
    <row r="9" spans="2:11">
      <c r="B9" s="40" t="s">
        <v>252</v>
      </c>
      <c r="C9" s="40"/>
      <c r="D9" s="40"/>
      <c r="E9" s="40"/>
      <c r="F9" s="40"/>
      <c r="G9" s="124">
        <f>SUM(G5:G8)</f>
        <v>5641</v>
      </c>
      <c r="H9" s="124">
        <f t="shared" ref="H9:K9" si="0">SUM(H5:H8)</f>
        <v>4179</v>
      </c>
      <c r="I9" s="124">
        <f t="shared" si="0"/>
        <v>4778</v>
      </c>
      <c r="J9" s="124">
        <f t="shared" si="0"/>
        <v>4324</v>
      </c>
      <c r="K9" s="124">
        <f t="shared" si="0"/>
        <v>6077</v>
      </c>
    </row>
    <row r="10" spans="2:11">
      <c r="B10" s="73"/>
      <c r="G10" s="123"/>
      <c r="H10" s="123"/>
      <c r="I10" s="123"/>
      <c r="J10" s="123"/>
      <c r="K10" s="123"/>
    </row>
    <row r="11" spans="2:11">
      <c r="B11" s="73" t="s">
        <v>342</v>
      </c>
      <c r="G11" s="123"/>
      <c r="H11" s="123"/>
      <c r="I11" s="123"/>
      <c r="J11" s="123"/>
      <c r="K11" s="123"/>
    </row>
    <row r="12" spans="2:11">
      <c r="B12" s="111" t="str">
        <f>'BS AS'!B14</f>
        <v>Trade Payables</v>
      </c>
      <c r="G12" s="123">
        <f>'BS AS'!I14</f>
        <v>433</v>
      </c>
      <c r="H12" s="123">
        <f>'BS AS'!J14</f>
        <v>578</v>
      </c>
      <c r="I12" s="123">
        <f>'BS AS'!K14</f>
        <v>589</v>
      </c>
      <c r="J12" s="123">
        <f>'BS AS'!L14</f>
        <v>754</v>
      </c>
      <c r="K12" s="123">
        <f>'BS AS'!M14</f>
        <v>985</v>
      </c>
    </row>
    <row r="13" spans="2:11">
      <c r="B13" s="111" t="str">
        <f>'BS AS'!B15</f>
        <v>Other liability items</v>
      </c>
      <c r="G13" s="123">
        <f>'BS AS'!I15</f>
        <v>229</v>
      </c>
      <c r="H13" s="123">
        <f>'BS AS'!J15</f>
        <v>500</v>
      </c>
      <c r="I13" s="123">
        <f>'BS AS'!K15</f>
        <v>557</v>
      </c>
      <c r="J13" s="123">
        <f>'BS AS'!L15</f>
        <v>629</v>
      </c>
      <c r="K13" s="123">
        <f>'BS AS'!M15</f>
        <v>898</v>
      </c>
    </row>
    <row r="14" spans="2:11">
      <c r="B14" s="40" t="s">
        <v>343</v>
      </c>
      <c r="C14" s="40"/>
      <c r="D14" s="40"/>
      <c r="E14" s="40"/>
      <c r="F14" s="40"/>
      <c r="G14" s="124">
        <f>SUM(G12:G13)</f>
        <v>662</v>
      </c>
      <c r="H14" s="124">
        <f t="shared" ref="H14:K14" si="1">SUM(H12:H13)</f>
        <v>1078</v>
      </c>
      <c r="I14" s="124">
        <f t="shared" si="1"/>
        <v>1146</v>
      </c>
      <c r="J14" s="124">
        <f t="shared" si="1"/>
        <v>1383</v>
      </c>
      <c r="K14" s="124">
        <f t="shared" si="1"/>
        <v>1883</v>
      </c>
    </row>
    <row r="15" spans="2:11">
      <c r="G15" s="123"/>
      <c r="H15" s="123"/>
      <c r="I15" s="123"/>
      <c r="J15" s="123"/>
      <c r="K15" s="123"/>
    </row>
    <row r="16" spans="2:11">
      <c r="G16" s="123"/>
      <c r="H16" s="123"/>
      <c r="I16" s="123"/>
      <c r="J16" s="123"/>
      <c r="K16" s="123"/>
    </row>
    <row r="17" spans="1:11">
      <c r="A17" t="s">
        <v>214</v>
      </c>
      <c r="B17" s="112" t="s">
        <v>344</v>
      </c>
      <c r="C17" s="112"/>
      <c r="D17" s="112"/>
      <c r="E17" s="112"/>
      <c r="F17" s="112"/>
      <c r="G17" s="125">
        <f>G9-G14</f>
        <v>4979</v>
      </c>
      <c r="H17" s="125">
        <f>H9-H14</f>
        <v>3101</v>
      </c>
      <c r="I17" s="125">
        <f>I9-I14</f>
        <v>3632</v>
      </c>
      <c r="J17" s="125">
        <f>J9-J14</f>
        <v>2941</v>
      </c>
      <c r="K17" s="125">
        <f>K9-K14</f>
        <v>4194</v>
      </c>
    </row>
    <row r="18" spans="1:11">
      <c r="G18" s="123"/>
      <c r="H18" s="123"/>
      <c r="I18" s="123"/>
      <c r="J18" s="123"/>
      <c r="K18" s="123"/>
    </row>
    <row r="19" spans="1:11">
      <c r="B19" s="73" t="s">
        <v>345</v>
      </c>
      <c r="G19" s="123"/>
      <c r="H19" s="123"/>
      <c r="I19" s="123"/>
      <c r="J19" s="123"/>
      <c r="K19" s="123"/>
    </row>
    <row r="20" spans="1:11">
      <c r="B20" t="str">
        <f>'BS AS'!B19</f>
        <v>Land</v>
      </c>
      <c r="G20" s="123">
        <f>'BS AS'!I19</f>
        <v>2740</v>
      </c>
      <c r="H20" s="123">
        <f>'BS AS'!J19</f>
        <v>3483</v>
      </c>
      <c r="I20" s="123">
        <f>'BS AS'!K19</f>
        <v>4527</v>
      </c>
      <c r="J20" s="123">
        <f>'BS AS'!L19</f>
        <v>5519</v>
      </c>
      <c r="K20" s="123">
        <f>'BS AS'!M19</f>
        <v>6904</v>
      </c>
    </row>
    <row r="21" spans="1:11">
      <c r="B21" t="str">
        <f>'BS AS'!B20</f>
        <v>Building</v>
      </c>
      <c r="G21" s="123">
        <f>'BS AS'!I20</f>
        <v>3139</v>
      </c>
      <c r="H21" s="123">
        <f>'BS AS'!J20</f>
        <v>3649</v>
      </c>
      <c r="I21" s="123">
        <f>'BS AS'!K20</f>
        <v>4938</v>
      </c>
      <c r="J21" s="123">
        <f>'BS AS'!L20</f>
        <v>6201</v>
      </c>
      <c r="K21" s="123">
        <f>'BS AS'!M20</f>
        <v>7062</v>
      </c>
    </row>
    <row r="22" spans="1:11">
      <c r="B22" t="str">
        <f>'BS AS'!B21</f>
        <v>Plant Machinery</v>
      </c>
      <c r="G22" s="123">
        <f>'BS AS'!I21</f>
        <v>272</v>
      </c>
      <c r="H22" s="123">
        <f>'BS AS'!J21</f>
        <v>352</v>
      </c>
      <c r="I22" s="123">
        <f>'BS AS'!K21</f>
        <v>491</v>
      </c>
      <c r="J22" s="123">
        <f>'BS AS'!L21</f>
        <v>656</v>
      </c>
      <c r="K22" s="123">
        <f>'BS AS'!M21</f>
        <v>870</v>
      </c>
    </row>
    <row r="23" spans="1:11">
      <c r="B23" t="str">
        <f>'BS AS'!B22</f>
        <v>Equipments</v>
      </c>
      <c r="G23" s="123">
        <f>'BS AS'!I22</f>
        <v>39</v>
      </c>
      <c r="H23" s="123">
        <f>'BS AS'!J22</f>
        <v>50</v>
      </c>
      <c r="I23" s="123">
        <f>'BS AS'!K22</f>
        <v>73</v>
      </c>
      <c r="J23" s="123">
        <f>'BS AS'!L22</f>
        <v>85</v>
      </c>
      <c r="K23" s="123">
        <f>'BS AS'!M22</f>
        <v>97</v>
      </c>
    </row>
    <row r="24" spans="1:11">
      <c r="B24" t="str">
        <f>'BS AS'!B23</f>
        <v>Computers</v>
      </c>
      <c r="G24" s="123">
        <f>'BS AS'!I23</f>
        <v>95</v>
      </c>
      <c r="H24" s="123">
        <f>'BS AS'!J23</f>
        <v>119</v>
      </c>
      <c r="I24" s="123">
        <f>'BS AS'!K23</f>
        <v>153</v>
      </c>
      <c r="J24" s="123">
        <f>'BS AS'!L23</f>
        <v>190</v>
      </c>
      <c r="K24" s="123">
        <f>'BS AS'!M23</f>
        <v>219</v>
      </c>
    </row>
    <row r="25" spans="1:11">
      <c r="B25" t="str">
        <f>'BS AS'!B24</f>
        <v>Furniture n fittings</v>
      </c>
      <c r="G25" s="123">
        <f>'BS AS'!I24</f>
        <v>476</v>
      </c>
      <c r="H25" s="123">
        <f>'BS AS'!J24</f>
        <v>581</v>
      </c>
      <c r="I25" s="123">
        <f>'BS AS'!K24</f>
        <v>772</v>
      </c>
      <c r="J25" s="123">
        <f>'BS AS'!L24</f>
        <v>968</v>
      </c>
      <c r="K25" s="123">
        <f>'BS AS'!M24</f>
        <v>1205</v>
      </c>
    </row>
    <row r="26" spans="1:11">
      <c r="B26" t="str">
        <f>'BS AS'!B25</f>
        <v>Vehicles</v>
      </c>
      <c r="G26" s="123">
        <f>'BS AS'!I25</f>
        <v>4</v>
      </c>
      <c r="H26" s="123">
        <f>'BS AS'!J25</f>
        <v>4</v>
      </c>
      <c r="I26" s="123">
        <f>'BS AS'!K25</f>
        <v>3</v>
      </c>
      <c r="J26" s="123">
        <f>'BS AS'!L25</f>
        <v>15</v>
      </c>
      <c r="K26" s="123">
        <f>'BS AS'!M25</f>
        <v>17</v>
      </c>
    </row>
    <row r="27" spans="1:11">
      <c r="B27" t="str">
        <f>'BS AS'!B26</f>
        <v>Intangible Assets</v>
      </c>
      <c r="G27" s="123">
        <f>'BS AS'!I26</f>
        <v>78</v>
      </c>
      <c r="H27" s="123">
        <f>'BS AS'!J26</f>
        <v>78</v>
      </c>
      <c r="I27" s="123">
        <f>'BS AS'!K26</f>
        <v>78</v>
      </c>
      <c r="J27" s="123">
        <f>'BS AS'!L26</f>
        <v>78</v>
      </c>
      <c r="K27" s="123">
        <f>'BS AS'!M26</f>
        <v>78</v>
      </c>
    </row>
    <row r="28" spans="1:11">
      <c r="B28" t="str">
        <f>'BS AS'!B27</f>
        <v>Other fixed assets</v>
      </c>
      <c r="G28" s="123"/>
      <c r="H28" s="123"/>
      <c r="I28" s="123"/>
      <c r="J28" s="123"/>
      <c r="K28" s="123"/>
    </row>
    <row r="29" spans="1:11">
      <c r="B29" s="40" t="s">
        <v>331</v>
      </c>
      <c r="C29" s="40"/>
      <c r="D29" s="40"/>
      <c r="E29" s="40"/>
      <c r="F29" s="40"/>
      <c r="G29" s="124">
        <f>SUM(G20:G27)</f>
        <v>6843</v>
      </c>
      <c r="H29" s="124">
        <f>SUM(H20:H27)</f>
        <v>8316</v>
      </c>
      <c r="I29" s="124">
        <f>SUM(I20:I27)</f>
        <v>11035</v>
      </c>
      <c r="J29" s="124">
        <f>SUM(J20:J27)</f>
        <v>13712</v>
      </c>
      <c r="K29" s="124">
        <f>SUM(K20:K27)</f>
        <v>16452</v>
      </c>
    </row>
    <row r="30" spans="1:11">
      <c r="A30" t="s">
        <v>214</v>
      </c>
      <c r="B30" t="s">
        <v>332</v>
      </c>
      <c r="G30" s="123">
        <f>-'BS AS'!C29</f>
        <v>-225</v>
      </c>
      <c r="H30" s="123">
        <f>-'BS AS'!D29</f>
        <v>-304</v>
      </c>
      <c r="I30" s="123">
        <f>-'BS AS'!E29</f>
        <v>-98</v>
      </c>
      <c r="J30" s="123">
        <f>-'BS AS'!F29</f>
        <v>-228</v>
      </c>
      <c r="K30" s="123">
        <f>-'BS AS'!G29</f>
        <v>-401</v>
      </c>
    </row>
    <row r="31" spans="1:11">
      <c r="B31" s="112" t="s">
        <v>346</v>
      </c>
      <c r="C31" s="112"/>
      <c r="D31" s="112"/>
      <c r="E31" s="112"/>
      <c r="F31" s="112"/>
      <c r="G31" s="125">
        <f>SUM(G29:G30)</f>
        <v>6618</v>
      </c>
      <c r="H31" s="125">
        <f t="shared" ref="H31:K31" si="2">SUM(H29:H30)</f>
        <v>8012</v>
      </c>
      <c r="I31" s="125">
        <f t="shared" si="2"/>
        <v>10937</v>
      </c>
      <c r="J31" s="125">
        <f t="shared" si="2"/>
        <v>13484</v>
      </c>
      <c r="K31" s="125">
        <f t="shared" si="2"/>
        <v>16051</v>
      </c>
    </row>
    <row r="32" spans="1:11">
      <c r="A32" t="s">
        <v>214</v>
      </c>
      <c r="G32" s="123"/>
      <c r="H32" s="123"/>
      <c r="I32" s="123"/>
      <c r="J32" s="123"/>
      <c r="K32" s="123"/>
    </row>
    <row r="33" spans="1:11">
      <c r="B33" s="73" t="s">
        <v>347</v>
      </c>
      <c r="C33" s="73"/>
      <c r="D33" s="73"/>
      <c r="E33" s="73"/>
      <c r="F33" s="73"/>
      <c r="G33" s="126">
        <f>SUM(G31,G17)</f>
        <v>11597</v>
      </c>
      <c r="H33" s="126">
        <f>SUM(H31,H17)</f>
        <v>11113</v>
      </c>
      <c r="I33" s="126">
        <f>SUM(I31,I17)</f>
        <v>14569</v>
      </c>
      <c r="J33" s="126">
        <f>SUM(J31,J17)</f>
        <v>16425</v>
      </c>
      <c r="K33" s="126">
        <f>SUM(K31,K17)</f>
        <v>20245</v>
      </c>
    </row>
    <row r="34" spans="1:11">
      <c r="B34" s="73" t="s">
        <v>348</v>
      </c>
      <c r="C34" s="73"/>
      <c r="D34" s="73"/>
      <c r="E34" s="73"/>
      <c r="F34" s="73"/>
      <c r="G34" s="126">
        <f>'Historical FS '!H25+'Historical FS '!H19</f>
        <v>1330.6699999999985</v>
      </c>
      <c r="H34" s="126">
        <f>'Historical FS '!I25+'Historical FS '!I19</f>
        <v>2004.2700000000013</v>
      </c>
      <c r="I34" s="126">
        <f>'Historical FS '!J25+'Historical FS '!J19</f>
        <v>2999.8999999999969</v>
      </c>
      <c r="J34" s="126">
        <f>'Historical FS '!K25+'Historical FS '!K19</f>
        <v>3374.8800000000051</v>
      </c>
      <c r="K34" s="126">
        <f>'Historical FS '!L25+'Historical FS '!L19</f>
        <v>3617.8099999999968</v>
      </c>
    </row>
    <row r="35" spans="1:11">
      <c r="A35" t="s">
        <v>214</v>
      </c>
    </row>
    <row r="36" spans="1:11">
      <c r="B36" s="112" t="s">
        <v>349</v>
      </c>
      <c r="C36" s="112"/>
      <c r="D36" s="112"/>
      <c r="E36" s="112"/>
      <c r="F36" s="112"/>
      <c r="G36" s="113">
        <f>G34/G33</f>
        <v>0.11474260584633944</v>
      </c>
      <c r="H36" s="113">
        <f t="shared" ref="H36:K36" si="3">H34/H33</f>
        <v>0.1803536398812203</v>
      </c>
      <c r="I36" s="113">
        <f t="shared" si="3"/>
        <v>0.20590980849749446</v>
      </c>
      <c r="J36" s="113">
        <f t="shared" si="3"/>
        <v>0.20547214611872178</v>
      </c>
      <c r="K36" s="113">
        <f t="shared" si="3"/>
        <v>0.17870140775500107</v>
      </c>
    </row>
    <row r="38" spans="1:11">
      <c r="B38" s="110" t="s">
        <v>350</v>
      </c>
      <c r="C38" s="110"/>
      <c r="D38" s="110"/>
      <c r="E38" s="110"/>
      <c r="F38" s="110"/>
      <c r="G38" s="105">
        <v>43891</v>
      </c>
      <c r="H38" s="105">
        <v>44256</v>
      </c>
      <c r="I38" s="105">
        <v>44621</v>
      </c>
      <c r="J38" s="105">
        <v>44986</v>
      </c>
      <c r="K38" s="105">
        <v>45352</v>
      </c>
    </row>
    <row r="40" spans="1:11">
      <c r="B40" t="s">
        <v>351</v>
      </c>
      <c r="G40" s="123">
        <f>-SUM('BS AS'!I58:I59)</f>
        <v>1706</v>
      </c>
      <c r="H40" s="123">
        <f>-SUM('BS AS'!J58:J59)</f>
        <v>2027</v>
      </c>
      <c r="I40" s="123">
        <f>-SUM('BS AS'!K58:K59)</f>
        <v>2389</v>
      </c>
      <c r="J40" s="123">
        <f>-SUM('BS AS'!L58:L59)</f>
        <v>2207</v>
      </c>
      <c r="K40" s="123">
        <f>-SUM('BS AS'!M58:M59)</f>
        <v>2722</v>
      </c>
    </row>
    <row r="41" spans="1:11">
      <c r="B41" t="s">
        <v>363</v>
      </c>
      <c r="G41" s="123"/>
      <c r="H41" s="123">
        <f>H17-G17</f>
        <v>-1878</v>
      </c>
      <c r="I41" s="123">
        <f t="shared" ref="I41:K41" si="4">I17-H17</f>
        <v>531</v>
      </c>
      <c r="J41" s="123">
        <f t="shared" si="4"/>
        <v>-691</v>
      </c>
      <c r="K41" s="123">
        <f t="shared" si="4"/>
        <v>1253</v>
      </c>
    </row>
    <row r="42" spans="1:11">
      <c r="G42" s="123"/>
      <c r="H42" s="123"/>
      <c r="I42" s="123"/>
      <c r="J42" s="123"/>
      <c r="K42" s="123"/>
    </row>
    <row r="43" spans="1:11">
      <c r="B43" t="s">
        <v>348</v>
      </c>
      <c r="G43" s="123">
        <f>G34</f>
        <v>1330.6699999999985</v>
      </c>
      <c r="H43" s="123">
        <f t="shared" ref="H43:K43" si="5">H34</f>
        <v>2004.2700000000013</v>
      </c>
      <c r="I43" s="123">
        <f t="shared" si="5"/>
        <v>2999.8999999999969</v>
      </c>
      <c r="J43" s="123">
        <f t="shared" si="5"/>
        <v>3374.8800000000051</v>
      </c>
      <c r="K43" s="123">
        <f t="shared" si="5"/>
        <v>3617.8099999999968</v>
      </c>
    </row>
    <row r="44" spans="1:11">
      <c r="B44" t="s">
        <v>364</v>
      </c>
      <c r="G44" s="122">
        <v>0.25</v>
      </c>
      <c r="H44" s="122">
        <v>0.25</v>
      </c>
      <c r="I44" s="122">
        <v>0.25</v>
      </c>
      <c r="J44" s="122">
        <v>0.25</v>
      </c>
      <c r="K44" s="122">
        <v>0.25</v>
      </c>
    </row>
    <row r="45" spans="1:11">
      <c r="B45" t="s">
        <v>366</v>
      </c>
      <c r="G45">
        <f>G43*(1-G44)</f>
        <v>998.00249999999892</v>
      </c>
      <c r="H45">
        <f t="shared" ref="H45:K45" si="6">H43*(1-H44)</f>
        <v>1503.202500000001</v>
      </c>
      <c r="I45">
        <f t="shared" si="6"/>
        <v>2249.9249999999975</v>
      </c>
      <c r="J45">
        <f t="shared" si="6"/>
        <v>2531.1600000000039</v>
      </c>
      <c r="K45">
        <f t="shared" si="6"/>
        <v>2713.3574999999973</v>
      </c>
    </row>
    <row r="47" spans="1:11">
      <c r="B47" t="s">
        <v>365</v>
      </c>
      <c r="G47" t="s">
        <v>372</v>
      </c>
      <c r="H47" s="56">
        <f>H40+H41</f>
        <v>149</v>
      </c>
      <c r="I47" s="56">
        <f t="shared" ref="I47:K47" si="7">I40+I41</f>
        <v>2920</v>
      </c>
      <c r="J47" s="56">
        <f t="shared" si="7"/>
        <v>1516</v>
      </c>
      <c r="K47" s="56">
        <f t="shared" si="7"/>
        <v>3975</v>
      </c>
    </row>
    <row r="48" spans="1:11">
      <c r="B48" s="112" t="s">
        <v>367</v>
      </c>
      <c r="C48" s="112"/>
      <c r="D48" s="112"/>
      <c r="E48" s="112"/>
      <c r="F48" s="112"/>
      <c r="G48" s="112" t="s">
        <v>372</v>
      </c>
      <c r="H48" s="113">
        <f>H47/H45</f>
        <v>9.9121708485716262E-2</v>
      </c>
      <c r="I48" s="113">
        <f t="shared" ref="I48:K48" si="8">I47/I45</f>
        <v>1.2978210384790618</v>
      </c>
      <c r="J48" s="113">
        <f t="shared" si="8"/>
        <v>0.59893487570916004</v>
      </c>
      <c r="K48" s="113">
        <f t="shared" si="8"/>
        <v>1.464974666994675</v>
      </c>
    </row>
    <row r="50" spans="2:12">
      <c r="J50" s="77" t="s">
        <v>368</v>
      </c>
      <c r="K50" s="78">
        <f>AVERAGE(H48:K48)</f>
        <v>0.86521307241715339</v>
      </c>
    </row>
    <row r="51" spans="2:12">
      <c r="J51" s="77" t="s">
        <v>369</v>
      </c>
      <c r="K51" s="78">
        <f>MEDIAN(H48:K48)</f>
        <v>0.94837795709411088</v>
      </c>
    </row>
    <row r="54" spans="2:12">
      <c r="B54" s="110" t="s">
        <v>370</v>
      </c>
      <c r="C54" s="110"/>
      <c r="D54" s="110"/>
      <c r="E54" s="110"/>
      <c r="F54" s="110"/>
      <c r="G54" s="105">
        <v>43891</v>
      </c>
      <c r="H54" s="105">
        <v>44256</v>
      </c>
      <c r="I54" s="105">
        <v>44621</v>
      </c>
      <c r="J54" s="105">
        <v>44986</v>
      </c>
      <c r="K54" s="105">
        <v>45352</v>
      </c>
    </row>
    <row r="56" spans="2:12">
      <c r="B56" t="s">
        <v>367</v>
      </c>
      <c r="H56" s="50">
        <f>H48</f>
        <v>9.9121708485716262E-2</v>
      </c>
      <c r="I56" s="50">
        <f>I48</f>
        <v>1.2978210384790618</v>
      </c>
      <c r="J56" s="50">
        <f>J48</f>
        <v>0.59893487570916004</v>
      </c>
      <c r="K56" s="50">
        <f>K48</f>
        <v>1.464974666994675</v>
      </c>
      <c r="L56" s="50"/>
    </row>
    <row r="57" spans="2:12">
      <c r="B57" t="s">
        <v>349</v>
      </c>
      <c r="H57" s="50">
        <f>H36</f>
        <v>0.1803536398812203</v>
      </c>
      <c r="I57" s="50">
        <f t="shared" ref="I57:K57" si="9">I36</f>
        <v>0.20590980849749446</v>
      </c>
      <c r="J57" s="50">
        <f t="shared" si="9"/>
        <v>0.20547214611872178</v>
      </c>
      <c r="K57" s="50">
        <f t="shared" si="9"/>
        <v>0.17870140775500107</v>
      </c>
    </row>
    <row r="58" spans="2:12">
      <c r="H58" s="50"/>
    </row>
    <row r="59" spans="2:12">
      <c r="B59" s="112" t="s">
        <v>371</v>
      </c>
      <c r="C59" s="112"/>
      <c r="D59" s="112"/>
      <c r="E59" s="112"/>
      <c r="F59" s="112"/>
      <c r="G59" s="112"/>
      <c r="H59" s="127">
        <f>H56*H57</f>
        <v>1.7876960916644168E-2</v>
      </c>
      <c r="I59" s="127">
        <f>I56*I57</f>
        <v>0.26723408149724304</v>
      </c>
      <c r="J59" s="127">
        <f>J56*J57</f>
        <v>0.123064434297311</v>
      </c>
      <c r="K59" s="127">
        <f t="shared" ref="K59" si="10">K56*K57</f>
        <v>0.26179303531736231</v>
      </c>
    </row>
    <row r="61" spans="2:12">
      <c r="J61" s="77" t="s">
        <v>368</v>
      </c>
      <c r="K61" s="78">
        <f>AVERAGE(H59:K59)</f>
        <v>0.16749212800714014</v>
      </c>
    </row>
    <row r="62" spans="2:12">
      <c r="J62" s="77" t="s">
        <v>369</v>
      </c>
      <c r="K62" s="78">
        <f>MEDIAN(H59:K59)</f>
        <v>0.19242873480733663</v>
      </c>
    </row>
    <row r="63" spans="2:12">
      <c r="K63" s="73"/>
    </row>
  </sheetData>
  <pageMargins left="0.7" right="0.7" top="0.75" bottom="0.75" header="0.3" footer="0.3"/>
  <ignoredErrors>
    <ignoredError sqref="G40:K4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9F5B-6C6E-4447-9D1F-C17B0234DA1E}">
  <dimension ref="B3:Q48"/>
  <sheetViews>
    <sheetView showGridLines="0" topLeftCell="A18" workbookViewId="0">
      <selection activeCell="F47" sqref="F47"/>
    </sheetView>
  </sheetViews>
  <sheetFormatPr baseColWidth="10" defaultRowHeight="16"/>
  <cols>
    <col min="1" max="1" width="2" customWidth="1"/>
    <col min="2" max="2" width="10.6640625" customWidth="1"/>
    <col min="5" max="5" width="7.6640625" bestFit="1" customWidth="1"/>
    <col min="6" max="6" width="9.83203125" bestFit="1" customWidth="1"/>
    <col min="7" max="7" width="11.33203125" customWidth="1"/>
    <col min="8" max="8" width="9.6640625" customWidth="1"/>
    <col min="9" max="9" width="12.1640625" bestFit="1" customWidth="1"/>
    <col min="10" max="10" width="8.6640625" customWidth="1"/>
    <col min="11" max="11" width="9.6640625" customWidth="1"/>
  </cols>
  <sheetData>
    <row r="3" spans="2:11">
      <c r="B3" s="4" t="s">
        <v>416</v>
      </c>
    </row>
    <row r="4" spans="2:11">
      <c r="B4" s="104" t="s">
        <v>373</v>
      </c>
      <c r="C4" s="104"/>
      <c r="D4" s="104"/>
      <c r="E4" s="104"/>
      <c r="F4" s="129">
        <f>'Intrinsic Growth'!K2</f>
        <v>45352</v>
      </c>
      <c r="G4" s="130">
        <f>F4+366</f>
        <v>45718</v>
      </c>
      <c r="H4" s="130">
        <f t="shared" ref="H4:K4" si="0">G4+366</f>
        <v>46084</v>
      </c>
      <c r="I4" s="130">
        <f t="shared" si="0"/>
        <v>46450</v>
      </c>
      <c r="J4" s="130">
        <f t="shared" si="0"/>
        <v>46816</v>
      </c>
      <c r="K4" s="130">
        <f t="shared" si="0"/>
        <v>47182</v>
      </c>
    </row>
    <row r="6" spans="2:11">
      <c r="B6" t="s">
        <v>348</v>
      </c>
      <c r="F6" s="137">
        <f>'Historical FS '!L16-'Historical FS '!L22</f>
        <v>3617.8099999999972</v>
      </c>
      <c r="G6">
        <f>F6*(1+$E$22)</f>
        <v>3762.5223999999971</v>
      </c>
      <c r="H6">
        <f t="shared" ref="H6:K6" si="1">G6*(1+$E$22)</f>
        <v>3913.0232959999971</v>
      </c>
      <c r="I6">
        <f t="shared" si="1"/>
        <v>4069.5442278399973</v>
      </c>
      <c r="J6">
        <f t="shared" si="1"/>
        <v>4232.3259969535975</v>
      </c>
      <c r="K6">
        <f t="shared" si="1"/>
        <v>4401.6190368317411</v>
      </c>
    </row>
    <row r="7" spans="2:11">
      <c r="F7" s="135"/>
    </row>
    <row r="8" spans="2:11">
      <c r="B8" t="s">
        <v>165</v>
      </c>
      <c r="F8" s="138">
        <v>0.25</v>
      </c>
      <c r="G8" s="34">
        <v>0.25</v>
      </c>
      <c r="H8" s="34">
        <v>0.25</v>
      </c>
      <c r="I8" s="34">
        <v>0.25</v>
      </c>
      <c r="J8" s="34">
        <v>0.25</v>
      </c>
      <c r="K8" s="34">
        <v>0.25</v>
      </c>
    </row>
    <row r="9" spans="2:11">
      <c r="F9" s="135"/>
    </row>
    <row r="10" spans="2:11">
      <c r="B10" t="s">
        <v>376</v>
      </c>
      <c r="F10" s="139">
        <f>F6*(1-F8)</f>
        <v>2713.3574999999978</v>
      </c>
      <c r="G10" s="28">
        <f t="shared" ref="G10:K10" si="2">G6*(1-G8)</f>
        <v>2821.8917999999976</v>
      </c>
      <c r="H10" s="28">
        <f t="shared" si="2"/>
        <v>2934.7674719999977</v>
      </c>
      <c r="I10" s="28">
        <f t="shared" si="2"/>
        <v>3052.1581708799981</v>
      </c>
      <c r="J10" s="28">
        <f t="shared" si="2"/>
        <v>3174.2444977151981</v>
      </c>
      <c r="K10" s="28">
        <f t="shared" si="2"/>
        <v>3301.2142776238061</v>
      </c>
    </row>
    <row r="11" spans="2:11">
      <c r="F11" s="135"/>
    </row>
    <row r="12" spans="2:11">
      <c r="B12" t="s">
        <v>374</v>
      </c>
      <c r="F12" s="140">
        <f>'Intrinsic Growth'!K51</f>
        <v>0.94837795709411088</v>
      </c>
      <c r="G12" s="132">
        <f>F12+(($K$12-$F$12)/4)</f>
        <v>0.79960846782058315</v>
      </c>
      <c r="H12" s="132">
        <f t="shared" ref="H12:J12" si="3">G12+(($K$12-$F$12)/4)</f>
        <v>0.65083897854705541</v>
      </c>
      <c r="I12" s="132">
        <f t="shared" si="3"/>
        <v>0.50206948927352768</v>
      </c>
      <c r="J12" s="132">
        <f t="shared" si="3"/>
        <v>0.35329999999999995</v>
      </c>
      <c r="K12" s="50">
        <v>0.3533</v>
      </c>
    </row>
    <row r="13" spans="2:11">
      <c r="F13" s="135"/>
    </row>
    <row r="14" spans="2:11">
      <c r="B14" t="s">
        <v>375</v>
      </c>
      <c r="F14" s="139">
        <f>F10*(1-F12)</f>
        <v>140.06905728401591</v>
      </c>
      <c r="G14" s="28">
        <f t="shared" ref="G14:K14" si="4">G10*(1-G12)</f>
        <v>565.48322144653207</v>
      </c>
      <c r="H14" s="28">
        <f t="shared" si="4"/>
        <v>1024.706408250395</v>
      </c>
      <c r="I14" s="28">
        <f t="shared" si="4"/>
        <v>1519.7626768442531</v>
      </c>
      <c r="J14" s="28">
        <f t="shared" si="4"/>
        <v>2052.7839166724189</v>
      </c>
      <c r="K14" s="28">
        <f t="shared" si="4"/>
        <v>2134.8952733393157</v>
      </c>
    </row>
    <row r="15" spans="2:11">
      <c r="F15" s="135"/>
    </row>
    <row r="16" spans="2:11">
      <c r="B16" t="s">
        <v>378</v>
      </c>
      <c r="F16" s="135"/>
      <c r="G16" s="136">
        <v>0.5</v>
      </c>
      <c r="H16">
        <f>G16+1</f>
        <v>1.5</v>
      </c>
      <c r="I16">
        <f t="shared" ref="I16:K16" si="5">H16+1</f>
        <v>2.5</v>
      </c>
      <c r="J16">
        <f t="shared" si="5"/>
        <v>3.5</v>
      </c>
      <c r="K16">
        <f t="shared" si="5"/>
        <v>4.5</v>
      </c>
    </row>
    <row r="17" spans="2:17">
      <c r="B17" t="s">
        <v>379</v>
      </c>
      <c r="F17" s="135"/>
      <c r="G17" s="131">
        <f>1/(1+$E$23)^G16</f>
        <v>0.93641183036271591</v>
      </c>
      <c r="H17" s="131">
        <f>1/(1+$E$23)^H16</f>
        <v>0.8211087411189375</v>
      </c>
      <c r="I17" s="131">
        <f>1/(1+$E$23)^I16</f>
        <v>0.72000325378286789</v>
      </c>
      <c r="J17" s="131">
        <f>1/(1+$E$23)^J16</f>
        <v>0.63134717668634099</v>
      </c>
      <c r="K17" s="131">
        <f>1/(1+$E$23)^K16</f>
        <v>0.5536075780430012</v>
      </c>
    </row>
    <row r="18" spans="2:17">
      <c r="F18" s="135"/>
    </row>
    <row r="19" spans="2:17" ht="17" thickBot="1">
      <c r="B19" s="134" t="s">
        <v>380</v>
      </c>
      <c r="C19" s="134"/>
      <c r="D19" s="134"/>
      <c r="E19" s="134"/>
      <c r="F19" s="141"/>
      <c r="G19" s="142">
        <f>G14*G17</f>
        <v>529.52517843415205</v>
      </c>
      <c r="H19" s="142">
        <f t="shared" ref="H19:K19" si="6">H14*H17</f>
        <v>841.39538889498988</v>
      </c>
      <c r="I19" s="142">
        <f t="shared" si="6"/>
        <v>1094.2340723056234</v>
      </c>
      <c r="J19" s="142">
        <f t="shared" si="6"/>
        <v>1296.0193301382608</v>
      </c>
      <c r="K19" s="142">
        <f t="shared" si="6"/>
        <v>1181.8942016488297</v>
      </c>
    </row>
    <row r="21" spans="2:17">
      <c r="B21" s="135" t="s">
        <v>381</v>
      </c>
      <c r="C21" s="135"/>
      <c r="D21" s="135"/>
      <c r="E21" s="53">
        <f>'Intrinsic Growth'!K62</f>
        <v>0.19242873480733663</v>
      </c>
    </row>
    <row r="22" spans="2:17">
      <c r="B22" s="135" t="s">
        <v>382</v>
      </c>
      <c r="C22" s="135"/>
      <c r="D22" s="135"/>
      <c r="E22" s="140">
        <v>0.04</v>
      </c>
    </row>
    <row r="23" spans="2:17">
      <c r="B23" s="135" t="s">
        <v>211</v>
      </c>
      <c r="C23" s="135"/>
      <c r="D23" s="135"/>
      <c r="E23" s="53">
        <f>WACC!J44</f>
        <v>0.14042365337221113</v>
      </c>
    </row>
    <row r="25" spans="2:17" ht="18">
      <c r="B25" s="133" t="s">
        <v>377</v>
      </c>
    </row>
    <row r="27" spans="2:17">
      <c r="B27" s="104" t="s">
        <v>383</v>
      </c>
      <c r="C27" s="104"/>
      <c r="D27" s="104"/>
      <c r="E27" s="104"/>
      <c r="G27" s="104" t="s">
        <v>398</v>
      </c>
      <c r="H27" s="104"/>
      <c r="I27" s="104"/>
      <c r="J27" s="104"/>
      <c r="K27" s="104"/>
      <c r="N27" s="106"/>
      <c r="O27" s="106"/>
      <c r="P27" s="106"/>
      <c r="Q27" s="106"/>
    </row>
    <row r="28" spans="2:17">
      <c r="G28" s="155" t="s">
        <v>399</v>
      </c>
      <c r="H28" s="150"/>
      <c r="I28" s="157">
        <v>3.5000000000000003E-2</v>
      </c>
      <c r="J28" s="158">
        <v>0.04</v>
      </c>
      <c r="K28" s="157">
        <v>4.4999999999999998E-2</v>
      </c>
      <c r="O28" s="50"/>
      <c r="P28" s="50"/>
      <c r="Q28" s="50"/>
    </row>
    <row r="29" spans="2:17">
      <c r="B29" t="s">
        <v>384</v>
      </c>
      <c r="E29" s="28">
        <f>F14*(1+E21)</f>
        <v>167.02236876283544</v>
      </c>
      <c r="G29" s="155" t="s">
        <v>211</v>
      </c>
      <c r="H29" s="156">
        <v>0.13</v>
      </c>
      <c r="I29" s="154">
        <f>$E$29/(H29-I28)</f>
        <v>1758.130197503531</v>
      </c>
      <c r="J29" s="154">
        <f>$E$29/($H$29-J28)</f>
        <v>1855.8040973648383</v>
      </c>
      <c r="K29" s="154">
        <f>$E$29/($H$29-K28)</f>
        <v>1964.9690442686522</v>
      </c>
      <c r="O29" s="153"/>
      <c r="P29" s="153"/>
      <c r="Q29" s="153"/>
    </row>
    <row r="30" spans="2:17">
      <c r="B30" t="s">
        <v>211</v>
      </c>
      <c r="E30" s="50">
        <f>E23</f>
        <v>0.14042365337221113</v>
      </c>
      <c r="G30" s="155" t="s">
        <v>211</v>
      </c>
      <c r="H30" s="156">
        <v>0.14000000000000001</v>
      </c>
      <c r="I30" s="154">
        <f>$E$29/(H30-$I$28)</f>
        <v>1590.6892263127183</v>
      </c>
      <c r="J30" s="154">
        <f>$E$29/(H30-$J$28)</f>
        <v>1670.2236876283544</v>
      </c>
      <c r="K30" s="154">
        <f>$E$29/(H30-$K$28)</f>
        <v>1758.1301975035308</v>
      </c>
      <c r="O30" s="153"/>
      <c r="P30" s="153"/>
      <c r="Q30" s="153"/>
    </row>
    <row r="31" spans="2:17">
      <c r="B31" t="s">
        <v>385</v>
      </c>
      <c r="E31" s="50">
        <f>E22</f>
        <v>0.04</v>
      </c>
      <c r="G31" s="155" t="s">
        <v>211</v>
      </c>
      <c r="H31" s="156">
        <v>0.15</v>
      </c>
      <c r="I31" s="154">
        <f>$E$29/(H31-$I$28)</f>
        <v>1452.3684240246562</v>
      </c>
      <c r="J31" s="154">
        <f>$E$29/(H31-$J$28)</f>
        <v>1518.3851705712314</v>
      </c>
      <c r="K31" s="154">
        <f>$E$29/(H31-$K$28)</f>
        <v>1590.6892263127186</v>
      </c>
      <c r="O31" s="153"/>
      <c r="P31" s="153"/>
      <c r="Q31" s="153"/>
    </row>
    <row r="32" spans="2:17">
      <c r="G32" s="177" t="s">
        <v>417</v>
      </c>
    </row>
    <row r="33" spans="2:16" ht="17" thickBot="1">
      <c r="B33" s="144" t="s">
        <v>386</v>
      </c>
      <c r="C33" s="144"/>
      <c r="D33" s="144"/>
      <c r="E33" s="145">
        <f>E29/(E30-E31)</f>
        <v>1663.1775797259859</v>
      </c>
      <c r="P33" s="28"/>
    </row>
    <row r="36" spans="2:16">
      <c r="B36" s="104" t="s">
        <v>387</v>
      </c>
      <c r="C36" s="104"/>
      <c r="D36" s="104"/>
      <c r="E36" s="104"/>
    </row>
    <row r="37" spans="2:16">
      <c r="B37" t="s">
        <v>380</v>
      </c>
      <c r="E37" s="28">
        <f>SUM(G19:K19)</f>
        <v>4943.0681714218563</v>
      </c>
    </row>
    <row r="38" spans="2:16">
      <c r="B38" t="s">
        <v>388</v>
      </c>
      <c r="E38" s="28">
        <f>E33*K17</f>
        <v>920.74771176752358</v>
      </c>
    </row>
    <row r="39" spans="2:16">
      <c r="B39" s="73" t="s">
        <v>389</v>
      </c>
      <c r="C39" s="73"/>
      <c r="D39" s="73"/>
      <c r="E39" s="143">
        <f>SUM(E37:E38)</f>
        <v>5863.8158831893797</v>
      </c>
    </row>
    <row r="41" spans="2:16">
      <c r="B41" t="s">
        <v>390</v>
      </c>
      <c r="E41">
        <f>'Data Sheet'!J69</f>
        <v>638.17999999999995</v>
      </c>
    </row>
    <row r="42" spans="2:16">
      <c r="B42" t="s">
        <v>391</v>
      </c>
      <c r="E42">
        <f>SUM('BS AS'!M9)</f>
        <v>0</v>
      </c>
    </row>
    <row r="43" spans="2:16">
      <c r="B43" s="73" t="s">
        <v>392</v>
      </c>
      <c r="C43" s="73"/>
      <c r="D43" s="73"/>
      <c r="E43" s="143">
        <f>E39+E41-E42</f>
        <v>6501.99588318938</v>
      </c>
    </row>
    <row r="44" spans="2:16">
      <c r="B44" t="s">
        <v>393</v>
      </c>
      <c r="E44">
        <f>'Data Sheet'!B6</f>
        <v>65.073305810089622</v>
      </c>
    </row>
    <row r="45" spans="2:16" ht="17" thickBot="1">
      <c r="B45" s="134" t="s">
        <v>395</v>
      </c>
      <c r="C45" s="134"/>
      <c r="D45" s="134"/>
      <c r="E45" s="142">
        <f>E43/E44</f>
        <v>99.91802018119148</v>
      </c>
    </row>
    <row r="47" spans="2:16">
      <c r="B47" s="135" t="s">
        <v>396</v>
      </c>
      <c r="C47" s="135"/>
      <c r="D47" s="135"/>
      <c r="E47" s="146">
        <v>4022</v>
      </c>
    </row>
    <row r="48" spans="2:16">
      <c r="B48" s="135" t="s">
        <v>397</v>
      </c>
      <c r="C48" s="135"/>
      <c r="D48" s="135"/>
      <c r="E48" s="147">
        <f>E47/E45-1</f>
        <v>39.252999335920585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1DC7-873E-9949-AE68-633BA7FE3AB2}">
  <dimension ref="B3:Q27"/>
  <sheetViews>
    <sheetView showGridLines="0" workbookViewId="0">
      <selection activeCell="C28" sqref="C28"/>
    </sheetView>
  </sheetViews>
  <sheetFormatPr baseColWidth="10" defaultRowHeight="16"/>
  <cols>
    <col min="1" max="1" width="2" customWidth="1"/>
  </cols>
  <sheetData>
    <row r="3" spans="2:11" ht="19">
      <c r="B3" s="162" t="s">
        <v>400</v>
      </c>
      <c r="C3" s="110"/>
      <c r="D3" s="110"/>
      <c r="E3" s="110"/>
    </row>
    <row r="5" spans="2:11" ht="19">
      <c r="B5" s="159" t="s">
        <v>404</v>
      </c>
      <c r="C5" s="160"/>
      <c r="D5" s="160"/>
      <c r="E5" s="160"/>
      <c r="F5" s="160"/>
      <c r="G5" s="160"/>
      <c r="H5" s="160"/>
      <c r="I5" s="160"/>
      <c r="J5" s="160"/>
      <c r="K5" s="160"/>
    </row>
    <row r="6" spans="2:11" ht="19">
      <c r="B6" s="159" t="s">
        <v>405</v>
      </c>
      <c r="C6" s="160"/>
      <c r="D6" s="160"/>
      <c r="E6" s="160"/>
      <c r="F6" s="160"/>
      <c r="G6" s="160"/>
      <c r="H6" s="160"/>
      <c r="I6" s="160"/>
      <c r="J6" s="160"/>
      <c r="K6" s="160"/>
    </row>
    <row r="7" spans="2:11" ht="19">
      <c r="B7" s="159" t="s">
        <v>406</v>
      </c>
      <c r="C7" s="160"/>
      <c r="D7" s="160"/>
      <c r="E7" s="160"/>
      <c r="F7" s="160"/>
      <c r="G7" s="160"/>
      <c r="H7" s="160"/>
      <c r="I7" s="160"/>
      <c r="J7" s="160"/>
      <c r="K7" s="160"/>
    </row>
    <row r="8" spans="2:11" ht="19">
      <c r="B8" s="159" t="s">
        <v>407</v>
      </c>
      <c r="C8" s="160"/>
      <c r="D8" s="160"/>
      <c r="E8" s="160"/>
      <c r="F8" s="160"/>
      <c r="G8" s="160"/>
      <c r="H8" s="160"/>
      <c r="I8" s="160"/>
      <c r="J8" s="160"/>
      <c r="K8" s="160"/>
    </row>
    <row r="9" spans="2:11" ht="19">
      <c r="B9" s="159" t="s">
        <v>408</v>
      </c>
      <c r="F9" s="160"/>
      <c r="G9" s="160"/>
      <c r="H9" s="160"/>
      <c r="I9" s="160"/>
      <c r="J9" s="160"/>
      <c r="K9" s="160"/>
    </row>
    <row r="10" spans="2:11" ht="19">
      <c r="B10" s="159" t="s">
        <v>409</v>
      </c>
      <c r="C10" s="160"/>
      <c r="D10" s="160"/>
      <c r="E10" s="160"/>
      <c r="F10" s="160"/>
      <c r="G10" s="160"/>
      <c r="H10" s="160"/>
      <c r="I10" s="160"/>
      <c r="J10" s="160"/>
      <c r="K10" s="160"/>
    </row>
    <row r="11" spans="2:11" ht="19">
      <c r="B11" s="159" t="s">
        <v>410</v>
      </c>
      <c r="C11" s="160"/>
      <c r="D11" s="160"/>
      <c r="E11" s="160"/>
      <c r="F11" s="160"/>
      <c r="G11" s="160"/>
      <c r="H11" s="160"/>
      <c r="I11" s="160"/>
      <c r="J11" s="160"/>
      <c r="K11" s="160"/>
    </row>
    <row r="12" spans="2:11" ht="19">
      <c r="B12" s="159" t="s">
        <v>411</v>
      </c>
      <c r="C12" s="160"/>
      <c r="D12" s="160"/>
      <c r="E12" s="160"/>
      <c r="F12" s="160"/>
      <c r="G12" s="160"/>
      <c r="H12" s="160"/>
      <c r="I12" s="160"/>
      <c r="J12" s="160"/>
      <c r="K12" s="160"/>
    </row>
    <row r="13" spans="2:11" ht="19">
      <c r="B13" s="159" t="s">
        <v>412</v>
      </c>
      <c r="C13" s="160"/>
      <c r="D13" s="160"/>
      <c r="E13" s="160"/>
      <c r="F13" s="160"/>
      <c r="G13" s="160"/>
      <c r="H13" s="160"/>
      <c r="I13" s="160"/>
      <c r="J13" s="160"/>
      <c r="K13" s="160"/>
    </row>
    <row r="14" spans="2:11" ht="19">
      <c r="B14" s="160"/>
      <c r="C14" s="160"/>
      <c r="D14" s="160"/>
      <c r="E14" s="160"/>
      <c r="F14" s="160"/>
      <c r="G14" s="160"/>
      <c r="H14" s="160"/>
      <c r="I14" s="160"/>
      <c r="J14" s="160"/>
      <c r="K14" s="160"/>
    </row>
    <row r="15" spans="2:11" ht="19">
      <c r="C15" s="160"/>
      <c r="D15" s="160"/>
      <c r="E15" s="160"/>
      <c r="F15" s="160"/>
      <c r="G15" s="160"/>
      <c r="H15" s="160"/>
      <c r="I15" s="160"/>
      <c r="J15" s="160"/>
      <c r="K15" s="160"/>
    </row>
    <row r="16" spans="2:11" ht="19">
      <c r="B16" s="163" t="s">
        <v>401</v>
      </c>
      <c r="C16" s="164"/>
      <c r="D16" s="164"/>
      <c r="E16" s="163"/>
      <c r="F16" s="160"/>
      <c r="G16" s="160"/>
      <c r="H16" s="160"/>
      <c r="I16" s="160"/>
      <c r="J16" s="160"/>
      <c r="K16" s="160"/>
    </row>
    <row r="17" spans="2:17" ht="19">
      <c r="B17" s="161" t="s">
        <v>413</v>
      </c>
      <c r="C17" s="160"/>
      <c r="D17" s="160"/>
      <c r="E17" s="160"/>
      <c r="F17" s="160"/>
      <c r="G17" s="160"/>
      <c r="H17" s="160"/>
      <c r="I17" s="160"/>
      <c r="J17" s="160"/>
      <c r="K17" s="160"/>
    </row>
    <row r="18" spans="2:17" ht="19">
      <c r="B18" s="160" t="s">
        <v>402</v>
      </c>
      <c r="C18" s="160"/>
      <c r="D18" s="160"/>
      <c r="E18" s="160"/>
      <c r="F18" s="160"/>
      <c r="G18" s="160"/>
      <c r="H18" s="160"/>
      <c r="I18" s="160"/>
      <c r="J18" s="160"/>
      <c r="K18" s="160"/>
    </row>
    <row r="19" spans="2:17" ht="19">
      <c r="B19" s="160" t="s">
        <v>403</v>
      </c>
      <c r="C19" s="160"/>
      <c r="D19" s="160"/>
      <c r="E19" s="160"/>
      <c r="F19" s="160"/>
      <c r="G19" s="160"/>
      <c r="H19" s="160"/>
      <c r="I19" s="160"/>
      <c r="J19" s="160"/>
      <c r="K19" s="160"/>
    </row>
    <row r="20" spans="2:17" ht="19">
      <c r="B20" s="160"/>
      <c r="C20" s="160"/>
      <c r="D20" s="160"/>
      <c r="E20" s="160"/>
      <c r="F20" s="160"/>
      <c r="G20" s="160"/>
      <c r="H20" s="160"/>
      <c r="I20" s="160"/>
      <c r="J20" s="160"/>
      <c r="K20" s="160"/>
    </row>
    <row r="21" spans="2:17" ht="43" customHeight="1">
      <c r="B21" s="181" t="s">
        <v>418</v>
      </c>
      <c r="C21" s="181"/>
      <c r="D21" s="181"/>
      <c r="E21" s="181"/>
      <c r="F21" s="181"/>
      <c r="G21" s="181"/>
      <c r="H21" s="181"/>
      <c r="I21" s="181"/>
      <c r="J21" s="181"/>
      <c r="K21" s="178"/>
      <c r="L21" s="178"/>
      <c r="M21" s="178"/>
      <c r="N21" s="178"/>
      <c r="O21" s="178"/>
      <c r="P21" s="178"/>
      <c r="Q21" s="178"/>
    </row>
    <row r="22" spans="2:17" ht="7" customHeight="1">
      <c r="J22" s="160"/>
      <c r="K22" s="160"/>
    </row>
    <row r="23" spans="2:17" ht="31" customHeight="1">
      <c r="B23" s="181" t="s">
        <v>419</v>
      </c>
      <c r="C23" s="181"/>
      <c r="D23" s="181"/>
      <c r="E23" s="181"/>
      <c r="F23" s="181"/>
      <c r="G23" s="181"/>
      <c r="H23" s="181"/>
      <c r="I23" s="181"/>
      <c r="J23" s="160"/>
      <c r="K23" s="160"/>
    </row>
    <row r="24" spans="2:17" ht="6" customHeight="1">
      <c r="C24" s="160"/>
      <c r="D24" s="160"/>
      <c r="E24" s="160"/>
      <c r="F24" s="160"/>
      <c r="G24" s="160"/>
      <c r="H24" s="160"/>
      <c r="I24" s="160"/>
      <c r="J24" s="160"/>
      <c r="K24" s="160"/>
    </row>
    <row r="25" spans="2:17" ht="34" customHeight="1">
      <c r="B25" s="181" t="s">
        <v>420</v>
      </c>
      <c r="C25" s="181"/>
      <c r="D25" s="181"/>
      <c r="E25" s="181"/>
      <c r="F25" s="181"/>
      <c r="G25" s="181"/>
      <c r="H25" s="181"/>
      <c r="I25" s="181"/>
      <c r="J25" s="160"/>
      <c r="K25" s="160"/>
    </row>
    <row r="26" spans="2:17" ht="19">
      <c r="C26" s="160"/>
      <c r="D26" s="160"/>
      <c r="E26" s="160"/>
      <c r="F26" s="160"/>
      <c r="G26" s="160"/>
      <c r="H26" s="160"/>
      <c r="I26" s="160"/>
      <c r="J26" s="160"/>
      <c r="K26" s="160"/>
    </row>
    <row r="27" spans="2:17" ht="19">
      <c r="B27" s="160"/>
      <c r="C27" s="160"/>
      <c r="D27" s="160"/>
      <c r="E27" s="160"/>
      <c r="F27" s="160"/>
      <c r="G27" s="160"/>
      <c r="H27" s="160"/>
      <c r="I27" s="160"/>
      <c r="J27" s="160"/>
      <c r="K27" s="160"/>
    </row>
  </sheetData>
  <mergeCells count="3">
    <mergeCell ref="B21:J21"/>
    <mergeCell ref="B23:I23"/>
    <mergeCell ref="B25:I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468B-A697-A34D-95CF-626CEE0D6AC9}">
  <sheetPr>
    <tabColor rgb="FFFF0000"/>
  </sheetPr>
  <dimension ref="A1"/>
  <sheetViews>
    <sheetView workbookViewId="0">
      <selection activeCell="N30" sqref="N30"/>
    </sheetView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5DF0-F1EF-4948-AC0B-1AF3547960C1}">
  <dimension ref="A1:K93"/>
  <sheetViews>
    <sheetView showGridLines="0" zoomScaleNormal="10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1" sqref="B1"/>
    </sheetView>
  </sheetViews>
  <sheetFormatPr baseColWidth="10" defaultColWidth="8.83203125" defaultRowHeight="16"/>
  <cols>
    <col min="1" max="1" width="27.6640625" style="97" bestFit="1" customWidth="1"/>
    <col min="2" max="11" width="13.5" style="97" bestFit="1" customWidth="1"/>
    <col min="12" max="16384" width="8.83203125" style="97"/>
  </cols>
  <sheetData>
    <row r="1" spans="1:11" s="96" customFormat="1" ht="15">
      <c r="A1" s="4" t="s">
        <v>416</v>
      </c>
      <c r="B1" s="96" t="s">
        <v>394</v>
      </c>
      <c r="E1" s="182" t="str">
        <f>IF(B2&lt;&gt;B3, "A NEW VERSION OF THE WORKSHEET IS AVAILABLE", "")</f>
        <v/>
      </c>
      <c r="F1" s="182"/>
      <c r="G1" s="182"/>
      <c r="H1" s="182"/>
      <c r="I1" s="182"/>
      <c r="J1" s="182"/>
      <c r="K1" s="182"/>
    </row>
    <row r="2" spans="1:11">
      <c r="A2" s="96" t="s">
        <v>277</v>
      </c>
      <c r="B2" s="97">
        <v>2.1</v>
      </c>
      <c r="E2" s="183" t="s">
        <v>278</v>
      </c>
      <c r="F2" s="183"/>
      <c r="G2" s="183"/>
      <c r="H2" s="183"/>
      <c r="I2" s="183"/>
      <c r="J2" s="183"/>
      <c r="K2" s="183"/>
    </row>
    <row r="3" spans="1:11">
      <c r="A3" s="96" t="s">
        <v>279</v>
      </c>
      <c r="B3" s="97">
        <v>2.1</v>
      </c>
    </row>
    <row r="4" spans="1:11">
      <c r="A4" s="96"/>
    </row>
    <row r="5" spans="1:11">
      <c r="A5" s="96" t="s">
        <v>280</v>
      </c>
    </row>
    <row r="6" spans="1:11">
      <c r="A6" s="97" t="s">
        <v>281</v>
      </c>
      <c r="B6" s="97">
        <f>IF(B9&gt;0, B9/B8, 0)</f>
        <v>65.073305810089622</v>
      </c>
    </row>
    <row r="7" spans="1:11">
      <c r="A7" s="97" t="s">
        <v>282</v>
      </c>
      <c r="B7" s="80">
        <v>10</v>
      </c>
    </row>
    <row r="8" spans="1:11">
      <c r="A8" s="97" t="s">
        <v>283</v>
      </c>
      <c r="B8" s="80">
        <v>3972.4</v>
      </c>
    </row>
    <row r="9" spans="1:11">
      <c r="A9" s="97" t="s">
        <v>174</v>
      </c>
      <c r="B9" s="80">
        <v>258497.2</v>
      </c>
    </row>
    <row r="15" spans="1:11">
      <c r="A15" s="96" t="s">
        <v>284</v>
      </c>
    </row>
    <row r="16" spans="1:11" s="100" customFormat="1" ht="15">
      <c r="A16" s="98" t="s">
        <v>285</v>
      </c>
      <c r="B16" s="99">
        <v>42460</v>
      </c>
      <c r="C16" s="99">
        <v>42825</v>
      </c>
      <c r="D16" s="99">
        <v>43190</v>
      </c>
      <c r="E16" s="99">
        <v>43555</v>
      </c>
      <c r="F16" s="99">
        <v>43921</v>
      </c>
      <c r="G16" s="99">
        <v>44286</v>
      </c>
      <c r="H16" s="99">
        <v>44651</v>
      </c>
      <c r="I16" s="99">
        <v>45016</v>
      </c>
      <c r="J16" s="99">
        <v>45382</v>
      </c>
      <c r="K16" s="99">
        <v>45747</v>
      </c>
    </row>
    <row r="17" spans="1:11" s="101" customFormat="1" ht="15">
      <c r="A17" s="101" t="s">
        <v>286</v>
      </c>
      <c r="B17" s="80">
        <v>8583.76</v>
      </c>
      <c r="C17" s="80">
        <v>11897.7</v>
      </c>
      <c r="D17" s="80">
        <v>15033.2</v>
      </c>
      <c r="E17" s="80">
        <v>20004.52</v>
      </c>
      <c r="F17" s="80">
        <v>24870.2</v>
      </c>
      <c r="G17" s="80">
        <v>24143.06</v>
      </c>
      <c r="H17" s="80">
        <v>30976.27</v>
      </c>
      <c r="I17" s="80">
        <v>42839.56</v>
      </c>
      <c r="J17" s="80">
        <v>50788.83</v>
      </c>
      <c r="K17" s="80">
        <v>59358.05</v>
      </c>
    </row>
    <row r="18" spans="1:11" s="101" customFormat="1">
      <c r="A18" s="97" t="s">
        <v>287</v>
      </c>
      <c r="B18" s="80">
        <v>7435.62</v>
      </c>
      <c r="C18" s="80">
        <v>10357.25</v>
      </c>
      <c r="D18" s="80">
        <v>12846.95</v>
      </c>
      <c r="E18" s="80">
        <v>17445.490000000002</v>
      </c>
      <c r="F18" s="80">
        <v>21441.68</v>
      </c>
      <c r="G18" s="80">
        <v>20855.560000000001</v>
      </c>
      <c r="H18" s="80">
        <v>26891.77</v>
      </c>
      <c r="I18" s="80">
        <v>36884.769999999997</v>
      </c>
      <c r="J18" s="80">
        <v>43958.31</v>
      </c>
      <c r="K18" s="80">
        <v>51668.76</v>
      </c>
    </row>
    <row r="19" spans="1:11" s="101" customFormat="1">
      <c r="A19" s="97" t="s">
        <v>288</v>
      </c>
      <c r="B19" s="80">
        <v>132.08000000000001</v>
      </c>
      <c r="C19" s="80">
        <v>276.22000000000003</v>
      </c>
      <c r="D19" s="80">
        <v>211.31</v>
      </c>
      <c r="E19" s="80">
        <v>444.65</v>
      </c>
      <c r="F19" s="80">
        <v>338.75</v>
      </c>
      <c r="G19" s="80">
        <v>300.88</v>
      </c>
      <c r="H19" s="80">
        <v>494.38</v>
      </c>
      <c r="I19" s="80">
        <v>500.82</v>
      </c>
      <c r="J19" s="80">
        <v>683.77</v>
      </c>
      <c r="K19" s="80">
        <v>1117.06</v>
      </c>
    </row>
    <row r="20" spans="1:11" s="101" customFormat="1">
      <c r="A20" s="97" t="s">
        <v>289</v>
      </c>
      <c r="B20" s="80">
        <v>79.239999999999995</v>
      </c>
      <c r="C20" s="80">
        <v>99.41</v>
      </c>
      <c r="D20" s="80">
        <v>121.26</v>
      </c>
      <c r="E20" s="80">
        <v>152.80000000000001</v>
      </c>
      <c r="F20" s="80">
        <v>188.24</v>
      </c>
      <c r="G20" s="80">
        <v>174.2</v>
      </c>
      <c r="H20" s="80">
        <v>207.86</v>
      </c>
      <c r="I20" s="80">
        <v>314.62</v>
      </c>
      <c r="J20" s="80">
        <v>376.59</v>
      </c>
      <c r="K20" s="80"/>
    </row>
    <row r="21" spans="1:11" s="101" customFormat="1">
      <c r="A21" s="97" t="s">
        <v>290</v>
      </c>
      <c r="B21" s="80">
        <v>241.36</v>
      </c>
      <c r="C21" s="80">
        <v>332.9</v>
      </c>
      <c r="D21" s="80">
        <v>373.72</v>
      </c>
      <c r="E21" s="80">
        <v>499.72</v>
      </c>
      <c r="F21" s="80">
        <v>645.96</v>
      </c>
      <c r="G21" s="80">
        <v>746.43</v>
      </c>
      <c r="H21" s="80">
        <v>805.85</v>
      </c>
      <c r="I21" s="80">
        <v>1116.56</v>
      </c>
      <c r="J21" s="80">
        <v>1323.43</v>
      </c>
      <c r="K21" s="80"/>
    </row>
    <row r="22" spans="1:11" s="101" customFormat="1">
      <c r="A22" s="97" t="s">
        <v>291</v>
      </c>
      <c r="B22" s="80">
        <v>149.04</v>
      </c>
      <c r="C22" s="80">
        <v>192.67</v>
      </c>
      <c r="D22" s="80">
        <v>283.14</v>
      </c>
      <c r="E22" s="80">
        <v>356.17</v>
      </c>
      <c r="F22" s="80">
        <v>457.14</v>
      </c>
      <c r="G22" s="80">
        <v>537.58000000000004</v>
      </c>
      <c r="H22" s="80">
        <v>617.36</v>
      </c>
      <c r="I22" s="80">
        <v>748.16</v>
      </c>
      <c r="J22" s="80">
        <v>907.82</v>
      </c>
      <c r="K22" s="80">
        <v>1165.9000000000001</v>
      </c>
    </row>
    <row r="23" spans="1:11" s="101" customFormat="1">
      <c r="A23" s="97" t="s">
        <v>292</v>
      </c>
      <c r="B23" s="80">
        <v>647.37</v>
      </c>
      <c r="C23" s="80">
        <v>71.239999999999995</v>
      </c>
      <c r="D23" s="80">
        <v>96</v>
      </c>
      <c r="E23" s="80">
        <v>135.84</v>
      </c>
      <c r="F23" s="80">
        <v>119.23</v>
      </c>
      <c r="G23" s="80">
        <v>108.69</v>
      </c>
      <c r="H23" s="80">
        <v>143.41</v>
      </c>
      <c r="I23" s="80">
        <v>212.04</v>
      </c>
      <c r="J23" s="80">
        <v>274.43</v>
      </c>
      <c r="K23" s="80"/>
    </row>
    <row r="24" spans="1:11" s="101" customFormat="1">
      <c r="A24" s="97" t="s">
        <v>293</v>
      </c>
      <c r="B24" s="80">
        <v>-501.25</v>
      </c>
      <c r="C24" s="80">
        <v>151.27000000000001</v>
      </c>
      <c r="D24" s="80">
        <v>170.58</v>
      </c>
      <c r="E24" s="80">
        <v>225.84</v>
      </c>
      <c r="F24" s="80">
        <v>228.39</v>
      </c>
      <c r="G24" s="80">
        <v>276.64999999999998</v>
      </c>
      <c r="H24" s="80">
        <v>302.05</v>
      </c>
      <c r="I24" s="80">
        <v>425.46</v>
      </c>
      <c r="J24" s="80">
        <v>526.38</v>
      </c>
      <c r="K24" s="80">
        <v>3153.12</v>
      </c>
    </row>
    <row r="25" spans="1:11" s="101" customFormat="1" ht="15">
      <c r="A25" s="101" t="s">
        <v>294</v>
      </c>
      <c r="B25" s="80">
        <v>17.02</v>
      </c>
      <c r="C25" s="80">
        <v>27.7</v>
      </c>
      <c r="D25" s="80">
        <v>87.75</v>
      </c>
      <c r="E25" s="80">
        <v>48.33</v>
      </c>
      <c r="F25" s="80">
        <v>59.99</v>
      </c>
      <c r="G25" s="80">
        <v>194.43</v>
      </c>
      <c r="H25" s="80">
        <v>113.64</v>
      </c>
      <c r="I25" s="80">
        <v>127.6</v>
      </c>
      <c r="J25" s="80">
        <v>144.58000000000001</v>
      </c>
      <c r="K25" s="80">
        <v>124.31</v>
      </c>
    </row>
    <row r="26" spans="1:11" s="101" customFormat="1" ht="15">
      <c r="A26" s="101" t="s">
        <v>227</v>
      </c>
      <c r="B26" s="80">
        <v>98.43</v>
      </c>
      <c r="C26" s="80">
        <v>127.82</v>
      </c>
      <c r="D26" s="80">
        <v>159</v>
      </c>
      <c r="E26" s="80">
        <v>212.49</v>
      </c>
      <c r="F26" s="80">
        <v>374.41</v>
      </c>
      <c r="G26" s="80">
        <v>414.16</v>
      </c>
      <c r="H26" s="80">
        <v>498.08</v>
      </c>
      <c r="I26" s="80">
        <v>638.87</v>
      </c>
      <c r="J26" s="80">
        <v>730.76</v>
      </c>
      <c r="K26" s="80">
        <v>869.52</v>
      </c>
    </row>
    <row r="27" spans="1:11" s="101" customFormat="1" ht="15">
      <c r="A27" s="101" t="s">
        <v>225</v>
      </c>
      <c r="B27" s="80">
        <v>91.34</v>
      </c>
      <c r="C27" s="80">
        <v>121.98</v>
      </c>
      <c r="D27" s="80">
        <v>59.54</v>
      </c>
      <c r="E27" s="80">
        <v>47.21</v>
      </c>
      <c r="F27" s="80">
        <v>69.12</v>
      </c>
      <c r="G27" s="80">
        <v>41.65</v>
      </c>
      <c r="H27" s="80">
        <v>53.79</v>
      </c>
      <c r="I27" s="80">
        <v>67.41</v>
      </c>
      <c r="J27" s="80">
        <v>58.13</v>
      </c>
      <c r="K27" s="80">
        <v>69.45</v>
      </c>
    </row>
    <row r="28" spans="1:11" s="101" customFormat="1" ht="15">
      <c r="A28" s="101" t="s">
        <v>295</v>
      </c>
      <c r="B28" s="80">
        <v>491.71</v>
      </c>
      <c r="C28" s="80">
        <v>747.08</v>
      </c>
      <c r="D28" s="80">
        <v>1222.07</v>
      </c>
      <c r="E28" s="80">
        <v>1421.94</v>
      </c>
      <c r="F28" s="80">
        <v>1744.77</v>
      </c>
      <c r="G28" s="80">
        <v>1483.45</v>
      </c>
      <c r="H28" s="80">
        <v>2064.12</v>
      </c>
      <c r="I28" s="80">
        <v>3060.09</v>
      </c>
      <c r="J28" s="80">
        <v>3461.33</v>
      </c>
      <c r="K28" s="80">
        <v>3672.67</v>
      </c>
    </row>
    <row r="29" spans="1:11" s="101" customFormat="1" ht="15">
      <c r="A29" s="101" t="s">
        <v>231</v>
      </c>
      <c r="B29" s="80">
        <v>171.47</v>
      </c>
      <c r="C29" s="80">
        <v>268.27999999999997</v>
      </c>
      <c r="D29" s="80">
        <v>415.79</v>
      </c>
      <c r="E29" s="80">
        <v>519.48</v>
      </c>
      <c r="F29" s="80">
        <v>443.79</v>
      </c>
      <c r="G29" s="80">
        <v>384.02</v>
      </c>
      <c r="H29" s="80">
        <v>571.72</v>
      </c>
      <c r="I29" s="80">
        <v>681.75</v>
      </c>
      <c r="J29" s="80">
        <v>925.72</v>
      </c>
      <c r="K29" s="80">
        <v>965.22</v>
      </c>
    </row>
    <row r="30" spans="1:11" s="101" customFormat="1" ht="15">
      <c r="A30" s="101" t="s">
        <v>296</v>
      </c>
      <c r="B30" s="80">
        <v>320.24</v>
      </c>
      <c r="C30" s="80">
        <v>478.75</v>
      </c>
      <c r="D30" s="80">
        <v>806.26</v>
      </c>
      <c r="E30" s="80">
        <v>902.54</v>
      </c>
      <c r="F30" s="80">
        <v>1301.08</v>
      </c>
      <c r="G30" s="80">
        <v>1099.49</v>
      </c>
      <c r="H30" s="80">
        <v>1492.55</v>
      </c>
      <c r="I30" s="80">
        <v>2378.5100000000002</v>
      </c>
      <c r="J30" s="80">
        <v>2536.17</v>
      </c>
      <c r="K30" s="80">
        <v>2708.02</v>
      </c>
    </row>
    <row r="31" spans="1:11" s="101" customFormat="1" ht="15">
      <c r="A31" s="101" t="s">
        <v>297</v>
      </c>
      <c r="C31" s="80"/>
      <c r="J31" s="80"/>
      <c r="K31" s="80"/>
    </row>
    <row r="32" spans="1:11" s="101" customFormat="1" ht="15"/>
    <row r="33" spans="1:11">
      <c r="A33" s="101"/>
    </row>
    <row r="34" spans="1:11">
      <c r="A34" s="101"/>
    </row>
    <row r="35" spans="1:11">
      <c r="A35" s="101"/>
    </row>
    <row r="36" spans="1:11">
      <c r="A36" s="101"/>
    </row>
    <row r="37" spans="1:11">
      <c r="A37" s="101"/>
    </row>
    <row r="38" spans="1:11">
      <c r="A38" s="101"/>
    </row>
    <row r="39" spans="1:11">
      <c r="A39" s="101"/>
    </row>
    <row r="40" spans="1:11">
      <c r="A40" s="96" t="s">
        <v>298</v>
      </c>
    </row>
    <row r="41" spans="1:11" s="100" customFormat="1" ht="15">
      <c r="A41" s="98" t="s">
        <v>285</v>
      </c>
      <c r="B41" s="99">
        <v>44926</v>
      </c>
      <c r="C41" s="99">
        <v>45016</v>
      </c>
      <c r="D41" s="99">
        <v>45107</v>
      </c>
      <c r="E41" s="99">
        <v>45199</v>
      </c>
      <c r="F41" s="99">
        <v>45291</v>
      </c>
      <c r="G41" s="99">
        <v>45382</v>
      </c>
      <c r="H41" s="99">
        <v>45473</v>
      </c>
      <c r="I41" s="99">
        <v>45565</v>
      </c>
      <c r="J41" s="99">
        <v>45657</v>
      </c>
      <c r="K41" s="99">
        <v>45747</v>
      </c>
    </row>
    <row r="42" spans="1:11" s="101" customFormat="1" ht="15">
      <c r="A42" s="101" t="s">
        <v>286</v>
      </c>
      <c r="B42" s="80">
        <v>11569.05</v>
      </c>
      <c r="C42" s="80">
        <v>10594.11</v>
      </c>
      <c r="D42" s="80">
        <v>11865.44</v>
      </c>
      <c r="E42" s="80">
        <v>12624.37</v>
      </c>
      <c r="F42" s="80">
        <v>13572.47</v>
      </c>
      <c r="G42" s="80">
        <v>12726.55</v>
      </c>
      <c r="H42" s="80">
        <v>14069.14</v>
      </c>
      <c r="I42" s="80">
        <v>14444.5</v>
      </c>
      <c r="J42" s="80">
        <v>15972.55</v>
      </c>
      <c r="K42" s="80">
        <v>14871.86</v>
      </c>
    </row>
    <row r="43" spans="1:11" s="101" customFormat="1" ht="15">
      <c r="A43" s="101" t="s">
        <v>299</v>
      </c>
      <c r="B43" s="80">
        <v>10603.79</v>
      </c>
      <c r="C43" s="80">
        <v>9822.6</v>
      </c>
      <c r="D43" s="80">
        <v>10830.17</v>
      </c>
      <c r="E43" s="80">
        <v>11619.4</v>
      </c>
      <c r="F43" s="80">
        <v>12452.58</v>
      </c>
      <c r="G43" s="80">
        <v>11782.91</v>
      </c>
      <c r="H43" s="80">
        <v>12847.89</v>
      </c>
      <c r="I43" s="80">
        <v>13350.73</v>
      </c>
      <c r="J43" s="80">
        <v>14755.31</v>
      </c>
      <c r="K43" s="80">
        <v>13916.79</v>
      </c>
    </row>
    <row r="44" spans="1:11" s="101" customFormat="1" ht="15">
      <c r="A44" s="101" t="s">
        <v>294</v>
      </c>
      <c r="B44" s="80">
        <v>31.56</v>
      </c>
      <c r="C44" s="80">
        <v>33.07</v>
      </c>
      <c r="D44" s="80">
        <v>38.74</v>
      </c>
      <c r="E44" s="80">
        <v>36.92</v>
      </c>
      <c r="F44" s="80">
        <v>32.92</v>
      </c>
      <c r="G44" s="80">
        <v>37.869999999999997</v>
      </c>
      <c r="H44" s="80">
        <v>41.6</v>
      </c>
      <c r="I44" s="80">
        <v>33.520000000000003</v>
      </c>
      <c r="J44" s="80">
        <v>24.14</v>
      </c>
      <c r="K44" s="80">
        <v>25.05</v>
      </c>
    </row>
    <row r="45" spans="1:11" s="101" customFormat="1" ht="15">
      <c r="A45" s="101" t="s">
        <v>227</v>
      </c>
      <c r="B45" s="80">
        <v>168.09</v>
      </c>
      <c r="C45" s="80">
        <v>164.08</v>
      </c>
      <c r="D45" s="80">
        <v>162.18</v>
      </c>
      <c r="E45" s="80">
        <v>174.36</v>
      </c>
      <c r="F45" s="80">
        <v>189.33</v>
      </c>
      <c r="G45" s="80">
        <v>204.89</v>
      </c>
      <c r="H45" s="80">
        <v>192.76</v>
      </c>
      <c r="I45" s="80">
        <v>207.78</v>
      </c>
      <c r="J45" s="80">
        <v>228.12</v>
      </c>
      <c r="K45" s="80">
        <v>240.86</v>
      </c>
    </row>
    <row r="46" spans="1:11" s="101" customFormat="1" ht="15">
      <c r="A46" s="101" t="s">
        <v>225</v>
      </c>
      <c r="B46" s="80">
        <v>16.98</v>
      </c>
      <c r="C46" s="80">
        <v>15.53</v>
      </c>
      <c r="D46" s="80">
        <v>14.57</v>
      </c>
      <c r="E46" s="80">
        <v>15.59</v>
      </c>
      <c r="F46" s="80">
        <v>14.55</v>
      </c>
      <c r="G46" s="80">
        <v>13.42</v>
      </c>
      <c r="H46" s="80">
        <v>15.96</v>
      </c>
      <c r="I46" s="80">
        <v>16.32</v>
      </c>
      <c r="J46" s="80">
        <v>18.21</v>
      </c>
      <c r="K46" s="80">
        <v>18.96</v>
      </c>
    </row>
    <row r="47" spans="1:11" s="101" customFormat="1" ht="15">
      <c r="A47" s="101" t="s">
        <v>295</v>
      </c>
      <c r="B47" s="80">
        <v>811.75</v>
      </c>
      <c r="C47" s="80">
        <v>624.97</v>
      </c>
      <c r="D47" s="80">
        <v>897.26</v>
      </c>
      <c r="E47" s="80">
        <v>851.94</v>
      </c>
      <c r="F47" s="80">
        <v>948.93</v>
      </c>
      <c r="G47" s="80">
        <v>763.2</v>
      </c>
      <c r="H47" s="80">
        <v>1054.1300000000001</v>
      </c>
      <c r="I47" s="80">
        <v>903.19</v>
      </c>
      <c r="J47" s="80">
        <v>995.05</v>
      </c>
      <c r="K47" s="80">
        <v>720.3</v>
      </c>
    </row>
    <row r="48" spans="1:11" s="101" customFormat="1" ht="15">
      <c r="A48" s="101" t="s">
        <v>231</v>
      </c>
      <c r="B48" s="80">
        <v>222.11</v>
      </c>
      <c r="C48" s="80">
        <v>164.87</v>
      </c>
      <c r="D48" s="80">
        <v>238.55</v>
      </c>
      <c r="E48" s="80">
        <v>228.59</v>
      </c>
      <c r="F48" s="80">
        <v>258.52</v>
      </c>
      <c r="G48" s="80">
        <v>200.06</v>
      </c>
      <c r="H48" s="80">
        <v>280.45</v>
      </c>
      <c r="I48" s="80">
        <v>243.75</v>
      </c>
      <c r="J48" s="80">
        <v>271.51</v>
      </c>
      <c r="K48" s="80">
        <v>169.51</v>
      </c>
    </row>
    <row r="49" spans="1:11" s="101" customFormat="1" ht="15">
      <c r="A49" s="101" t="s">
        <v>296</v>
      </c>
      <c r="B49" s="80">
        <v>589.67999999999995</v>
      </c>
      <c r="C49" s="80">
        <v>460.13</v>
      </c>
      <c r="D49" s="80">
        <v>658.75</v>
      </c>
      <c r="E49" s="80">
        <v>623.55999999999995</v>
      </c>
      <c r="F49" s="80">
        <v>690.61</v>
      </c>
      <c r="G49" s="80">
        <v>563.25</v>
      </c>
      <c r="H49" s="80">
        <v>773.82</v>
      </c>
      <c r="I49" s="80">
        <v>659.58</v>
      </c>
      <c r="J49" s="80">
        <v>723.72</v>
      </c>
      <c r="K49" s="80">
        <v>550.9</v>
      </c>
    </row>
    <row r="50" spans="1:11">
      <c r="A50" s="101" t="s">
        <v>300</v>
      </c>
      <c r="B50" s="80">
        <v>965.26</v>
      </c>
      <c r="C50" s="80">
        <v>771.51</v>
      </c>
      <c r="D50" s="80">
        <v>1035.27</v>
      </c>
      <c r="E50" s="80">
        <v>1004.97</v>
      </c>
      <c r="F50" s="80">
        <v>1119.8900000000001</v>
      </c>
      <c r="G50" s="80">
        <v>943.64</v>
      </c>
      <c r="H50" s="80">
        <v>1221.25</v>
      </c>
      <c r="I50" s="80">
        <v>1093.77</v>
      </c>
      <c r="J50" s="80">
        <v>1217.24</v>
      </c>
      <c r="K50" s="80">
        <v>955.07</v>
      </c>
    </row>
    <row r="51" spans="1:11">
      <c r="A51" s="101"/>
    </row>
    <row r="52" spans="1:11">
      <c r="A52" s="101"/>
    </row>
    <row r="53" spans="1:11">
      <c r="A53" s="101"/>
    </row>
    <row r="54" spans="1:11">
      <c r="A54" s="101"/>
    </row>
    <row r="55" spans="1:11">
      <c r="A55" s="96" t="s">
        <v>301</v>
      </c>
    </row>
    <row r="56" spans="1:11" s="100" customFormat="1" ht="15">
      <c r="A56" s="98" t="s">
        <v>285</v>
      </c>
      <c r="B56" s="99">
        <v>42460</v>
      </c>
      <c r="C56" s="99">
        <v>42825</v>
      </c>
      <c r="D56" s="99">
        <v>43190</v>
      </c>
      <c r="E56" s="99">
        <v>43555</v>
      </c>
      <c r="F56" s="99">
        <v>43921</v>
      </c>
      <c r="G56" s="99">
        <v>44286</v>
      </c>
      <c r="H56" s="99">
        <v>44651</v>
      </c>
      <c r="I56" s="99">
        <v>45016</v>
      </c>
      <c r="J56" s="99">
        <v>45382</v>
      </c>
      <c r="K56" s="99">
        <v>45747</v>
      </c>
    </row>
    <row r="57" spans="1:11">
      <c r="A57" s="101" t="s">
        <v>241</v>
      </c>
      <c r="B57" s="80">
        <v>561.54</v>
      </c>
      <c r="C57" s="80">
        <v>624.08000000000004</v>
      </c>
      <c r="D57" s="80">
        <v>624.08000000000004</v>
      </c>
      <c r="E57" s="80">
        <v>624.08000000000004</v>
      </c>
      <c r="F57" s="80">
        <v>647.77</v>
      </c>
      <c r="G57" s="80">
        <v>647.77</v>
      </c>
      <c r="H57" s="80">
        <v>647.77</v>
      </c>
      <c r="I57" s="80">
        <v>648.26</v>
      </c>
      <c r="J57" s="80">
        <v>650.73</v>
      </c>
      <c r="K57" s="80">
        <v>650.73</v>
      </c>
    </row>
    <row r="58" spans="1:11">
      <c r="A58" s="101" t="s">
        <v>242</v>
      </c>
      <c r="B58" s="80">
        <v>958.9</v>
      </c>
      <c r="C58" s="80">
        <v>3217.7</v>
      </c>
      <c r="D58" s="80">
        <v>4044.97</v>
      </c>
      <c r="E58" s="80">
        <v>4963.37</v>
      </c>
      <c r="F58" s="80">
        <v>10431.969999999999</v>
      </c>
      <c r="G58" s="80">
        <v>11535.94</v>
      </c>
      <c r="H58" s="80">
        <v>13029.87</v>
      </c>
      <c r="I58" s="80">
        <v>15430.44</v>
      </c>
      <c r="J58" s="80">
        <v>18047.09</v>
      </c>
      <c r="K58" s="80">
        <v>20777.02</v>
      </c>
    </row>
    <row r="59" spans="1:11">
      <c r="A59" s="101" t="s">
        <v>243</v>
      </c>
      <c r="B59" s="80">
        <v>1192.3399999999999</v>
      </c>
      <c r="C59" s="80">
        <v>1497.32</v>
      </c>
      <c r="D59" s="80">
        <v>439.25</v>
      </c>
      <c r="E59" s="80">
        <v>700.15</v>
      </c>
      <c r="F59" s="80">
        <v>333.19</v>
      </c>
      <c r="G59" s="80">
        <v>392.71</v>
      </c>
      <c r="H59" s="80">
        <v>646.94000000000005</v>
      </c>
      <c r="I59" s="80">
        <v>642.98</v>
      </c>
      <c r="J59" s="80">
        <v>592.16</v>
      </c>
      <c r="K59" s="80">
        <v>819.62</v>
      </c>
    </row>
    <row r="60" spans="1:11">
      <c r="A60" s="101" t="s">
        <v>244</v>
      </c>
      <c r="B60" s="80">
        <v>388.78</v>
      </c>
      <c r="C60" s="80">
        <v>480.18</v>
      </c>
      <c r="D60" s="80">
        <v>539.91999999999996</v>
      </c>
      <c r="E60" s="80">
        <v>717.9</v>
      </c>
      <c r="F60" s="80">
        <v>663.23</v>
      </c>
      <c r="G60" s="80">
        <v>1078.6300000000001</v>
      </c>
      <c r="H60" s="80">
        <v>1146.4000000000001</v>
      </c>
      <c r="I60" s="80">
        <v>1382.84</v>
      </c>
      <c r="J60" s="80">
        <v>1882.5</v>
      </c>
      <c r="K60" s="80">
        <v>2072.92</v>
      </c>
    </row>
    <row r="61" spans="1:11" s="96" customFormat="1" ht="15">
      <c r="A61" s="96" t="s">
        <v>139</v>
      </c>
      <c r="B61" s="80">
        <v>3101.56</v>
      </c>
      <c r="C61" s="80">
        <v>5819.28</v>
      </c>
      <c r="D61" s="80">
        <v>5648.22</v>
      </c>
      <c r="E61" s="80">
        <v>7005.5</v>
      </c>
      <c r="F61" s="80">
        <v>12076.16</v>
      </c>
      <c r="G61" s="80">
        <v>13655.05</v>
      </c>
      <c r="H61" s="80">
        <v>15470.98</v>
      </c>
      <c r="I61" s="80">
        <v>18104.52</v>
      </c>
      <c r="J61" s="80">
        <v>21172.48</v>
      </c>
      <c r="K61" s="80">
        <v>24320.29</v>
      </c>
    </row>
    <row r="62" spans="1:11">
      <c r="A62" s="101" t="s">
        <v>302</v>
      </c>
      <c r="B62" s="80">
        <v>2093.52</v>
      </c>
      <c r="C62" s="80">
        <v>2577.75</v>
      </c>
      <c r="D62" s="80">
        <v>3399.97</v>
      </c>
      <c r="E62" s="80">
        <v>4400.37</v>
      </c>
      <c r="F62" s="80">
        <v>5948.03</v>
      </c>
      <c r="G62" s="80">
        <v>7008.8</v>
      </c>
      <c r="H62" s="80">
        <v>9260.02</v>
      </c>
      <c r="I62" s="80">
        <v>11340.48</v>
      </c>
      <c r="J62" s="80">
        <v>13415</v>
      </c>
      <c r="K62" s="80">
        <v>16206.46</v>
      </c>
    </row>
    <row r="63" spans="1:11">
      <c r="A63" s="101" t="s">
        <v>246</v>
      </c>
      <c r="B63" s="80">
        <v>81.69</v>
      </c>
      <c r="C63" s="80">
        <v>152.88999999999999</v>
      </c>
      <c r="D63" s="80">
        <v>147.07</v>
      </c>
      <c r="E63" s="80">
        <v>376.84</v>
      </c>
      <c r="F63" s="80">
        <v>364.4</v>
      </c>
      <c r="G63" s="80">
        <v>1019.59</v>
      </c>
      <c r="H63" s="80">
        <v>1129.3399999999999</v>
      </c>
      <c r="I63" s="80">
        <v>829.16</v>
      </c>
      <c r="J63" s="80">
        <v>935.22</v>
      </c>
      <c r="K63" s="80">
        <v>1099.3499999999999</v>
      </c>
    </row>
    <row r="64" spans="1:11">
      <c r="A64" s="101" t="s">
        <v>247</v>
      </c>
      <c r="B64" s="80">
        <v>29.33</v>
      </c>
      <c r="C64" s="80">
        <v>25.69</v>
      </c>
      <c r="D64" s="80">
        <v>68.180000000000007</v>
      </c>
      <c r="E64" s="80">
        <v>16.53</v>
      </c>
      <c r="F64" s="80">
        <v>14.68</v>
      </c>
      <c r="G64" s="80">
        <v>2.95</v>
      </c>
      <c r="H64" s="80">
        <v>5.94</v>
      </c>
      <c r="I64" s="80">
        <v>202.2</v>
      </c>
      <c r="J64" s="80">
        <v>106.67</v>
      </c>
      <c r="K64" s="80">
        <v>3.26</v>
      </c>
    </row>
    <row r="65" spans="1:11">
      <c r="A65" s="101" t="s">
        <v>248</v>
      </c>
      <c r="B65" s="80">
        <v>897.02</v>
      </c>
      <c r="C65" s="80">
        <v>3062.95</v>
      </c>
      <c r="D65" s="80">
        <v>2033</v>
      </c>
      <c r="E65" s="80">
        <v>2211.7600000000002</v>
      </c>
      <c r="F65" s="80">
        <v>5749.05</v>
      </c>
      <c r="G65" s="80">
        <v>5623.71</v>
      </c>
      <c r="H65" s="80">
        <v>5075.68</v>
      </c>
      <c r="I65" s="80">
        <v>5732.68</v>
      </c>
      <c r="J65" s="80">
        <v>6715.59</v>
      </c>
      <c r="K65" s="80">
        <v>7011.22</v>
      </c>
    </row>
    <row r="66" spans="1:11" s="96" customFormat="1" ht="15">
      <c r="A66" s="96" t="s">
        <v>139</v>
      </c>
      <c r="B66" s="80">
        <v>3101.56</v>
      </c>
      <c r="C66" s="80">
        <v>5819.28</v>
      </c>
      <c r="D66" s="80">
        <v>5648.22</v>
      </c>
      <c r="E66" s="80">
        <v>7005.5</v>
      </c>
      <c r="F66" s="80">
        <v>12076.16</v>
      </c>
      <c r="G66" s="80">
        <v>13655.05</v>
      </c>
      <c r="H66" s="80">
        <v>15470.98</v>
      </c>
      <c r="I66" s="80">
        <v>18104.52</v>
      </c>
      <c r="J66" s="80">
        <v>21172.48</v>
      </c>
      <c r="K66" s="80">
        <v>24320.29</v>
      </c>
    </row>
    <row r="67" spans="1:11" s="101" customFormat="1" ht="15">
      <c r="A67" s="101" t="s">
        <v>249</v>
      </c>
      <c r="B67" s="80">
        <v>8.42</v>
      </c>
      <c r="C67" s="80">
        <v>21</v>
      </c>
      <c r="D67" s="80">
        <v>33.520000000000003</v>
      </c>
      <c r="E67" s="80">
        <v>64.37</v>
      </c>
      <c r="F67" s="80">
        <v>19.55</v>
      </c>
      <c r="G67" s="80">
        <v>43.58</v>
      </c>
      <c r="H67" s="80">
        <v>66.89</v>
      </c>
      <c r="I67" s="80">
        <v>62.16</v>
      </c>
      <c r="J67" s="80">
        <v>166.37</v>
      </c>
      <c r="K67" s="80">
        <v>153.79</v>
      </c>
    </row>
    <row r="68" spans="1:11">
      <c r="A68" s="101" t="s">
        <v>250</v>
      </c>
      <c r="B68" s="80">
        <v>671.69</v>
      </c>
      <c r="C68" s="80">
        <v>947.9</v>
      </c>
      <c r="D68" s="80">
        <v>1163.45</v>
      </c>
      <c r="E68" s="80">
        <v>1608.65</v>
      </c>
      <c r="F68" s="80">
        <v>1947.4</v>
      </c>
      <c r="G68" s="80">
        <v>2248.2800000000002</v>
      </c>
      <c r="H68" s="80">
        <v>2742.66</v>
      </c>
      <c r="I68" s="80">
        <v>3243.48</v>
      </c>
      <c r="J68" s="80">
        <v>3927.31</v>
      </c>
      <c r="K68" s="80">
        <v>5044.37</v>
      </c>
    </row>
    <row r="69" spans="1:11">
      <c r="A69" s="97" t="s">
        <v>251</v>
      </c>
      <c r="B69" s="80">
        <v>35.1</v>
      </c>
      <c r="C69" s="80">
        <v>1884.29</v>
      </c>
      <c r="D69" s="80">
        <v>560.17999999999995</v>
      </c>
      <c r="E69" s="80">
        <v>219.07</v>
      </c>
      <c r="F69" s="80">
        <v>107.88</v>
      </c>
      <c r="G69" s="80">
        <v>1445.58</v>
      </c>
      <c r="H69" s="80">
        <v>298.58</v>
      </c>
      <c r="I69" s="80">
        <v>1408.33</v>
      </c>
      <c r="J69" s="80">
        <v>638.17999999999995</v>
      </c>
      <c r="K69" s="80">
        <v>358.2</v>
      </c>
    </row>
    <row r="70" spans="1:11">
      <c r="A70" s="97" t="s">
        <v>303</v>
      </c>
      <c r="B70" s="80">
        <v>561542680</v>
      </c>
      <c r="C70" s="80">
        <v>624084486</v>
      </c>
      <c r="D70" s="80">
        <v>624084486</v>
      </c>
      <c r="E70" s="80">
        <v>624084486</v>
      </c>
      <c r="F70" s="80">
        <v>647774691</v>
      </c>
      <c r="G70" s="80">
        <v>647774691</v>
      </c>
      <c r="H70" s="80">
        <v>647774691</v>
      </c>
      <c r="I70" s="80">
        <v>648263978</v>
      </c>
      <c r="J70" s="80">
        <v>650733068</v>
      </c>
      <c r="K70" s="80"/>
    </row>
    <row r="71" spans="1:11">
      <c r="A71" s="97" t="s">
        <v>304</v>
      </c>
    </row>
    <row r="72" spans="1:11">
      <c r="A72" s="97" t="s">
        <v>305</v>
      </c>
      <c r="B72" s="80">
        <v>10</v>
      </c>
      <c r="C72" s="80">
        <v>10</v>
      </c>
      <c r="D72" s="80">
        <v>10</v>
      </c>
      <c r="E72" s="80">
        <v>10</v>
      </c>
      <c r="F72" s="80">
        <v>10</v>
      </c>
      <c r="G72" s="80">
        <v>10</v>
      </c>
      <c r="H72" s="80">
        <v>10</v>
      </c>
      <c r="I72" s="80">
        <v>10</v>
      </c>
      <c r="J72" s="80">
        <v>10</v>
      </c>
      <c r="K72" s="80">
        <v>10</v>
      </c>
    </row>
    <row r="74" spans="1:11">
      <c r="A74" s="101"/>
    </row>
    <row r="75" spans="1:11">
      <c r="A75" s="101"/>
    </row>
    <row r="76" spans="1:11">
      <c r="A76" s="101"/>
    </row>
    <row r="77" spans="1:11">
      <c r="A77" s="101"/>
    </row>
    <row r="78" spans="1:11">
      <c r="A78" s="101"/>
    </row>
    <row r="79" spans="1:11">
      <c r="A79" s="101"/>
    </row>
    <row r="80" spans="1:11">
      <c r="A80" s="96" t="s">
        <v>306</v>
      </c>
    </row>
    <row r="81" spans="1:11" s="100" customFormat="1" ht="15">
      <c r="A81" s="98" t="s">
        <v>285</v>
      </c>
      <c r="B81" s="99">
        <v>42460</v>
      </c>
      <c r="C81" s="99">
        <v>42825</v>
      </c>
      <c r="D81" s="99">
        <v>43190</v>
      </c>
      <c r="E81" s="99">
        <v>43555</v>
      </c>
      <c r="F81" s="99">
        <v>43921</v>
      </c>
      <c r="G81" s="99">
        <v>44286</v>
      </c>
      <c r="H81" s="99">
        <v>44651</v>
      </c>
      <c r="I81" s="99">
        <v>45016</v>
      </c>
      <c r="J81" s="99">
        <v>45382</v>
      </c>
      <c r="K81" s="99">
        <v>45747</v>
      </c>
    </row>
    <row r="82" spans="1:11" s="96" customFormat="1" ht="15">
      <c r="A82" s="101" t="s">
        <v>307</v>
      </c>
      <c r="B82" s="80">
        <v>433.47</v>
      </c>
      <c r="C82" s="80">
        <v>455.28</v>
      </c>
      <c r="D82" s="80">
        <v>729.99</v>
      </c>
      <c r="E82" s="80">
        <v>806.84</v>
      </c>
      <c r="F82" s="80">
        <v>1280.1400000000001</v>
      </c>
      <c r="G82" s="80">
        <v>1375.14</v>
      </c>
      <c r="H82" s="80">
        <v>1372.35</v>
      </c>
      <c r="I82" s="80">
        <v>2630.27</v>
      </c>
      <c r="J82" s="80">
        <v>2745.84</v>
      </c>
      <c r="K82" s="80">
        <v>2462.9699999999998</v>
      </c>
    </row>
    <row r="83" spans="1:11" s="101" customFormat="1" ht="15">
      <c r="A83" s="101" t="s">
        <v>268</v>
      </c>
      <c r="B83" s="80">
        <v>-632.89</v>
      </c>
      <c r="C83" s="80">
        <v>-2481.61</v>
      </c>
      <c r="D83" s="80">
        <v>463.55</v>
      </c>
      <c r="E83" s="80">
        <v>-958.37</v>
      </c>
      <c r="F83" s="80">
        <v>-4656.5600000000004</v>
      </c>
      <c r="G83" s="80">
        <v>-1110</v>
      </c>
      <c r="H83" s="80">
        <v>-1289.49</v>
      </c>
      <c r="I83" s="80">
        <v>-2313.1</v>
      </c>
      <c r="J83" s="80">
        <v>-2468.23</v>
      </c>
      <c r="K83" s="80">
        <v>-2185.31</v>
      </c>
    </row>
    <row r="84" spans="1:11" s="101" customFormat="1" ht="15">
      <c r="A84" s="101" t="s">
        <v>308</v>
      </c>
      <c r="B84" s="80">
        <v>196.44</v>
      </c>
      <c r="C84" s="80">
        <v>2025.26</v>
      </c>
      <c r="D84" s="80">
        <v>-1159.06</v>
      </c>
      <c r="E84" s="80">
        <v>208.98</v>
      </c>
      <c r="F84" s="80">
        <v>3357.42</v>
      </c>
      <c r="G84" s="80">
        <v>-179.5</v>
      </c>
      <c r="H84" s="80">
        <v>-179.24</v>
      </c>
      <c r="I84" s="80">
        <v>-205.14</v>
      </c>
      <c r="J84" s="80">
        <v>-147.63999999999999</v>
      </c>
      <c r="K84" s="80">
        <v>-259.3</v>
      </c>
    </row>
    <row r="85" spans="1:11" s="96" customFormat="1" ht="15">
      <c r="A85" s="101" t="s">
        <v>276</v>
      </c>
      <c r="B85" s="80">
        <v>-2.98</v>
      </c>
      <c r="C85" s="80">
        <v>-1.07</v>
      </c>
      <c r="D85" s="80">
        <v>34.479999999999997</v>
      </c>
      <c r="E85" s="80">
        <v>57.45</v>
      </c>
      <c r="F85" s="80">
        <v>-19</v>
      </c>
      <c r="G85" s="80">
        <v>85.64</v>
      </c>
      <c r="H85" s="80">
        <v>-96.38</v>
      </c>
      <c r="I85" s="80">
        <v>112.03</v>
      </c>
      <c r="J85" s="80">
        <v>129.97</v>
      </c>
      <c r="K85" s="80">
        <v>18.36</v>
      </c>
    </row>
    <row r="86" spans="1:11">
      <c r="A86" s="101"/>
    </row>
    <row r="87" spans="1:11">
      <c r="A87" s="101"/>
    </row>
    <row r="88" spans="1:11">
      <c r="A88" s="101"/>
    </row>
    <row r="89" spans="1:11">
      <c r="A89" s="101"/>
    </row>
    <row r="90" spans="1:11" s="96" customFormat="1" ht="15">
      <c r="A90" s="96" t="s">
        <v>309</v>
      </c>
      <c r="B90" s="80"/>
      <c r="C90" s="80">
        <v>637.85</v>
      </c>
      <c r="D90" s="80">
        <v>1324.8</v>
      </c>
      <c r="E90" s="80">
        <v>1471.1</v>
      </c>
      <c r="F90" s="80">
        <v>2187.5</v>
      </c>
      <c r="G90" s="80">
        <v>2859.05</v>
      </c>
      <c r="H90" s="80">
        <v>4003.35</v>
      </c>
      <c r="I90" s="80">
        <v>3401.05</v>
      </c>
      <c r="J90" s="80">
        <v>4525.6000000000004</v>
      </c>
      <c r="K90" s="80">
        <v>4083.2</v>
      </c>
    </row>
    <row r="92" spans="1:11" s="96" customFormat="1" ht="15">
      <c r="A92" s="96" t="s">
        <v>310</v>
      </c>
    </row>
    <row r="93" spans="1:11">
      <c r="A93" s="97" t="s">
        <v>311</v>
      </c>
      <c r="B93" s="102">
        <v>56.15</v>
      </c>
      <c r="C93" s="102">
        <v>62.41</v>
      </c>
      <c r="D93" s="102">
        <v>62.41</v>
      </c>
      <c r="E93" s="102">
        <v>62.41</v>
      </c>
      <c r="F93" s="102">
        <v>64.78</v>
      </c>
      <c r="G93" s="102">
        <v>64.78</v>
      </c>
      <c r="H93" s="102">
        <v>64.78</v>
      </c>
      <c r="I93" s="102">
        <v>64.83</v>
      </c>
      <c r="J93" s="102">
        <v>65.069999999999993</v>
      </c>
      <c r="K93" s="102">
        <v>65.069999999999993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8676F9FB-1B69-904D-B581-8E80FFEC48A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WACC</vt:lpstr>
      <vt:lpstr>BETA-REGRESSION</vt:lpstr>
      <vt:lpstr>BETA-Peer Comps</vt:lpstr>
      <vt:lpstr>RM</vt:lpstr>
      <vt:lpstr>Intrinsic Growth</vt:lpstr>
      <vt:lpstr>DCF</vt:lpstr>
      <vt:lpstr>Summary</vt:lpstr>
      <vt:lpstr>Raw Data&gt;&gt;</vt:lpstr>
      <vt:lpstr>Data Sheet</vt:lpstr>
      <vt:lpstr>Historical FS </vt:lpstr>
      <vt:lpstr>BS AS</vt:lpstr>
      <vt:lpstr>'Data Sheet'!UPDATE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Jaiswal</dc:creator>
  <cp:lastModifiedBy>Khushi Jaiswal</cp:lastModifiedBy>
  <dcterms:created xsi:type="dcterms:W3CDTF">2025-05-06T06:38:16Z</dcterms:created>
  <dcterms:modified xsi:type="dcterms:W3CDTF">2025-05-14T16:58:45Z</dcterms:modified>
</cp:coreProperties>
</file>