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97ec3d38628237/Desktop/Finance Club/"/>
    </mc:Choice>
  </mc:AlternateContent>
  <xr:revisionPtr revIDLastSave="2" documentId="8_{71C8CD16-DEE0-49F1-A6F1-CF661C6416B0}" xr6:coauthVersionLast="47" xr6:coauthVersionMax="47" xr10:uidLastSave="{FF2A0325-D298-489F-AA8F-1B2DFBDB55F5}"/>
  <bookViews>
    <workbookView xWindow="-108" yWindow="-108" windowWidth="23256" windowHeight="12456" activeTab="1" xr2:uid="{D21A40CA-4983-4AE3-ABB2-F5701A6730B8}"/>
  </bookViews>
  <sheets>
    <sheet name="Comps_Val" sheetId="1" r:id="rId1"/>
    <sheet name="Data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"03/29/2023 14:23:17"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Comps_Val!$A$1:$Q$32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L12" i="1"/>
  <c r="L13" i="1"/>
  <c r="K10" i="1"/>
  <c r="L10" i="1"/>
  <c r="M10" i="1"/>
  <c r="K11" i="1"/>
  <c r="L11" i="1"/>
  <c r="M11" i="1"/>
  <c r="K12" i="1"/>
  <c r="M12" i="1"/>
  <c r="K13" i="1"/>
  <c r="M13" i="1"/>
  <c r="M9" i="1"/>
  <c r="K9" i="1"/>
  <c r="G9" i="1"/>
  <c r="Q26" i="1" s="1"/>
  <c r="G10" i="1"/>
  <c r="G13" i="1"/>
  <c r="G12" i="1"/>
  <c r="G11" i="1"/>
  <c r="E13" i="1"/>
  <c r="D13" i="1"/>
  <c r="E12" i="1"/>
  <c r="D12" i="1"/>
  <c r="E11" i="1"/>
  <c r="D11" i="1"/>
  <c r="E10" i="1"/>
  <c r="D10" i="1"/>
  <c r="E9" i="1"/>
  <c r="P28" i="1" s="1"/>
  <c r="D9" i="1"/>
  <c r="B13" i="1"/>
  <c r="B12" i="1"/>
  <c r="B11" i="1"/>
  <c r="B10" i="1"/>
  <c r="B9" i="1"/>
  <c r="O26" i="1" l="1"/>
  <c r="P26" i="1"/>
  <c r="O28" i="1"/>
  <c r="Q28" i="1"/>
  <c r="F10" i="1"/>
  <c r="H10" i="1" s="1"/>
  <c r="P10" i="1" s="1"/>
  <c r="F13" i="1"/>
  <c r="Q13" i="1" s="1"/>
  <c r="F9" i="1"/>
  <c r="F11" i="1"/>
  <c r="F12" i="1"/>
  <c r="H13" i="1" l="1"/>
  <c r="O13" i="1" s="1"/>
  <c r="Q10" i="1"/>
  <c r="O10" i="1"/>
  <c r="H11" i="1"/>
  <c r="Q11" i="1"/>
  <c r="H9" i="1"/>
  <c r="Q9" i="1"/>
  <c r="H12" i="1"/>
  <c r="Q12" i="1"/>
  <c r="P13" i="1" l="1"/>
  <c r="O9" i="1"/>
  <c r="P9" i="1"/>
  <c r="Q21" i="1"/>
  <c r="Q17" i="1"/>
  <c r="Q20" i="1"/>
  <c r="Q16" i="1"/>
  <c r="Q19" i="1"/>
  <c r="Q27" i="1" s="1"/>
  <c r="Q25" i="1" s="1"/>
  <c r="Q18" i="1"/>
  <c r="P12" i="1"/>
  <c r="O12" i="1"/>
  <c r="P11" i="1"/>
  <c r="O11" i="1"/>
  <c r="P21" i="1" l="1"/>
  <c r="P17" i="1"/>
  <c r="P20" i="1"/>
  <c r="P16" i="1"/>
  <c r="P18" i="1"/>
  <c r="P19" i="1"/>
  <c r="O16" i="1"/>
  <c r="O21" i="1"/>
  <c r="O19" i="1"/>
  <c r="O20" i="1"/>
  <c r="O18" i="1"/>
  <c r="O17" i="1"/>
  <c r="P25" i="1" l="1"/>
  <c r="P27" i="1" s="1"/>
  <c r="P30" i="1" s="1"/>
  <c r="P33" i="1" s="1"/>
  <c r="O25" i="1"/>
  <c r="O27" i="1" s="1"/>
  <c r="O30" i="1" s="1"/>
  <c r="O33" i="1" s="1"/>
  <c r="Q30" i="1"/>
  <c r="Q33" i="1" s="1"/>
</calcChain>
</file>

<file path=xl/sharedStrings.xml><?xml version="1.0" encoding="utf-8"?>
<sst xmlns="http://schemas.openxmlformats.org/spreadsheetml/2006/main" count="55" uniqueCount="50">
  <si>
    <t>Comparable Company Valuation</t>
  </si>
  <si>
    <t>Company</t>
  </si>
  <si>
    <t>Ticker</t>
  </si>
  <si>
    <t>Share Price</t>
  </si>
  <si>
    <t>Shares Outstanding</t>
  </si>
  <si>
    <t>Equity Value</t>
  </si>
  <si>
    <t>Net Debt</t>
  </si>
  <si>
    <t>Enterprise Value</t>
  </si>
  <si>
    <t>Market Data</t>
  </si>
  <si>
    <t>Revenue</t>
  </si>
  <si>
    <t>EBITDA</t>
  </si>
  <si>
    <t>Net Income</t>
  </si>
  <si>
    <t>Valuation</t>
  </si>
  <si>
    <t>Financials</t>
  </si>
  <si>
    <t>S.No.</t>
  </si>
  <si>
    <t>Name</t>
  </si>
  <si>
    <t>CMP Rs.</t>
  </si>
  <si>
    <t>No. Eq. Shares Cr.</t>
  </si>
  <si>
    <t>Debt Rs.Cr.</t>
  </si>
  <si>
    <t>Cash End Rs.Cr.</t>
  </si>
  <si>
    <t>Sales Rs.Cr.</t>
  </si>
  <si>
    <t>NP 12M Rs.Cr.</t>
  </si>
  <si>
    <t>EV</t>
  </si>
  <si>
    <t>EV/Revenue</t>
  </si>
  <si>
    <t>EV/EBITDA</t>
  </si>
  <si>
    <t>P/E</t>
  </si>
  <si>
    <t>High</t>
  </si>
  <si>
    <t>75th Percentile</t>
  </si>
  <si>
    <t>Average</t>
  </si>
  <si>
    <t>Median</t>
  </si>
  <si>
    <t>25th Percentile</t>
  </si>
  <si>
    <t>Low</t>
  </si>
  <si>
    <t>Cipla Comparable Valuation</t>
  </si>
  <si>
    <t>Implied Enterprise Value</t>
  </si>
  <si>
    <t>Implied Market Value</t>
  </si>
  <si>
    <t>Implied Value per Share</t>
  </si>
  <si>
    <t>Amount in crores</t>
  </si>
  <si>
    <t>EV Rs.Cr.</t>
  </si>
  <si>
    <t>EV / EBITDA</t>
  </si>
  <si>
    <t>Market cap</t>
  </si>
  <si>
    <t>EBIDTA</t>
  </si>
  <si>
    <t>Net debt</t>
  </si>
  <si>
    <t>Source: Screener.in</t>
  </si>
  <si>
    <t>Coal India</t>
  </si>
  <si>
    <t>Vedanta</t>
  </si>
  <si>
    <t>NMDC</t>
  </si>
  <si>
    <t>Lloyds Metals</t>
  </si>
  <si>
    <t>KIOCL</t>
  </si>
  <si>
    <t>G M D C</t>
  </si>
  <si>
    <t>VEDANTA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</si>
</sst>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b/>
      <sz val="12"/>
      <color rgb="FF0020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0" borderId="1" xfId="0" applyBorder="1"/>
    <xf numFmtId="0" fontId="4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0" fillId="0" borderId="0" xfId="0" applyNumberFormat="1"/>
    <xf numFmtId="2" fontId="0" fillId="0" borderId="0" xfId="1" applyNumberFormat="1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/>
    </xf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0" fontId="0" fillId="0" borderId="3" xfId="0" applyBorder="1" applyAlignment="1">
      <alignment horizontal="left"/>
    </xf>
    <xf numFmtId="3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5" fontId="5" fillId="0" borderId="3" xfId="0" applyNumberFormat="1" applyFont="1" applyBorder="1" applyAlignment="1">
      <alignment horizontal="right"/>
    </xf>
    <xf numFmtId="0" fontId="2" fillId="2" borderId="1" xfId="0" applyFont="1" applyFill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0" fontId="0" fillId="3" borderId="3" xfId="0" applyFill="1" applyBorder="1"/>
    <xf numFmtId="165" fontId="0" fillId="3" borderId="3" xfId="0" applyNumberForma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0" fontId="0" fillId="0" borderId="3" xfId="0" applyBorder="1"/>
    <xf numFmtId="3" fontId="0" fillId="0" borderId="3" xfId="0" applyNumberFormat="1" applyBorder="1"/>
    <xf numFmtId="2" fontId="0" fillId="0" borderId="3" xfId="0" applyNumberFormat="1" applyBorder="1"/>
    <xf numFmtId="0" fontId="6" fillId="0" borderId="0" xfId="0" applyFont="1"/>
    <xf numFmtId="0" fontId="3" fillId="0" borderId="0" xfId="0" applyFont="1"/>
    <xf numFmtId="164" fontId="3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164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3C50-891A-464B-B4CA-3C25D92F2274}">
  <dimension ref="B1:Q33"/>
  <sheetViews>
    <sheetView showGridLines="0" zoomScale="90" zoomScaleNormal="90" workbookViewId="0">
      <pane ySplit="1" topLeftCell="A20" activePane="bottomLeft" state="frozen"/>
      <selection pane="bottomLeft" activeCell="R30" sqref="R30"/>
    </sheetView>
  </sheetViews>
  <sheetFormatPr defaultRowHeight="14.4" x14ac:dyDescent="0.3"/>
  <cols>
    <col min="1" max="1" width="1.77734375" customWidth="1"/>
    <col min="2" max="2" width="16.21875" customWidth="1"/>
    <col min="3" max="3" width="13" customWidth="1"/>
    <col min="4" max="4" width="8.77734375" bestFit="1" customWidth="1"/>
    <col min="5" max="5" width="13.77734375" customWidth="1"/>
    <col min="6" max="8" width="11" customWidth="1"/>
    <col min="10" max="10" width="1.77734375" customWidth="1"/>
    <col min="11" max="11" width="14.21875" customWidth="1"/>
    <col min="12" max="12" width="8.77734375" bestFit="1" customWidth="1"/>
    <col min="13" max="13" width="11.6640625" bestFit="1" customWidth="1"/>
    <col min="14" max="14" width="1.77734375" customWidth="1"/>
    <col min="15" max="15" width="12.21875" bestFit="1" customWidth="1"/>
    <col min="16" max="17" width="12.44140625" bestFit="1" customWidth="1"/>
  </cols>
  <sheetData>
    <row r="1" spans="2:17" x14ac:dyDescent="0.3">
      <c r="B1" s="1"/>
      <c r="C1" s="1"/>
      <c r="D1" s="1"/>
      <c r="E1" s="1"/>
      <c r="F1" s="1"/>
      <c r="G1" s="4" t="s">
        <v>49</v>
      </c>
      <c r="H1" s="1"/>
      <c r="I1" s="1"/>
      <c r="J1" s="1"/>
      <c r="K1" s="1"/>
      <c r="L1" s="1"/>
      <c r="M1" s="1"/>
      <c r="N1" s="1"/>
      <c r="O1" s="1"/>
      <c r="P1" s="1"/>
      <c r="Q1" s="1"/>
    </row>
    <row r="3" spans="2:17" x14ac:dyDescent="0.3">
      <c r="B3" s="29" t="s">
        <v>36</v>
      </c>
    </row>
    <row r="4" spans="2:17" ht="15.6" x14ac:dyDescent="0.3">
      <c r="B4" s="33" t="s">
        <v>0</v>
      </c>
      <c r="C4" s="2"/>
      <c r="D4" s="32"/>
      <c r="E4" s="2"/>
      <c r="F4" s="2"/>
      <c r="G4" s="2"/>
      <c r="H4" s="2"/>
      <c r="I4" s="2"/>
      <c r="J4" s="2"/>
      <c r="K4" s="2"/>
    </row>
    <row r="5" spans="2:17" ht="4.5" customHeight="1" x14ac:dyDescent="0.3"/>
    <row r="6" spans="2:17" x14ac:dyDescent="0.3">
      <c r="B6" s="4"/>
      <c r="C6" s="4"/>
      <c r="D6" s="36" t="s">
        <v>8</v>
      </c>
      <c r="E6" s="36"/>
      <c r="F6" s="36"/>
      <c r="G6" s="36"/>
      <c r="H6" s="36"/>
      <c r="I6" s="36"/>
      <c r="J6" s="4"/>
      <c r="K6" s="36" t="s">
        <v>13</v>
      </c>
      <c r="L6" s="36"/>
      <c r="M6" s="36"/>
      <c r="N6" s="4"/>
      <c r="O6" s="36" t="s">
        <v>12</v>
      </c>
      <c r="P6" s="36"/>
      <c r="Q6" s="36"/>
    </row>
    <row r="7" spans="2:17" ht="33.75" customHeight="1" x14ac:dyDescent="0.3">
      <c r="B7" s="8" t="s">
        <v>1</v>
      </c>
      <c r="C7" s="8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9" t="s">
        <v>7</v>
      </c>
      <c r="I7" s="9"/>
      <c r="J7" s="10"/>
      <c r="K7" s="10" t="s">
        <v>9</v>
      </c>
      <c r="L7" s="10" t="s">
        <v>10</v>
      </c>
      <c r="M7" s="10" t="s">
        <v>11</v>
      </c>
      <c r="N7" s="10"/>
      <c r="O7" s="10" t="s">
        <v>23</v>
      </c>
      <c r="P7" s="10" t="s">
        <v>24</v>
      </c>
      <c r="Q7" s="10" t="s">
        <v>25</v>
      </c>
    </row>
    <row r="8" spans="2:17" s="6" customFormat="1" ht="4.5" customHeight="1" x14ac:dyDescent="0.3">
      <c r="B8" s="11"/>
      <c r="C8" s="11"/>
      <c r="D8" s="12"/>
      <c r="E8" s="12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</row>
    <row r="9" spans="2:17" s="6" customFormat="1" x14ac:dyDescent="0.3">
      <c r="B9" s="14" t="str">
        <f>Data!C3</f>
        <v>Vedanta</v>
      </c>
      <c r="C9" s="14"/>
      <c r="D9" s="34">
        <f>Data!D3</f>
        <v>469.95</v>
      </c>
      <c r="E9" s="34">
        <f>Data!E3</f>
        <v>371.72</v>
      </c>
      <c r="F9" s="34">
        <f>E9*D9</f>
        <v>174689.81400000001</v>
      </c>
      <c r="G9" s="34">
        <f>Data!I3</f>
        <v>83379</v>
      </c>
      <c r="H9" s="34">
        <f>+F9+G9</f>
        <v>258068.81400000001</v>
      </c>
      <c r="I9" s="34"/>
      <c r="J9" s="34"/>
      <c r="K9" s="34">
        <f>Data!L3</f>
        <v>143727</v>
      </c>
      <c r="L9" s="34">
        <f>Data!M3</f>
        <v>37840.04398826979</v>
      </c>
      <c r="M9" s="34">
        <f>Data!N3</f>
        <v>14503</v>
      </c>
      <c r="N9" s="34"/>
      <c r="O9" s="18">
        <f t="shared" ref="O9:P13" si="0">$H9/K9</f>
        <v>1.7955486025590182</v>
      </c>
      <c r="P9" s="18">
        <f t="shared" si="0"/>
        <v>6.8199924418692524</v>
      </c>
      <c r="Q9" s="18">
        <f>F9/M9</f>
        <v>12.045081293525479</v>
      </c>
    </row>
    <row r="10" spans="2:17" x14ac:dyDescent="0.3">
      <c r="B10" s="14" t="str">
        <f>Data!C4</f>
        <v>Coal India</v>
      </c>
      <c r="C10" s="14"/>
      <c r="D10" s="34">
        <f>Data!D4</f>
        <v>483.15</v>
      </c>
      <c r="E10" s="34">
        <f>Data!E4</f>
        <v>616.27</v>
      </c>
      <c r="F10" s="34">
        <f>E10*D10</f>
        <v>297750.8505</v>
      </c>
      <c r="G10" s="34">
        <f>Data!L4</f>
        <v>142323.98000000001</v>
      </c>
      <c r="H10" s="34">
        <f>+F10+G10</f>
        <v>440074.83050000004</v>
      </c>
      <c r="I10" s="34"/>
      <c r="J10" s="34"/>
      <c r="K10" s="34">
        <f>Data!L4</f>
        <v>142323.98000000001</v>
      </c>
      <c r="L10" s="34">
        <f>Data!M4</f>
        <v>56354.818930041154</v>
      </c>
      <c r="M10" s="34">
        <f>Data!N4</f>
        <v>28124.94</v>
      </c>
      <c r="N10" s="34"/>
      <c r="O10" s="18">
        <f t="shared" si="0"/>
        <v>3.092063828597261</v>
      </c>
      <c r="P10" s="18">
        <f t="shared" si="0"/>
        <v>7.8090008779250759</v>
      </c>
      <c r="Q10" s="18">
        <f>F10/M10</f>
        <v>10.58671949166825</v>
      </c>
    </row>
    <row r="11" spans="2:17" x14ac:dyDescent="0.3">
      <c r="B11" s="14" t="str">
        <f>Data!C5</f>
        <v>NMDC</v>
      </c>
      <c r="C11" s="14"/>
      <c r="D11" s="34">
        <f>Data!D5</f>
        <v>273.25</v>
      </c>
      <c r="E11" s="34">
        <f>Data!E5</f>
        <v>293.06</v>
      </c>
      <c r="F11" s="34">
        <f>E11*D11</f>
        <v>80078.645000000004</v>
      </c>
      <c r="G11" s="34">
        <f>Data!L5</f>
        <v>21307.85</v>
      </c>
      <c r="H11" s="34">
        <f>+F11+G11</f>
        <v>101386.495</v>
      </c>
      <c r="I11" s="34"/>
      <c r="J11" s="34"/>
      <c r="K11" s="34">
        <f>Data!L5</f>
        <v>21307.85</v>
      </c>
      <c r="L11" s="34">
        <f>Data!M5</f>
        <v>8667.5536585365862</v>
      </c>
      <c r="M11" s="34">
        <f>Data!N5</f>
        <v>5601.46</v>
      </c>
      <c r="N11" s="34"/>
      <c r="O11" s="18">
        <f t="shared" si="0"/>
        <v>4.7581757427426981</v>
      </c>
      <c r="P11" s="18">
        <f t="shared" si="0"/>
        <v>11.697244573749533</v>
      </c>
      <c r="Q11" s="18">
        <f>F11/M11</f>
        <v>14.296030856241051</v>
      </c>
    </row>
    <row r="12" spans="2:17" x14ac:dyDescent="0.3">
      <c r="B12" s="14" t="str">
        <f>Data!C6</f>
        <v>Lloyds Metals</v>
      </c>
      <c r="C12" s="14"/>
      <c r="D12" s="34">
        <f>Data!D6</f>
        <v>735.2</v>
      </c>
      <c r="E12" s="34">
        <f>Data!E6</f>
        <v>50.53</v>
      </c>
      <c r="F12" s="34">
        <f>E12*D12</f>
        <v>37149.656000000003</v>
      </c>
      <c r="G12" s="34">
        <f>Data!L6</f>
        <v>6521.65</v>
      </c>
      <c r="H12" s="34">
        <f>+F12+G12</f>
        <v>43671.306000000004</v>
      </c>
      <c r="I12" s="34"/>
      <c r="J12" s="34"/>
      <c r="K12" s="34">
        <f>Data!L6</f>
        <v>6521.65</v>
      </c>
      <c r="L12" s="34">
        <f>Data!M6</f>
        <v>1781.4063860667632</v>
      </c>
      <c r="M12" s="34">
        <f>Data!N6</f>
        <v>-288.54000000000002</v>
      </c>
      <c r="N12" s="34"/>
      <c r="O12" s="18">
        <f t="shared" si="0"/>
        <v>6.6963584368986382</v>
      </c>
      <c r="P12" s="18">
        <f t="shared" si="0"/>
        <v>24.515072103465165</v>
      </c>
      <c r="Q12" s="18">
        <f>F12/M12</f>
        <v>-128.75045400984266</v>
      </c>
    </row>
    <row r="13" spans="2:17" x14ac:dyDescent="0.3">
      <c r="B13" s="14" t="str">
        <f>Data!C7</f>
        <v>KIOCL</v>
      </c>
      <c r="C13" s="14"/>
      <c r="D13" s="34">
        <f>Data!D7</f>
        <v>465.2</v>
      </c>
      <c r="E13" s="34">
        <f>Data!E7</f>
        <v>60.78</v>
      </c>
      <c r="F13" s="34">
        <f>E13*D13</f>
        <v>28274.856</v>
      </c>
      <c r="G13" s="34">
        <f>Data!L7</f>
        <v>1854.34</v>
      </c>
      <c r="H13" s="34">
        <f>+F13+G13</f>
        <v>30129.196</v>
      </c>
      <c r="I13" s="34"/>
      <c r="J13" s="34"/>
      <c r="K13" s="34">
        <f>Data!L7</f>
        <v>1854.34</v>
      </c>
      <c r="L13" s="34">
        <f>Data!M7</f>
        <v>-22.01999905664827</v>
      </c>
      <c r="M13" s="34">
        <f>Data!N7</f>
        <v>-97.67</v>
      </c>
      <c r="N13" s="34"/>
      <c r="O13" s="18">
        <f t="shared" si="0"/>
        <v>16.247935114380319</v>
      </c>
      <c r="P13" s="18">
        <f t="shared" si="0"/>
        <v>-1368.2650904066866</v>
      </c>
      <c r="Q13" s="18">
        <f>F13/M13</f>
        <v>-289.49376471792772</v>
      </c>
    </row>
    <row r="14" spans="2:17" x14ac:dyDescent="0.3">
      <c r="B14" s="14"/>
      <c r="C14" s="14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7"/>
      <c r="O14" s="18"/>
      <c r="P14" s="18"/>
      <c r="Q14" s="18"/>
    </row>
    <row r="15" spans="2:17" ht="6.75" customHeight="1" x14ac:dyDescent="0.3"/>
    <row r="16" spans="2:17" x14ac:dyDescent="0.3">
      <c r="B16" s="22" t="s">
        <v>26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3">
        <f>MAX(O9:O14)</f>
        <v>16.247935114380319</v>
      </c>
      <c r="P16" s="23">
        <f>MAX(P9:P14)</f>
        <v>24.515072103465165</v>
      </c>
      <c r="Q16" s="23">
        <f>MAX(Q9:Q14)</f>
        <v>14.296030856241051</v>
      </c>
    </row>
    <row r="17" spans="2:17" x14ac:dyDescent="0.3">
      <c r="B17" s="22" t="s">
        <v>27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3">
        <f>QUARTILE(O9:O14,3)</f>
        <v>6.6963584368986382</v>
      </c>
      <c r="P17" s="23">
        <f>QUARTILE(P9:P14,3)</f>
        <v>11.697244573749533</v>
      </c>
      <c r="Q17" s="23">
        <f>QUARTILE(Q9:Q14,3)</f>
        <v>12.045081293525479</v>
      </c>
    </row>
    <row r="18" spans="2:17" x14ac:dyDescent="0.3">
      <c r="B18" s="24" t="s">
        <v>28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5">
        <f>AVERAGE(O9:O14)</f>
        <v>6.5180163450355879</v>
      </c>
      <c r="P18" s="25">
        <f>AVERAGE(P9:P14)</f>
        <v>-263.48475608193553</v>
      </c>
      <c r="Q18" s="25">
        <f>AVERAGE(Q9:Q14)</f>
        <v>-76.263277417267119</v>
      </c>
    </row>
    <row r="19" spans="2:17" x14ac:dyDescent="0.3">
      <c r="B19" s="24" t="s">
        <v>29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5">
        <f>MEDIAN(O9:O14)</f>
        <v>4.7581757427426981</v>
      </c>
      <c r="P19" s="25">
        <f>MEDIAN(P9:P14)</f>
        <v>7.8090008779250759</v>
      </c>
      <c r="Q19" s="25">
        <f>MEDIAN(Q9:Q14)</f>
        <v>10.58671949166825</v>
      </c>
    </row>
    <row r="20" spans="2:17" x14ac:dyDescent="0.3">
      <c r="B20" s="22" t="s">
        <v>30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3">
        <f>QUARTILE(O9:O14,1)</f>
        <v>3.092063828597261</v>
      </c>
      <c r="P20" s="23">
        <f>QUARTILE(P9:P14,1)</f>
        <v>6.8199924418692524</v>
      </c>
      <c r="Q20" s="23">
        <f>QUARTILE(Q9:Q14,1)</f>
        <v>-128.75045400984266</v>
      </c>
    </row>
    <row r="21" spans="2:17" x14ac:dyDescent="0.3">
      <c r="B21" s="22" t="s">
        <v>31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3">
        <f>MIN(O9:O14)</f>
        <v>1.7955486025590182</v>
      </c>
      <c r="P21" s="23">
        <f>MIN(P9:P14)</f>
        <v>-1368.2650904066866</v>
      </c>
      <c r="Q21" s="23">
        <f>MIN(Q9:Q14)</f>
        <v>-289.49376471792772</v>
      </c>
    </row>
    <row r="23" spans="2:17" x14ac:dyDescent="0.3">
      <c r="B23" s="19" t="s">
        <v>32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0" t="s">
        <v>23</v>
      </c>
      <c r="P23" s="5" t="s">
        <v>24</v>
      </c>
      <c r="Q23" s="10" t="s">
        <v>25</v>
      </c>
    </row>
    <row r="24" spans="2:17" ht="3.75" customHeight="1" x14ac:dyDescent="0.3"/>
    <row r="25" spans="2:17" x14ac:dyDescent="0.3">
      <c r="B25" s="26" t="s">
        <v>33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f>O$19*K9</f>
        <v>683878.32497717976</v>
      </c>
      <c r="P25" s="27">
        <f>P$19*L9</f>
        <v>295492.93672512227</v>
      </c>
      <c r="Q25" s="27">
        <f>+Q27+Q26</f>
        <v>236918.19278766462</v>
      </c>
    </row>
    <row r="26" spans="2:17" x14ac:dyDescent="0.3">
      <c r="B26" s="26" t="s">
        <v>6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f>$G$9</f>
        <v>83379</v>
      </c>
      <c r="P26" s="27">
        <f>$G$9</f>
        <v>83379</v>
      </c>
      <c r="Q26" s="27">
        <f>$G$9</f>
        <v>83379</v>
      </c>
    </row>
    <row r="27" spans="2:17" x14ac:dyDescent="0.3">
      <c r="B27" s="26" t="s">
        <v>34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f>O25-O26</f>
        <v>600499.32497717976</v>
      </c>
      <c r="P27" s="27">
        <f t="shared" ref="P27" si="1">P25-P26</f>
        <v>212113.93672512227</v>
      </c>
      <c r="Q27" s="27">
        <f>Q19*M9</f>
        <v>153539.19278766462</v>
      </c>
    </row>
    <row r="28" spans="2:17" x14ac:dyDescent="0.3">
      <c r="B28" s="26" t="s">
        <v>4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8">
        <f>$E$9</f>
        <v>371.72</v>
      </c>
      <c r="P28" s="28">
        <f t="shared" ref="P28:Q28" si="2">$E$9</f>
        <v>371.72</v>
      </c>
      <c r="Q28" s="28">
        <f t="shared" si="2"/>
        <v>371.72</v>
      </c>
    </row>
    <row r="29" spans="2:17" ht="5.25" customHeight="1" x14ac:dyDescent="0.3">
      <c r="O29" s="6"/>
      <c r="P29" s="6"/>
      <c r="Q29" s="6"/>
    </row>
    <row r="30" spans="2:17" x14ac:dyDescent="0.3">
      <c r="B30" s="20" t="s">
        <v>35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1">
        <f>O27/O28</f>
        <v>1615.4614359657262</v>
      </c>
      <c r="P30" s="21">
        <f t="shared" ref="P30:Q30" si="3">P27/P28</f>
        <v>570.62825977919476</v>
      </c>
      <c r="Q30" s="21">
        <f t="shared" si="3"/>
        <v>413.05066390741581</v>
      </c>
    </row>
    <row r="31" spans="2:17" ht="3.75" customHeight="1" x14ac:dyDescent="0.3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1"/>
      <c r="P31" s="31"/>
      <c r="Q31" s="31"/>
    </row>
    <row r="32" spans="2:17" x14ac:dyDescent="0.3">
      <c r="B32" s="29" t="s">
        <v>42</v>
      </c>
    </row>
    <row r="33" spans="15:17" x14ac:dyDescent="0.3">
      <c r="O33" t="str">
        <f>IF(O30&gt;$D$9,"Undervalued","Overvalued")</f>
        <v>Undervalued</v>
      </c>
      <c r="P33" t="str">
        <f t="shared" ref="P33:Q33" si="4">IF(P30&gt;$D$9,"Undervalued","Overvalued")</f>
        <v>Undervalued</v>
      </c>
      <c r="Q33" t="str">
        <f t="shared" si="4"/>
        <v>Overvalued</v>
      </c>
    </row>
  </sheetData>
  <mergeCells count="3">
    <mergeCell ref="D6:I6"/>
    <mergeCell ref="K6:M6"/>
    <mergeCell ref="O6:Q6"/>
  </mergeCells>
  <pageMargins left="0.7" right="0.7" top="0.75" bottom="0.75" header="0.3" footer="0.3"/>
  <pageSetup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D227-09B8-4C6A-A2A8-7BFD19104EF2}">
  <dimension ref="B2:Q38"/>
  <sheetViews>
    <sheetView tabSelected="1" topLeftCell="B1" workbookViewId="0">
      <selection activeCell="H12" sqref="H12"/>
    </sheetView>
  </sheetViews>
  <sheetFormatPr defaultRowHeight="14.4" x14ac:dyDescent="0.3"/>
  <cols>
    <col min="2" max="2" width="5.77734375" bestFit="1" customWidth="1"/>
    <col min="3" max="3" width="17.77734375" bestFit="1" customWidth="1"/>
    <col min="4" max="4" width="8.21875" bestFit="1" customWidth="1"/>
    <col min="5" max="5" width="16.5546875" bestFit="1" customWidth="1"/>
    <col min="6" max="7" width="16.5546875" customWidth="1"/>
    <col min="8" max="8" width="17.6640625" customWidth="1"/>
    <col min="9" max="10" width="10.77734375" customWidth="1"/>
    <col min="11" max="11" width="14.5546875" bestFit="1" customWidth="1"/>
    <col min="12" max="14" width="14.5546875" customWidth="1"/>
    <col min="15" max="15" width="11" bestFit="1" customWidth="1"/>
    <col min="16" max="16" width="14.77734375" customWidth="1"/>
    <col min="17" max="17" width="13.21875" bestFit="1" customWidth="1"/>
  </cols>
  <sheetData>
    <row r="2" spans="2:17" x14ac:dyDescent="0.3">
      <c r="B2" t="s">
        <v>14</v>
      </c>
      <c r="C2" t="s">
        <v>15</v>
      </c>
      <c r="D2" t="s">
        <v>16</v>
      </c>
      <c r="E2" t="s">
        <v>17</v>
      </c>
      <c r="F2" t="s">
        <v>39</v>
      </c>
      <c r="G2" t="s">
        <v>18</v>
      </c>
      <c r="H2" t="s">
        <v>19</v>
      </c>
      <c r="I2" t="s">
        <v>41</v>
      </c>
      <c r="J2" t="s">
        <v>22</v>
      </c>
      <c r="K2" t="s">
        <v>37</v>
      </c>
      <c r="L2" t="s">
        <v>20</v>
      </c>
      <c r="M2" t="s">
        <v>40</v>
      </c>
      <c r="N2" t="s">
        <v>21</v>
      </c>
      <c r="O2" t="s">
        <v>38</v>
      </c>
    </row>
    <row r="3" spans="2:17" x14ac:dyDescent="0.3">
      <c r="B3">
        <v>1</v>
      </c>
      <c r="C3" t="s">
        <v>44</v>
      </c>
      <c r="D3" s="6">
        <v>469.95</v>
      </c>
      <c r="E3" s="6">
        <v>371.72</v>
      </c>
      <c r="F3" s="6">
        <v>174690.1</v>
      </c>
      <c r="G3" s="6">
        <v>87706</v>
      </c>
      <c r="H3" s="6">
        <v>4327</v>
      </c>
      <c r="I3" s="6">
        <v>83379</v>
      </c>
      <c r="J3" s="6">
        <v>258069.09999999998</v>
      </c>
      <c r="K3" s="6">
        <v>258069.09999999998</v>
      </c>
      <c r="L3" s="6">
        <v>143727</v>
      </c>
      <c r="M3" s="6">
        <v>37840.04398826979</v>
      </c>
      <c r="N3" s="6">
        <v>14503</v>
      </c>
      <c r="O3" s="6">
        <v>6.82</v>
      </c>
      <c r="Q3" s="6"/>
    </row>
    <row r="4" spans="2:17" x14ac:dyDescent="0.3">
      <c r="B4">
        <v>2</v>
      </c>
      <c r="C4" t="s">
        <v>43</v>
      </c>
      <c r="D4" s="6">
        <v>483.15</v>
      </c>
      <c r="E4" s="6">
        <v>616.27</v>
      </c>
      <c r="F4" s="6">
        <v>297596.56</v>
      </c>
      <c r="G4" s="6">
        <v>6523.03</v>
      </c>
      <c r="H4" s="6">
        <v>30235.17</v>
      </c>
      <c r="I4" s="6">
        <v>-23712.14</v>
      </c>
      <c r="J4" s="6">
        <v>273884.42000000004</v>
      </c>
      <c r="K4" s="6">
        <v>273884.42000000004</v>
      </c>
      <c r="L4" s="6">
        <v>142323.98000000001</v>
      </c>
      <c r="M4" s="6">
        <v>56354.818930041154</v>
      </c>
      <c r="N4" s="6">
        <v>28124.94</v>
      </c>
      <c r="O4" s="6">
        <v>4.8600000000000003</v>
      </c>
      <c r="Q4" s="6"/>
    </row>
    <row r="5" spans="2:17" x14ac:dyDescent="0.3">
      <c r="B5">
        <v>3</v>
      </c>
      <c r="C5" t="s">
        <v>45</v>
      </c>
      <c r="D5" s="6">
        <v>273.25</v>
      </c>
      <c r="E5" s="6">
        <v>293.06</v>
      </c>
      <c r="F5" s="6">
        <v>80078.81</v>
      </c>
      <c r="G5" s="6">
        <v>3358.78</v>
      </c>
      <c r="H5" s="6">
        <v>12363.65</v>
      </c>
      <c r="I5" s="6">
        <v>-9004.869999999999</v>
      </c>
      <c r="J5" s="6">
        <v>71073.94</v>
      </c>
      <c r="K5" s="6">
        <v>71073.94</v>
      </c>
      <c r="L5" s="6">
        <v>21307.85</v>
      </c>
      <c r="M5" s="6">
        <v>8667.5536585365862</v>
      </c>
      <c r="N5" s="6">
        <v>5601.46</v>
      </c>
      <c r="O5" s="6">
        <v>8.1999999999999993</v>
      </c>
      <c r="Q5" s="6"/>
    </row>
    <row r="6" spans="2:17" x14ac:dyDescent="0.3">
      <c r="B6">
        <v>4</v>
      </c>
      <c r="C6" t="s">
        <v>46</v>
      </c>
      <c r="D6" s="6">
        <v>735.2</v>
      </c>
      <c r="E6" s="6">
        <v>50.53</v>
      </c>
      <c r="F6" s="6">
        <v>37076.42</v>
      </c>
      <c r="G6" s="6">
        <v>32.200000000000003</v>
      </c>
      <c r="H6" s="6">
        <v>286.95</v>
      </c>
      <c r="I6" s="6">
        <v>-254.75</v>
      </c>
      <c r="J6" s="6">
        <v>36821.67</v>
      </c>
      <c r="K6" s="6">
        <v>36821.67</v>
      </c>
      <c r="L6" s="6">
        <v>6521.65</v>
      </c>
      <c r="M6" s="6">
        <v>1781.4063860667632</v>
      </c>
      <c r="N6" s="6">
        <v>-288.54000000000002</v>
      </c>
      <c r="O6" s="6">
        <v>20.67</v>
      </c>
      <c r="Q6" s="6"/>
    </row>
    <row r="7" spans="2:17" x14ac:dyDescent="0.3">
      <c r="B7">
        <v>5</v>
      </c>
      <c r="C7" t="s">
        <v>47</v>
      </c>
      <c r="D7" s="6">
        <v>465.2</v>
      </c>
      <c r="E7" s="6">
        <v>60.78</v>
      </c>
      <c r="F7" s="6">
        <v>28288.2</v>
      </c>
      <c r="G7" s="6">
        <v>179.51</v>
      </c>
      <c r="H7" s="6">
        <v>456.95</v>
      </c>
      <c r="I7" s="6">
        <v>-277.44</v>
      </c>
      <c r="J7" s="6">
        <v>28010.76</v>
      </c>
      <c r="K7" s="6">
        <v>28010.76</v>
      </c>
      <c r="L7" s="6">
        <v>1854.34</v>
      </c>
      <c r="M7" s="6">
        <v>-22.01999905664827</v>
      </c>
      <c r="N7" s="6">
        <v>-97.67</v>
      </c>
      <c r="O7" s="6">
        <v>-1272.06</v>
      </c>
      <c r="Q7" s="6"/>
    </row>
    <row r="8" spans="2:17" x14ac:dyDescent="0.3">
      <c r="B8">
        <v>6</v>
      </c>
      <c r="C8" t="s">
        <v>48</v>
      </c>
      <c r="D8">
        <v>403.7</v>
      </c>
      <c r="E8">
        <v>31.8</v>
      </c>
      <c r="F8">
        <v>12818.29</v>
      </c>
      <c r="G8">
        <v>2.98</v>
      </c>
      <c r="H8">
        <v>510.39</v>
      </c>
      <c r="I8" s="6">
        <v>-507.40999999999997</v>
      </c>
      <c r="J8" s="6">
        <v>12310.880000000001</v>
      </c>
      <c r="K8">
        <v>1020.78</v>
      </c>
      <c r="L8">
        <v>2462.88</v>
      </c>
      <c r="M8" s="6">
        <v>74.618421052631575</v>
      </c>
      <c r="N8">
        <v>1215.73</v>
      </c>
      <c r="O8">
        <v>13.68</v>
      </c>
      <c r="Q8" s="6"/>
    </row>
    <row r="9" spans="2:17" x14ac:dyDescent="0.3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6"/>
    </row>
    <row r="10" spans="2:17" x14ac:dyDescent="0.3">
      <c r="D10" s="6"/>
      <c r="E10" s="6"/>
      <c r="F10" s="6"/>
      <c r="G10" s="6"/>
      <c r="I10" s="6"/>
      <c r="J10" s="6"/>
      <c r="M10" s="35"/>
      <c r="O10" s="6"/>
      <c r="P10" s="7"/>
      <c r="Q10" s="6"/>
    </row>
    <row r="11" spans="2:17" x14ac:dyDescent="0.3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6"/>
    </row>
    <row r="12" spans="2:17" x14ac:dyDescent="0.3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6"/>
    </row>
    <row r="13" spans="2:17" x14ac:dyDescent="0.3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6"/>
    </row>
    <row r="14" spans="2:17" x14ac:dyDescent="0.3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6"/>
    </row>
    <row r="15" spans="2:17" x14ac:dyDescent="0.3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6"/>
    </row>
    <row r="16" spans="2:17" x14ac:dyDescent="0.3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6"/>
    </row>
    <row r="17" spans="4:17" x14ac:dyDescent="0.3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6"/>
    </row>
    <row r="18" spans="4:17" x14ac:dyDescent="0.3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6"/>
    </row>
    <row r="19" spans="4:17" x14ac:dyDescent="0.3">
      <c r="D19" s="6"/>
      <c r="E19" s="6"/>
      <c r="F19" s="6"/>
      <c r="G19" s="6"/>
      <c r="I19" s="6"/>
      <c r="J19" s="6"/>
      <c r="K19" s="6"/>
      <c r="L19" s="6"/>
      <c r="M19" s="6"/>
      <c r="N19" s="6"/>
      <c r="O19" s="6"/>
      <c r="P19" s="7"/>
      <c r="Q19" s="6"/>
    </row>
    <row r="20" spans="4:17" x14ac:dyDescent="0.3">
      <c r="D20" s="6"/>
      <c r="E20" s="6"/>
      <c r="F20" s="6"/>
      <c r="G20" s="6"/>
      <c r="I20" s="6"/>
      <c r="J20" s="6"/>
      <c r="K20" s="6"/>
      <c r="L20" s="6"/>
      <c r="M20" s="6"/>
      <c r="N20" s="6"/>
      <c r="O20" s="6"/>
      <c r="P20" s="7"/>
      <c r="Q20" s="6"/>
    </row>
    <row r="21" spans="4:17" x14ac:dyDescent="0.3">
      <c r="D21" s="6"/>
      <c r="E21" s="6"/>
      <c r="F21" s="6"/>
      <c r="G21" s="6"/>
      <c r="I21" s="6"/>
      <c r="J21" s="6"/>
      <c r="K21" s="6"/>
      <c r="L21" s="6"/>
      <c r="M21" s="6"/>
      <c r="N21" s="6"/>
      <c r="O21" s="6"/>
      <c r="P21" s="7"/>
      <c r="Q21" s="6"/>
    </row>
    <row r="22" spans="4:17" x14ac:dyDescent="0.3">
      <c r="D22" s="6"/>
      <c r="E22" s="6"/>
      <c r="F22" s="6"/>
      <c r="G22" s="6"/>
      <c r="I22" s="6"/>
      <c r="J22" s="6"/>
      <c r="K22" s="6"/>
      <c r="L22" s="6"/>
      <c r="M22" s="6"/>
      <c r="N22" s="6"/>
      <c r="O22" s="6"/>
      <c r="P22" s="7"/>
      <c r="Q22" s="6"/>
    </row>
    <row r="23" spans="4:17" x14ac:dyDescent="0.3">
      <c r="D23" s="6"/>
      <c r="E23" s="6"/>
      <c r="F23" s="6"/>
      <c r="G23" s="6"/>
      <c r="I23" s="6"/>
      <c r="J23" s="6"/>
      <c r="K23" s="6"/>
      <c r="L23" s="6"/>
      <c r="M23" s="6"/>
      <c r="N23" s="6"/>
      <c r="O23" s="6"/>
      <c r="P23" s="7"/>
      <c r="Q23" s="6"/>
    </row>
    <row r="24" spans="4:17" x14ac:dyDescent="0.3">
      <c r="D24" s="6"/>
      <c r="E24" s="6"/>
      <c r="F24" s="6"/>
      <c r="G24" s="6"/>
      <c r="I24" s="6"/>
      <c r="J24" s="6"/>
      <c r="K24" s="6"/>
      <c r="L24" s="6"/>
      <c r="M24" s="6"/>
      <c r="N24" s="6"/>
      <c r="O24" s="6"/>
      <c r="P24" s="7"/>
      <c r="Q24" s="6"/>
    </row>
    <row r="25" spans="4:17" x14ac:dyDescent="0.3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6"/>
    </row>
    <row r="26" spans="4:17" x14ac:dyDescent="0.3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7"/>
      <c r="Q26" s="6"/>
    </row>
    <row r="27" spans="4:17" x14ac:dyDescent="0.3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7"/>
      <c r="Q27" s="6"/>
    </row>
    <row r="28" spans="4:17" x14ac:dyDescent="0.3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7"/>
      <c r="Q28" s="6"/>
    </row>
    <row r="29" spans="4:17" x14ac:dyDescent="0.3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7"/>
      <c r="Q29" s="6"/>
    </row>
    <row r="30" spans="4:17" x14ac:dyDescent="0.3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7"/>
      <c r="Q30" s="6"/>
    </row>
    <row r="31" spans="4:17" x14ac:dyDescent="0.3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7"/>
      <c r="Q31" s="6"/>
    </row>
    <row r="32" spans="4:17" x14ac:dyDescent="0.3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7"/>
      <c r="Q32" s="6"/>
    </row>
    <row r="33" spans="4:17" x14ac:dyDescent="0.3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7"/>
      <c r="Q33" s="6"/>
    </row>
    <row r="34" spans="4:17" x14ac:dyDescent="0.3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  <c r="Q34" s="6"/>
    </row>
    <row r="35" spans="4:17" x14ac:dyDescent="0.3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7"/>
      <c r="Q35" s="6"/>
    </row>
    <row r="36" spans="4:17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7"/>
      <c r="Q36" s="6"/>
    </row>
    <row r="37" spans="4:17" x14ac:dyDescent="0.3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7"/>
      <c r="Q37" s="6"/>
    </row>
    <row r="38" spans="4:17" x14ac:dyDescent="0.3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  <c r="Q3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Comps_Val</vt:lpstr>
      <vt:lpstr>Data</vt:lpstr>
      <vt:lpstr>Comps_Val!Print_Area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Vansh Agrawal</cp:lastModifiedBy>
  <cp:lastPrinted>2023-04-09T06:00:39Z</cp:lastPrinted>
  <dcterms:created xsi:type="dcterms:W3CDTF">2023-04-08T18:53:32Z</dcterms:created>
  <dcterms:modified xsi:type="dcterms:W3CDTF">2024-06-21T02:12:37Z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{89A3494C-2A4D-4112-9138-3EECEDB1C7E6}</vt:lpwstr>
  </property>
</Properties>
</file>