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7ec3d38628237/Desktop/Finance Club/"/>
    </mc:Choice>
  </mc:AlternateContent>
  <xr:revisionPtr revIDLastSave="4" documentId="8_{962842DA-B6CC-4826-AB21-EA297EACDD45}" xr6:coauthVersionLast="47" xr6:coauthVersionMax="47" xr10:uidLastSave="{FDCE0940-FFB5-484A-A9FB-E533F116FF7C}"/>
  <bookViews>
    <workbookView xWindow="-108" yWindow="-108" windowWidth="23256" windowHeight="12456" tabRatio="674" activeTab="8" xr2:uid="{5ECF019B-D745-4453-A5C5-3DCD8AB4A758}"/>
  </bookViews>
  <sheets>
    <sheet name="DCF&gt;" sheetId="5" r:id="rId1"/>
    <sheet name="WACC" sheetId="1" r:id="rId2"/>
    <sheet name="Data&gt;" sheetId="6" r:id="rId3"/>
    <sheet name="Intrisic Growth" sheetId="14" r:id="rId4"/>
    <sheet name="DCF" sheetId="15" r:id="rId5"/>
    <sheet name="HistoricalFS" sheetId="10" r:id="rId6"/>
    <sheet name="Data Room&gt;" sheetId="12" r:id="rId7"/>
    <sheet name="Data Sheet" sheetId="11" r:id="rId8"/>
    <sheet name="Raw FS" sheetId="13" r:id="rId9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"01/26/2023 09:21:20"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" i="15" l="1"/>
  <c r="E37" i="15"/>
  <c r="O79" i="13"/>
  <c r="J14" i="1" l="1"/>
  <c r="J11" i="1"/>
  <c r="H11" i="1"/>
  <c r="H12" i="1"/>
  <c r="H13" i="1"/>
  <c r="H14" i="1"/>
  <c r="H10" i="1"/>
  <c r="G11" i="1"/>
  <c r="G12" i="1"/>
  <c r="J12" i="1" s="1"/>
  <c r="G13" i="1"/>
  <c r="J13" i="1" s="1"/>
  <c r="G14" i="1"/>
  <c r="G10" i="1"/>
  <c r="J10" i="1" s="1"/>
  <c r="C9" i="10" l="1"/>
  <c r="D9" i="10"/>
  <c r="E9" i="10"/>
  <c r="F9" i="10"/>
  <c r="G9" i="10"/>
  <c r="H9" i="10"/>
  <c r="I9" i="10"/>
  <c r="J9" i="10"/>
  <c r="K9" i="10"/>
  <c r="L9" i="10"/>
  <c r="M9" i="10"/>
  <c r="C15" i="10"/>
  <c r="D15" i="10"/>
  <c r="E15" i="10"/>
  <c r="F15" i="10"/>
  <c r="G15" i="10"/>
  <c r="H15" i="10"/>
  <c r="I15" i="10"/>
  <c r="J15" i="10"/>
  <c r="K15" i="10"/>
  <c r="L15" i="10"/>
  <c r="C21" i="10"/>
  <c r="D21" i="10"/>
  <c r="E21" i="10"/>
  <c r="F21" i="10"/>
  <c r="G21" i="10"/>
  <c r="H21" i="10"/>
  <c r="I21" i="10"/>
  <c r="J21" i="10"/>
  <c r="K21" i="10"/>
  <c r="L21" i="10"/>
  <c r="M21" i="10"/>
  <c r="C24" i="10"/>
  <c r="D24" i="10"/>
  <c r="E24" i="10"/>
  <c r="F24" i="10"/>
  <c r="G24" i="10"/>
  <c r="H24" i="10"/>
  <c r="I24" i="10"/>
  <c r="J24" i="10"/>
  <c r="K24" i="10"/>
  <c r="L24" i="10"/>
  <c r="M24" i="10"/>
  <c r="C30" i="10"/>
  <c r="D30" i="10"/>
  <c r="E30" i="10"/>
  <c r="F30" i="10"/>
  <c r="G30" i="10"/>
  <c r="H30" i="10"/>
  <c r="I30" i="10"/>
  <c r="J30" i="10"/>
  <c r="K30" i="10"/>
  <c r="L30" i="10"/>
  <c r="M30" i="10"/>
  <c r="C36" i="10"/>
  <c r="C41" i="10" s="1"/>
  <c r="D36" i="10"/>
  <c r="D41" i="10" s="1"/>
  <c r="E36" i="10"/>
  <c r="E41" i="10" s="1"/>
  <c r="F36" i="10"/>
  <c r="F41" i="10" s="1"/>
  <c r="G36" i="10"/>
  <c r="G41" i="10" s="1"/>
  <c r="H36" i="10"/>
  <c r="H41" i="10" s="1"/>
  <c r="I36" i="10"/>
  <c r="I41" i="10" s="1"/>
  <c r="J36" i="10"/>
  <c r="J41" i="10" s="1"/>
  <c r="K36" i="10"/>
  <c r="K41" i="10" s="1"/>
  <c r="L36" i="10"/>
  <c r="M36" i="10" s="1"/>
  <c r="M41" i="10" s="1"/>
  <c r="C47" i="10"/>
  <c r="D47" i="10"/>
  <c r="E47" i="10"/>
  <c r="F47" i="10"/>
  <c r="G47" i="10"/>
  <c r="H47" i="10"/>
  <c r="I47" i="10"/>
  <c r="J47" i="10"/>
  <c r="K47" i="10"/>
  <c r="L47" i="10"/>
  <c r="C48" i="10"/>
  <c r="D48" i="10"/>
  <c r="E48" i="10"/>
  <c r="F48" i="10"/>
  <c r="G48" i="10"/>
  <c r="H48" i="10"/>
  <c r="I48" i="10"/>
  <c r="J48" i="10"/>
  <c r="K48" i="10"/>
  <c r="L48" i="10"/>
  <c r="C49" i="10"/>
  <c r="D49" i="10"/>
  <c r="E49" i="10"/>
  <c r="F49" i="10"/>
  <c r="G49" i="10"/>
  <c r="H49" i="10"/>
  <c r="I49" i="10"/>
  <c r="J49" i="10"/>
  <c r="K49" i="10"/>
  <c r="L49" i="10"/>
  <c r="C50" i="10"/>
  <c r="D50" i="10"/>
  <c r="E50" i="10"/>
  <c r="F50" i="10"/>
  <c r="G50" i="10"/>
  <c r="H50" i="10"/>
  <c r="I50" i="10"/>
  <c r="J50" i="10"/>
  <c r="K50" i="10"/>
  <c r="L50" i="10"/>
  <c r="C51" i="10"/>
  <c r="D51" i="10"/>
  <c r="E51" i="10"/>
  <c r="F51" i="10"/>
  <c r="G51" i="10"/>
  <c r="H51" i="10"/>
  <c r="I51" i="10"/>
  <c r="J51" i="10"/>
  <c r="K51" i="10"/>
  <c r="L51" i="10"/>
  <c r="C53" i="10"/>
  <c r="D53" i="10"/>
  <c r="E53" i="10"/>
  <c r="F53" i="10"/>
  <c r="G53" i="10"/>
  <c r="H53" i="10"/>
  <c r="I53" i="10"/>
  <c r="J53" i="10"/>
  <c r="K53" i="10"/>
  <c r="L53" i="10"/>
  <c r="C54" i="10"/>
  <c r="D54" i="10"/>
  <c r="E54" i="10"/>
  <c r="F54" i="10"/>
  <c r="G54" i="10"/>
  <c r="H54" i="10"/>
  <c r="I54" i="10"/>
  <c r="J54" i="10"/>
  <c r="K54" i="10"/>
  <c r="L54" i="10"/>
  <c r="C55" i="10"/>
  <c r="D55" i="10"/>
  <c r="E55" i="10"/>
  <c r="F55" i="10"/>
  <c r="G55" i="10"/>
  <c r="H55" i="10"/>
  <c r="I55" i="10"/>
  <c r="J55" i="10"/>
  <c r="K55" i="10"/>
  <c r="L55" i="10"/>
  <c r="C56" i="10"/>
  <c r="D56" i="10"/>
  <c r="E56" i="10"/>
  <c r="F56" i="10"/>
  <c r="G56" i="10"/>
  <c r="H56" i="10"/>
  <c r="I56" i="10"/>
  <c r="J56" i="10"/>
  <c r="K56" i="10"/>
  <c r="L56" i="10"/>
  <c r="C59" i="10"/>
  <c r="D59" i="10"/>
  <c r="E59" i="10"/>
  <c r="F59" i="10"/>
  <c r="G59" i="10"/>
  <c r="H59" i="10"/>
  <c r="I59" i="10"/>
  <c r="J59" i="10"/>
  <c r="K59" i="10"/>
  <c r="L59" i="10"/>
  <c r="C60" i="10"/>
  <c r="D60" i="10"/>
  <c r="E60" i="10"/>
  <c r="F60" i="10"/>
  <c r="G60" i="10"/>
  <c r="H60" i="10"/>
  <c r="I60" i="10"/>
  <c r="J60" i="10"/>
  <c r="K60" i="10"/>
  <c r="L60" i="10"/>
  <c r="C61" i="10"/>
  <c r="D61" i="10"/>
  <c r="E61" i="10"/>
  <c r="F61" i="10"/>
  <c r="G61" i="10"/>
  <c r="H61" i="10"/>
  <c r="I61" i="10"/>
  <c r="J61" i="10"/>
  <c r="K61" i="10"/>
  <c r="L61" i="10"/>
  <c r="C70" i="10"/>
  <c r="D70" i="10"/>
  <c r="E70" i="10"/>
  <c r="F70" i="10"/>
  <c r="G70" i="10"/>
  <c r="H70" i="10"/>
  <c r="I70" i="10"/>
  <c r="J70" i="10"/>
  <c r="K70" i="10"/>
  <c r="L70" i="10"/>
  <c r="C72" i="10"/>
  <c r="D72" i="10"/>
  <c r="E72" i="10"/>
  <c r="F72" i="10"/>
  <c r="G72" i="10"/>
  <c r="H72" i="10"/>
  <c r="I72" i="10"/>
  <c r="J72" i="10"/>
  <c r="K72" i="10"/>
  <c r="L72" i="10"/>
  <c r="C74" i="10"/>
  <c r="D74" i="10"/>
  <c r="E74" i="10"/>
  <c r="F74" i="10"/>
  <c r="G74" i="10"/>
  <c r="H74" i="10"/>
  <c r="I74" i="10"/>
  <c r="J74" i="10"/>
  <c r="K74" i="10"/>
  <c r="L74" i="10"/>
  <c r="B2" i="10"/>
  <c r="B32" i="11"/>
  <c r="C32" i="11"/>
  <c r="D32" i="11"/>
  <c r="E32" i="11"/>
  <c r="F32" i="11"/>
  <c r="G32" i="11"/>
  <c r="H32" i="11"/>
  <c r="I32" i="11"/>
  <c r="J32" i="11"/>
  <c r="K32" i="11"/>
  <c r="B34" i="11"/>
  <c r="C34" i="11"/>
  <c r="D34" i="11"/>
  <c r="E34" i="11"/>
  <c r="F34" i="11"/>
  <c r="G34" i="11"/>
  <c r="H34" i="11"/>
  <c r="I34" i="11"/>
  <c r="J34" i="11"/>
  <c r="K34" i="11"/>
  <c r="B51" i="11"/>
  <c r="C51" i="11"/>
  <c r="D51" i="11"/>
  <c r="E51" i="11"/>
  <c r="F51" i="11"/>
  <c r="G51" i="11"/>
  <c r="H51" i="11"/>
  <c r="I51" i="11"/>
  <c r="M18" i="10" s="1"/>
  <c r="J51" i="11"/>
  <c r="K51" i="11"/>
  <c r="H73" i="11"/>
  <c r="I73" i="11"/>
  <c r="J73" i="11"/>
  <c r="K73" i="11"/>
  <c r="I57" i="10" l="1"/>
  <c r="L41" i="10"/>
  <c r="C57" i="10"/>
  <c r="E57" i="10"/>
  <c r="K62" i="10"/>
  <c r="J62" i="10"/>
  <c r="M27" i="10"/>
  <c r="M31" i="10" s="1"/>
  <c r="E76" i="10"/>
  <c r="C76" i="10"/>
  <c r="H57" i="10"/>
  <c r="D76" i="10"/>
  <c r="C62" i="10"/>
  <c r="G76" i="10"/>
  <c r="E62" i="10"/>
  <c r="F76" i="10"/>
  <c r="D62" i="10"/>
  <c r="K57" i="10"/>
  <c r="J57" i="10"/>
  <c r="L62" i="10"/>
  <c r="G62" i="10"/>
  <c r="L57" i="10"/>
  <c r="K76" i="10"/>
  <c r="J76" i="10"/>
  <c r="F57" i="10"/>
  <c r="L76" i="10"/>
  <c r="F62" i="10"/>
  <c r="I76" i="10"/>
  <c r="H76" i="10"/>
  <c r="H62" i="10"/>
  <c r="G57" i="10"/>
  <c r="I62" i="10"/>
  <c r="I64" i="10" s="1"/>
  <c r="I66" i="10" s="1"/>
  <c r="D57" i="10"/>
  <c r="D64" i="10" s="1"/>
  <c r="D66" i="10" s="1"/>
  <c r="C31" i="1"/>
  <c r="C32" i="1"/>
  <c r="G64" i="10" l="1"/>
  <c r="G66" i="10" s="1"/>
  <c r="E64" i="10"/>
  <c r="E66" i="10" s="1"/>
  <c r="C64" i="10"/>
  <c r="C66" i="10" s="1"/>
  <c r="J64" i="10"/>
  <c r="J66" i="10" s="1"/>
  <c r="K64" i="10"/>
  <c r="K66" i="10" s="1"/>
  <c r="M33" i="10"/>
  <c r="M38" i="10" s="1"/>
  <c r="H64" i="10"/>
  <c r="H66" i="10" s="1"/>
  <c r="L64" i="10"/>
  <c r="L66" i="10" s="1"/>
  <c r="F64" i="10"/>
  <c r="F66" i="10" s="1"/>
  <c r="E26" i="15"/>
  <c r="G10" i="15"/>
  <c r="H10" i="15" s="1"/>
  <c r="I10" i="15" s="1"/>
  <c r="J10" i="15" s="1"/>
  <c r="K10" i="15" s="1"/>
  <c r="G6" i="15"/>
  <c r="H6" i="15" s="1"/>
  <c r="I6" i="15" s="1"/>
  <c r="J6" i="15" s="1"/>
  <c r="K6" i="15" s="1"/>
  <c r="F2" i="15"/>
  <c r="G2" i="15" s="1"/>
  <c r="H2" i="15" s="1"/>
  <c r="I2" i="15" s="1"/>
  <c r="J2" i="15" s="1"/>
  <c r="K2" i="15" s="1"/>
  <c r="M42" i="10" l="1"/>
  <c r="M44" i="10" s="1"/>
  <c r="K55" i="14"/>
  <c r="J55" i="14"/>
  <c r="I55" i="14"/>
  <c r="H55" i="14"/>
  <c r="G55" i="14"/>
  <c r="K41" i="14"/>
  <c r="J41" i="14"/>
  <c r="I41" i="14"/>
  <c r="H41" i="14"/>
  <c r="G41" i="14"/>
  <c r="K39" i="14"/>
  <c r="J39" i="14"/>
  <c r="I39" i="14"/>
  <c r="H39" i="14"/>
  <c r="G39" i="14"/>
  <c r="K2" i="14"/>
  <c r="J2" i="14"/>
  <c r="I2" i="14"/>
  <c r="H2" i="14"/>
  <c r="G2" i="14"/>
  <c r="K30" i="14"/>
  <c r="J30" i="14"/>
  <c r="I30" i="14"/>
  <c r="H30" i="14"/>
  <c r="G30" i="14"/>
  <c r="K27" i="14"/>
  <c r="J27" i="14"/>
  <c r="I27" i="14"/>
  <c r="H27" i="14"/>
  <c r="G27" i="14"/>
  <c r="K26" i="14"/>
  <c r="J26" i="14"/>
  <c r="I26" i="14"/>
  <c r="H26" i="14"/>
  <c r="G26" i="14"/>
  <c r="K25" i="14"/>
  <c r="J25" i="14"/>
  <c r="I25" i="14"/>
  <c r="H25" i="14"/>
  <c r="G25" i="14"/>
  <c r="K24" i="14"/>
  <c r="J24" i="14"/>
  <c r="I24" i="14"/>
  <c r="H24" i="14"/>
  <c r="G24" i="14"/>
  <c r="K23" i="14"/>
  <c r="J23" i="14"/>
  <c r="I23" i="14"/>
  <c r="H23" i="14"/>
  <c r="G23" i="14"/>
  <c r="K22" i="14"/>
  <c r="J22" i="14"/>
  <c r="I22" i="14"/>
  <c r="H22" i="14"/>
  <c r="G22" i="14"/>
  <c r="K21" i="14"/>
  <c r="J21" i="14"/>
  <c r="I21" i="14"/>
  <c r="H21" i="14"/>
  <c r="G21" i="14"/>
  <c r="K20" i="14"/>
  <c r="J20" i="14"/>
  <c r="I20" i="14"/>
  <c r="H20" i="14"/>
  <c r="G20" i="14"/>
  <c r="B21" i="14"/>
  <c r="B22" i="14"/>
  <c r="B23" i="14"/>
  <c r="B24" i="14"/>
  <c r="B25" i="14"/>
  <c r="B26" i="14"/>
  <c r="B27" i="14"/>
  <c r="B20" i="14"/>
  <c r="K14" i="14"/>
  <c r="J14" i="14"/>
  <c r="I14" i="14"/>
  <c r="H14" i="14"/>
  <c r="G14" i="14"/>
  <c r="K13" i="14"/>
  <c r="J13" i="14"/>
  <c r="I13" i="14"/>
  <c r="H13" i="14"/>
  <c r="G13" i="14"/>
  <c r="K12" i="14"/>
  <c r="J12" i="14"/>
  <c r="I12" i="14"/>
  <c r="H12" i="14"/>
  <c r="G12" i="14"/>
  <c r="B14" i="14"/>
  <c r="B13" i="14"/>
  <c r="B12" i="14"/>
  <c r="K8" i="14"/>
  <c r="J8" i="14"/>
  <c r="I8" i="14"/>
  <c r="H8" i="14"/>
  <c r="G8" i="14"/>
  <c r="K7" i="14"/>
  <c r="J7" i="14"/>
  <c r="I7" i="14"/>
  <c r="H7" i="14"/>
  <c r="G7" i="14"/>
  <c r="K6" i="14"/>
  <c r="J6" i="14"/>
  <c r="I6" i="14"/>
  <c r="H6" i="14"/>
  <c r="G6" i="14"/>
  <c r="K5" i="14"/>
  <c r="J5" i="14"/>
  <c r="I5" i="14"/>
  <c r="H5" i="14"/>
  <c r="G5" i="14"/>
  <c r="B8" i="14"/>
  <c r="B7" i="14"/>
  <c r="B6" i="14"/>
  <c r="B5" i="14"/>
  <c r="N29" i="13"/>
  <c r="M29" i="13"/>
  <c r="L29" i="13"/>
  <c r="K29" i="13"/>
  <c r="J29" i="13"/>
  <c r="I29" i="13"/>
  <c r="H29" i="13"/>
  <c r="G29" i="13"/>
  <c r="F29" i="13"/>
  <c r="E29" i="13"/>
  <c r="D29" i="13"/>
  <c r="C29" i="13"/>
  <c r="F4" i="15"/>
  <c r="B15" i="11"/>
  <c r="K15" i="11"/>
  <c r="E40" i="15"/>
  <c r="E1" i="11"/>
  <c r="M6" i="10"/>
  <c r="L6" i="10"/>
  <c r="K6" i="10"/>
  <c r="J6" i="10"/>
  <c r="I6" i="10"/>
  <c r="H6" i="10"/>
  <c r="G6" i="10"/>
  <c r="F6" i="10"/>
  <c r="E6" i="10"/>
  <c r="D6" i="10"/>
  <c r="C6" i="10"/>
  <c r="L3" i="10"/>
  <c r="K3" i="10"/>
  <c r="J3" i="10"/>
  <c r="I3" i="10"/>
  <c r="H3" i="10"/>
  <c r="G3" i="10"/>
  <c r="F3" i="10"/>
  <c r="E3" i="10"/>
  <c r="D3" i="10"/>
  <c r="C3" i="10"/>
  <c r="E22" i="10" l="1"/>
  <c r="E12" i="10"/>
  <c r="E25" i="10"/>
  <c r="E16" i="10"/>
  <c r="E10" i="10"/>
  <c r="G25" i="10"/>
  <c r="G22" i="10"/>
  <c r="G12" i="10"/>
  <c r="G16" i="10"/>
  <c r="G10" i="10"/>
  <c r="H10" i="10"/>
  <c r="H25" i="10"/>
  <c r="H16" i="10"/>
  <c r="H22" i="10"/>
  <c r="H12" i="10"/>
  <c r="F22" i="10"/>
  <c r="F10" i="10"/>
  <c r="F16" i="10"/>
  <c r="F25" i="10"/>
  <c r="F12" i="10"/>
  <c r="D10" i="10"/>
  <c r="D22" i="10"/>
  <c r="D25" i="10"/>
  <c r="D12" i="10"/>
  <c r="D16" i="10"/>
  <c r="I12" i="10"/>
  <c r="I16" i="10"/>
  <c r="I22" i="10"/>
  <c r="I10" i="10"/>
  <c r="I25" i="10"/>
  <c r="J25" i="10"/>
  <c r="J10" i="10"/>
  <c r="J22" i="10"/>
  <c r="J12" i="10"/>
  <c r="J16" i="10"/>
  <c r="M16" i="10"/>
  <c r="M22" i="10"/>
  <c r="M19" i="10"/>
  <c r="M12" i="10"/>
  <c r="M13" i="10" s="1"/>
  <c r="M25" i="10"/>
  <c r="M10" i="10"/>
  <c r="M28" i="10"/>
  <c r="M34" i="10"/>
  <c r="C25" i="10"/>
  <c r="C16" i="10"/>
  <c r="C22" i="10"/>
  <c r="C12" i="10"/>
  <c r="C10" i="10"/>
  <c r="K12" i="10"/>
  <c r="K25" i="10"/>
  <c r="K10" i="10"/>
  <c r="K16" i="10"/>
  <c r="K22" i="10"/>
  <c r="L12" i="10"/>
  <c r="L10" i="10"/>
  <c r="L25" i="10"/>
  <c r="L22" i="10"/>
  <c r="L16" i="10"/>
  <c r="K7" i="10"/>
  <c r="I7" i="10"/>
  <c r="G4" i="15"/>
  <c r="F8" i="15"/>
  <c r="F12" i="15" s="1"/>
  <c r="D7" i="10"/>
  <c r="L7" i="10"/>
  <c r="J7" i="10"/>
  <c r="I29" i="14"/>
  <c r="I31" i="14" s="1"/>
  <c r="G29" i="14"/>
  <c r="G31" i="14" s="1"/>
  <c r="H29" i="14"/>
  <c r="H31" i="14" s="1"/>
  <c r="J29" i="14"/>
  <c r="J31" i="14" s="1"/>
  <c r="K29" i="14"/>
  <c r="K31" i="14" s="1"/>
  <c r="H9" i="14"/>
  <c r="G9" i="14"/>
  <c r="I9" i="14"/>
  <c r="I15" i="14"/>
  <c r="G15" i="14"/>
  <c r="J9" i="14"/>
  <c r="K9" i="14"/>
  <c r="J15" i="14"/>
  <c r="H15" i="14"/>
  <c r="K15" i="14"/>
  <c r="E7" i="10"/>
  <c r="M7" i="10"/>
  <c r="F7" i="10"/>
  <c r="G7" i="10"/>
  <c r="H7" i="10"/>
  <c r="K13" i="10" l="1"/>
  <c r="K18" i="10"/>
  <c r="H13" i="10"/>
  <c r="H18" i="10"/>
  <c r="D13" i="10"/>
  <c r="D18" i="10"/>
  <c r="F18" i="10"/>
  <c r="F13" i="10"/>
  <c r="G13" i="10"/>
  <c r="G18" i="10"/>
  <c r="L13" i="10"/>
  <c r="L18" i="10"/>
  <c r="C18" i="10"/>
  <c r="C13" i="10"/>
  <c r="I13" i="10"/>
  <c r="I18" i="10"/>
  <c r="J13" i="10"/>
  <c r="J18" i="10"/>
  <c r="E13" i="10"/>
  <c r="E18" i="10"/>
  <c r="H4" i="15"/>
  <c r="G8" i="15"/>
  <c r="G12" i="15" s="1"/>
  <c r="K17" i="14"/>
  <c r="H17" i="14"/>
  <c r="G17" i="14"/>
  <c r="G33" i="14" s="1"/>
  <c r="J17" i="14"/>
  <c r="I17" i="14"/>
  <c r="E27" i="10" l="1"/>
  <c r="E19" i="10"/>
  <c r="C27" i="10"/>
  <c r="C19" i="10"/>
  <c r="L27" i="10"/>
  <c r="L19" i="10"/>
  <c r="G19" i="10"/>
  <c r="G27" i="10"/>
  <c r="F27" i="10"/>
  <c r="F19" i="10"/>
  <c r="I19" i="10"/>
  <c r="I27" i="10"/>
  <c r="H34" i="14" s="1"/>
  <c r="H44" i="14" s="1"/>
  <c r="H46" i="14" s="1"/>
  <c r="D27" i="10"/>
  <c r="D19" i="10"/>
  <c r="H19" i="10"/>
  <c r="H27" i="10"/>
  <c r="J19" i="10"/>
  <c r="J27" i="10"/>
  <c r="K19" i="10"/>
  <c r="K27" i="10"/>
  <c r="I4" i="15"/>
  <c r="H8" i="15"/>
  <c r="H12" i="15" s="1"/>
  <c r="I42" i="14"/>
  <c r="I48" i="14" s="1"/>
  <c r="I33" i="14"/>
  <c r="J42" i="14"/>
  <c r="J48" i="14" s="1"/>
  <c r="J33" i="14"/>
  <c r="H42" i="14"/>
  <c r="H48" i="14" s="1"/>
  <c r="H33" i="14"/>
  <c r="K42" i="14"/>
  <c r="K48" i="14" s="1"/>
  <c r="K33" i="14"/>
  <c r="H33" i="10" l="1"/>
  <c r="H28" i="10"/>
  <c r="H31" i="10"/>
  <c r="K28" i="10"/>
  <c r="K33" i="10"/>
  <c r="K31" i="10"/>
  <c r="J34" i="14"/>
  <c r="J44" i="14" s="1"/>
  <c r="J46" i="14" s="1"/>
  <c r="J50" i="14" s="1"/>
  <c r="J57" i="14" s="1"/>
  <c r="I28" i="10"/>
  <c r="I33" i="10"/>
  <c r="I31" i="10"/>
  <c r="F33" i="10"/>
  <c r="F31" i="10"/>
  <c r="F28" i="10"/>
  <c r="C31" i="10"/>
  <c r="C33" i="10"/>
  <c r="C28" i="10"/>
  <c r="G28" i="10"/>
  <c r="G33" i="10"/>
  <c r="G31" i="10"/>
  <c r="L28" i="10"/>
  <c r="L33" i="10"/>
  <c r="L31" i="10"/>
  <c r="K34" i="14"/>
  <c r="K44" i="14" s="1"/>
  <c r="K46" i="14" s="1"/>
  <c r="K50" i="14" s="1"/>
  <c r="K57" i="14" s="1"/>
  <c r="J33" i="10"/>
  <c r="J31" i="10"/>
  <c r="J28" i="10"/>
  <c r="I34" i="14"/>
  <c r="I44" i="14" s="1"/>
  <c r="I46" i="14" s="1"/>
  <c r="I50" i="14" s="1"/>
  <c r="I57" i="14" s="1"/>
  <c r="D33" i="10"/>
  <c r="D31" i="10"/>
  <c r="D28" i="10"/>
  <c r="G34" i="14"/>
  <c r="G44" i="14" s="1"/>
  <c r="G46" i="14" s="1"/>
  <c r="E28" i="10"/>
  <c r="E33" i="10"/>
  <c r="E31" i="10"/>
  <c r="J4" i="15"/>
  <c r="I8" i="15"/>
  <c r="I12" i="15" s="1"/>
  <c r="H36" i="14"/>
  <c r="H58" i="14" s="1"/>
  <c r="H50" i="14"/>
  <c r="H57" i="14" s="1"/>
  <c r="I36" i="14" l="1"/>
  <c r="I58" i="14" s="1"/>
  <c r="I60" i="14" s="1"/>
  <c r="G36" i="14"/>
  <c r="H60" i="14"/>
  <c r="J38" i="10"/>
  <c r="J34" i="10"/>
  <c r="I34" i="10"/>
  <c r="I38" i="10"/>
  <c r="K38" i="10"/>
  <c r="K34" i="10"/>
  <c r="L34" i="10"/>
  <c r="L38" i="10"/>
  <c r="F38" i="10"/>
  <c r="F34" i="10"/>
  <c r="J36" i="14"/>
  <c r="J58" i="14" s="1"/>
  <c r="J60" i="14" s="1"/>
  <c r="E34" i="10"/>
  <c r="E38" i="10"/>
  <c r="C38" i="10"/>
  <c r="C34" i="10"/>
  <c r="D38" i="10"/>
  <c r="D34" i="10"/>
  <c r="H34" i="10"/>
  <c r="H38" i="10"/>
  <c r="K36" i="14"/>
  <c r="K58" i="14" s="1"/>
  <c r="K60" i="14" s="1"/>
  <c r="G38" i="10"/>
  <c r="G34" i="10"/>
  <c r="K52" i="14"/>
  <c r="K53" i="14"/>
  <c r="K4" i="15"/>
  <c r="K8" i="15" s="1"/>
  <c r="K12" i="15" s="1"/>
  <c r="J8" i="15"/>
  <c r="J12" i="15" s="1"/>
  <c r="K63" i="14" l="1"/>
  <c r="K62" i="14"/>
  <c r="I39" i="10"/>
  <c r="I42" i="10"/>
  <c r="I44" i="10" s="1"/>
  <c r="E42" i="10"/>
  <c r="E44" i="10" s="1"/>
  <c r="E39" i="10"/>
  <c r="D39" i="10"/>
  <c r="D42" i="10"/>
  <c r="D44" i="10" s="1"/>
  <c r="G42" i="10"/>
  <c r="G44" i="10"/>
  <c r="G39" i="10"/>
  <c r="H39" i="10"/>
  <c r="H42" i="10"/>
  <c r="H44" i="10" s="1"/>
  <c r="F42" i="10"/>
  <c r="F44" i="10" s="1"/>
  <c r="F39" i="10"/>
  <c r="L39" i="10"/>
  <c r="L42" i="10"/>
  <c r="L44" i="10" s="1"/>
  <c r="M39" i="10"/>
  <c r="K42" i="10"/>
  <c r="K44" i="10" s="1"/>
  <c r="K39" i="10"/>
  <c r="J42" i="10"/>
  <c r="J44" i="10" s="1"/>
  <c r="J39" i="10"/>
  <c r="C42" i="10"/>
  <c r="C44" i="10"/>
  <c r="E24" i="15"/>
  <c r="C33" i="1" l="1"/>
  <c r="D33" i="1" s="1"/>
  <c r="E33" i="1" s="1"/>
  <c r="I17" i="1"/>
  <c r="F17" i="1"/>
  <c r="E24" i="1" s="1"/>
  <c r="J40" i="1" s="1"/>
  <c r="I16" i="1"/>
  <c r="F16" i="1"/>
  <c r="J32" i="1" l="1"/>
  <c r="H17" i="1"/>
  <c r="D31" i="1"/>
  <c r="D32" i="1"/>
  <c r="G17" i="1"/>
  <c r="H16" i="1"/>
  <c r="E31" i="1" s="1"/>
  <c r="J41" i="1" s="1"/>
  <c r="J16" i="1"/>
  <c r="J17" i="1"/>
  <c r="J30" i="1" s="1"/>
  <c r="G16" i="1"/>
  <c r="E32" i="1" l="1"/>
  <c r="D35" i="1"/>
  <c r="E35" i="1" l="1"/>
  <c r="J31" i="1" s="1"/>
  <c r="J33" i="1" s="1"/>
  <c r="J25" i="1" s="1"/>
  <c r="J37" i="1" s="1"/>
  <c r="J38" i="1"/>
  <c r="J43" i="1" l="1"/>
  <c r="E25" i="15" s="1"/>
  <c r="F14" i="15" s="1"/>
  <c r="F16" i="15" s="1"/>
  <c r="K14" i="15" l="1"/>
  <c r="K16" i="15" s="1"/>
  <c r="J14" i="15"/>
  <c r="J16" i="15" s="1"/>
  <c r="I14" i="15"/>
  <c r="I16" i="15" s="1"/>
  <c r="E28" i="15"/>
  <c r="H14" i="15"/>
  <c r="H16" i="15" s="1"/>
  <c r="G14" i="15"/>
  <c r="G16" i="15" s="1"/>
  <c r="E33" i="15" l="1"/>
  <c r="K29" i="15"/>
  <c r="E34" i="15"/>
  <c r="E35" i="15" s="1"/>
  <c r="E39" i="15" l="1"/>
  <c r="E41" i="15" s="1"/>
  <c r="E44" i="15" s="1"/>
</calcChain>
</file>

<file path=xl/sharedStrings.xml><?xml version="1.0" encoding="utf-8"?>
<sst xmlns="http://schemas.openxmlformats.org/spreadsheetml/2006/main" count="338" uniqueCount="237">
  <si>
    <t>Weighted Average Cost of Capital</t>
  </si>
  <si>
    <t>Name</t>
  </si>
  <si>
    <t>Country</t>
  </si>
  <si>
    <t>Total Debt</t>
  </si>
  <si>
    <t>Total Equity</t>
  </si>
  <si>
    <t>Average</t>
  </si>
  <si>
    <t>Debt/</t>
  </si>
  <si>
    <t>Equity</t>
  </si>
  <si>
    <t>Levered</t>
  </si>
  <si>
    <r>
      <t xml:space="preserve">Tax Rate </t>
    </r>
    <r>
      <rPr>
        <vertAlign val="superscript"/>
        <sz val="11"/>
        <color theme="1"/>
        <rFont val="Calibri"/>
        <family val="2"/>
      </rPr>
      <t>1</t>
    </r>
  </si>
  <si>
    <r>
      <t xml:space="preserve">Beta </t>
    </r>
    <r>
      <rPr>
        <vertAlign val="superscript"/>
        <sz val="11"/>
        <color theme="1"/>
        <rFont val="Calibri"/>
        <family val="2"/>
      </rPr>
      <t>2</t>
    </r>
  </si>
  <si>
    <t>Unlevered</t>
  </si>
  <si>
    <r>
      <t xml:space="preserve">Beta </t>
    </r>
    <r>
      <rPr>
        <vertAlign val="superscript"/>
        <sz val="11"/>
        <color theme="1"/>
        <rFont val="Calibri"/>
        <family val="2"/>
      </rPr>
      <t>3</t>
    </r>
  </si>
  <si>
    <t>India</t>
  </si>
  <si>
    <t>Capital</t>
  </si>
  <si>
    <t>Median</t>
  </si>
  <si>
    <t>Capital Structure</t>
  </si>
  <si>
    <t>Market Capitalization</t>
  </si>
  <si>
    <t>Total Capitalization</t>
  </si>
  <si>
    <t>Current</t>
  </si>
  <si>
    <t>Target</t>
  </si>
  <si>
    <t>Cost of Equity</t>
  </si>
  <si>
    <t>Risk Free Rate</t>
  </si>
  <si>
    <t>Equity Risk Premium</t>
  </si>
  <si>
    <t>Levered Beta</t>
  </si>
  <si>
    <t>Debt / Equity</t>
  </si>
  <si>
    <r>
      <t xml:space="preserve">Levered Beta </t>
    </r>
    <r>
      <rPr>
        <vertAlign val="superscript"/>
        <sz val="11"/>
        <color theme="1"/>
        <rFont val="Calibri"/>
        <family val="2"/>
      </rPr>
      <t>4</t>
    </r>
  </si>
  <si>
    <t>Cost of Debt</t>
  </si>
  <si>
    <t>Pre-tax Cost of Debt</t>
  </si>
  <si>
    <t>Tax Rate</t>
  </si>
  <si>
    <t>After Tax Cost of Debt</t>
  </si>
  <si>
    <t xml:space="preserve">Levered Beta </t>
  </si>
  <si>
    <t>Comps Median Unlevered Beta</t>
  </si>
  <si>
    <t xml:space="preserve">Target Debt/ Equity  </t>
  </si>
  <si>
    <t xml:space="preserve"> </t>
  </si>
  <si>
    <t>Total</t>
  </si>
  <si>
    <t>Equity Weight</t>
  </si>
  <si>
    <t>Debt Weight</t>
  </si>
  <si>
    <t>WACC</t>
  </si>
  <si>
    <t>Years</t>
  </si>
  <si>
    <t>LTM</t>
  </si>
  <si>
    <t>#</t>
  </si>
  <si>
    <t>Income Statement</t>
  </si>
  <si>
    <t>Sales</t>
  </si>
  <si>
    <t>Sales Growth</t>
  </si>
  <si>
    <t>-</t>
  </si>
  <si>
    <t>COGS</t>
  </si>
  <si>
    <t>COGS % Sales</t>
  </si>
  <si>
    <t>Gross Profit</t>
  </si>
  <si>
    <t>Gross Margins</t>
  </si>
  <si>
    <t>Selling &amp; General Expenses</t>
  </si>
  <si>
    <t>S&amp;G Exp % Sales</t>
  </si>
  <si>
    <t>EBITDA</t>
  </si>
  <si>
    <t>EBITDA Margins</t>
  </si>
  <si>
    <t>Interest</t>
  </si>
  <si>
    <t>Interest % Sales</t>
  </si>
  <si>
    <t>Depreciation</t>
  </si>
  <si>
    <t>Depreciation%Sales</t>
  </si>
  <si>
    <t>Earnings Before Tax</t>
  </si>
  <si>
    <t>EBT % Sales</t>
  </si>
  <si>
    <t>Tax</t>
  </si>
  <si>
    <t>Effective Tax Rate</t>
  </si>
  <si>
    <t>Net Profit</t>
  </si>
  <si>
    <t>Net Margins</t>
  </si>
  <si>
    <t>No of Equity Shares</t>
  </si>
  <si>
    <t>Earnings per Share</t>
  </si>
  <si>
    <t>EPS Growth %</t>
  </si>
  <si>
    <t>Dividend per Share</t>
  </si>
  <si>
    <t>Dividend payout ratio</t>
  </si>
  <si>
    <t>Retained Earnings</t>
  </si>
  <si>
    <t>Balance Sheet</t>
  </si>
  <si>
    <t>Equity Share Capital</t>
  </si>
  <si>
    <t>Reserves</t>
  </si>
  <si>
    <t>Borrowings</t>
  </si>
  <si>
    <t>Other Liabilities</t>
  </si>
  <si>
    <t>Total Liabilities</t>
  </si>
  <si>
    <t>Fixed Assets Net Block</t>
  </si>
  <si>
    <t>Capital Work in Progress</t>
  </si>
  <si>
    <t>Investments</t>
  </si>
  <si>
    <t>Other Assets</t>
  </si>
  <si>
    <t>Total Non Current Assets</t>
  </si>
  <si>
    <t>Receivables</t>
  </si>
  <si>
    <t>Inventory</t>
  </si>
  <si>
    <t>Cash &amp; Bank</t>
  </si>
  <si>
    <t>Total Current Assets</t>
  </si>
  <si>
    <t>Total Assets</t>
  </si>
  <si>
    <t>Check</t>
  </si>
  <si>
    <t>Cash Flow Statements</t>
  </si>
  <si>
    <t>Cash from Operating Activities</t>
  </si>
  <si>
    <t>Cash from Investing Activities</t>
  </si>
  <si>
    <t>Cash from Financing Activities</t>
  </si>
  <si>
    <t>Net Cash Flow</t>
  </si>
  <si>
    <t>COMPANY NAME</t>
  </si>
  <si>
    <t>LATEST VERSION</t>
  </si>
  <si>
    <t>PLEASE DO NOT MAKE ANY CHANGES TO THIS SHEET</t>
  </si>
  <si>
    <t>CURRENT VERSION</t>
  </si>
  <si>
    <t>META</t>
  </si>
  <si>
    <t>Number of shares</t>
  </si>
  <si>
    <t>Face Value</t>
  </si>
  <si>
    <t>Current Price</t>
  </si>
  <si>
    <t>PROFIT &amp; LOSS</t>
  </si>
  <si>
    <t>Report Date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</si>
  <si>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</si>
  <si>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</si>
  <si>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</si>
  <si>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</si>
  <si>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</si>
  <si>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</si>
  <si>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</si>
  <si>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</si>
  <si>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Profit before tax</t>
  </si>
  <si>
    <t>Net profit</t>
  </si>
  <si>
    <t>Dividend Amount</t>
  </si>
  <si>
    <t>Quarters</t>
  </si>
  <si>
    <t>Expenses</t>
  </si>
  <si>
    <t>Operating Profit</t>
  </si>
  <si>
    <t>BALANCE SHEET</t>
  </si>
  <si>
    <t>Net Block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</si>
  <si>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</si>
  <si>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</si>
  <si>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</si>
  <si>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</si>
  <si>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</si>
  <si>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</si>
  <si>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</si>
  <si>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PRICE:</t>
  </si>
  <si>
    <t>DERIVED:</t>
  </si>
  <si>
    <t>Adjusted Equity Shares in Cr</t>
  </si>
  <si>
    <t>Equity Capital</t>
  </si>
  <si>
    <t>Borrowings -</t>
  </si>
  <si>
    <t>Long term Borrowings</t>
  </si>
  <si>
    <t>Short term Borrowings</t>
  </si>
  <si>
    <t>Lease Liabilities</t>
  </si>
  <si>
    <t>Other Borrowings</t>
  </si>
  <si>
    <t>Other Liabilities -</t>
  </si>
  <si>
    <t>Non controlling int</t>
  </si>
  <si>
    <t>Trade Payables</t>
  </si>
  <si>
    <t>Advance from Customers</t>
  </si>
  <si>
    <t>Other liability items</t>
  </si>
  <si>
    <t>Fixed Assets -</t>
  </si>
  <si>
    <t>Land</t>
  </si>
  <si>
    <t>Building</t>
  </si>
  <si>
    <t>Plant Machinery</t>
  </si>
  <si>
    <t>Equipments</t>
  </si>
  <si>
    <t>Furniture n fittings</t>
  </si>
  <si>
    <t>Vehicles</t>
  </si>
  <si>
    <t>Intangible Assets</t>
  </si>
  <si>
    <t>Other fixed assets</t>
  </si>
  <si>
    <t>Gross Block</t>
  </si>
  <si>
    <t>Accumulated Depreciation</t>
  </si>
  <si>
    <t>CWIP</t>
  </si>
  <si>
    <t>Other Assets -</t>
  </si>
  <si>
    <t>Inventories</t>
  </si>
  <si>
    <t>Trade receivables</t>
  </si>
  <si>
    <t>Cash Equivalents</t>
  </si>
  <si>
    <t>Loans n Advances</t>
  </si>
  <si>
    <t>Other asset items</t>
  </si>
  <si>
    <t>Particulars</t>
  </si>
  <si>
    <t>ROIC</t>
  </si>
  <si>
    <t>Calculation of ROIC</t>
  </si>
  <si>
    <t>Current Assets</t>
  </si>
  <si>
    <t>Current Liabilities</t>
  </si>
  <si>
    <t>Total Current Liabilities</t>
  </si>
  <si>
    <t>Net Working Capital</t>
  </si>
  <si>
    <t>Non Current Assets</t>
  </si>
  <si>
    <t>Net Non Current Assets</t>
  </si>
  <si>
    <t>Invested Capital</t>
  </si>
  <si>
    <t>EBIT</t>
  </si>
  <si>
    <t>Calculation of Reinvestment Rate</t>
  </si>
  <si>
    <t>Net Capex</t>
  </si>
  <si>
    <t>Cash from Operating Activity -</t>
  </si>
  <si>
    <t>Profit from operations</t>
  </si>
  <si>
    <t>Payables</t>
  </si>
  <si>
    <t>Other WC items</t>
  </si>
  <si>
    <t>Working capital changes</t>
  </si>
  <si>
    <t>Direct taxes</t>
  </si>
  <si>
    <t>Exceptional CF items</t>
  </si>
  <si>
    <t>Cash from Investing Activity 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</si>
  <si>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</si>
  <si>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</si>
  <si>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</si>
  <si>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</si>
  <si>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</si>
  <si>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</si>
  <si>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Redemp n Canc of Shares</t>
  </si>
  <si>
    <t>Acquisition of companies</t>
  </si>
  <si>
    <t>Other investing items</t>
  </si>
  <si>
    <t>Cash from Financing Activity -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</si>
  <si>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</si>
  <si>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</si>
  <si>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</si>
  <si>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</si>
  <si>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</si>
  <si>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</si>
  <si>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Change in Working Capital</t>
  </si>
  <si>
    <t>Marginal Tax Rate</t>
  </si>
  <si>
    <t>Reinvestment</t>
  </si>
  <si>
    <t>EBIT(1-T)</t>
  </si>
  <si>
    <t>Reinvestment Rate</t>
  </si>
  <si>
    <t>4 Year Average</t>
  </si>
  <si>
    <t>4 Year Median</t>
  </si>
  <si>
    <t>Calculation of Growth Rate</t>
  </si>
  <si>
    <t>Intrinsic Growth</t>
  </si>
  <si>
    <t>EBIT (1-T)</t>
  </si>
  <si>
    <t>Less: Reinvestment Rate</t>
  </si>
  <si>
    <t>Free Cash Flow to Firm</t>
  </si>
  <si>
    <t>Expected Growth</t>
  </si>
  <si>
    <t>Terminal Growth</t>
  </si>
  <si>
    <t>Calculation of Terminal Value</t>
  </si>
  <si>
    <t>FCFF (n+1)</t>
  </si>
  <si>
    <t>Terminal Growth Rate</t>
  </si>
  <si>
    <t>Terminal Value</t>
  </si>
  <si>
    <t>Calculation of PV of FCFF</t>
  </si>
  <si>
    <t>Discounting Factor</t>
  </si>
  <si>
    <t>PV of FCFF</t>
  </si>
  <si>
    <t>Calculation of Enterprise Value</t>
  </si>
  <si>
    <t>PV of Terminal Value</t>
  </si>
  <si>
    <t>Value of Operating Asset</t>
  </si>
  <si>
    <t>Add: Cash</t>
  </si>
  <si>
    <t>Less: Debt</t>
  </si>
  <si>
    <t>Value of Equity</t>
  </si>
  <si>
    <t>No. of Shares</t>
  </si>
  <si>
    <t>Value per Share</t>
  </si>
  <si>
    <t>Share Price</t>
  </si>
  <si>
    <t>Discount/Premium</t>
  </si>
  <si>
    <t>VEDANTA LTD</t>
  </si>
  <si>
    <t>SENSTIVITY ANALYSIS</t>
  </si>
  <si>
    <t>Peer Companies</t>
  </si>
  <si>
    <t>Coal India</t>
  </si>
  <si>
    <t>Vedanta</t>
  </si>
  <si>
    <t>NMDC</t>
  </si>
  <si>
    <t>Lloyds Metals</t>
  </si>
  <si>
    <t>KIOCL</t>
  </si>
  <si>
    <t>Preference Capital</t>
  </si>
  <si>
    <t>Ships Vessels</t>
  </si>
  <si>
    <t>Railway sidings</t>
  </si>
  <si>
    <t>Short term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</si>
</sst>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#,##0.0"/>
    <numFmt numFmtId="165" formatCode="&quot;₹&quot;\ #,##0.0;\(&quot;₹&quot;\ #,##0.0\);\-"/>
    <numFmt numFmtId="166" formatCode="&quot;₹&quot;\ #,##0.00"/>
    <numFmt numFmtId="167" formatCode="&quot;₹&quot;\ #,##0.00;\(&quot;₹&quot;\ #,##0.00\);\-"/>
    <numFmt numFmtId="168" formatCode="[$-409]mmm\-yy;@"/>
    <numFmt numFmtId="169" formatCode="_(* #,##0.00_);_(* \(#,##0.00\);_(* &quot;-&quot;??_);_(@_)"/>
    <numFmt numFmtId="170" formatCode="#,##0.0;\(#,##0.0\);\-"/>
    <numFmt numFmtId="171" formatCode="0.000000000000000%"/>
    <numFmt numFmtId="172" formatCode="0.0"/>
  </numFmts>
  <fonts count="27"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1"/>
      <color rgb="FF3333FF"/>
      <name val="calibri"/>
      <family val="2"/>
    </font>
    <font>
      <i/>
      <sz val="10"/>
      <color theme="1"/>
      <name val="calibri"/>
      <family val="2"/>
    </font>
    <font>
      <i/>
      <sz val="9"/>
      <color theme="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i/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theme="1"/>
      <name val="Arial Narrow"/>
      <family val="2"/>
    </font>
    <font>
      <sz val="11"/>
      <color rgb="FF22222F"/>
      <name val="Arial"/>
      <family val="2"/>
    </font>
    <font>
      <sz val="11"/>
      <color rgb="FF22222F"/>
      <name val="Calibri "/>
    </font>
    <font>
      <sz val="11"/>
      <color rgb="FF22222F"/>
      <name val="Calibri "/>
    </font>
    <font>
      <sz val="11"/>
      <name val="calibri"/>
      <family val="2"/>
    </font>
    <font>
      <sz val="11"/>
      <color rgb="FF0070C0"/>
      <name val="Calibri"/>
      <family val="2"/>
    </font>
    <font>
      <b/>
      <sz val="12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2060"/>
      </top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rgb="FF002060"/>
      </top>
      <bottom style="hair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/>
      <top style="hair">
        <color rgb="FF002060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8">
    <xf numFmtId="0" fontId="0" fillId="0" borderId="0"/>
    <xf numFmtId="9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7" fillId="6" borderId="0" applyNumberFormat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20" fillId="0" borderId="0"/>
  </cellStyleXfs>
  <cellXfs count="1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vertical="top"/>
    </xf>
    <xf numFmtId="2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10" fontId="0" fillId="4" borderId="0" xfId="1" applyNumberFormat="1" applyFont="1" applyFill="1" applyAlignment="1"/>
    <xf numFmtId="0" fontId="1" fillId="0" borderId="4" xfId="0" applyFont="1" applyBorder="1" applyAlignment="1">
      <alignment horizontal="right"/>
    </xf>
    <xf numFmtId="10" fontId="0" fillId="0" borderId="5" xfId="1" applyNumberFormat="1" applyFont="1" applyBorder="1"/>
    <xf numFmtId="10" fontId="0" fillId="4" borderId="5" xfId="1" applyNumberFormat="1" applyFont="1" applyFill="1" applyBorder="1"/>
    <xf numFmtId="10" fontId="0" fillId="0" borderId="0" xfId="1" applyNumberFormat="1" applyFont="1" applyBorder="1"/>
    <xf numFmtId="0" fontId="7" fillId="0" borderId="0" xfId="0" applyFont="1"/>
    <xf numFmtId="0" fontId="8" fillId="0" borderId="0" xfId="0" applyFont="1"/>
    <xf numFmtId="164" fontId="0" fillId="0" borderId="0" xfId="0" applyNumberFormat="1"/>
    <xf numFmtId="0" fontId="0" fillId="5" borderId="0" xfId="0" applyFill="1"/>
    <xf numFmtId="0" fontId="9" fillId="2" borderId="0" xfId="0" applyFont="1" applyFill="1"/>
    <xf numFmtId="0" fontId="10" fillId="2" borderId="0" xfId="0" applyFont="1" applyFill="1"/>
    <xf numFmtId="10" fontId="0" fillId="0" borderId="0" xfId="0" applyNumberFormat="1" applyAlignment="1">
      <alignment horizontal="right"/>
    </xf>
    <xf numFmtId="10" fontId="0" fillId="0" borderId="0" xfId="1" applyNumberFormat="1" applyFont="1" applyFill="1" applyBorder="1"/>
    <xf numFmtId="0" fontId="1" fillId="5" borderId="0" xfId="0" applyFont="1" applyFill="1"/>
    <xf numFmtId="10" fontId="1" fillId="5" borderId="0" xfId="0" applyNumberFormat="1" applyFont="1" applyFill="1"/>
    <xf numFmtId="0" fontId="9" fillId="0" borderId="0" xfId="0" applyFont="1"/>
    <xf numFmtId="17" fontId="9" fillId="0" borderId="0" xfId="0" applyNumberFormat="1" applyFont="1"/>
    <xf numFmtId="17" fontId="9" fillId="0" borderId="0" xfId="0" applyNumberFormat="1" applyFont="1" applyAlignment="1">
      <alignment horizontal="right"/>
    </xf>
    <xf numFmtId="0" fontId="1" fillId="3" borderId="0" xfId="0" applyFont="1" applyFill="1"/>
    <xf numFmtId="0" fontId="1" fillId="0" borderId="6" xfId="0" applyFont="1" applyBorder="1"/>
    <xf numFmtId="166" fontId="1" fillId="0" borderId="6" xfId="0" applyNumberFormat="1" applyFont="1" applyBorder="1"/>
    <xf numFmtId="165" fontId="1" fillId="0" borderId="6" xfId="0" applyNumberFormat="1" applyFont="1" applyBorder="1"/>
    <xf numFmtId="0" fontId="11" fillId="0" borderId="0" xfId="0" applyFont="1"/>
    <xf numFmtId="165" fontId="1" fillId="0" borderId="0" xfId="0" applyNumberFormat="1" applyFont="1"/>
    <xf numFmtId="43" fontId="14" fillId="0" borderId="0" xfId="2" applyFont="1" applyBorder="1"/>
    <xf numFmtId="43" fontId="16" fillId="0" borderId="0" xfId="2" applyFont="1" applyBorder="1"/>
    <xf numFmtId="0" fontId="16" fillId="0" borderId="0" xfId="5" applyFont="1"/>
    <xf numFmtId="168" fontId="18" fillId="7" borderId="0" xfId="2" applyNumberFormat="1" applyFont="1" applyFill="1" applyBorder="1"/>
    <xf numFmtId="168" fontId="18" fillId="7" borderId="0" xfId="5" applyNumberFormat="1" applyFont="1" applyFill="1" applyAlignment="1">
      <alignment horizontal="center"/>
    </xf>
    <xf numFmtId="168" fontId="19" fillId="0" borderId="0" xfId="2" applyNumberFormat="1" applyFont="1" applyFill="1" applyBorder="1"/>
    <xf numFmtId="0" fontId="13" fillId="0" borderId="0" xfId="5"/>
    <xf numFmtId="9" fontId="16" fillId="0" borderId="0" xfId="6" applyFont="1" applyBorder="1"/>
    <xf numFmtId="0" fontId="20" fillId="0" borderId="0" xfId="7"/>
    <xf numFmtId="169" fontId="16" fillId="0" borderId="0" xfId="2" applyNumberFormat="1" applyFont="1" applyBorder="1"/>
    <xf numFmtId="3" fontId="0" fillId="0" borderId="0" xfId="0" applyNumberFormat="1"/>
    <xf numFmtId="17" fontId="9" fillId="2" borderId="0" xfId="0" applyNumberFormat="1" applyFont="1" applyFill="1"/>
    <xf numFmtId="0" fontId="0" fillId="8" borderId="0" xfId="0" applyFill="1"/>
    <xf numFmtId="17" fontId="21" fillId="8" borderId="0" xfId="0" applyNumberFormat="1" applyFont="1" applyFill="1" applyAlignment="1">
      <alignment horizontal="right" vertical="center" wrapText="1" indent="1"/>
    </xf>
    <xf numFmtId="0" fontId="1" fillId="0" borderId="7" xfId="0" applyFont="1" applyBorder="1"/>
    <xf numFmtId="0" fontId="0" fillId="0" borderId="6" xfId="0" applyBorder="1"/>
    <xf numFmtId="170" fontId="0" fillId="0" borderId="6" xfId="0" applyNumberFormat="1" applyBorder="1"/>
    <xf numFmtId="170" fontId="0" fillId="0" borderId="0" xfId="0" applyNumberFormat="1"/>
    <xf numFmtId="170" fontId="1" fillId="0" borderId="0" xfId="0" applyNumberFormat="1" applyFont="1"/>
    <xf numFmtId="0" fontId="1" fillId="0" borderId="1" xfId="0" applyFont="1" applyBorder="1"/>
    <xf numFmtId="170" fontId="0" fillId="0" borderId="1" xfId="0" applyNumberFormat="1" applyBorder="1"/>
    <xf numFmtId="170" fontId="0" fillId="0" borderId="8" xfId="0" applyNumberFormat="1" applyBorder="1"/>
    <xf numFmtId="170" fontId="1" fillId="0" borderId="7" xfId="0" applyNumberFormat="1" applyFont="1" applyBorder="1"/>
    <xf numFmtId="0" fontId="1" fillId="0" borderId="9" xfId="0" applyFont="1" applyBorder="1"/>
    <xf numFmtId="0" fontId="0" fillId="0" borderId="9" xfId="0" applyBorder="1"/>
    <xf numFmtId="10" fontId="1" fillId="0" borderId="9" xfId="1" applyNumberFormat="1" applyFont="1" applyBorder="1"/>
    <xf numFmtId="0" fontId="22" fillId="8" borderId="0" xfId="0" applyFont="1" applyFill="1" applyAlignment="1">
      <alignment horizontal="left" vertical="center" indent="1"/>
    </xf>
    <xf numFmtId="0" fontId="22" fillId="8" borderId="0" xfId="0" applyFont="1" applyFill="1" applyAlignment="1">
      <alignment horizontal="right" vertical="center" wrapText="1" indent="1"/>
    </xf>
    <xf numFmtId="3" fontId="22" fillId="8" borderId="0" xfId="0" applyNumberFormat="1" applyFont="1" applyFill="1" applyAlignment="1">
      <alignment horizontal="right" vertical="center" wrapText="1" indent="1"/>
    </xf>
    <xf numFmtId="0" fontId="22" fillId="8" borderId="0" xfId="0" applyFont="1" applyFill="1" applyAlignment="1">
      <alignment horizontal="left" vertical="center"/>
    </xf>
    <xf numFmtId="0" fontId="23" fillId="8" borderId="0" xfId="0" applyFont="1" applyFill="1" applyAlignment="1">
      <alignment horizontal="left" vertical="center"/>
    </xf>
    <xf numFmtId="0" fontId="23" fillId="8" borderId="0" xfId="0" applyFont="1" applyFill="1" applyAlignment="1">
      <alignment horizontal="right" vertical="center" wrapText="1" indent="1"/>
    </xf>
    <xf numFmtId="3" fontId="23" fillId="8" borderId="0" xfId="0" applyNumberFormat="1" applyFont="1" applyFill="1" applyAlignment="1">
      <alignment horizontal="right" vertical="center" wrapText="1" indent="1"/>
    </xf>
    <xf numFmtId="0" fontId="22" fillId="8" borderId="0" xfId="0" applyFont="1" applyFill="1" applyAlignment="1">
      <alignment vertical="center"/>
    </xf>
    <xf numFmtId="171" fontId="0" fillId="0" borderId="0" xfId="0" applyNumberFormat="1"/>
    <xf numFmtId="170" fontId="1" fillId="0" borderId="1" xfId="0" applyNumberFormat="1" applyFont="1" applyBorder="1"/>
    <xf numFmtId="170" fontId="1" fillId="0" borderId="9" xfId="0" applyNumberFormat="1" applyFont="1" applyBorder="1"/>
    <xf numFmtId="10" fontId="6" fillId="0" borderId="6" xfId="0" applyNumberFormat="1" applyFont="1" applyBorder="1"/>
    <xf numFmtId="170" fontId="24" fillId="0" borderId="6" xfId="0" applyNumberFormat="1" applyFont="1" applyBorder="1"/>
    <xf numFmtId="10" fontId="0" fillId="0" borderId="6" xfId="0" applyNumberFormat="1" applyBorder="1"/>
    <xf numFmtId="10" fontId="1" fillId="0" borderId="9" xfId="0" applyNumberFormat="1" applyFont="1" applyBorder="1"/>
    <xf numFmtId="43" fontId="0" fillId="0" borderId="0" xfId="0" applyNumberFormat="1"/>
    <xf numFmtId="43" fontId="1" fillId="0" borderId="0" xfId="0" applyNumberFormat="1" applyFont="1"/>
    <xf numFmtId="43" fontId="1" fillId="0" borderId="9" xfId="0" applyNumberFormat="1" applyFont="1" applyBorder="1"/>
    <xf numFmtId="10" fontId="0" fillId="5" borderId="0" xfId="0" applyNumberFormat="1" applyFill="1"/>
    <xf numFmtId="172" fontId="0" fillId="0" borderId="0" xfId="0" applyNumberFormat="1"/>
    <xf numFmtId="9" fontId="0" fillId="0" borderId="0" xfId="1" applyFont="1"/>
    <xf numFmtId="9" fontId="1" fillId="0" borderId="0" xfId="0" applyNumberFormat="1" applyFont="1"/>
    <xf numFmtId="10" fontId="1" fillId="0" borderId="0" xfId="0" applyNumberFormat="1" applyFont="1"/>
    <xf numFmtId="0" fontId="25" fillId="0" borderId="0" xfId="0" applyFont="1"/>
    <xf numFmtId="10" fontId="0" fillId="0" borderId="0" xfId="0" applyNumberFormat="1" applyAlignment="1">
      <alignment vertical="top"/>
    </xf>
    <xf numFmtId="2" fontId="0" fillId="4" borderId="0" xfId="0" applyNumberFormat="1" applyFill="1"/>
    <xf numFmtId="0" fontId="0" fillId="0" borderId="4" xfId="0" applyBorder="1"/>
    <xf numFmtId="0" fontId="0" fillId="0" borderId="5" xfId="0" applyBorder="1"/>
    <xf numFmtId="2" fontId="0" fillId="4" borderId="0" xfId="0" applyNumberFormat="1" applyFill="1" applyAlignment="1">
      <alignment horizontal="right"/>
    </xf>
    <xf numFmtId="10" fontId="0" fillId="4" borderId="5" xfId="0" applyNumberFormat="1" applyFill="1" applyBorder="1"/>
    <xf numFmtId="10" fontId="0" fillId="0" borderId="5" xfId="0" applyNumberFormat="1" applyBorder="1"/>
    <xf numFmtId="2" fontId="0" fillId="0" borderId="5" xfId="0" applyNumberFormat="1" applyBorder="1"/>
    <xf numFmtId="10" fontId="0" fillId="4" borderId="0" xfId="0" applyNumberFormat="1" applyFill="1"/>
    <xf numFmtId="0" fontId="3" fillId="9" borderId="0" xfId="0" applyFont="1" applyFill="1"/>
    <xf numFmtId="0" fontId="4" fillId="9" borderId="0" xfId="0" applyFont="1" applyFill="1"/>
    <xf numFmtId="0" fontId="0" fillId="9" borderId="0" xfId="0" applyFill="1"/>
    <xf numFmtId="0" fontId="0" fillId="10" borderId="1" xfId="0" applyFill="1" applyBorder="1"/>
    <xf numFmtId="0" fontId="0" fillId="10" borderId="1" xfId="0" applyFill="1" applyBorder="1" applyAlignment="1">
      <alignment horizontal="right"/>
    </xf>
    <xf numFmtId="0" fontId="0" fillId="10" borderId="2" xfId="0" applyFill="1" applyBorder="1" applyAlignment="1">
      <alignment vertical="top"/>
    </xf>
    <xf numFmtId="0" fontId="0" fillId="10" borderId="2" xfId="0" applyFill="1" applyBorder="1" applyAlignment="1">
      <alignment horizontal="right" vertical="top"/>
    </xf>
    <xf numFmtId="0" fontId="1" fillId="10" borderId="3" xfId="0" applyFont="1" applyFill="1" applyBorder="1"/>
    <xf numFmtId="10" fontId="0" fillId="10" borderId="3" xfId="1" applyNumberFormat="1" applyFont="1" applyFill="1" applyBorder="1"/>
    <xf numFmtId="2" fontId="0" fillId="10" borderId="3" xfId="0" applyNumberFormat="1" applyFill="1" applyBorder="1"/>
    <xf numFmtId="0" fontId="1" fillId="10" borderId="4" xfId="0" applyFont="1" applyFill="1" applyBorder="1"/>
    <xf numFmtId="10" fontId="0" fillId="10" borderId="4" xfId="1" applyNumberFormat="1" applyFont="1" applyFill="1" applyBorder="1"/>
    <xf numFmtId="2" fontId="0" fillId="10" borderId="4" xfId="0" applyNumberFormat="1" applyFill="1" applyBorder="1"/>
    <xf numFmtId="0" fontId="1" fillId="10" borderId="0" xfId="0" applyFont="1" applyFill="1"/>
    <xf numFmtId="10" fontId="1" fillId="10" borderId="0" xfId="0" applyNumberFormat="1" applyFont="1" applyFill="1"/>
    <xf numFmtId="17" fontId="1" fillId="10" borderId="0" xfId="0" applyNumberFormat="1" applyFont="1" applyFill="1"/>
    <xf numFmtId="17" fontId="1" fillId="10" borderId="0" xfId="0" applyNumberFormat="1" applyFont="1" applyFill="1" applyAlignment="1">
      <alignment horizontal="right"/>
    </xf>
    <xf numFmtId="0" fontId="0" fillId="3" borderId="0" xfId="0" applyFill="1"/>
    <xf numFmtId="165" fontId="0" fillId="0" borderId="0" xfId="0" applyNumberFormat="1"/>
    <xf numFmtId="0" fontId="11" fillId="0" borderId="0" xfId="0" applyFont="1" applyAlignment="1">
      <alignment horizontal="right"/>
    </xf>
    <xf numFmtId="10" fontId="11" fillId="0" borderId="0" xfId="1" applyNumberFormat="1" applyFont="1"/>
    <xf numFmtId="166" fontId="0" fillId="0" borderId="0" xfId="0" applyNumberFormat="1"/>
    <xf numFmtId="167" fontId="0" fillId="0" borderId="0" xfId="0" applyNumberFormat="1"/>
    <xf numFmtId="17" fontId="0" fillId="0" borderId="0" xfId="0" applyNumberFormat="1"/>
    <xf numFmtId="0" fontId="26" fillId="0" borderId="0" xfId="0" applyFont="1" applyAlignment="1">
      <alignment horizontal="center"/>
    </xf>
    <xf numFmtId="0" fontId="9" fillId="11" borderId="0" xfId="0" applyFont="1" applyFill="1" applyAlignment="1">
      <alignment horizontal="center"/>
    </xf>
    <xf numFmtId="43" fontId="15" fillId="0" borderId="0" xfId="3" applyNumberFormat="1" applyFont="1" applyBorder="1" applyAlignment="1" applyProtection="1">
      <alignment horizontal="center"/>
    </xf>
    <xf numFmtId="43" fontId="18" fillId="6" borderId="0" xfId="4" applyNumberFormat="1" applyFont="1" applyBorder="1" applyAlignment="1">
      <alignment horizontal="center"/>
    </xf>
  </cellXfs>
  <cellStyles count="8">
    <cellStyle name="Accent6 2" xfId="4" xr:uid="{C4E8E0CB-FE77-482F-93E0-B2E0584F0368}"/>
    <cellStyle name="Comma 2" xfId="2" xr:uid="{1A7DFA1D-C51A-40CE-910E-8390CF1EC924}"/>
    <cellStyle name="Hyperlink 2" xfId="3" xr:uid="{C7BBB295-D97F-41F6-AD82-25BFD9046B13}"/>
    <cellStyle name="Normal" xfId="0" builtinId="0"/>
    <cellStyle name="Normal 2" xfId="7" xr:uid="{633D282F-8662-4C6C-BDD9-AD052BE7F2A5}"/>
    <cellStyle name="Normal 3" xfId="5" xr:uid="{EAECDA40-276A-48EF-BFC3-4D8D193BC9C6}"/>
    <cellStyle name="Percent" xfId="1" builtinId="5"/>
    <cellStyle name="Percent 3" xfId="6" xr:uid="{43F4A9DE-7E1B-4A43-8A65-13C050C61561}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creener.in/exce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604B-C49D-4058-B0BC-4DBDC0225086}">
  <sheetPr>
    <tabColor rgb="FF002060"/>
  </sheetPr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5B7B-C668-4751-B269-60A6246385E1}">
  <sheetPr>
    <pageSetUpPr fitToPage="1"/>
  </sheetPr>
  <dimension ref="A2:Y43"/>
  <sheetViews>
    <sheetView showGridLines="0" zoomScale="88" zoomScaleNormal="70" workbookViewId="0">
      <selection activeCell="M14" sqref="M14"/>
    </sheetView>
  </sheetViews>
  <sheetFormatPr defaultRowHeight="14.4"/>
  <cols>
    <col min="1" max="1" width="6.44140625" customWidth="1"/>
    <col min="2" max="2" width="19.88671875" customWidth="1"/>
    <col min="3" max="3" width="10.33203125" bestFit="1" customWidth="1"/>
    <col min="4" max="4" width="13.109375" customWidth="1"/>
    <col min="5" max="5" width="11.44140625" bestFit="1" customWidth="1"/>
    <col min="6" max="6" width="10.88671875" customWidth="1"/>
    <col min="7" max="9" width="9.33203125" customWidth="1"/>
    <col min="10" max="10" width="10.33203125" bestFit="1" customWidth="1"/>
    <col min="13" max="14" width="10.109375" customWidth="1"/>
    <col min="15" max="15" width="9.88671875" bestFit="1" customWidth="1"/>
    <col min="16" max="16" width="6.6640625" bestFit="1" customWidth="1"/>
    <col min="17" max="17" width="9.5546875" bestFit="1" customWidth="1"/>
    <col min="18" max="20" width="9" bestFit="1" customWidth="1"/>
    <col min="21" max="22" width="9.5546875" bestFit="1" customWidth="1"/>
    <col min="23" max="25" width="9" bestFit="1" customWidth="1"/>
  </cols>
  <sheetData>
    <row r="2" spans="2:25" ht="18">
      <c r="B2" s="90" t="s">
        <v>0</v>
      </c>
      <c r="C2" s="91"/>
      <c r="D2" s="91"/>
      <c r="E2" s="91"/>
      <c r="F2" s="92"/>
      <c r="G2" s="92"/>
      <c r="H2" s="92"/>
      <c r="I2" s="92"/>
      <c r="J2" s="92"/>
    </row>
    <row r="4" spans="2:25">
      <c r="B4" s="12"/>
    </row>
    <row r="6" spans="2:25">
      <c r="B6" s="1" t="s">
        <v>227</v>
      </c>
    </row>
    <row r="7" spans="2:25" ht="13.5" customHeight="1">
      <c r="B7" s="93"/>
      <c r="C7" s="93"/>
      <c r="D7" s="93"/>
      <c r="E7" s="93"/>
      <c r="F7" s="94"/>
      <c r="G7" s="94" t="s">
        <v>6</v>
      </c>
      <c r="H7" s="94" t="s">
        <v>6</v>
      </c>
      <c r="I7" s="94" t="s">
        <v>8</v>
      </c>
      <c r="J7" s="94" t="s">
        <v>11</v>
      </c>
    </row>
    <row r="8" spans="2:25" ht="18.75" customHeight="1">
      <c r="B8" s="95" t="s">
        <v>1</v>
      </c>
      <c r="C8" s="95" t="s">
        <v>2</v>
      </c>
      <c r="D8" s="96" t="s">
        <v>3</v>
      </c>
      <c r="E8" s="96" t="s">
        <v>4</v>
      </c>
      <c r="F8" s="96" t="s">
        <v>9</v>
      </c>
      <c r="G8" s="96" t="s">
        <v>7</v>
      </c>
      <c r="H8" s="96" t="s">
        <v>14</v>
      </c>
      <c r="I8" s="96" t="s">
        <v>10</v>
      </c>
      <c r="J8" s="96" t="s">
        <v>12</v>
      </c>
    </row>
    <row r="9" spans="2:25">
      <c r="B9" s="3"/>
      <c r="C9" s="3"/>
      <c r="D9" s="3"/>
      <c r="E9" s="3"/>
      <c r="F9" s="3"/>
      <c r="G9" s="3"/>
      <c r="H9" s="3"/>
      <c r="I9" s="3"/>
      <c r="J9" s="3"/>
    </row>
    <row r="10" spans="2:25">
      <c r="B10" t="s">
        <v>228</v>
      </c>
      <c r="C10" t="s">
        <v>13</v>
      </c>
      <c r="D10" s="14">
        <v>6523.03</v>
      </c>
      <c r="E10" s="14">
        <v>297752.21999999997</v>
      </c>
      <c r="F10" s="81">
        <v>0.3</v>
      </c>
      <c r="G10" s="7">
        <f>D10/E10</f>
        <v>2.1907578052650624E-2</v>
      </c>
      <c r="H10" s="7">
        <f>D10/(D10+E10)</f>
        <v>2.1437925036623912E-2</v>
      </c>
      <c r="I10" s="4">
        <v>0.92900000000000005</v>
      </c>
      <c r="J10" s="82">
        <f>I10/(1+(1-F11)*G10)</f>
        <v>0.91496867661099013</v>
      </c>
    </row>
    <row r="11" spans="2:25">
      <c r="B11" t="s">
        <v>229</v>
      </c>
      <c r="C11" t="s">
        <v>13</v>
      </c>
      <c r="D11" s="14">
        <v>87706</v>
      </c>
      <c r="E11" s="14">
        <v>174690.11</v>
      </c>
      <c r="F11" s="81">
        <v>0.3</v>
      </c>
      <c r="G11" s="7">
        <f t="shared" ref="G11:G14" si="0">D11/E11</f>
        <v>0.50206620168709037</v>
      </c>
      <c r="H11" s="7">
        <f t="shared" ref="H11:H14" si="1">D11/(D11+E11)</f>
        <v>0.3342503819892757</v>
      </c>
      <c r="I11" s="4">
        <v>1.28</v>
      </c>
      <c r="J11" s="82">
        <f t="shared" ref="J11:J13" si="2">I11/(1+(1-F12)*G11)</f>
        <v>0.94713342364852626</v>
      </c>
    </row>
    <row r="12" spans="2:25">
      <c r="B12" t="s">
        <v>230</v>
      </c>
      <c r="C12" t="s">
        <v>13</v>
      </c>
      <c r="D12" s="14">
        <v>3358.78</v>
      </c>
      <c r="E12" s="14">
        <v>80078.8</v>
      </c>
      <c r="F12" s="81">
        <v>0.3</v>
      </c>
      <c r="G12" s="7">
        <f t="shared" si="0"/>
        <v>4.1943435715819918E-2</v>
      </c>
      <c r="H12" s="7">
        <f t="shared" si="1"/>
        <v>4.0255002601945075E-2</v>
      </c>
      <c r="I12" s="4">
        <v>1.07</v>
      </c>
      <c r="J12" s="82">
        <f t="shared" si="2"/>
        <v>1.0394804334822689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2:25">
      <c r="B13" t="s">
        <v>231</v>
      </c>
      <c r="C13" t="s">
        <v>13</v>
      </c>
      <c r="D13" s="14">
        <v>32.200000000000003</v>
      </c>
      <c r="E13" s="14">
        <v>37146.239999999998</v>
      </c>
      <c r="F13" s="81">
        <v>0.3</v>
      </c>
      <c r="G13" s="7">
        <f t="shared" si="0"/>
        <v>8.6684412742716373E-4</v>
      </c>
      <c r="H13" s="7">
        <f t="shared" si="1"/>
        <v>8.6609335948469078E-4</v>
      </c>
      <c r="I13" s="4">
        <v>1.1499999999999999</v>
      </c>
      <c r="J13" s="82">
        <f t="shared" si="2"/>
        <v>1.1493026136451077</v>
      </c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2:25">
      <c r="B14" t="s">
        <v>232</v>
      </c>
      <c r="C14" t="s">
        <v>13</v>
      </c>
      <c r="D14" s="14">
        <v>179.51</v>
      </c>
      <c r="E14" s="14">
        <v>28272.58</v>
      </c>
      <c r="F14" s="81">
        <v>0.3</v>
      </c>
      <c r="G14" s="7">
        <f t="shared" si="0"/>
        <v>6.3492613691428224E-3</v>
      </c>
      <c r="H14" s="7">
        <f t="shared" si="1"/>
        <v>6.3092025928499452E-3</v>
      </c>
      <c r="I14" s="4">
        <v>0.79</v>
      </c>
      <c r="J14" s="82">
        <f>I14/(1+(1-F15)*G14)</f>
        <v>0.78501572995164848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2:25">
      <c r="F15" s="6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2:25">
      <c r="E16" s="97" t="s">
        <v>5</v>
      </c>
      <c r="F16" s="98">
        <f>AVERAGE(F10:F14)</f>
        <v>0.3</v>
      </c>
      <c r="G16" s="98">
        <f t="shared" ref="G16:J16" si="3">AVERAGE(G10:G14)</f>
        <v>0.11462666419042619</v>
      </c>
      <c r="H16" s="98">
        <f t="shared" si="3"/>
        <v>8.0623721116035857E-2</v>
      </c>
      <c r="I16" s="99">
        <f t="shared" si="3"/>
        <v>1.0438000000000001</v>
      </c>
      <c r="J16" s="99">
        <f t="shared" si="3"/>
        <v>0.9671801754677084</v>
      </c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2:10">
      <c r="E17" s="100" t="s">
        <v>15</v>
      </c>
      <c r="F17" s="101">
        <f>MEDIAN(F10:F14)</f>
        <v>0.3</v>
      </c>
      <c r="G17" s="101">
        <f t="shared" ref="G17:J17" si="4">MEDIAN(G10:G14)</f>
        <v>2.1907578052650624E-2</v>
      </c>
      <c r="H17" s="101">
        <f t="shared" si="4"/>
        <v>2.1437925036623912E-2</v>
      </c>
      <c r="I17" s="102">
        <f t="shared" si="4"/>
        <v>1.07</v>
      </c>
      <c r="J17" s="102">
        <f t="shared" si="4"/>
        <v>0.94713342364852626</v>
      </c>
    </row>
    <row r="18" spans="2:10">
      <c r="G18" s="4"/>
    </row>
    <row r="19" spans="2:10">
      <c r="G19" s="4"/>
    </row>
    <row r="20" spans="2:10">
      <c r="B20" s="83" t="s">
        <v>27</v>
      </c>
      <c r="C20" s="83"/>
      <c r="D20" s="83"/>
      <c r="E20" s="83"/>
      <c r="G20" s="83" t="s">
        <v>21</v>
      </c>
      <c r="H20" s="83"/>
      <c r="I20" s="83"/>
      <c r="J20" s="83"/>
    </row>
    <row r="21" spans="2:10">
      <c r="B21" s="83"/>
      <c r="G21" s="4"/>
    </row>
    <row r="22" spans="2:10">
      <c r="B22" t="s">
        <v>28</v>
      </c>
      <c r="E22" s="5">
        <v>8.0037999999999998E-2</v>
      </c>
      <c r="G22" t="s">
        <v>22</v>
      </c>
      <c r="J22" s="18">
        <v>6.9699999999999998E-2</v>
      </c>
    </row>
    <row r="23" spans="2:10">
      <c r="B23" t="s">
        <v>29</v>
      </c>
      <c r="E23" s="6">
        <v>0.3</v>
      </c>
      <c r="G23" t="s">
        <v>23</v>
      </c>
      <c r="J23" s="18">
        <v>0.08</v>
      </c>
    </row>
    <row r="24" spans="2:10" ht="15.75" customHeight="1">
      <c r="B24" s="84" t="s">
        <v>30</v>
      </c>
      <c r="C24" s="84"/>
      <c r="D24" s="84"/>
      <c r="E24" s="10">
        <f>E22*(1-E23)</f>
        <v>5.6026599999999996E-2</v>
      </c>
      <c r="G24" t="s">
        <v>26</v>
      </c>
      <c r="J24" s="85">
        <v>1.0002398999706668</v>
      </c>
    </row>
    <row r="25" spans="2:10">
      <c r="G25" s="84" t="s">
        <v>21</v>
      </c>
      <c r="H25" s="84"/>
      <c r="I25" s="84"/>
      <c r="J25" s="86">
        <f>J22+(J23*J24)</f>
        <v>0.14971919199765332</v>
      </c>
    </row>
    <row r="28" spans="2:10">
      <c r="B28" s="83" t="s">
        <v>16</v>
      </c>
      <c r="C28" s="83"/>
      <c r="D28" s="83"/>
      <c r="E28" s="83"/>
      <c r="G28" s="83" t="s">
        <v>31</v>
      </c>
      <c r="H28" s="83"/>
      <c r="I28" s="83"/>
      <c r="J28" s="83"/>
    </row>
    <row r="29" spans="2:10">
      <c r="G29" s="1"/>
    </row>
    <row r="30" spans="2:10">
      <c r="D30" s="8" t="s">
        <v>19</v>
      </c>
      <c r="E30" s="8" t="s">
        <v>20</v>
      </c>
      <c r="G30" s="4" t="s">
        <v>32</v>
      </c>
      <c r="J30" s="4">
        <f>J17</f>
        <v>0.94713342364852626</v>
      </c>
    </row>
    <row r="31" spans="2:10">
      <c r="B31" t="s">
        <v>3</v>
      </c>
      <c r="C31" s="14">
        <f>D11</f>
        <v>87706</v>
      </c>
      <c r="D31" s="5">
        <f>C31/$C$33</f>
        <v>0.22753698182905532</v>
      </c>
      <c r="E31" s="6">
        <f>H16</f>
        <v>8.0623721116035857E-2</v>
      </c>
      <c r="G31" t="s">
        <v>33</v>
      </c>
      <c r="J31" s="11">
        <f>E35</f>
        <v>8.769393225362028E-2</v>
      </c>
    </row>
    <row r="32" spans="2:10">
      <c r="B32" t="s">
        <v>17</v>
      </c>
      <c r="C32" s="14">
        <f>E10</f>
        <v>297752.21999999997</v>
      </c>
      <c r="D32" s="5">
        <f>C32/$C$33</f>
        <v>0.77246301817094465</v>
      </c>
      <c r="E32" s="6">
        <f>E33-E31</f>
        <v>0.91937627888396412</v>
      </c>
      <c r="G32" t="s">
        <v>29</v>
      </c>
      <c r="J32" s="6">
        <f>E23</f>
        <v>0.3</v>
      </c>
    </row>
    <row r="33" spans="1:10">
      <c r="B33" t="s">
        <v>18</v>
      </c>
      <c r="C33" s="84">
        <f>SUM(C31:C32)</f>
        <v>385458.22</v>
      </c>
      <c r="D33" s="9">
        <f>C33/$C$33</f>
        <v>1</v>
      </c>
      <c r="E33" s="87">
        <f>D33</f>
        <v>1</v>
      </c>
      <c r="G33" s="84" t="s">
        <v>24</v>
      </c>
      <c r="H33" s="84"/>
      <c r="I33" s="84"/>
      <c r="J33" s="88">
        <f>J30*(1+(1-J31)*J32)</f>
        <v>1.2063560944565122</v>
      </c>
    </row>
    <row r="35" spans="1:10">
      <c r="B35" t="s">
        <v>25</v>
      </c>
      <c r="D35" s="89">
        <f>D31/D32</f>
        <v>0.29456035625863686</v>
      </c>
      <c r="E35" s="89">
        <f>E31/E32</f>
        <v>8.769393225362028E-2</v>
      </c>
      <c r="G35" s="83" t="s">
        <v>0</v>
      </c>
      <c r="H35" s="83"/>
      <c r="I35" s="83"/>
      <c r="J35" s="83"/>
    </row>
    <row r="36" spans="1:10">
      <c r="G36" s="4"/>
    </row>
    <row r="37" spans="1:10">
      <c r="B37" s="13"/>
      <c r="G37" t="s">
        <v>21</v>
      </c>
      <c r="J37" s="19">
        <f>J25</f>
        <v>0.14971919199765332</v>
      </c>
    </row>
    <row r="38" spans="1:10">
      <c r="B38" s="13"/>
      <c r="G38" t="s">
        <v>36</v>
      </c>
      <c r="J38" s="6">
        <f>E32</f>
        <v>0.91937627888396412</v>
      </c>
    </row>
    <row r="39" spans="1:10">
      <c r="A39" t="s">
        <v>34</v>
      </c>
      <c r="B39" s="13"/>
      <c r="J39" s="19"/>
    </row>
    <row r="40" spans="1:10">
      <c r="B40" s="13"/>
      <c r="G40" t="s">
        <v>27</v>
      </c>
      <c r="J40" s="6">
        <f>E24</f>
        <v>5.6026599999999996E-2</v>
      </c>
    </row>
    <row r="41" spans="1:10">
      <c r="G41" t="s">
        <v>37</v>
      </c>
      <c r="J41" s="6">
        <f>E31</f>
        <v>8.0623721116035857E-2</v>
      </c>
    </row>
    <row r="43" spans="1:10">
      <c r="G43" s="103" t="s">
        <v>38</v>
      </c>
      <c r="H43" s="103"/>
      <c r="I43" s="103"/>
      <c r="J43" s="104">
        <f>(J37*J38)+(J40*J41)</f>
        <v>0.14216534658979599</v>
      </c>
    </row>
  </sheetData>
  <pageMargins left="0.7" right="0.7" top="0.75" bottom="0.75" header="0.3" footer="0.3"/>
  <pageSetup scale="88" orientation="portrait" r:id="rId1"/>
  <customProperties>
    <customPr name="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05F2-0584-4EEC-B339-A8CF1A4E7470}">
  <sheetPr>
    <tabColor rgb="FF002060"/>
  </sheetPr>
  <dimension ref="A1"/>
  <sheetViews>
    <sheetView workbookViewId="0">
      <selection activeCell="N16" sqref="N16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DE036-95A2-49CD-911E-0470A328F88B}">
  <dimension ref="A2:M63"/>
  <sheetViews>
    <sheetView showGridLines="0" workbookViewId="0">
      <pane ySplit="1" topLeftCell="A2" activePane="bottomLeft" state="frozen"/>
      <selection pane="bottomLeft" activeCell="N13" sqref="N13"/>
    </sheetView>
  </sheetViews>
  <sheetFormatPr defaultRowHeight="14.4"/>
  <cols>
    <col min="1" max="1" width="1.88671875" customWidth="1"/>
    <col min="7" max="7" width="11.5546875" bestFit="1" customWidth="1"/>
    <col min="8" max="8" width="14" customWidth="1"/>
    <col min="9" max="9" width="12.109375" bestFit="1" customWidth="1"/>
    <col min="10" max="10" width="14.33203125" bestFit="1" customWidth="1"/>
    <col min="11" max="11" width="11.88671875" customWidth="1"/>
    <col min="13" max="13" width="21" bestFit="1" customWidth="1"/>
  </cols>
  <sheetData>
    <row r="2" spans="2:11">
      <c r="B2" s="16" t="s">
        <v>159</v>
      </c>
      <c r="C2" s="17"/>
      <c r="D2" s="17"/>
      <c r="E2" s="17"/>
      <c r="F2" s="17"/>
      <c r="G2" s="42">
        <f>'Raw FS'!J$2</f>
        <v>43891</v>
      </c>
      <c r="H2" s="42">
        <f>'Raw FS'!K$2</f>
        <v>44256</v>
      </c>
      <c r="I2" s="42">
        <f>'Raw FS'!L$2</f>
        <v>44621</v>
      </c>
      <c r="J2" s="42">
        <f>'Raw FS'!M$2</f>
        <v>44986</v>
      </c>
      <c r="K2" s="42">
        <f>'Raw FS'!N$2</f>
        <v>45352</v>
      </c>
    </row>
    <row r="4" spans="2:11">
      <c r="B4" s="1" t="s">
        <v>160</v>
      </c>
    </row>
    <row r="5" spans="2:11">
      <c r="B5" s="46" t="str">
        <f>'Raw FS'!B35</f>
        <v>Inventories</v>
      </c>
      <c r="C5" s="46"/>
      <c r="D5" s="46"/>
      <c r="E5" s="46"/>
      <c r="F5" s="46"/>
      <c r="G5" s="47">
        <f>'Raw FS'!J35</f>
        <v>37457</v>
      </c>
      <c r="H5" s="47">
        <f>'Raw FS'!K35</f>
        <v>36089</v>
      </c>
      <c r="I5" s="47">
        <f>'Raw FS'!L35</f>
        <v>35240</v>
      </c>
      <c r="J5" s="47">
        <f>'Raw FS'!M35</f>
        <v>40755</v>
      </c>
      <c r="K5" s="47">
        <f>'Raw FS'!N35</f>
        <v>47788</v>
      </c>
    </row>
    <row r="6" spans="2:11">
      <c r="B6" s="46" t="str">
        <f>'Raw FS'!B36</f>
        <v>Trade receivables</v>
      </c>
      <c r="C6" s="46"/>
      <c r="D6" s="46"/>
      <c r="E6" s="46"/>
      <c r="F6" s="46"/>
      <c r="G6" s="47">
        <f>'Raw FS'!J36</f>
        <v>11173</v>
      </c>
      <c r="H6" s="47">
        <f>'Raw FS'!K36</f>
        <v>12679</v>
      </c>
      <c r="I6" s="47">
        <f>'Raw FS'!L36</f>
        <v>12442</v>
      </c>
      <c r="J6" s="47">
        <f>'Raw FS'!M36</f>
        <v>15738</v>
      </c>
      <c r="K6" s="47">
        <f>'Raw FS'!N36</f>
        <v>16952</v>
      </c>
    </row>
    <row r="7" spans="2:11">
      <c r="B7" s="46" t="str">
        <f>'Raw FS'!B38</f>
        <v>Loans n Advances</v>
      </c>
      <c r="C7" s="46"/>
      <c r="D7" s="46"/>
      <c r="E7" s="46"/>
      <c r="F7" s="46"/>
      <c r="G7" s="47">
        <f>'Raw FS'!J38</f>
        <v>39</v>
      </c>
      <c r="H7" s="47">
        <f>'Raw FS'!K38</f>
        <v>142</v>
      </c>
      <c r="I7" s="47">
        <f>'Raw FS'!L38</f>
        <v>47</v>
      </c>
      <c r="J7" s="47">
        <f>'Raw FS'!M38</f>
        <v>119</v>
      </c>
      <c r="K7" s="47">
        <f>'Raw FS'!N38</f>
        <v>168</v>
      </c>
    </row>
    <row r="8" spans="2:11">
      <c r="B8" t="str">
        <f>'Raw FS'!B39</f>
        <v>Other asset items</v>
      </c>
      <c r="G8" s="48">
        <f>'Raw FS'!J39</f>
        <v>58746</v>
      </c>
      <c r="H8" s="48">
        <f>'Raw FS'!K39</f>
        <v>61576</v>
      </c>
      <c r="I8" s="48">
        <f>'Raw FS'!L39</f>
        <v>62177</v>
      </c>
      <c r="J8" s="48">
        <f>'Raw FS'!M39</f>
        <v>68313</v>
      </c>
      <c r="K8" s="48">
        <f>'Raw FS'!N39</f>
        <v>78851</v>
      </c>
    </row>
    <row r="9" spans="2:11">
      <c r="B9" s="50" t="s">
        <v>84</v>
      </c>
      <c r="C9" s="2"/>
      <c r="D9" s="2"/>
      <c r="E9" s="2"/>
      <c r="F9" s="2"/>
      <c r="G9" s="66">
        <f>SUM(G5:G8)</f>
        <v>107415</v>
      </c>
      <c r="H9" s="66">
        <f t="shared" ref="H9:K9" si="0">SUM(H5:H8)</f>
        <v>110486</v>
      </c>
      <c r="I9" s="66">
        <f t="shared" si="0"/>
        <v>109906</v>
      </c>
      <c r="J9" s="66">
        <f t="shared" si="0"/>
        <v>124925</v>
      </c>
      <c r="K9" s="66">
        <f t="shared" si="0"/>
        <v>143759</v>
      </c>
    </row>
    <row r="10" spans="2:11">
      <c r="G10" s="48"/>
      <c r="H10" s="48"/>
      <c r="I10" s="48"/>
      <c r="J10" s="48"/>
      <c r="K10" s="48"/>
    </row>
    <row r="11" spans="2:11">
      <c r="B11" s="1" t="s">
        <v>161</v>
      </c>
      <c r="G11" s="48"/>
      <c r="H11" s="48"/>
      <c r="I11" s="48"/>
      <c r="J11" s="48"/>
      <c r="K11" s="48"/>
    </row>
    <row r="12" spans="2:11">
      <c r="B12" s="46" t="str">
        <f>'Raw FS'!B13</f>
        <v>Trade Payables</v>
      </c>
      <c r="C12" s="46"/>
      <c r="D12" s="46"/>
      <c r="E12" s="46"/>
      <c r="F12" s="46"/>
      <c r="G12" s="47">
        <f>'Raw FS'!J13</f>
        <v>66398</v>
      </c>
      <c r="H12" s="47">
        <f>'Raw FS'!K13</f>
        <v>76040</v>
      </c>
      <c r="I12" s="47">
        <f>'Raw FS'!L13</f>
        <v>69750</v>
      </c>
      <c r="J12" s="47">
        <f>'Raw FS'!M13</f>
        <v>79252</v>
      </c>
      <c r="K12" s="47">
        <f>'Raw FS'!N13</f>
        <v>93979</v>
      </c>
    </row>
    <row r="13" spans="2:11">
      <c r="B13" s="46" t="str">
        <f>'Raw FS'!B14</f>
        <v>Advance from Customers</v>
      </c>
      <c r="C13" s="46"/>
      <c r="D13" s="46"/>
      <c r="E13" s="46"/>
      <c r="F13" s="46"/>
      <c r="G13" s="47">
        <f>'Raw FS'!J14</f>
        <v>0</v>
      </c>
      <c r="H13" s="47">
        <f>'Raw FS'!K14</f>
        <v>0</v>
      </c>
      <c r="I13" s="47">
        <f>'Raw FS'!L14</f>
        <v>0</v>
      </c>
      <c r="J13" s="47">
        <f>'Raw FS'!M14</f>
        <v>0</v>
      </c>
      <c r="K13" s="47">
        <f>'Raw FS'!N14</f>
        <v>0</v>
      </c>
    </row>
    <row r="14" spans="2:11">
      <c r="B14" s="46" t="str">
        <f>'Raw FS'!B15</f>
        <v>Other liability items</v>
      </c>
      <c r="C14" s="46"/>
      <c r="D14" s="46"/>
      <c r="E14" s="46"/>
      <c r="F14" s="46"/>
      <c r="G14" s="47">
        <f>'Raw FS'!J15</f>
        <v>65969</v>
      </c>
      <c r="H14" s="47">
        <f>'Raw FS'!K15</f>
        <v>66579</v>
      </c>
      <c r="I14" s="47">
        <f>'Raw FS'!L15</f>
        <v>64030</v>
      </c>
      <c r="J14" s="47">
        <f>'Raw FS'!M15</f>
        <v>68710</v>
      </c>
      <c r="K14" s="47">
        <f>'Raw FS'!N15</f>
        <v>75186</v>
      </c>
    </row>
    <row r="15" spans="2:11">
      <c r="B15" s="50" t="s">
        <v>162</v>
      </c>
      <c r="C15" s="2"/>
      <c r="D15" s="2"/>
      <c r="E15" s="2"/>
      <c r="F15" s="2"/>
      <c r="G15" s="66">
        <f>SUM(G12:G14)</f>
        <v>132367</v>
      </c>
      <c r="H15" s="66">
        <f>SUM(H12:H14)</f>
        <v>142619</v>
      </c>
      <c r="I15" s="66">
        <f>SUM(I12:I14)</f>
        <v>133780</v>
      </c>
      <c r="J15" s="66">
        <f>SUM(J12:J14)</f>
        <v>147962</v>
      </c>
      <c r="K15" s="66">
        <f>SUM(K12:K14)</f>
        <v>169165</v>
      </c>
    </row>
    <row r="16" spans="2:11">
      <c r="G16" s="48"/>
      <c r="H16" s="48"/>
      <c r="I16" s="48"/>
      <c r="J16" s="48"/>
      <c r="K16" s="48"/>
    </row>
    <row r="17" spans="1:11" ht="15" thickBot="1">
      <c r="A17" t="s">
        <v>41</v>
      </c>
      <c r="B17" s="54" t="s">
        <v>163</v>
      </c>
      <c r="C17" s="54"/>
      <c r="D17" s="54"/>
      <c r="E17" s="54"/>
      <c r="F17" s="54"/>
      <c r="G17" s="67">
        <f>G9-G15</f>
        <v>-24952</v>
      </c>
      <c r="H17" s="67">
        <f t="shared" ref="H17:K17" si="1">H9-H15</f>
        <v>-32133</v>
      </c>
      <c r="I17" s="67">
        <f t="shared" si="1"/>
        <v>-23874</v>
      </c>
      <c r="J17" s="67">
        <f t="shared" si="1"/>
        <v>-23037</v>
      </c>
      <c r="K17" s="67">
        <f t="shared" si="1"/>
        <v>-25406</v>
      </c>
    </row>
    <row r="18" spans="1:11">
      <c r="G18" s="48"/>
      <c r="H18" s="48"/>
      <c r="I18" s="48"/>
      <c r="J18" s="48"/>
      <c r="K18" s="48"/>
    </row>
    <row r="19" spans="1:11">
      <c r="B19" s="1" t="s">
        <v>164</v>
      </c>
      <c r="G19" s="48"/>
      <c r="H19" s="48"/>
      <c r="I19" s="48"/>
      <c r="J19" s="48"/>
      <c r="K19" s="48"/>
    </row>
    <row r="20" spans="1:11">
      <c r="B20" s="46" t="str">
        <f>'Raw FS'!B19</f>
        <v>Land</v>
      </c>
      <c r="C20" s="46"/>
      <c r="D20" s="46"/>
      <c r="E20" s="46"/>
      <c r="F20" s="46"/>
      <c r="G20" s="47">
        <f>'Raw FS'!J19</f>
        <v>7675</v>
      </c>
      <c r="H20" s="47">
        <f>'Raw FS'!K19</f>
        <v>7819</v>
      </c>
      <c r="I20" s="47">
        <f>'Raw FS'!L19</f>
        <v>7760</v>
      </c>
      <c r="J20" s="47">
        <f>'Raw FS'!M19</f>
        <v>8045</v>
      </c>
      <c r="K20" s="47">
        <f>'Raw FS'!N19</f>
        <v>7930</v>
      </c>
    </row>
    <row r="21" spans="1:11">
      <c r="B21" s="46" t="str">
        <f>'Raw FS'!B20</f>
        <v>Building</v>
      </c>
      <c r="C21" s="46"/>
      <c r="D21" s="46"/>
      <c r="E21" s="46"/>
      <c r="F21" s="46"/>
      <c r="G21" s="47">
        <f>'Raw FS'!J20</f>
        <v>32665</v>
      </c>
      <c r="H21" s="47">
        <f>'Raw FS'!K20</f>
        <v>35537</v>
      </c>
      <c r="I21" s="47">
        <f>'Raw FS'!L20</f>
        <v>36466</v>
      </c>
      <c r="J21" s="47">
        <f>'Raw FS'!M20</f>
        <v>38674</v>
      </c>
      <c r="K21" s="47">
        <f>'Raw FS'!N20</f>
        <v>40584</v>
      </c>
    </row>
    <row r="22" spans="1:11">
      <c r="B22" s="46" t="str">
        <f>'Raw FS'!B21</f>
        <v>Plant Machinery</v>
      </c>
      <c r="C22" s="46"/>
      <c r="D22" s="46"/>
      <c r="E22" s="46"/>
      <c r="F22" s="46"/>
      <c r="G22" s="47">
        <f>'Raw FS'!J21</f>
        <v>124158</v>
      </c>
      <c r="H22" s="47">
        <f>'Raw FS'!K21</f>
        <v>138868</v>
      </c>
      <c r="I22" s="47">
        <f>'Raw FS'!L21</f>
        <v>148585</v>
      </c>
      <c r="J22" s="47">
        <f>'Raw FS'!M21</f>
        <v>153672</v>
      </c>
      <c r="K22" s="47">
        <f>'Raw FS'!N21</f>
        <v>151878</v>
      </c>
    </row>
    <row r="23" spans="1:11">
      <c r="B23" s="46" t="str">
        <f>'Raw FS'!B22</f>
        <v>Equipments</v>
      </c>
      <c r="C23" s="46"/>
      <c r="D23" s="46"/>
      <c r="E23" s="46"/>
      <c r="F23" s="46"/>
      <c r="G23" s="47">
        <f>'Raw FS'!J22</f>
        <v>3054</v>
      </c>
      <c r="H23" s="47">
        <f>'Raw FS'!K22</f>
        <v>3172</v>
      </c>
      <c r="I23" s="47">
        <f>'Raw FS'!L22</f>
        <v>3383</v>
      </c>
      <c r="J23" s="47">
        <f>'Raw FS'!M22</f>
        <v>3499</v>
      </c>
      <c r="K23" s="47">
        <f>'Raw FS'!N22</f>
        <v>3667</v>
      </c>
    </row>
    <row r="24" spans="1:11">
      <c r="B24" s="46" t="str">
        <f>'Raw FS'!B23</f>
        <v>Furniture n fittings</v>
      </c>
      <c r="C24" s="46"/>
      <c r="D24" s="46"/>
      <c r="E24" s="46"/>
      <c r="F24" s="46"/>
      <c r="G24" s="47">
        <f>'Raw FS'!J23</f>
        <v>1890</v>
      </c>
      <c r="H24" s="47">
        <f>'Raw FS'!K23</f>
        <v>1956</v>
      </c>
      <c r="I24" s="47">
        <f>'Raw FS'!L23</f>
        <v>1984</v>
      </c>
      <c r="J24" s="47">
        <f>'Raw FS'!M23</f>
        <v>2084</v>
      </c>
      <c r="K24" s="47">
        <f>'Raw FS'!N23</f>
        <v>2029</v>
      </c>
    </row>
    <row r="25" spans="1:11">
      <c r="B25" s="46" t="str">
        <f>'Raw FS'!B24</f>
        <v>Vehicles</v>
      </c>
      <c r="C25" s="46"/>
      <c r="D25" s="46"/>
      <c r="E25" s="46"/>
      <c r="F25" s="46"/>
      <c r="G25" s="47">
        <f>'Raw FS'!J24</f>
        <v>601</v>
      </c>
      <c r="H25" s="47">
        <f>'Raw FS'!K24</f>
        <v>845</v>
      </c>
      <c r="I25" s="47">
        <f>'Raw FS'!L24</f>
        <v>725</v>
      </c>
      <c r="J25" s="47">
        <f>'Raw FS'!M24</f>
        <v>788</v>
      </c>
      <c r="K25" s="47">
        <f>'Raw FS'!N24</f>
        <v>956</v>
      </c>
    </row>
    <row r="26" spans="1:11">
      <c r="B26" s="46" t="str">
        <f>'Raw FS'!B25</f>
        <v>Intangible Assets</v>
      </c>
      <c r="C26" s="46"/>
      <c r="D26" s="46"/>
      <c r="E26" s="46"/>
      <c r="F26" s="46"/>
      <c r="G26" s="47">
        <f>'Raw FS'!J25</f>
        <v>91157</v>
      </c>
      <c r="H26" s="47">
        <f>'Raw FS'!K25</f>
        <v>114809</v>
      </c>
      <c r="I26" s="47">
        <f>'Raw FS'!L25</f>
        <v>114323</v>
      </c>
      <c r="J26" s="47">
        <f>'Raw FS'!M25</f>
        <v>112538</v>
      </c>
      <c r="K26" s="47">
        <f>'Raw FS'!N25</f>
        <v>116714</v>
      </c>
    </row>
    <row r="27" spans="1:11">
      <c r="B27" s="46" t="str">
        <f>'Raw FS'!B26</f>
        <v>Other fixed assets</v>
      </c>
      <c r="C27" s="46"/>
      <c r="D27" s="46"/>
      <c r="E27" s="46"/>
      <c r="F27" s="46"/>
      <c r="G27" s="47">
        <f>'Raw FS'!J26</f>
        <v>9380</v>
      </c>
      <c r="H27" s="47">
        <f>'Raw FS'!K26</f>
        <v>10686</v>
      </c>
      <c r="I27" s="47">
        <f>'Raw FS'!L26</f>
        <v>10870</v>
      </c>
      <c r="J27" s="47">
        <f>'Raw FS'!M26</f>
        <v>11841</v>
      </c>
      <c r="K27" s="47">
        <f>'Raw FS'!N26</f>
        <v>10724</v>
      </c>
    </row>
    <row r="28" spans="1:11" ht="5.25" customHeight="1">
      <c r="B28" s="46"/>
      <c r="C28" s="46"/>
      <c r="D28" s="46"/>
      <c r="E28" s="46"/>
      <c r="F28" s="46"/>
      <c r="G28" s="47"/>
      <c r="H28" s="47"/>
      <c r="I28" s="47"/>
      <c r="J28" s="47"/>
      <c r="K28" s="47"/>
    </row>
    <row r="29" spans="1:11">
      <c r="B29" s="50" t="s">
        <v>148</v>
      </c>
      <c r="C29" s="2"/>
      <c r="D29" s="2"/>
      <c r="E29" s="2"/>
      <c r="F29" s="2"/>
      <c r="G29" s="66">
        <f>SUM(G20:G28)</f>
        <v>270580</v>
      </c>
      <c r="H29" s="66">
        <f t="shared" ref="H29:K29" si="2">SUM(H20:H28)</f>
        <v>313692</v>
      </c>
      <c r="I29" s="66">
        <f t="shared" si="2"/>
        <v>324096</v>
      </c>
      <c r="J29" s="66">
        <f t="shared" si="2"/>
        <v>331141</v>
      </c>
      <c r="K29" s="66">
        <f t="shared" si="2"/>
        <v>334482</v>
      </c>
    </row>
    <row r="30" spans="1:11">
      <c r="B30" t="s">
        <v>149</v>
      </c>
      <c r="G30" s="48">
        <f>-'Raw FS'!J28</f>
        <v>-143471</v>
      </c>
      <c r="H30" s="48">
        <f>-'Raw FS'!K28</f>
        <v>-174985</v>
      </c>
      <c r="I30" s="48">
        <f>-'Raw FS'!L28</f>
        <v>-185241</v>
      </c>
      <c r="J30" s="48">
        <f>-'Raw FS'!M28</f>
        <v>-199062</v>
      </c>
      <c r="K30" s="48">
        <f>-'Raw FS'!N28</f>
        <v>-213197</v>
      </c>
    </row>
    <row r="31" spans="1:11" ht="15" thickBot="1">
      <c r="A31" t="s">
        <v>41</v>
      </c>
      <c r="B31" s="54" t="s">
        <v>165</v>
      </c>
      <c r="C31" s="54"/>
      <c r="D31" s="54"/>
      <c r="E31" s="54"/>
      <c r="F31" s="54"/>
      <c r="G31" s="67">
        <f>SUM(G29:G30)</f>
        <v>127109</v>
      </c>
      <c r="H31" s="67">
        <f t="shared" ref="H31:K31" si="3">SUM(H29:H30)</f>
        <v>138707</v>
      </c>
      <c r="I31" s="67">
        <f t="shared" si="3"/>
        <v>138855</v>
      </c>
      <c r="J31" s="67">
        <f t="shared" si="3"/>
        <v>132079</v>
      </c>
      <c r="K31" s="67">
        <f t="shared" si="3"/>
        <v>121285</v>
      </c>
    </row>
    <row r="32" spans="1:11">
      <c r="G32" s="48"/>
      <c r="H32" s="48"/>
      <c r="I32" s="48"/>
      <c r="J32" s="48"/>
      <c r="K32" s="48"/>
    </row>
    <row r="33" spans="1:11">
      <c r="A33" t="s">
        <v>41</v>
      </c>
      <c r="B33" s="1" t="s">
        <v>166</v>
      </c>
      <c r="C33" s="1"/>
      <c r="D33" s="1"/>
      <c r="E33" s="1"/>
      <c r="F33" s="1"/>
      <c r="G33" s="49">
        <f>G31+G17</f>
        <v>102157</v>
      </c>
      <c r="H33" s="49">
        <f t="shared" ref="H33:K33" si="4">H31+H17</f>
        <v>106574</v>
      </c>
      <c r="I33" s="49">
        <f t="shared" si="4"/>
        <v>114981</v>
      </c>
      <c r="J33" s="49">
        <f t="shared" si="4"/>
        <v>109042</v>
      </c>
      <c r="K33" s="49">
        <f t="shared" si="4"/>
        <v>95879</v>
      </c>
    </row>
    <row r="34" spans="1:11">
      <c r="B34" s="1" t="s">
        <v>167</v>
      </c>
      <c r="C34" s="1"/>
      <c r="D34" s="1"/>
      <c r="E34" s="1"/>
      <c r="F34" s="1"/>
      <c r="G34" s="49">
        <f>(HistoricalFS!H27+HistoricalFS!H21)</f>
        <v>11650</v>
      </c>
      <c r="H34" s="49">
        <f>(HistoricalFS!I27+HistoricalFS!I21)</f>
        <v>19680</v>
      </c>
      <c r="I34" s="49">
        <f>(HistoricalFS!J27+HistoricalFS!J21)</f>
        <v>35929</v>
      </c>
      <c r="J34" s="49">
        <f>(HistoricalFS!K27+HistoricalFS!K21)</f>
        <v>23876</v>
      </c>
      <c r="K34" s="49">
        <f>(HistoricalFS!L27+HistoricalFS!L21)</f>
        <v>24589</v>
      </c>
    </row>
    <row r="36" spans="1:11" ht="15" thickBot="1">
      <c r="A36" t="s">
        <v>41</v>
      </c>
      <c r="B36" s="54" t="s">
        <v>158</v>
      </c>
      <c r="C36" s="55"/>
      <c r="D36" s="55"/>
      <c r="E36" s="55"/>
      <c r="F36" s="55"/>
      <c r="G36" s="56">
        <f>G34/G33</f>
        <v>0.11404015388079133</v>
      </c>
      <c r="H36" s="56">
        <f t="shared" ref="H36:K36" si="5">H34/H33</f>
        <v>0.18466042374312683</v>
      </c>
      <c r="I36" s="56">
        <f t="shared" si="5"/>
        <v>0.31247771370922151</v>
      </c>
      <c r="J36" s="56">
        <f t="shared" si="5"/>
        <v>0.21896150107298104</v>
      </c>
      <c r="K36" s="56">
        <f t="shared" si="5"/>
        <v>0.25645866143785395</v>
      </c>
    </row>
    <row r="39" spans="1:11">
      <c r="A39" t="s">
        <v>41</v>
      </c>
      <c r="B39" s="16" t="s">
        <v>168</v>
      </c>
      <c r="C39" s="17"/>
      <c r="D39" s="17"/>
      <c r="E39" s="17"/>
      <c r="F39" s="17"/>
      <c r="G39" s="42">
        <f>'Raw FS'!J$2</f>
        <v>43891</v>
      </c>
      <c r="H39" s="42">
        <f>'Raw FS'!K$2</f>
        <v>44256</v>
      </c>
      <c r="I39" s="42">
        <f>'Raw FS'!L$2</f>
        <v>44621</v>
      </c>
      <c r="J39" s="42">
        <f>'Raw FS'!M$2</f>
        <v>44986</v>
      </c>
      <c r="K39" s="42">
        <f>'Raw FS'!N$2</f>
        <v>45352</v>
      </c>
    </row>
    <row r="41" spans="1:11">
      <c r="B41" s="46" t="s">
        <v>169</v>
      </c>
      <c r="C41" s="46"/>
      <c r="D41" s="46"/>
      <c r="E41" s="46"/>
      <c r="F41" s="46"/>
      <c r="G41" s="47">
        <f>-SUM('Raw FS'!J54:J55)</f>
        <v>29531</v>
      </c>
      <c r="H41" s="47">
        <f>-SUM('Raw FS'!K54:K55)</f>
        <v>19854</v>
      </c>
      <c r="I41" s="47">
        <f>-SUM('Raw FS'!L54:L55)</f>
        <v>14938</v>
      </c>
      <c r="J41" s="47">
        <f>-SUM('Raw FS'!M54:M55)</f>
        <v>18945</v>
      </c>
      <c r="K41" s="47">
        <f>-SUM('Raw FS'!N54:N55)</f>
        <v>31183</v>
      </c>
    </row>
    <row r="42" spans="1:11">
      <c r="B42" s="46" t="s">
        <v>194</v>
      </c>
      <c r="C42" s="46"/>
      <c r="D42" s="46"/>
      <c r="E42" s="46"/>
      <c r="F42" s="46"/>
      <c r="G42" s="47"/>
      <c r="H42" s="47">
        <f>H17-G17</f>
        <v>-7181</v>
      </c>
      <c r="I42" s="47">
        <f t="shared" ref="I42:K42" si="6">I17-H17</f>
        <v>8259</v>
      </c>
      <c r="J42" s="47">
        <f t="shared" si="6"/>
        <v>837</v>
      </c>
      <c r="K42" s="47">
        <f t="shared" si="6"/>
        <v>-2369</v>
      </c>
    </row>
    <row r="43" spans="1:11">
      <c r="B43" s="46"/>
      <c r="C43" s="46"/>
      <c r="D43" s="46"/>
      <c r="E43" s="46"/>
      <c r="F43" s="46"/>
      <c r="G43" s="47"/>
      <c r="H43" s="47"/>
      <c r="I43" s="47"/>
      <c r="J43" s="47"/>
      <c r="K43" s="47"/>
    </row>
    <row r="44" spans="1:11">
      <c r="B44" s="46" t="s">
        <v>167</v>
      </c>
      <c r="C44" s="46"/>
      <c r="D44" s="46"/>
      <c r="E44" s="46"/>
      <c r="F44" s="46"/>
      <c r="G44" s="47">
        <f>G34</f>
        <v>11650</v>
      </c>
      <c r="H44" s="47">
        <f t="shared" ref="H44:K44" si="7">H34</f>
        <v>19680</v>
      </c>
      <c r="I44" s="47">
        <f t="shared" si="7"/>
        <v>35929</v>
      </c>
      <c r="J44" s="47">
        <f t="shared" si="7"/>
        <v>23876</v>
      </c>
      <c r="K44" s="47">
        <f t="shared" si="7"/>
        <v>24589</v>
      </c>
    </row>
    <row r="45" spans="1:11">
      <c r="B45" s="46" t="s">
        <v>195</v>
      </c>
      <c r="C45" s="46"/>
      <c r="D45" s="46"/>
      <c r="E45" s="46"/>
      <c r="F45" s="46"/>
      <c r="G45" s="68">
        <v>0.25</v>
      </c>
      <c r="H45" s="68">
        <v>0.25</v>
      </c>
      <c r="I45" s="68">
        <v>0.25</v>
      </c>
      <c r="J45" s="68">
        <v>0.25</v>
      </c>
      <c r="K45" s="68">
        <v>0.25</v>
      </c>
    </row>
    <row r="46" spans="1:11">
      <c r="B46" s="46" t="s">
        <v>197</v>
      </c>
      <c r="C46" s="46"/>
      <c r="D46" s="46"/>
      <c r="E46" s="46"/>
      <c r="F46" s="46"/>
      <c r="G46" s="69">
        <f>G44*(1-G45)</f>
        <v>8737.5</v>
      </c>
      <c r="H46" s="69">
        <f t="shared" ref="H46:K46" si="8">H44*(1-H45)</f>
        <v>14760</v>
      </c>
      <c r="I46" s="69">
        <f t="shared" si="8"/>
        <v>26946.75</v>
      </c>
      <c r="J46" s="69">
        <f t="shared" si="8"/>
        <v>17907</v>
      </c>
      <c r="K46" s="69">
        <f t="shared" si="8"/>
        <v>18441.75</v>
      </c>
    </row>
    <row r="47" spans="1:11">
      <c r="B47" s="46"/>
      <c r="C47" s="46"/>
      <c r="D47" s="46"/>
      <c r="E47" s="46"/>
      <c r="F47" s="46"/>
      <c r="G47" s="47"/>
      <c r="H47" s="47"/>
      <c r="I47" s="47"/>
      <c r="J47" s="47"/>
      <c r="K47" s="47"/>
    </row>
    <row r="48" spans="1:11">
      <c r="B48" s="46" t="s">
        <v>196</v>
      </c>
      <c r="C48" s="46"/>
      <c r="D48" s="46"/>
      <c r="E48" s="46"/>
      <c r="F48" s="46"/>
      <c r="G48" s="47"/>
      <c r="H48" s="47">
        <f>SUM(H41:H42)</f>
        <v>12673</v>
      </c>
      <c r="I48" s="47">
        <f t="shared" ref="I48:K48" si="9">SUM(I41:I42)</f>
        <v>23197</v>
      </c>
      <c r="J48" s="47">
        <f t="shared" si="9"/>
        <v>19782</v>
      </c>
      <c r="K48" s="47">
        <f t="shared" si="9"/>
        <v>28814</v>
      </c>
    </row>
    <row r="49" spans="1:13" ht="3.75" customHeight="1">
      <c r="H49" s="41"/>
      <c r="I49" s="41"/>
      <c r="J49" s="41"/>
      <c r="K49" s="41"/>
    </row>
    <row r="50" spans="1:13" ht="15" thickBot="1">
      <c r="B50" s="54" t="s">
        <v>198</v>
      </c>
      <c r="C50" s="54"/>
      <c r="D50" s="54"/>
      <c r="E50" s="54"/>
      <c r="F50" s="54"/>
      <c r="G50" s="54"/>
      <c r="H50" s="56">
        <f>H48/H46</f>
        <v>0.85860433604336039</v>
      </c>
      <c r="I50" s="56">
        <f t="shared" ref="I50:K50" si="10">I48/I46</f>
        <v>0.86084592761650292</v>
      </c>
      <c r="J50" s="56">
        <f t="shared" si="10"/>
        <v>1.1047076562238232</v>
      </c>
      <c r="K50" s="56">
        <f t="shared" si="10"/>
        <v>1.5624330662762482</v>
      </c>
    </row>
    <row r="51" spans="1:13">
      <c r="H51" s="5"/>
      <c r="I51" s="5"/>
      <c r="J51" s="5"/>
      <c r="K51" s="5"/>
    </row>
    <row r="52" spans="1:13">
      <c r="J52" s="20" t="s">
        <v>199</v>
      </c>
      <c r="K52" s="21">
        <f>AVERAGE(H50:K50)</f>
        <v>1.0966477465399838</v>
      </c>
    </row>
    <row r="53" spans="1:13">
      <c r="J53" s="20" t="s">
        <v>200</v>
      </c>
      <c r="K53" s="21">
        <f>MEDIAN(H50:K50)</f>
        <v>0.9827767919201631</v>
      </c>
    </row>
    <row r="55" spans="1:13">
      <c r="A55" t="s">
        <v>41</v>
      </c>
      <c r="B55" s="16" t="s">
        <v>201</v>
      </c>
      <c r="C55" s="17"/>
      <c r="D55" s="17"/>
      <c r="E55" s="17"/>
      <c r="F55" s="17"/>
      <c r="G55" s="42">
        <f>'Raw FS'!J$2</f>
        <v>43891</v>
      </c>
      <c r="H55" s="42">
        <f>'Raw FS'!K$2</f>
        <v>44256</v>
      </c>
      <c r="I55" s="42">
        <f>'Raw FS'!L$2</f>
        <v>44621</v>
      </c>
      <c r="J55" s="42">
        <f>'Raw FS'!M$2</f>
        <v>44986</v>
      </c>
      <c r="K55" s="42">
        <f>'Raw FS'!N$2</f>
        <v>45352</v>
      </c>
    </row>
    <row r="57" spans="1:13">
      <c r="B57" s="46" t="s">
        <v>198</v>
      </c>
      <c r="C57" s="46"/>
      <c r="D57" s="46"/>
      <c r="E57" s="46"/>
      <c r="F57" s="46"/>
      <c r="G57" s="46"/>
      <c r="H57" s="70">
        <f>H50</f>
        <v>0.85860433604336039</v>
      </c>
      <c r="I57" s="70">
        <f t="shared" ref="I57:K57" si="11">I50</f>
        <v>0.86084592761650292</v>
      </c>
      <c r="J57" s="70">
        <f t="shared" si="11"/>
        <v>1.1047076562238232</v>
      </c>
      <c r="K57" s="70">
        <f t="shared" si="11"/>
        <v>1.5624330662762482</v>
      </c>
    </row>
    <row r="58" spans="1:13">
      <c r="B58" s="46" t="s">
        <v>158</v>
      </c>
      <c r="C58" s="46"/>
      <c r="D58" s="46"/>
      <c r="E58" s="46"/>
      <c r="F58" s="46"/>
      <c r="G58" s="46"/>
      <c r="H58" s="70">
        <f>H36</f>
        <v>0.18466042374312683</v>
      </c>
      <c r="I58" s="70">
        <f t="shared" ref="I58:K58" si="12">I36</f>
        <v>0.31247771370922151</v>
      </c>
      <c r="J58" s="70">
        <f t="shared" si="12"/>
        <v>0.21896150107298104</v>
      </c>
      <c r="K58" s="70">
        <f t="shared" si="12"/>
        <v>0.25645866143785395</v>
      </c>
    </row>
    <row r="59" spans="1:13" ht="4.5" customHeight="1"/>
    <row r="60" spans="1:13" ht="15" thickBot="1">
      <c r="B60" s="54" t="s">
        <v>202</v>
      </c>
      <c r="C60" s="54"/>
      <c r="D60" s="54"/>
      <c r="E60" s="54"/>
      <c r="F60" s="54"/>
      <c r="G60" s="54"/>
      <c r="H60" s="71">
        <f>H57*H58</f>
        <v>0.158550240521453</v>
      </c>
      <c r="I60" s="71">
        <f t="shared" ref="I60:K60" si="13">I57*I58</f>
        <v>0.26899516731749884</v>
      </c>
      <c r="J60" s="71">
        <f>J57*J58</f>
        <v>0.24188844665358303</v>
      </c>
      <c r="K60" s="71">
        <f t="shared" si="13"/>
        <v>0.40069949276344835</v>
      </c>
      <c r="M60" s="65"/>
    </row>
    <row r="62" spans="1:13">
      <c r="J62" s="20" t="s">
        <v>199</v>
      </c>
      <c r="K62" s="21">
        <f>AVERAGE(H60:K60)</f>
        <v>0.26753333681399583</v>
      </c>
    </row>
    <row r="63" spans="1:13">
      <c r="J63" s="20" t="s">
        <v>200</v>
      </c>
      <c r="K63" s="21">
        <f>MEDIAN(H60:K60)</f>
        <v>0.25544180698554092</v>
      </c>
    </row>
  </sheetData>
  <pageMargins left="0.7" right="0.7" top="0.75" bottom="0.75" header="0.3" footer="0.3"/>
  <ignoredErrors>
    <ignoredError sqref="G41:K4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A8FA-361B-479D-97F8-15023F88244B}">
  <dimension ref="B1:O44"/>
  <sheetViews>
    <sheetView showGridLines="0" workbookViewId="0">
      <selection activeCell="O15" sqref="O15"/>
    </sheetView>
  </sheetViews>
  <sheetFormatPr defaultRowHeight="14.4"/>
  <cols>
    <col min="1" max="1" width="1.88671875" customWidth="1"/>
    <col min="4" max="4" width="18.5546875" customWidth="1"/>
    <col min="5" max="5" width="14.88671875" customWidth="1"/>
    <col min="6" max="6" width="11.109375" customWidth="1"/>
    <col min="7" max="7" width="10.5546875" customWidth="1"/>
    <col min="8" max="8" width="13.5546875" customWidth="1"/>
    <col min="9" max="9" width="9.77734375" customWidth="1"/>
    <col min="10" max="10" width="10.88671875" customWidth="1"/>
    <col min="11" max="11" width="10.5546875" customWidth="1"/>
  </cols>
  <sheetData>
    <row r="1" spans="2:11">
      <c r="F1">
        <v>0</v>
      </c>
      <c r="G1">
        <v>0.5</v>
      </c>
      <c r="H1">
        <v>1.5</v>
      </c>
      <c r="I1">
        <v>2.5</v>
      </c>
      <c r="J1">
        <v>3.5</v>
      </c>
      <c r="K1">
        <v>4.5</v>
      </c>
    </row>
    <row r="2" spans="2:11">
      <c r="B2" s="16" t="s">
        <v>212</v>
      </c>
      <c r="C2" s="17"/>
      <c r="D2" s="17"/>
      <c r="E2" s="17"/>
      <c r="F2" s="42">
        <f>'Raw FS'!N2</f>
        <v>45352</v>
      </c>
      <c r="G2" s="42">
        <f>F2+365</f>
        <v>45717</v>
      </c>
      <c r="H2" s="42">
        <f t="shared" ref="H2:K2" si="0">G2+365</f>
        <v>46082</v>
      </c>
      <c r="I2" s="42">
        <f t="shared" si="0"/>
        <v>46447</v>
      </c>
      <c r="J2" s="42">
        <f t="shared" si="0"/>
        <v>46812</v>
      </c>
      <c r="K2" s="42">
        <f t="shared" si="0"/>
        <v>47177</v>
      </c>
    </row>
    <row r="4" spans="2:11">
      <c r="B4" t="s">
        <v>167</v>
      </c>
      <c r="F4" s="72">
        <f>'Data Sheet'!K34-'Data Sheet'!K26</f>
        <v>26530</v>
      </c>
      <c r="G4" s="72">
        <f>F4*(1+$E$18)</f>
        <v>32034.975000000002</v>
      </c>
      <c r="H4" s="72">
        <f t="shared" ref="H4:K4" si="1">G4*(1+$E$18)</f>
        <v>38682.232312500004</v>
      </c>
      <c r="I4" s="72">
        <f t="shared" si="1"/>
        <v>46708.795517343759</v>
      </c>
      <c r="J4" s="72">
        <f t="shared" si="1"/>
        <v>56400.870587192592</v>
      </c>
      <c r="K4" s="72">
        <f t="shared" si="1"/>
        <v>68104.051234035054</v>
      </c>
    </row>
    <row r="6" spans="2:11">
      <c r="B6" t="s">
        <v>29</v>
      </c>
      <c r="F6" s="6">
        <v>0.25</v>
      </c>
      <c r="G6" s="6">
        <f>F6</f>
        <v>0.25</v>
      </c>
      <c r="H6" s="6">
        <f t="shared" ref="H6:K6" si="2">G6</f>
        <v>0.25</v>
      </c>
      <c r="I6" s="6">
        <f t="shared" si="2"/>
        <v>0.25</v>
      </c>
      <c r="J6" s="6">
        <f t="shared" si="2"/>
        <v>0.25</v>
      </c>
      <c r="K6" s="6">
        <f t="shared" si="2"/>
        <v>0.25</v>
      </c>
    </row>
    <row r="8" spans="2:11">
      <c r="B8" t="s">
        <v>203</v>
      </c>
      <c r="F8" s="72">
        <f>F4*(1-F6)</f>
        <v>19897.5</v>
      </c>
      <c r="G8" s="72">
        <f t="shared" ref="G8:K8" si="3">G4*(1-G6)</f>
        <v>24026.231250000001</v>
      </c>
      <c r="H8" s="72">
        <f t="shared" si="3"/>
        <v>29011.674234375001</v>
      </c>
      <c r="I8" s="72">
        <f t="shared" si="3"/>
        <v>35031.596638007817</v>
      </c>
      <c r="J8" s="72">
        <f t="shared" si="3"/>
        <v>42300.652940394444</v>
      </c>
      <c r="K8" s="72">
        <f t="shared" si="3"/>
        <v>51078.038425526291</v>
      </c>
    </row>
    <row r="10" spans="2:11">
      <c r="B10" t="s">
        <v>204</v>
      </c>
      <c r="F10" s="6">
        <v>0.4914</v>
      </c>
      <c r="G10" s="6">
        <f>F10</f>
        <v>0.4914</v>
      </c>
      <c r="H10" s="6">
        <f t="shared" ref="H10:K10" si="4">G10</f>
        <v>0.4914</v>
      </c>
      <c r="I10" s="6">
        <f t="shared" si="4"/>
        <v>0.4914</v>
      </c>
      <c r="J10" s="6">
        <f t="shared" si="4"/>
        <v>0.4914</v>
      </c>
      <c r="K10" s="6">
        <f t="shared" si="4"/>
        <v>0.4914</v>
      </c>
    </row>
    <row r="12" spans="2:11" ht="15" thickBot="1">
      <c r="B12" s="54" t="s">
        <v>205</v>
      </c>
      <c r="C12" s="54"/>
      <c r="D12" s="54"/>
      <c r="E12" s="54"/>
      <c r="F12" s="74">
        <f>F8*(1-F10)</f>
        <v>10119.868499999999</v>
      </c>
      <c r="G12" s="74">
        <f t="shared" ref="G12:K12" si="5">G8*(1-G10)</f>
        <v>12219.74121375</v>
      </c>
      <c r="H12" s="74">
        <f t="shared" si="5"/>
        <v>14755.337515603123</v>
      </c>
      <c r="I12" s="74">
        <f t="shared" si="5"/>
        <v>17817.070050090773</v>
      </c>
      <c r="J12" s="74">
        <f t="shared" si="5"/>
        <v>21514.112085484612</v>
      </c>
      <c r="K12" s="74">
        <f t="shared" si="5"/>
        <v>25978.290343222667</v>
      </c>
    </row>
    <row r="14" spans="2:11">
      <c r="B14" t="s">
        <v>213</v>
      </c>
      <c r="F14" s="4">
        <f>1/(1+$E$25)^F1</f>
        <v>1</v>
      </c>
      <c r="G14" s="4">
        <f>1/(1+$E$25)^G1</f>
        <v>0.93569758860647922</v>
      </c>
      <c r="H14" s="4">
        <f t="shared" ref="H14:K14" si="6">1/(1+$E$25)^H1</f>
        <v>0.81923128853473359</v>
      </c>
      <c r="I14" s="4">
        <f t="shared" si="6"/>
        <v>0.71726155147391024</v>
      </c>
      <c r="J14" s="4">
        <f t="shared" si="6"/>
        <v>0.62798398989731552</v>
      </c>
      <c r="K14" s="4">
        <f t="shared" si="6"/>
        <v>0.54981880843461917</v>
      </c>
    </row>
    <row r="16" spans="2:11" ht="15" thickBot="1">
      <c r="B16" s="54" t="s">
        <v>214</v>
      </c>
      <c r="C16" s="54"/>
      <c r="D16" s="54"/>
      <c r="E16" s="54"/>
      <c r="F16" s="74">
        <f>F14*F12</f>
        <v>10119.868499999999</v>
      </c>
      <c r="G16" s="74">
        <f t="shared" ref="G16:K16" si="7">G14*G12</f>
        <v>11433.982387101087</v>
      </c>
      <c r="H16" s="74">
        <f t="shared" si="7"/>
        <v>12088.034165672441</v>
      </c>
      <c r="I16" s="74">
        <f t="shared" si="7"/>
        <v>12779.499306847447</v>
      </c>
      <c r="J16" s="74">
        <f t="shared" si="7"/>
        <v>13510.517946540682</v>
      </c>
      <c r="K16" s="74">
        <f t="shared" si="7"/>
        <v>14283.352641679261</v>
      </c>
    </row>
    <row r="18" spans="2:15">
      <c r="B18" s="15" t="s">
        <v>206</v>
      </c>
      <c r="C18" s="15"/>
      <c r="D18" s="75"/>
      <c r="E18" s="75">
        <v>0.20749999999999999</v>
      </c>
    </row>
    <row r="19" spans="2:15">
      <c r="B19" s="15" t="s">
        <v>207</v>
      </c>
      <c r="C19" s="15"/>
      <c r="D19" s="75"/>
      <c r="E19" s="75">
        <v>5.3800000000000001E-2</v>
      </c>
    </row>
    <row r="22" spans="2:15">
      <c r="B22" s="16" t="s">
        <v>208</v>
      </c>
      <c r="C22" s="17"/>
      <c r="D22" s="17"/>
      <c r="E22" s="17"/>
    </row>
    <row r="24" spans="2:15">
      <c r="B24" t="s">
        <v>209</v>
      </c>
      <c r="E24" s="72">
        <f>K12*(1+E18)</f>
        <v>31368.78558944137</v>
      </c>
    </row>
    <row r="25" spans="2:15">
      <c r="B25" t="s">
        <v>38</v>
      </c>
      <c r="E25" s="6">
        <f>WACC!J43</f>
        <v>0.14216534658979599</v>
      </c>
    </row>
    <row r="26" spans="2:15">
      <c r="B26" t="s">
        <v>210</v>
      </c>
      <c r="E26" s="6">
        <f>E19</f>
        <v>5.3800000000000001E-2</v>
      </c>
    </row>
    <row r="28" spans="2:15" ht="16.2" thickBot="1">
      <c r="B28" s="54" t="s">
        <v>211</v>
      </c>
      <c r="C28" s="54"/>
      <c r="D28" s="54"/>
      <c r="E28" s="54">
        <f>E24/(E25-E26)</f>
        <v>354989.67412032635</v>
      </c>
      <c r="K28" s="114" t="s">
        <v>226</v>
      </c>
      <c r="L28" s="114"/>
      <c r="M28" s="114"/>
      <c r="N28" s="114"/>
      <c r="O28" s="114"/>
    </row>
    <row r="29" spans="2:15">
      <c r="K29">
        <f>E28</f>
        <v>354989.67412032635</v>
      </c>
      <c r="L29" s="78">
        <v>0.12</v>
      </c>
      <c r="M29" s="79">
        <v>0.14219999999999999</v>
      </c>
      <c r="N29" s="78">
        <v>0.16</v>
      </c>
      <c r="O29" s="78">
        <v>0.2</v>
      </c>
    </row>
    <row r="30" spans="2:15">
      <c r="K30" s="78">
        <v>0.03</v>
      </c>
      <c r="L30">
        <f t="dataTable" ref="L30:O34" dt2D="1" dtr="1" r1="E25" r2="E26"/>
        <v>348542.06210490409</v>
      </c>
      <c r="M30">
        <v>279579.19420179474</v>
      </c>
      <c r="N30">
        <v>241298.35068801054</v>
      </c>
      <c r="O30">
        <v>184522.26817318451</v>
      </c>
    </row>
    <row r="31" spans="2:15">
      <c r="B31" s="16" t="s">
        <v>215</v>
      </c>
      <c r="C31" s="17"/>
      <c r="D31" s="17"/>
      <c r="E31" s="17"/>
      <c r="K31" s="78">
        <v>0.04</v>
      </c>
      <c r="L31">
        <v>392109.81986801716</v>
      </c>
      <c r="M31">
        <v>306935.27974013088</v>
      </c>
      <c r="N31">
        <v>261406.5465786781</v>
      </c>
      <c r="O31">
        <v>196054.90993400855</v>
      </c>
    </row>
    <row r="32" spans="2:15">
      <c r="K32" s="79">
        <v>5.3800000000000001E-2</v>
      </c>
      <c r="L32">
        <v>473848.72491603281</v>
      </c>
      <c r="M32" s="80">
        <v>354850.51571766258</v>
      </c>
      <c r="N32">
        <v>295374.62890246109</v>
      </c>
      <c r="O32">
        <v>214560.77694556341</v>
      </c>
    </row>
    <row r="33" spans="2:15">
      <c r="B33" t="s">
        <v>214</v>
      </c>
      <c r="E33" s="72">
        <f>SUM(G16:K16)</f>
        <v>64095.386447840923</v>
      </c>
      <c r="K33" s="78">
        <v>0.06</v>
      </c>
      <c r="L33">
        <v>522813.0931573562</v>
      </c>
      <c r="M33">
        <v>381615.39646522352</v>
      </c>
      <c r="N33">
        <v>313687.85589441366</v>
      </c>
      <c r="O33">
        <v>224062.75421029548</v>
      </c>
    </row>
    <row r="34" spans="2:15">
      <c r="B34" t="s">
        <v>216</v>
      </c>
      <c r="E34" s="76">
        <f>E28*K14</f>
        <v>195179.99963143159</v>
      </c>
      <c r="K34" s="78">
        <v>7.0000000000000007E-2</v>
      </c>
      <c r="L34">
        <v>627375.71178882755</v>
      </c>
      <c r="M34">
        <v>434470.71453519911</v>
      </c>
      <c r="N34">
        <v>348542.06210490409</v>
      </c>
      <c r="O34">
        <v>241298.35068801054</v>
      </c>
    </row>
    <row r="35" spans="2:15">
      <c r="B35" s="1" t="s">
        <v>217</v>
      </c>
      <c r="C35" s="1"/>
      <c r="D35" s="1"/>
      <c r="E35" s="73">
        <f>SUM(E33:E34)</f>
        <v>259275.38607927252</v>
      </c>
    </row>
    <row r="37" spans="2:15">
      <c r="B37" t="s">
        <v>218</v>
      </c>
      <c r="E37">
        <f>'Raw FS'!O37</f>
        <v>4327</v>
      </c>
    </row>
    <row r="38" spans="2:15">
      <c r="B38" t="s">
        <v>219</v>
      </c>
      <c r="E38">
        <f>'Raw FS'!O8</f>
        <v>138339</v>
      </c>
    </row>
    <row r="39" spans="2:15">
      <c r="B39" s="1" t="s">
        <v>220</v>
      </c>
      <c r="C39" s="1"/>
      <c r="D39" s="1"/>
      <c r="E39" s="73">
        <f>E35+E37-E38</f>
        <v>125263.38607927249</v>
      </c>
      <c r="H39" s="73"/>
    </row>
    <row r="40" spans="2:15">
      <c r="B40" t="s">
        <v>221</v>
      </c>
      <c r="E40" s="72">
        <f>'Data Sheet'!B6</f>
        <v>366.57069627052743</v>
      </c>
    </row>
    <row r="41" spans="2:15">
      <c r="B41" t="s">
        <v>222</v>
      </c>
      <c r="E41" s="76">
        <f>E39/E40</f>
        <v>341.71685667647779</v>
      </c>
    </row>
    <row r="43" spans="2:15">
      <c r="B43" t="s">
        <v>223</v>
      </c>
      <c r="E43">
        <v>470.95</v>
      </c>
    </row>
    <row r="44" spans="2:15">
      <c r="B44" t="s">
        <v>224</v>
      </c>
      <c r="E44" s="77">
        <f>E43/E41-1</f>
        <v>0.37818779143773518</v>
      </c>
    </row>
  </sheetData>
  <mergeCells count="1">
    <mergeCell ref="K28:O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5D2E-251C-4D87-A92D-05E59C632417}">
  <dimension ref="A2:M76"/>
  <sheetViews>
    <sheetView showGridLines="0" zoomScale="70" zoomScaleNormal="70" workbookViewId="0">
      <pane ySplit="3" topLeftCell="A10" activePane="bottomLeft" state="frozen"/>
      <selection activeCell="C4" sqref="C4"/>
      <selection pane="bottomLeft" activeCell="O21" sqref="O21"/>
    </sheetView>
  </sheetViews>
  <sheetFormatPr defaultRowHeight="14.4"/>
  <cols>
    <col min="1" max="1" width="8.44140625" customWidth="1"/>
    <col min="2" max="2" width="28.44140625" bestFit="1" customWidth="1"/>
    <col min="3" max="13" width="13" customWidth="1"/>
  </cols>
  <sheetData>
    <row r="2" spans="1:13">
      <c r="B2" s="115" t="str">
        <f>"Historical Financial Statement - "&amp;'Data Sheet'!B1</f>
        <v>Historical Financial Statement - VEDANTA LTD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1:13">
      <c r="B3" s="103" t="s">
        <v>39</v>
      </c>
      <c r="C3" s="105">
        <f>'Data Sheet'!B16</f>
        <v>42094</v>
      </c>
      <c r="D3" s="105">
        <f>'Data Sheet'!C16</f>
        <v>42460</v>
      </c>
      <c r="E3" s="105">
        <f>'Data Sheet'!D16</f>
        <v>42825</v>
      </c>
      <c r="F3" s="105">
        <f>'Data Sheet'!E16</f>
        <v>43190</v>
      </c>
      <c r="G3" s="105">
        <f>'Data Sheet'!F16</f>
        <v>43555</v>
      </c>
      <c r="H3" s="105">
        <f>'Data Sheet'!G16</f>
        <v>43921</v>
      </c>
      <c r="I3" s="105">
        <f>'Data Sheet'!H16</f>
        <v>44286</v>
      </c>
      <c r="J3" s="105">
        <f>'Data Sheet'!I16</f>
        <v>44651</v>
      </c>
      <c r="K3" s="105">
        <f>'Data Sheet'!J16</f>
        <v>45016</v>
      </c>
      <c r="L3" s="105">
        <f>'Data Sheet'!K16</f>
        <v>45382</v>
      </c>
      <c r="M3" s="106" t="s">
        <v>40</v>
      </c>
    </row>
    <row r="4" spans="1:13">
      <c r="B4" s="22"/>
      <c r="D4" s="23"/>
      <c r="E4" s="23"/>
      <c r="F4" s="23"/>
      <c r="G4" s="23"/>
      <c r="H4" s="23"/>
      <c r="I4" s="23"/>
      <c r="J4" s="23"/>
      <c r="K4" s="23"/>
      <c r="L4" s="23"/>
      <c r="M4" s="24"/>
    </row>
    <row r="5" spans="1:13">
      <c r="A5" t="s">
        <v>41</v>
      </c>
      <c r="B5" s="25" t="s">
        <v>42</v>
      </c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</row>
    <row r="6" spans="1:13">
      <c r="B6" t="s">
        <v>43</v>
      </c>
      <c r="C6" s="108">
        <f>IFERROR('Data Sheet'!B17,0)</f>
        <v>73709.5</v>
      </c>
      <c r="D6" s="108">
        <f>IFERROR('Data Sheet'!C17,0)</f>
        <v>64261.760000000002</v>
      </c>
      <c r="E6" s="108">
        <f>IFERROR('Data Sheet'!D17,0)</f>
        <v>72225</v>
      </c>
      <c r="F6" s="108">
        <f>IFERROR('Data Sheet'!E17,0)</f>
        <v>91866</v>
      </c>
      <c r="G6" s="108">
        <f>IFERROR('Data Sheet'!F17,0)</f>
        <v>92048</v>
      </c>
      <c r="H6" s="108">
        <f>IFERROR('Data Sheet'!G17,0)</f>
        <v>84447</v>
      </c>
      <c r="I6" s="108">
        <f>IFERROR('Data Sheet'!H17,0)</f>
        <v>88021</v>
      </c>
      <c r="J6" s="108">
        <f>IFERROR('Data Sheet'!I17,0)</f>
        <v>132732</v>
      </c>
      <c r="K6" s="108">
        <f>IFERROR('Data Sheet'!J17,0)</f>
        <v>147308</v>
      </c>
      <c r="L6" s="108">
        <f>IFERROR('Data Sheet'!K17,0)</f>
        <v>143727</v>
      </c>
      <c r="M6" s="108">
        <f>IFERROR(SUM('Data Sheet'!H42:K42),0)</f>
        <v>143728</v>
      </c>
    </row>
    <row r="7" spans="1:13">
      <c r="B7" s="29" t="s">
        <v>44</v>
      </c>
      <c r="C7" s="109" t="s">
        <v>45</v>
      </c>
      <c r="D7" s="110">
        <f>D6/C6-1</f>
        <v>-0.12817533696470607</v>
      </c>
      <c r="E7" s="110">
        <f t="shared" ref="E7:M7" si="0">E6/D6-1</f>
        <v>0.12391879711978016</v>
      </c>
      <c r="F7" s="110">
        <f t="shared" si="0"/>
        <v>0.27194184839044655</v>
      </c>
      <c r="G7" s="110">
        <f t="shared" si="0"/>
        <v>1.9811464524415179E-3</v>
      </c>
      <c r="H7" s="110">
        <f t="shared" si="0"/>
        <v>-8.2576481835564097E-2</v>
      </c>
      <c r="I7" s="110">
        <f t="shared" si="0"/>
        <v>4.2322403400949726E-2</v>
      </c>
      <c r="J7" s="110">
        <f t="shared" si="0"/>
        <v>0.50795832812624253</v>
      </c>
      <c r="K7" s="110">
        <f t="shared" si="0"/>
        <v>0.10981526685350929</v>
      </c>
      <c r="L7" s="110">
        <f t="shared" si="0"/>
        <v>-2.4309609797159681E-2</v>
      </c>
      <c r="M7" s="110">
        <f t="shared" si="0"/>
        <v>6.9576349606137455E-6</v>
      </c>
    </row>
    <row r="9" spans="1:13">
      <c r="B9" t="s">
        <v>46</v>
      </c>
      <c r="C9" s="108">
        <f>IFERROR(SUM('Data Sheet'!B18,'Data Sheet'!B20:B22)-1*'Data Sheet'!B19,0)</f>
        <v>40700.499999999993</v>
      </c>
      <c r="D9" s="108">
        <f>IFERROR(SUM('Data Sheet'!C18,'Data Sheet'!C20:C22)-1*'Data Sheet'!C19,0)</f>
        <v>38990.43</v>
      </c>
      <c r="E9" s="108">
        <f>IFERROR(SUM('Data Sheet'!D18,'Data Sheet'!D20:D22)-1*'Data Sheet'!D19,0)</f>
        <v>40555</v>
      </c>
      <c r="F9" s="108">
        <f>IFERROR(SUM('Data Sheet'!E18,'Data Sheet'!E20:E22)-1*'Data Sheet'!E19,0)</f>
        <v>54817</v>
      </c>
      <c r="G9" s="108">
        <f>IFERROR(SUM('Data Sheet'!F18,'Data Sheet'!F20:F22)-1*'Data Sheet'!F19,0)</f>
        <v>55799</v>
      </c>
      <c r="H9" s="108">
        <f>IFERROR(SUM('Data Sheet'!G18,'Data Sheet'!G20:G22)-1*'Data Sheet'!G19,0)</f>
        <v>51025</v>
      </c>
      <c r="I9" s="108">
        <f>IFERROR(SUM('Data Sheet'!H18,'Data Sheet'!H20:H22)-1*'Data Sheet'!H19,0)</f>
        <v>48947</v>
      </c>
      <c r="J9" s="108">
        <f>IFERROR(SUM('Data Sheet'!I18,'Data Sheet'!I20:I22)-1*'Data Sheet'!I19,0)</f>
        <v>71449</v>
      </c>
      <c r="K9" s="108">
        <f>IFERROR(SUM('Data Sheet'!J18,'Data Sheet'!J20:J22)-1*'Data Sheet'!J19,0)</f>
        <v>95372</v>
      </c>
      <c r="L9" s="108">
        <f>IFERROR(SUM('Data Sheet'!K18,'Data Sheet'!K20:K22)-1*'Data Sheet'!K19,0)</f>
        <v>88313</v>
      </c>
      <c r="M9" s="108">
        <f>IFERROR(SUM('Data Sheet'!H43:K43),0)</f>
        <v>108530</v>
      </c>
    </row>
    <row r="10" spans="1:13">
      <c r="B10" s="29" t="s">
        <v>47</v>
      </c>
      <c r="C10" s="110">
        <f>C9/C6</f>
        <v>0.55217441442419213</v>
      </c>
      <c r="D10" s="110">
        <f t="shared" ref="D10:M10" si="1">D9/D6</f>
        <v>0.60674388625521614</v>
      </c>
      <c r="E10" s="110">
        <f t="shared" si="1"/>
        <v>0.56150917272412604</v>
      </c>
      <c r="F10" s="110">
        <f t="shared" si="1"/>
        <v>0.59670607188731417</v>
      </c>
      <c r="G10" s="110">
        <f t="shared" si="1"/>
        <v>0.60619459412480448</v>
      </c>
      <c r="H10" s="110">
        <f t="shared" si="1"/>
        <v>0.60422513529195832</v>
      </c>
      <c r="I10" s="110">
        <f t="shared" si="1"/>
        <v>0.55608320741641204</v>
      </c>
      <c r="J10" s="110">
        <f t="shared" si="1"/>
        <v>0.53829521140342951</v>
      </c>
      <c r="K10" s="110">
        <f t="shared" si="1"/>
        <v>0.64743259021913269</v>
      </c>
      <c r="L10" s="110">
        <f t="shared" si="1"/>
        <v>0.61444961628643191</v>
      </c>
      <c r="M10" s="110">
        <f t="shared" si="1"/>
        <v>0.75510686852944453</v>
      </c>
    </row>
    <row r="12" spans="1:13">
      <c r="B12" s="26" t="s">
        <v>48</v>
      </c>
      <c r="C12" s="27">
        <f>C6-C9</f>
        <v>33009.000000000007</v>
      </c>
      <c r="D12" s="27">
        <f t="shared" ref="D12:M12" si="2">D6-D9</f>
        <v>25271.33</v>
      </c>
      <c r="E12" s="27">
        <f t="shared" si="2"/>
        <v>31670</v>
      </c>
      <c r="F12" s="27">
        <f t="shared" si="2"/>
        <v>37049</v>
      </c>
      <c r="G12" s="27">
        <f t="shared" si="2"/>
        <v>36249</v>
      </c>
      <c r="H12" s="27">
        <f t="shared" si="2"/>
        <v>33422</v>
      </c>
      <c r="I12" s="27">
        <f t="shared" si="2"/>
        <v>39074</v>
      </c>
      <c r="J12" s="27">
        <f t="shared" si="2"/>
        <v>61283</v>
      </c>
      <c r="K12" s="27">
        <f t="shared" si="2"/>
        <v>51936</v>
      </c>
      <c r="L12" s="27">
        <f t="shared" si="2"/>
        <v>55414</v>
      </c>
      <c r="M12" s="27">
        <f t="shared" si="2"/>
        <v>35198</v>
      </c>
    </row>
    <row r="13" spans="1:13">
      <c r="B13" s="29" t="s">
        <v>49</v>
      </c>
      <c r="C13" s="110">
        <f>C12/C6</f>
        <v>0.44782558557580782</v>
      </c>
      <c r="D13" s="110">
        <f t="shared" ref="D13:M13" si="3">D12/D6</f>
        <v>0.39325611374478386</v>
      </c>
      <c r="E13" s="110">
        <f t="shared" si="3"/>
        <v>0.43849082727587402</v>
      </c>
      <c r="F13" s="110">
        <f t="shared" si="3"/>
        <v>0.40329392811268588</v>
      </c>
      <c r="G13" s="110">
        <f t="shared" si="3"/>
        <v>0.39380540587519552</v>
      </c>
      <c r="H13" s="110">
        <f t="shared" si="3"/>
        <v>0.39577486470804174</v>
      </c>
      <c r="I13" s="110">
        <f t="shared" si="3"/>
        <v>0.44391679258358802</v>
      </c>
      <c r="J13" s="110">
        <f t="shared" si="3"/>
        <v>0.46170478859657055</v>
      </c>
      <c r="K13" s="110">
        <f t="shared" si="3"/>
        <v>0.35256740978086731</v>
      </c>
      <c r="L13" s="110">
        <f t="shared" si="3"/>
        <v>0.38555038371356809</v>
      </c>
      <c r="M13" s="110">
        <f t="shared" si="3"/>
        <v>0.2448931314705555</v>
      </c>
    </row>
    <row r="15" spans="1:13">
      <c r="B15" t="s">
        <v>50</v>
      </c>
      <c r="C15" s="111">
        <f>IFERROR(SUM('Data Sheet'!B23:B24),0)</f>
        <v>10894.64</v>
      </c>
      <c r="D15" s="111">
        <f>IFERROR(SUM('Data Sheet'!C23:C24),0)</f>
        <v>43750.75</v>
      </c>
      <c r="E15" s="111">
        <f>IFERROR(SUM('Data Sheet'!D23:D24),0)</f>
        <v>10294</v>
      </c>
      <c r="F15" s="111">
        <f>IFERROR(SUM('Data Sheet'!E23:E24),0)</f>
        <v>12172</v>
      </c>
      <c r="G15" s="111">
        <f>IFERROR(SUM('Data Sheet'!F23:F24),0)</f>
        <v>13078</v>
      </c>
      <c r="H15" s="111">
        <f>IFERROR(SUM('Data Sheet'!G23:G24),0)</f>
        <v>12679</v>
      </c>
      <c r="I15" s="111">
        <f>IFERROR(SUM('Data Sheet'!H23:H24),0)</f>
        <v>11756</v>
      </c>
      <c r="J15" s="111">
        <f>IFERROR(SUM('Data Sheet'!I23:I24),0)</f>
        <v>16459</v>
      </c>
      <c r="K15" s="111">
        <f>IFERROR(SUM('Data Sheet'!J23:J24),0)</f>
        <v>17505</v>
      </c>
      <c r="L15" s="111">
        <f>IFERROR(SUM('Data Sheet'!K23:K24),0)</f>
        <v>20102</v>
      </c>
      <c r="M15" s="111"/>
    </row>
    <row r="16" spans="1:13">
      <c r="B16" s="29" t="s">
        <v>51</v>
      </c>
      <c r="C16" s="110">
        <f>C15/C6</f>
        <v>0.14780509974969305</v>
      </c>
      <c r="D16" s="110">
        <f t="shared" ref="D16:M16" si="4">D15/D6</f>
        <v>0.68082091122309751</v>
      </c>
      <c r="E16" s="110">
        <f t="shared" si="4"/>
        <v>0.14252682589131188</v>
      </c>
      <c r="F16" s="110">
        <f t="shared" si="4"/>
        <v>0.13249733307208325</v>
      </c>
      <c r="G16" s="110">
        <f t="shared" si="4"/>
        <v>0.14207804623674605</v>
      </c>
      <c r="H16" s="110">
        <f t="shared" si="4"/>
        <v>0.1501415088753893</v>
      </c>
      <c r="I16" s="110">
        <f t="shared" si="4"/>
        <v>0.1335590370479772</v>
      </c>
      <c r="J16" s="110">
        <f t="shared" si="4"/>
        <v>0.12400174788295211</v>
      </c>
      <c r="K16" s="110">
        <f t="shared" si="4"/>
        <v>0.11883264995791132</v>
      </c>
      <c r="L16" s="110">
        <f t="shared" si="4"/>
        <v>0.13986237798047688</v>
      </c>
      <c r="M16" s="110">
        <f t="shared" si="4"/>
        <v>0</v>
      </c>
    </row>
    <row r="18" spans="2:13">
      <c r="B18" s="26" t="s">
        <v>52</v>
      </c>
      <c r="C18" s="27">
        <f t="shared" ref="C18:L18" si="5">C12-C15</f>
        <v>22114.360000000008</v>
      </c>
      <c r="D18" s="27">
        <f t="shared" si="5"/>
        <v>-18479.419999999998</v>
      </c>
      <c r="E18" s="27">
        <f t="shared" si="5"/>
        <v>21376</v>
      </c>
      <c r="F18" s="27">
        <f t="shared" si="5"/>
        <v>24877</v>
      </c>
      <c r="G18" s="27">
        <f t="shared" si="5"/>
        <v>23171</v>
      </c>
      <c r="H18" s="27">
        <f t="shared" si="5"/>
        <v>20743</v>
      </c>
      <c r="I18" s="27">
        <f t="shared" si="5"/>
        <v>27318</v>
      </c>
      <c r="J18" s="27">
        <f t="shared" si="5"/>
        <v>44824</v>
      </c>
      <c r="K18" s="27">
        <f t="shared" si="5"/>
        <v>34431</v>
      </c>
      <c r="L18" s="27">
        <f t="shared" si="5"/>
        <v>35312</v>
      </c>
      <c r="M18" s="27">
        <f>IFERROR(SUM('Data Sheet'!H51:K51),0)</f>
        <v>37254</v>
      </c>
    </row>
    <row r="19" spans="2:13">
      <c r="B19" s="29" t="s">
        <v>53</v>
      </c>
      <c r="C19" s="110">
        <f>C18/C6</f>
        <v>0.30002048582611479</v>
      </c>
      <c r="D19" s="110">
        <f t="shared" ref="D19:M19" si="6">D18/D6</f>
        <v>-0.28756479747831365</v>
      </c>
      <c r="E19" s="110">
        <f t="shared" si="6"/>
        <v>0.29596400138456214</v>
      </c>
      <c r="F19" s="110">
        <f t="shared" si="6"/>
        <v>0.27079659504060261</v>
      </c>
      <c r="G19" s="110">
        <f t="shared" si="6"/>
        <v>0.2517273596384495</v>
      </c>
      <c r="H19" s="110">
        <f t="shared" si="6"/>
        <v>0.24563335583265244</v>
      </c>
      <c r="I19" s="110">
        <f t="shared" si="6"/>
        <v>0.31035775553561085</v>
      </c>
      <c r="J19" s="110">
        <f t="shared" si="6"/>
        <v>0.3377030407136184</v>
      </c>
      <c r="K19" s="110">
        <f t="shared" si="6"/>
        <v>0.233734759822956</v>
      </c>
      <c r="L19" s="110">
        <f t="shared" si="6"/>
        <v>0.24568800573309121</v>
      </c>
      <c r="M19" s="110">
        <f t="shared" si="6"/>
        <v>0.25919792942224201</v>
      </c>
    </row>
    <row r="21" spans="2:13">
      <c r="B21" t="s">
        <v>54</v>
      </c>
      <c r="C21" s="111">
        <f>IFERROR('Data Sheet'!B27,0)</f>
        <v>5658.78</v>
      </c>
      <c r="D21" s="111">
        <f>IFERROR('Data Sheet'!C27,0)</f>
        <v>5778.13</v>
      </c>
      <c r="E21" s="111">
        <f>IFERROR('Data Sheet'!D27,0)</f>
        <v>5855</v>
      </c>
      <c r="F21" s="111">
        <f>IFERROR('Data Sheet'!E27,0)</f>
        <v>5112</v>
      </c>
      <c r="G21" s="111">
        <f>IFERROR('Data Sheet'!F27,0)</f>
        <v>5689</v>
      </c>
      <c r="H21" s="111">
        <f>IFERROR('Data Sheet'!G27,0)</f>
        <v>4977</v>
      </c>
      <c r="I21" s="111">
        <f>IFERROR('Data Sheet'!H27,0)</f>
        <v>5210</v>
      </c>
      <c r="J21" s="111">
        <f>IFERROR('Data Sheet'!I27,0)</f>
        <v>4797</v>
      </c>
      <c r="K21" s="111">
        <f>IFERROR('Data Sheet'!J27,0)</f>
        <v>6225</v>
      </c>
      <c r="L21" s="111">
        <f>IFERROR('Data Sheet'!K27,0)</f>
        <v>9465</v>
      </c>
      <c r="M21" s="111">
        <f>IFERROR(SUM('Data Sheet'!H46:K46),0)</f>
        <v>9465</v>
      </c>
    </row>
    <row r="22" spans="2:13">
      <c r="B22" s="29" t="s">
        <v>55</v>
      </c>
      <c r="C22" s="110">
        <f>C21/C6</f>
        <v>7.6771379537237394E-2</v>
      </c>
      <c r="D22" s="110">
        <f t="shared" ref="D22:M22" si="7">D21/D6</f>
        <v>8.9915526745610458E-2</v>
      </c>
      <c r="E22" s="110">
        <f t="shared" si="7"/>
        <v>8.1066112841813781E-2</v>
      </c>
      <c r="F22" s="110">
        <f t="shared" si="7"/>
        <v>5.5646267389458562E-2</v>
      </c>
      <c r="G22" s="110">
        <f t="shared" si="7"/>
        <v>6.1804710585781332E-2</v>
      </c>
      <c r="H22" s="110">
        <f t="shared" si="7"/>
        <v>5.8936374293935841E-2</v>
      </c>
      <c r="I22" s="110">
        <f t="shared" si="7"/>
        <v>5.9190420467842904E-2</v>
      </c>
      <c r="J22" s="110">
        <f t="shared" si="7"/>
        <v>3.6140493626254405E-2</v>
      </c>
      <c r="K22" s="110">
        <f t="shared" si="7"/>
        <v>4.2258397371493742E-2</v>
      </c>
      <c r="L22" s="110">
        <f t="shared" si="7"/>
        <v>6.5854014903254085E-2</v>
      </c>
      <c r="M22" s="110">
        <f t="shared" si="7"/>
        <v>6.5853556718245582E-2</v>
      </c>
    </row>
    <row r="24" spans="2:13">
      <c r="B24" t="s">
        <v>56</v>
      </c>
      <c r="C24" s="111">
        <f>IFERROR('Data Sheet'!B26,0)</f>
        <v>7159.16</v>
      </c>
      <c r="D24" s="111">
        <f>IFERROR('Data Sheet'!C26,0)</f>
        <v>8572.44</v>
      </c>
      <c r="E24" s="111">
        <f>IFERROR('Data Sheet'!D26,0)</f>
        <v>6292</v>
      </c>
      <c r="F24" s="111">
        <f>IFERROR('Data Sheet'!E26,0)</f>
        <v>6283</v>
      </c>
      <c r="G24" s="111">
        <f>IFERROR('Data Sheet'!F26,0)</f>
        <v>8192</v>
      </c>
      <c r="H24" s="111">
        <f>IFERROR('Data Sheet'!G26,0)</f>
        <v>9093</v>
      </c>
      <c r="I24" s="111">
        <f>IFERROR('Data Sheet'!H26,0)</f>
        <v>7638</v>
      </c>
      <c r="J24" s="111">
        <f>IFERROR('Data Sheet'!I26,0)</f>
        <v>8895</v>
      </c>
      <c r="K24" s="111">
        <f>IFERROR('Data Sheet'!J26,0)</f>
        <v>10555</v>
      </c>
      <c r="L24" s="111">
        <f>IFERROR('Data Sheet'!K26,0)</f>
        <v>10723</v>
      </c>
      <c r="M24" s="111">
        <f>IFERROR(SUM('Data Sheet'!H45:K45),0)</f>
        <v>10723</v>
      </c>
    </row>
    <row r="25" spans="2:13">
      <c r="B25" s="29" t="s">
        <v>57</v>
      </c>
      <c r="C25" s="110">
        <f>C24/C6</f>
        <v>9.712669330276287E-2</v>
      </c>
      <c r="D25" s="110">
        <f t="shared" ref="D25:M25" si="8">D24/D6</f>
        <v>0.1333987740142816</v>
      </c>
      <c r="E25" s="110">
        <f t="shared" si="8"/>
        <v>8.7116649359640017E-2</v>
      </c>
      <c r="F25" s="110">
        <f t="shared" si="8"/>
        <v>6.8393094289508627E-2</v>
      </c>
      <c r="G25" s="110">
        <f t="shared" si="8"/>
        <v>8.8997045019989576E-2</v>
      </c>
      <c r="H25" s="110">
        <f t="shared" si="8"/>
        <v>0.10767700451170557</v>
      </c>
      <c r="I25" s="110">
        <f t="shared" si="8"/>
        <v>8.6774746935390418E-2</v>
      </c>
      <c r="J25" s="110">
        <f t="shared" si="8"/>
        <v>6.7014736461441099E-2</v>
      </c>
      <c r="K25" s="110">
        <f t="shared" si="8"/>
        <v>7.1652591848372124E-2</v>
      </c>
      <c r="L25" s="110">
        <f t="shared" si="8"/>
        <v>7.4606719683845066E-2</v>
      </c>
      <c r="M25" s="110">
        <f t="shared" si="8"/>
        <v>7.4606200601135472E-2</v>
      </c>
    </row>
    <row r="27" spans="2:13">
      <c r="B27" s="26" t="s">
        <v>58</v>
      </c>
      <c r="C27" s="27">
        <f>IFERROR(C18-SUM(C24,C21),0)</f>
        <v>9296.4200000000092</v>
      </c>
      <c r="D27" s="27">
        <f t="shared" ref="D27:M27" si="9">IFERROR(D18-SUM(D24,D21),0)</f>
        <v>-32829.99</v>
      </c>
      <c r="E27" s="27">
        <f t="shared" si="9"/>
        <v>9229</v>
      </c>
      <c r="F27" s="27">
        <f t="shared" si="9"/>
        <v>13482</v>
      </c>
      <c r="G27" s="27">
        <f t="shared" si="9"/>
        <v>9290</v>
      </c>
      <c r="H27" s="27">
        <f t="shared" si="9"/>
        <v>6673</v>
      </c>
      <c r="I27" s="28">
        <f t="shared" si="9"/>
        <v>14470</v>
      </c>
      <c r="J27" s="28">
        <f t="shared" si="9"/>
        <v>31132</v>
      </c>
      <c r="K27" s="28">
        <f t="shared" si="9"/>
        <v>17651</v>
      </c>
      <c r="L27" s="28">
        <f t="shared" si="9"/>
        <v>15124</v>
      </c>
      <c r="M27" s="28">
        <f t="shared" si="9"/>
        <v>17066</v>
      </c>
    </row>
    <row r="28" spans="2:13">
      <c r="B28" s="29" t="s">
        <v>59</v>
      </c>
      <c r="C28" s="110">
        <f>C27/C6</f>
        <v>0.12612241298611454</v>
      </c>
      <c r="D28" s="110">
        <f t="shared" ref="D28:M28" si="10">D27/D6</f>
        <v>-0.51087909823820565</v>
      </c>
      <c r="E28" s="110">
        <f t="shared" si="10"/>
        <v>0.12778123918310835</v>
      </c>
      <c r="F28" s="110">
        <f t="shared" si="10"/>
        <v>0.14675723336163543</v>
      </c>
      <c r="G28" s="110">
        <f t="shared" si="10"/>
        <v>0.1009256040326786</v>
      </c>
      <c r="H28" s="110">
        <f t="shared" si="10"/>
        <v>7.9019977027011024E-2</v>
      </c>
      <c r="I28" s="110">
        <f t="shared" si="10"/>
        <v>0.1643925881323775</v>
      </c>
      <c r="J28" s="110">
        <f t="shared" si="10"/>
        <v>0.23454781062592292</v>
      </c>
      <c r="K28" s="110">
        <f t="shared" si="10"/>
        <v>0.11982377060309013</v>
      </c>
      <c r="L28" s="110">
        <f t="shared" si="10"/>
        <v>0.10522727114599205</v>
      </c>
      <c r="M28" s="110">
        <f t="shared" si="10"/>
        <v>0.11873817210286096</v>
      </c>
    </row>
    <row r="30" spans="2:13">
      <c r="B30" t="s">
        <v>60</v>
      </c>
      <c r="C30" s="108">
        <f>IFERROR('Data Sheet'!B29,0)</f>
        <v>1448.36</v>
      </c>
      <c r="D30" s="108">
        <f>IFERROR('Data Sheet'!C29,0)</f>
        <v>-10677.55</v>
      </c>
      <c r="E30" s="108">
        <f>IFERROR('Data Sheet'!D29,0)</f>
        <v>2333</v>
      </c>
      <c r="F30" s="108">
        <f>IFERROR('Data Sheet'!E29,0)</f>
        <v>5877</v>
      </c>
      <c r="G30" s="108">
        <f>IFERROR('Data Sheet'!F29,0)</f>
        <v>3862</v>
      </c>
      <c r="H30" s="108">
        <f>IFERROR('Data Sheet'!G29,0)</f>
        <v>-3516</v>
      </c>
      <c r="I30" s="108">
        <f>IFERROR('Data Sheet'!H29,0)</f>
        <v>2180</v>
      </c>
      <c r="J30" s="108">
        <f>IFERROR('Data Sheet'!I29,0)</f>
        <v>9255</v>
      </c>
      <c r="K30" s="108">
        <f>IFERROR('Data Sheet'!J29,0)</f>
        <v>5770</v>
      </c>
      <c r="L30" s="108">
        <f>IFERROR('Data Sheet'!K29,0)</f>
        <v>12826</v>
      </c>
      <c r="M30" s="108">
        <f>IFERROR(SUM('Data Sheet'!H48:K48),0)</f>
        <v>12827</v>
      </c>
    </row>
    <row r="31" spans="2:13">
      <c r="B31" s="29" t="s">
        <v>61</v>
      </c>
      <c r="C31" s="110">
        <f>C30/C27</f>
        <v>0.15579760811150942</v>
      </c>
      <c r="D31" s="110">
        <f t="shared" ref="D31:M31" si="11">D30/D27</f>
        <v>0.32523768663956337</v>
      </c>
      <c r="E31" s="110">
        <f t="shared" si="11"/>
        <v>0.2527901181059703</v>
      </c>
      <c r="F31" s="110">
        <f t="shared" si="11"/>
        <v>0.43591455273698265</v>
      </c>
      <c r="G31" s="110">
        <f t="shared" si="11"/>
        <v>0.41571582346609259</v>
      </c>
      <c r="H31" s="110">
        <f t="shared" si="11"/>
        <v>-0.52689944552674961</v>
      </c>
      <c r="I31" s="110">
        <f t="shared" si="11"/>
        <v>0.15065653075328264</v>
      </c>
      <c r="J31" s="110">
        <f t="shared" si="11"/>
        <v>0.29728253886676087</v>
      </c>
      <c r="K31" s="110">
        <f t="shared" si="11"/>
        <v>0.32689366041584045</v>
      </c>
      <c r="L31" s="110">
        <f t="shared" si="11"/>
        <v>0.84805606982279824</v>
      </c>
      <c r="M31" s="110">
        <f t="shared" si="11"/>
        <v>0.75161139106996366</v>
      </c>
    </row>
    <row r="33" spans="1:13">
      <c r="B33" s="26" t="s">
        <v>62</v>
      </c>
      <c r="C33" s="28">
        <f>IFERROR(C27-C30,0)</f>
        <v>7848.0600000000095</v>
      </c>
      <c r="D33" s="28">
        <f t="shared" ref="D33:M33" si="12">IFERROR(D27-D30,0)</f>
        <v>-22152.44</v>
      </c>
      <c r="E33" s="28">
        <f t="shared" si="12"/>
        <v>6896</v>
      </c>
      <c r="F33" s="28">
        <f t="shared" si="12"/>
        <v>7605</v>
      </c>
      <c r="G33" s="28">
        <f t="shared" si="12"/>
        <v>5428</v>
      </c>
      <c r="H33" s="28">
        <f t="shared" si="12"/>
        <v>10189</v>
      </c>
      <c r="I33" s="28">
        <f t="shared" si="12"/>
        <v>12290</v>
      </c>
      <c r="J33" s="28">
        <f t="shared" si="12"/>
        <v>21877</v>
      </c>
      <c r="K33" s="28">
        <f t="shared" si="12"/>
        <v>11881</v>
      </c>
      <c r="L33" s="28">
        <f t="shared" si="12"/>
        <v>2298</v>
      </c>
      <c r="M33" s="28">
        <f t="shared" si="12"/>
        <v>4239</v>
      </c>
    </row>
    <row r="34" spans="1:13">
      <c r="B34" s="29" t="s">
        <v>63</v>
      </c>
      <c r="C34" s="110">
        <f>C33/C6</f>
        <v>0.10647284271362592</v>
      </c>
      <c r="D34" s="110">
        <f t="shared" ref="D34:M34" si="13">D33/D6</f>
        <v>-0.34472196217470541</v>
      </c>
      <c r="E34" s="110">
        <f t="shared" si="13"/>
        <v>9.5479404638283139E-2</v>
      </c>
      <c r="F34" s="110">
        <f t="shared" si="13"/>
        <v>8.2783619619881135E-2</v>
      </c>
      <c r="G34" s="110">
        <f t="shared" si="13"/>
        <v>5.8969233443420824E-2</v>
      </c>
      <c r="H34" s="110">
        <f t="shared" si="13"/>
        <v>0.12065555910807962</v>
      </c>
      <c r="I34" s="110">
        <f t="shared" si="13"/>
        <v>0.13962577112280025</v>
      </c>
      <c r="J34" s="110">
        <f t="shared" si="13"/>
        <v>0.16482084199740832</v>
      </c>
      <c r="K34" s="110">
        <f t="shared" si="13"/>
        <v>8.0654139625818008E-2</v>
      </c>
      <c r="L34" s="110">
        <f t="shared" si="13"/>
        <v>1.5988645139744097E-2</v>
      </c>
      <c r="M34" s="110">
        <f t="shared" si="13"/>
        <v>2.949320939552488E-2</v>
      </c>
    </row>
    <row r="36" spans="1:13">
      <c r="B36" t="s">
        <v>64</v>
      </c>
      <c r="C36">
        <f>IFERROR('Data Sheet'!B93,0)</f>
        <v>296.47000000000003</v>
      </c>
      <c r="D36">
        <f>IFERROR('Data Sheet'!C93,0)</f>
        <v>296.47000000000003</v>
      </c>
      <c r="E36">
        <f>IFERROR('Data Sheet'!D93,0)</f>
        <v>296.47000000000003</v>
      </c>
      <c r="F36">
        <f>IFERROR('Data Sheet'!E93,0)</f>
        <v>371.72</v>
      </c>
      <c r="G36">
        <f>IFERROR('Data Sheet'!F93,0)</f>
        <v>371.72</v>
      </c>
      <c r="H36">
        <f>IFERROR('Data Sheet'!G93,0)</f>
        <v>371.72</v>
      </c>
      <c r="I36">
        <f>IFERROR('Data Sheet'!H93,0)</f>
        <v>371.72</v>
      </c>
      <c r="J36">
        <f>IFERROR('Data Sheet'!I93,0)</f>
        <v>371.72</v>
      </c>
      <c r="K36">
        <f>IFERROR('Data Sheet'!J93,0)</f>
        <v>371.72</v>
      </c>
      <c r="L36">
        <f>IFERROR('Data Sheet'!K93,0)</f>
        <v>371.72</v>
      </c>
      <c r="M36">
        <f>L36</f>
        <v>371.72</v>
      </c>
    </row>
    <row r="37" spans="1:13"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</row>
    <row r="38" spans="1:13">
      <c r="B38" t="s">
        <v>65</v>
      </c>
      <c r="C38" s="111">
        <f>IFERROR(C33/C36,0)</f>
        <v>26.471683475562482</v>
      </c>
      <c r="D38" s="111">
        <f t="shared" ref="D38:M38" si="14">IFERROR(D33/D36,0)</f>
        <v>-74.720680001349194</v>
      </c>
      <c r="E38" s="111">
        <f t="shared" si="14"/>
        <v>23.26036361183256</v>
      </c>
      <c r="F38" s="111">
        <f t="shared" si="14"/>
        <v>20.458947594963949</v>
      </c>
      <c r="G38" s="111">
        <f t="shared" si="14"/>
        <v>14.602388894867103</v>
      </c>
      <c r="H38" s="111">
        <f t="shared" si="14"/>
        <v>27.410416442483587</v>
      </c>
      <c r="I38" s="111">
        <f t="shared" si="14"/>
        <v>33.062520176476916</v>
      </c>
      <c r="J38" s="111">
        <f t="shared" si="14"/>
        <v>58.853438071666844</v>
      </c>
      <c r="K38" s="111">
        <f t="shared" si="14"/>
        <v>31.962229635209294</v>
      </c>
      <c r="L38" s="111">
        <f t="shared" si="14"/>
        <v>6.1820725277090283</v>
      </c>
      <c r="M38" s="111">
        <f t="shared" si="14"/>
        <v>11.403744754116001</v>
      </c>
    </row>
    <row r="39" spans="1:13">
      <c r="B39" s="29" t="s">
        <v>66</v>
      </c>
      <c r="C39" s="110"/>
      <c r="D39" s="110">
        <f>IFERROR(D38/C38-1,0)</f>
        <v>-3.8226644546550319</v>
      </c>
      <c r="E39" s="110">
        <f t="shared" ref="E39:M39" si="15">IFERROR(E38/D38-1,0)</f>
        <v>-1.3112975365241932</v>
      </c>
      <c r="F39" s="110">
        <f t="shared" si="15"/>
        <v>-0.12043732693170495</v>
      </c>
      <c r="G39" s="110">
        <f t="shared" si="15"/>
        <v>-0.28625904010519398</v>
      </c>
      <c r="H39" s="110">
        <f t="shared" si="15"/>
        <v>0.87711864406779672</v>
      </c>
      <c r="I39" s="110">
        <f t="shared" si="15"/>
        <v>0.20620276769064683</v>
      </c>
      <c r="J39" s="110">
        <f t="shared" si="15"/>
        <v>0.7800650935720097</v>
      </c>
      <c r="K39" s="110">
        <f t="shared" si="15"/>
        <v>-0.45691822461946341</v>
      </c>
      <c r="L39" s="110">
        <f t="shared" si="15"/>
        <v>-0.80658193754734442</v>
      </c>
      <c r="M39" s="110">
        <f t="shared" si="15"/>
        <v>0.84464751958224538</v>
      </c>
    </row>
    <row r="41" spans="1:13">
      <c r="B41" t="s">
        <v>67</v>
      </c>
      <c r="C41" s="112">
        <f>IFERROR('Data Sheet'!B31/HistoricalFS!C36,0)</f>
        <v>4.100414881775559</v>
      </c>
      <c r="D41" s="112">
        <f>IFERROR('Data Sheet'!C31/HistoricalFS!D36,0)</f>
        <v>3.5003541673693794</v>
      </c>
      <c r="E41" s="108">
        <f>IFERROR('Data Sheet'!D31/HistoricalFS!E36,0)</f>
        <v>19.484770803116671</v>
      </c>
      <c r="F41" s="108">
        <f>IFERROR('Data Sheet'!E31/HistoricalFS!F36,0)</f>
        <v>21.215969008931452</v>
      </c>
      <c r="G41" s="108">
        <f>IFERROR('Data Sheet'!F31/HistoricalFS!G36,0)</f>
        <v>18.864198859356502</v>
      </c>
      <c r="H41" s="108">
        <f>IFERROR('Data Sheet'!G31/HistoricalFS!H36,0)</f>
        <v>3.9029376950392765</v>
      </c>
      <c r="I41" s="108">
        <f>IFERROR('Data Sheet'!H31/HistoricalFS!I36,0)</f>
        <v>9.5071559238136221</v>
      </c>
      <c r="J41" s="108">
        <f>IFERROR('Data Sheet'!I31/HistoricalFS!J36,0)</f>
        <v>45.033896481222421</v>
      </c>
      <c r="K41" s="108">
        <f>IFERROR('Data Sheet'!J31/HistoricalFS!K36,0)</f>
        <v>101.57645539653502</v>
      </c>
      <c r="L41" s="108">
        <f>IFERROR('Data Sheet'!K31/HistoricalFS!L36,0)</f>
        <v>29.522221026579142</v>
      </c>
      <c r="M41" s="108">
        <f>IFERROR('Data Sheet'!L31/HistoricalFS!M36,0)</f>
        <v>0</v>
      </c>
    </row>
    <row r="42" spans="1:13">
      <c r="B42" s="29" t="s">
        <v>68</v>
      </c>
      <c r="C42" s="110">
        <f>IFERROR(C41/C38,0)</f>
        <v>0.15489815317416006</v>
      </c>
      <c r="D42" s="110">
        <f t="shared" ref="D42:M42" si="16">IFERROR(D41/D38,0)</f>
        <v>-4.6845855354985734E-2</v>
      </c>
      <c r="E42" s="110">
        <f t="shared" si="16"/>
        <v>0.83768126450116009</v>
      </c>
      <c r="F42" s="110">
        <f t="shared" si="16"/>
        <v>1.0370019723865878</v>
      </c>
      <c r="G42" s="110">
        <f t="shared" si="16"/>
        <v>1.2918570375829035</v>
      </c>
      <c r="H42" s="110">
        <f t="shared" si="16"/>
        <v>0.14238885072136617</v>
      </c>
      <c r="I42" s="110">
        <f t="shared" si="16"/>
        <v>0.2875508543531326</v>
      </c>
      <c r="J42" s="110">
        <f t="shared" si="16"/>
        <v>0.76518718288613607</v>
      </c>
      <c r="K42" s="110">
        <f t="shared" si="16"/>
        <v>3.1780153185758779</v>
      </c>
      <c r="L42" s="110">
        <f t="shared" si="16"/>
        <v>4.7754569190600513</v>
      </c>
      <c r="M42" s="110">
        <f t="shared" si="16"/>
        <v>0</v>
      </c>
    </row>
    <row r="44" spans="1:13">
      <c r="B44" t="s">
        <v>69</v>
      </c>
      <c r="C44" s="5">
        <f>IFERROR(IF(C38&gt;C41,1-C42,0),0)</f>
        <v>0.84510184682584</v>
      </c>
      <c r="D44" s="5">
        <f t="shared" ref="D44:M44" si="17">IFERROR(IF(D38&gt;D41,1-D42,0),0)</f>
        <v>0</v>
      </c>
      <c r="E44" s="5">
        <f t="shared" si="17"/>
        <v>0.16231873549883991</v>
      </c>
      <c r="F44" s="5">
        <f t="shared" si="17"/>
        <v>0</v>
      </c>
      <c r="G44" s="5">
        <f t="shared" si="17"/>
        <v>0</v>
      </c>
      <c r="H44" s="5">
        <f t="shared" si="17"/>
        <v>0.8576111492786338</v>
      </c>
      <c r="I44" s="5">
        <f t="shared" si="17"/>
        <v>0.71244914564686734</v>
      </c>
      <c r="J44" s="5">
        <f t="shared" si="17"/>
        <v>0.23481281711386393</v>
      </c>
      <c r="K44" s="5">
        <f t="shared" si="17"/>
        <v>0</v>
      </c>
      <c r="L44" s="5">
        <f t="shared" si="17"/>
        <v>0</v>
      </c>
      <c r="M44" s="5">
        <f t="shared" si="17"/>
        <v>1</v>
      </c>
    </row>
    <row r="46" spans="1:13">
      <c r="A46" t="s">
        <v>41</v>
      </c>
      <c r="B46" s="25" t="s">
        <v>70</v>
      </c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</row>
    <row r="47" spans="1:13">
      <c r="B47" t="s">
        <v>71</v>
      </c>
      <c r="C47" s="108">
        <f>IFERROR('Data Sheet'!B57,0)</f>
        <v>296.5</v>
      </c>
      <c r="D47" s="108">
        <f>IFERROR('Data Sheet'!C57,0)</f>
        <v>296.5</v>
      </c>
      <c r="E47" s="108">
        <f>IFERROR('Data Sheet'!D57,0)</f>
        <v>297</v>
      </c>
      <c r="F47" s="108">
        <f>IFERROR('Data Sheet'!E57,0)</f>
        <v>372</v>
      </c>
      <c r="G47" s="108">
        <f>IFERROR('Data Sheet'!F57,0)</f>
        <v>372</v>
      </c>
      <c r="H47" s="108">
        <f>IFERROR('Data Sheet'!G57,0)</f>
        <v>372</v>
      </c>
      <c r="I47" s="108">
        <f>IFERROR('Data Sheet'!H57,0)</f>
        <v>372</v>
      </c>
      <c r="J47" s="108">
        <f>IFERROR('Data Sheet'!I57,0)</f>
        <v>372</v>
      </c>
      <c r="K47" s="108">
        <f>IFERROR('Data Sheet'!J57,0)</f>
        <v>372</v>
      </c>
      <c r="L47" s="108">
        <f>IFERROR('Data Sheet'!K57,0)</f>
        <v>372</v>
      </c>
    </row>
    <row r="48" spans="1:13">
      <c r="B48" t="s">
        <v>72</v>
      </c>
      <c r="C48" s="108">
        <f>IFERROR('Data Sheet'!B58,0)</f>
        <v>53578.77</v>
      </c>
      <c r="D48" s="108">
        <f>IFERROR('Data Sheet'!C58,0)</f>
        <v>43742.67</v>
      </c>
      <c r="E48" s="108">
        <f>IFERROR('Data Sheet'!D58,0)</f>
        <v>60128</v>
      </c>
      <c r="F48" s="108">
        <f>IFERROR('Data Sheet'!E58,0)</f>
        <v>62940</v>
      </c>
      <c r="G48" s="108">
        <f>IFERROR('Data Sheet'!F58,0)</f>
        <v>61925</v>
      </c>
      <c r="H48" s="108">
        <f>IFERROR('Data Sheet'!G58,0)</f>
        <v>54263</v>
      </c>
      <c r="I48" s="108">
        <f>IFERROR('Data Sheet'!H58,0)</f>
        <v>61906</v>
      </c>
      <c r="J48" s="108">
        <f>IFERROR('Data Sheet'!I58,0)</f>
        <v>65011</v>
      </c>
      <c r="K48" s="108">
        <f>IFERROR('Data Sheet'!J58,0)</f>
        <v>39051</v>
      </c>
      <c r="L48" s="108">
        <f>IFERROR('Data Sheet'!K58,0)</f>
        <v>30350</v>
      </c>
    </row>
    <row r="49" spans="2:13">
      <c r="B49" t="s">
        <v>73</v>
      </c>
      <c r="C49" s="108">
        <f>IFERROR('Data Sheet'!B59,0)</f>
        <v>77752.3</v>
      </c>
      <c r="D49" s="108">
        <f>IFERROR('Data Sheet'!C59,0)</f>
        <v>67777.81</v>
      </c>
      <c r="E49" s="108">
        <f>IFERROR('Data Sheet'!D59,0)</f>
        <v>71569</v>
      </c>
      <c r="F49" s="108">
        <f>IFERROR('Data Sheet'!E59,0)</f>
        <v>58159</v>
      </c>
      <c r="G49" s="108">
        <f>IFERROR('Data Sheet'!F59,0)</f>
        <v>66226</v>
      </c>
      <c r="H49" s="108">
        <f>IFERROR('Data Sheet'!G59,0)</f>
        <v>59185</v>
      </c>
      <c r="I49" s="108">
        <f>IFERROR('Data Sheet'!H59,0)</f>
        <v>57667</v>
      </c>
      <c r="J49" s="108">
        <f>IFERROR('Data Sheet'!I59,0)</f>
        <v>53583</v>
      </c>
      <c r="K49" s="108">
        <f>IFERROR('Data Sheet'!J59,0)</f>
        <v>80329</v>
      </c>
      <c r="L49" s="108">
        <f>IFERROR('Data Sheet'!K59,0)</f>
        <v>87706</v>
      </c>
    </row>
    <row r="50" spans="2:13">
      <c r="B50" t="s">
        <v>74</v>
      </c>
      <c r="C50" s="108">
        <f>IFERROR('Data Sheet'!B60,0)</f>
        <v>58653.61</v>
      </c>
      <c r="D50" s="108">
        <f>IFERROR('Data Sheet'!C60,0)</f>
        <v>80163.37</v>
      </c>
      <c r="E50" s="108">
        <f>IFERROR('Data Sheet'!D60,0)</f>
        <v>64952</v>
      </c>
      <c r="F50" s="108">
        <f>IFERROR('Data Sheet'!E60,0)</f>
        <v>58896</v>
      </c>
      <c r="G50" s="108">
        <f>IFERROR('Data Sheet'!F60,0)</f>
        <v>70045</v>
      </c>
      <c r="H50" s="108">
        <f>IFERROR('Data Sheet'!G60,0)</f>
        <v>66917</v>
      </c>
      <c r="I50" s="108">
        <f>IFERROR('Data Sheet'!H60,0)</f>
        <v>63551</v>
      </c>
      <c r="J50" s="108">
        <f>IFERROR('Data Sheet'!I60,0)</f>
        <v>74981</v>
      </c>
      <c r="K50" s="108">
        <f>IFERROR('Data Sheet'!J60,0)</f>
        <v>69703</v>
      </c>
      <c r="L50" s="108">
        <f>IFERROR('Data Sheet'!K60,0)</f>
        <v>69690</v>
      </c>
    </row>
    <row r="51" spans="2:13">
      <c r="B51" s="26" t="s">
        <v>75</v>
      </c>
      <c r="C51" s="28">
        <f>IFERROR('Data Sheet'!B61,0)</f>
        <v>190281.18</v>
      </c>
      <c r="D51" s="28">
        <f>IFERROR('Data Sheet'!C61,0)</f>
        <v>191980.35</v>
      </c>
      <c r="E51" s="28">
        <f>IFERROR('Data Sheet'!D61,0)</f>
        <v>196946</v>
      </c>
      <c r="F51" s="28">
        <f>IFERROR('Data Sheet'!E61,0)</f>
        <v>180367</v>
      </c>
      <c r="G51" s="28">
        <f>IFERROR('Data Sheet'!F61,0)</f>
        <v>198568</v>
      </c>
      <c r="H51" s="28">
        <f>IFERROR('Data Sheet'!G61,0)</f>
        <v>180737</v>
      </c>
      <c r="I51" s="28">
        <f>IFERROR('Data Sheet'!H61,0)</f>
        <v>183496</v>
      </c>
      <c r="J51" s="28">
        <f>IFERROR('Data Sheet'!I61,0)</f>
        <v>193947</v>
      </c>
      <c r="K51" s="28">
        <f>IFERROR('Data Sheet'!J61,0)</f>
        <v>189455</v>
      </c>
      <c r="L51" s="28">
        <f>IFERROR('Data Sheet'!K61,0)</f>
        <v>188118</v>
      </c>
      <c r="M51" s="1"/>
    </row>
    <row r="53" spans="2:13">
      <c r="B53" t="s">
        <v>76</v>
      </c>
      <c r="C53" s="108">
        <f>IFERROR('Data Sheet'!B62,0)</f>
        <v>70107.83</v>
      </c>
      <c r="D53" s="108">
        <f>IFERROR('Data Sheet'!C62,0)</f>
        <v>61590.85</v>
      </c>
      <c r="E53" s="108">
        <f>IFERROR('Data Sheet'!D62,0)</f>
        <v>75631</v>
      </c>
      <c r="F53" s="108">
        <f>IFERROR('Data Sheet'!E62,0)</f>
        <v>78455</v>
      </c>
      <c r="G53" s="108">
        <f>IFERROR('Data Sheet'!F62,0)</f>
        <v>86327</v>
      </c>
      <c r="H53" s="108">
        <f>IFERROR('Data Sheet'!G62,0)</f>
        <v>86127</v>
      </c>
      <c r="I53" s="108">
        <f>IFERROR('Data Sheet'!H62,0)</f>
        <v>88002</v>
      </c>
      <c r="J53" s="108">
        <f>IFERROR('Data Sheet'!I62,0)</f>
        <v>89498</v>
      </c>
      <c r="K53" s="108">
        <f>IFERROR('Data Sheet'!J62,0)</f>
        <v>90483</v>
      </c>
      <c r="L53" s="108">
        <f>IFERROR('Data Sheet'!K62,0)</f>
        <v>92551</v>
      </c>
    </row>
    <row r="54" spans="2:13">
      <c r="B54" t="s">
        <v>77</v>
      </c>
      <c r="C54" s="108">
        <f>IFERROR('Data Sheet'!B63,0)</f>
        <v>38747.949999999997</v>
      </c>
      <c r="D54" s="108">
        <f>IFERROR('Data Sheet'!C63,0)</f>
        <v>38461.33</v>
      </c>
      <c r="E54" s="108">
        <f>IFERROR('Data Sheet'!D63,0)</f>
        <v>27557</v>
      </c>
      <c r="F54" s="108">
        <f>IFERROR('Data Sheet'!E63,0)</f>
        <v>32055</v>
      </c>
      <c r="G54" s="108">
        <f>IFERROR('Data Sheet'!F63,0)</f>
        <v>24959</v>
      </c>
      <c r="H54" s="108">
        <f>IFERROR('Data Sheet'!G63,0)</f>
        <v>18585</v>
      </c>
      <c r="I54" s="108">
        <f>IFERROR('Data Sheet'!H63,0)</f>
        <v>16314</v>
      </c>
      <c r="J54" s="108">
        <f>IFERROR('Data Sheet'!I63,0)</f>
        <v>15879</v>
      </c>
      <c r="K54" s="108">
        <f>IFERROR('Data Sheet'!J63,0)</f>
        <v>19529</v>
      </c>
      <c r="L54" s="108">
        <f>IFERROR('Data Sheet'!K63,0)</f>
        <v>22889</v>
      </c>
    </row>
    <row r="55" spans="2:13">
      <c r="B55" t="s">
        <v>78</v>
      </c>
      <c r="C55" s="108">
        <f>IFERROR('Data Sheet'!B64,0)</f>
        <v>39606.04</v>
      </c>
      <c r="D55" s="108">
        <f>IFERROR('Data Sheet'!C64,0)</f>
        <v>53385.98</v>
      </c>
      <c r="E55" s="108">
        <f>IFERROR('Data Sheet'!D64,0)</f>
        <v>46962</v>
      </c>
      <c r="F55" s="108">
        <f>IFERROR('Data Sheet'!E64,0)</f>
        <v>28700</v>
      </c>
      <c r="G55" s="108">
        <f>IFERROR('Data Sheet'!F64,0)</f>
        <v>33065</v>
      </c>
      <c r="H55" s="108">
        <f>IFERROR('Data Sheet'!G64,0)</f>
        <v>24753</v>
      </c>
      <c r="I55" s="108">
        <f>IFERROR('Data Sheet'!H64,0)</f>
        <v>16660</v>
      </c>
      <c r="J55" s="108">
        <f>IFERROR('Data Sheet'!I64,0)</f>
        <v>17291</v>
      </c>
      <c r="K55" s="108">
        <f>IFERROR('Data Sheet'!J64,0)</f>
        <v>13150</v>
      </c>
      <c r="L55" s="108">
        <f>IFERROR('Data Sheet'!K64,0)</f>
        <v>11869</v>
      </c>
    </row>
    <row r="56" spans="2:13">
      <c r="B56" t="s">
        <v>79</v>
      </c>
      <c r="C56" s="108">
        <f>IFERROR('Data Sheet'!B65-SUM('Data Sheet'!B67:B69),0)</f>
        <v>23792.93</v>
      </c>
      <c r="D56" s="108">
        <f>IFERROR('Data Sheet'!C65-SUM('Data Sheet'!C67:C69),0)</f>
        <v>24328.000000000004</v>
      </c>
      <c r="E56" s="108">
        <f>IFERROR('Data Sheet'!D65-SUM('Data Sheet'!D67:D69),0)</f>
        <v>20805</v>
      </c>
      <c r="F56" s="108">
        <f>IFERROR('Data Sheet'!E65-SUM('Data Sheet'!E67:E69),0)</f>
        <v>20005</v>
      </c>
      <c r="G56" s="108">
        <f>IFERROR('Data Sheet'!F65-SUM('Data Sheet'!F67:F69),0)</f>
        <v>28668</v>
      </c>
      <c r="H56" s="108">
        <f>IFERROR('Data Sheet'!G65-SUM('Data Sheet'!G67:G69),0)</f>
        <v>24738</v>
      </c>
      <c r="I56" s="108">
        <f>IFERROR('Data Sheet'!H65-SUM('Data Sheet'!H67:H69),0)</f>
        <v>32477</v>
      </c>
      <c r="J56" s="108">
        <f>IFERROR('Data Sheet'!I65-SUM('Data Sheet'!I67:I69),0)</f>
        <v>36665</v>
      </c>
      <c r="K56" s="108">
        <f>IFERROR('Data Sheet'!J65-SUM('Data Sheet'!J67:J69),0)</f>
        <v>38013</v>
      </c>
      <c r="L56" s="108">
        <f>IFERROR('Data Sheet'!K65-SUM('Data Sheet'!K67:K69),0)</f>
        <v>39874</v>
      </c>
    </row>
    <row r="57" spans="2:13">
      <c r="B57" s="26" t="s">
        <v>80</v>
      </c>
      <c r="C57" s="28">
        <f>SUM(C53:C56)</f>
        <v>172254.75</v>
      </c>
      <c r="D57" s="28">
        <f t="shared" ref="D57:L57" si="18">SUM(D53:D56)</f>
        <v>177766.16</v>
      </c>
      <c r="E57" s="28">
        <f t="shared" si="18"/>
        <v>170955</v>
      </c>
      <c r="F57" s="28">
        <f t="shared" si="18"/>
        <v>159215</v>
      </c>
      <c r="G57" s="28">
        <f t="shared" si="18"/>
        <v>173019</v>
      </c>
      <c r="H57" s="28">
        <f t="shared" si="18"/>
        <v>154203</v>
      </c>
      <c r="I57" s="28">
        <f t="shared" si="18"/>
        <v>153453</v>
      </c>
      <c r="J57" s="28">
        <f t="shared" si="18"/>
        <v>159333</v>
      </c>
      <c r="K57" s="28">
        <f t="shared" si="18"/>
        <v>161175</v>
      </c>
      <c r="L57" s="28">
        <f t="shared" si="18"/>
        <v>167183</v>
      </c>
    </row>
    <row r="58" spans="2:13">
      <c r="B58" s="1"/>
    </row>
    <row r="59" spans="2:13">
      <c r="B59" t="s">
        <v>81</v>
      </c>
      <c r="C59" s="108">
        <f>IFERROR('Data Sheet'!B67,0)</f>
        <v>3605.13</v>
      </c>
      <c r="D59" s="108">
        <f>IFERROR('Data Sheet'!C67,0)</f>
        <v>2493.75</v>
      </c>
      <c r="E59" s="108">
        <f>IFERROR('Data Sheet'!D67,0)</f>
        <v>2240</v>
      </c>
      <c r="F59" s="108">
        <f>IFERROR('Data Sheet'!E67,0)</f>
        <v>3969</v>
      </c>
      <c r="G59" s="108">
        <f>IFERROR('Data Sheet'!F67,0)</f>
        <v>3982</v>
      </c>
      <c r="H59" s="108">
        <f>IFERROR('Data Sheet'!G67,0)</f>
        <v>2697</v>
      </c>
      <c r="I59" s="108">
        <f>IFERROR('Data Sheet'!H67,0)</f>
        <v>3491</v>
      </c>
      <c r="J59" s="108">
        <f>IFERROR('Data Sheet'!I67,0)</f>
        <v>4946</v>
      </c>
      <c r="K59" s="108">
        <f>IFERROR('Data Sheet'!J67,0)</f>
        <v>4014</v>
      </c>
      <c r="L59" s="108">
        <f>IFERROR('Data Sheet'!K67,0)</f>
        <v>3607</v>
      </c>
    </row>
    <row r="60" spans="2:13">
      <c r="B60" t="s">
        <v>82</v>
      </c>
      <c r="C60" s="108">
        <f>IFERROR('Data Sheet'!B68,0)</f>
        <v>8725.02</v>
      </c>
      <c r="D60" s="108">
        <f>IFERROR('Data Sheet'!C68,0)</f>
        <v>8011.65</v>
      </c>
      <c r="E60" s="108">
        <f>IFERROR('Data Sheet'!D68,0)</f>
        <v>9628</v>
      </c>
      <c r="F60" s="108">
        <f>IFERROR('Data Sheet'!E68,0)</f>
        <v>11967</v>
      </c>
      <c r="G60" s="108">
        <f>IFERROR('Data Sheet'!F68,0)</f>
        <v>13198</v>
      </c>
      <c r="H60" s="108">
        <f>IFERROR('Data Sheet'!G68,0)</f>
        <v>11335</v>
      </c>
      <c r="I60" s="108">
        <f>IFERROR('Data Sheet'!H68,0)</f>
        <v>9923</v>
      </c>
      <c r="J60" s="108">
        <f>IFERROR('Data Sheet'!I68,0)</f>
        <v>14313</v>
      </c>
      <c r="K60" s="108">
        <f>IFERROR('Data Sheet'!J68,0)</f>
        <v>15012</v>
      </c>
      <c r="L60" s="108">
        <f>IFERROR('Data Sheet'!K68,0)</f>
        <v>13001</v>
      </c>
    </row>
    <row r="61" spans="2:13">
      <c r="B61" t="s">
        <v>83</v>
      </c>
      <c r="C61" s="108">
        <f>IFERROR('Data Sheet'!B69,0)</f>
        <v>5696.28</v>
      </c>
      <c r="D61" s="108">
        <f>IFERROR('Data Sheet'!C69,0)</f>
        <v>3708.79</v>
      </c>
      <c r="E61" s="108">
        <f>IFERROR('Data Sheet'!D69,0)</f>
        <v>14123</v>
      </c>
      <c r="F61" s="108">
        <f>IFERROR('Data Sheet'!E69,0)</f>
        <v>5216</v>
      </c>
      <c r="G61" s="108">
        <f>IFERROR('Data Sheet'!F69,0)</f>
        <v>8369</v>
      </c>
      <c r="H61" s="108">
        <f>IFERROR('Data Sheet'!G69,0)</f>
        <v>12502</v>
      </c>
      <c r="I61" s="108">
        <f>IFERROR('Data Sheet'!H69,0)</f>
        <v>16629</v>
      </c>
      <c r="J61" s="108">
        <f>IFERROR('Data Sheet'!I69,0)</f>
        <v>15355</v>
      </c>
      <c r="K61" s="108">
        <f>IFERROR('Data Sheet'!J69,0)</f>
        <v>9254</v>
      </c>
      <c r="L61" s="108">
        <f>IFERROR('Data Sheet'!K69,0)</f>
        <v>4327</v>
      </c>
    </row>
    <row r="62" spans="2:13">
      <c r="B62" s="26" t="s">
        <v>84</v>
      </c>
      <c r="C62" s="28">
        <f>IFERROR(SUM(C59:C61),0)</f>
        <v>18026.43</v>
      </c>
      <c r="D62" s="28">
        <f t="shared" ref="D62:L62" si="19">IFERROR(SUM(D59:D61),0)</f>
        <v>14214.189999999999</v>
      </c>
      <c r="E62" s="28">
        <f t="shared" si="19"/>
        <v>25991</v>
      </c>
      <c r="F62" s="28">
        <f t="shared" si="19"/>
        <v>21152</v>
      </c>
      <c r="G62" s="28">
        <f t="shared" si="19"/>
        <v>25549</v>
      </c>
      <c r="H62" s="28">
        <f t="shared" si="19"/>
        <v>26534</v>
      </c>
      <c r="I62" s="28">
        <f t="shared" si="19"/>
        <v>30043</v>
      </c>
      <c r="J62" s="28">
        <f t="shared" si="19"/>
        <v>34614</v>
      </c>
      <c r="K62" s="28">
        <f t="shared" si="19"/>
        <v>28280</v>
      </c>
      <c r="L62" s="28">
        <f t="shared" si="19"/>
        <v>20935</v>
      </c>
    </row>
    <row r="64" spans="2:13">
      <c r="B64" s="26" t="s">
        <v>85</v>
      </c>
      <c r="C64" s="28">
        <f>IFERROR(C62+C57,0)</f>
        <v>190281.18</v>
      </c>
      <c r="D64" s="28">
        <f t="shared" ref="D64:L64" si="20">IFERROR(D62+D57,0)</f>
        <v>191980.35</v>
      </c>
      <c r="E64" s="28">
        <f t="shared" si="20"/>
        <v>196946</v>
      </c>
      <c r="F64" s="28">
        <f t="shared" si="20"/>
        <v>180367</v>
      </c>
      <c r="G64" s="28">
        <f t="shared" si="20"/>
        <v>198568</v>
      </c>
      <c r="H64" s="28">
        <f t="shared" si="20"/>
        <v>180737</v>
      </c>
      <c r="I64" s="28">
        <f t="shared" si="20"/>
        <v>183496</v>
      </c>
      <c r="J64" s="28">
        <f t="shared" si="20"/>
        <v>193947</v>
      </c>
      <c r="K64" s="28">
        <f t="shared" si="20"/>
        <v>189455</v>
      </c>
      <c r="L64" s="28">
        <f t="shared" si="20"/>
        <v>188118</v>
      </c>
    </row>
    <row r="66" spans="1:13">
      <c r="B66" s="29" t="s">
        <v>86</v>
      </c>
      <c r="C66" s="29" t="b">
        <f>C64=C51</f>
        <v>1</v>
      </c>
      <c r="D66" s="29" t="b">
        <f t="shared" ref="D66:L66" si="21">D64=D51</f>
        <v>1</v>
      </c>
      <c r="E66" s="29" t="b">
        <f t="shared" si="21"/>
        <v>1</v>
      </c>
      <c r="F66" s="29" t="b">
        <f t="shared" si="21"/>
        <v>1</v>
      </c>
      <c r="G66" s="29" t="b">
        <f t="shared" si="21"/>
        <v>1</v>
      </c>
      <c r="H66" s="29" t="b">
        <f t="shared" si="21"/>
        <v>1</v>
      </c>
      <c r="I66" s="29" t="b">
        <f t="shared" si="21"/>
        <v>1</v>
      </c>
      <c r="J66" s="29" t="b">
        <f t="shared" si="21"/>
        <v>1</v>
      </c>
      <c r="K66" s="29" t="b">
        <f t="shared" si="21"/>
        <v>1</v>
      </c>
      <c r="L66" s="29" t="b">
        <f t="shared" si="21"/>
        <v>1</v>
      </c>
    </row>
    <row r="68" spans="1:13">
      <c r="A68" t="s">
        <v>41</v>
      </c>
      <c r="B68" s="25" t="s">
        <v>87</v>
      </c>
      <c r="C68" s="107"/>
      <c r="D68" s="107"/>
      <c r="E68" s="107"/>
      <c r="F68" s="107"/>
      <c r="G68" s="107"/>
      <c r="H68" s="107"/>
      <c r="I68" s="107"/>
      <c r="J68" s="107"/>
      <c r="K68" s="107"/>
      <c r="L68" s="107"/>
      <c r="M68" s="107"/>
    </row>
    <row r="69" spans="1:13">
      <c r="B69" s="1"/>
    </row>
    <row r="70" spans="1:13">
      <c r="B70" t="s">
        <v>88</v>
      </c>
      <c r="C70" s="108">
        <f>'Data Sheet'!B82</f>
        <v>17805.13</v>
      </c>
      <c r="D70" s="108">
        <f>'Data Sheet'!C82</f>
        <v>20376.919999999998</v>
      </c>
      <c r="E70" s="108">
        <f>'Data Sheet'!D82</f>
        <v>18083</v>
      </c>
      <c r="F70" s="108">
        <f>'Data Sheet'!E82</f>
        <v>17366</v>
      </c>
      <c r="G70" s="108">
        <f>'Data Sheet'!F82</f>
        <v>23754</v>
      </c>
      <c r="H70" s="108">
        <f>'Data Sheet'!G82</f>
        <v>19300</v>
      </c>
      <c r="I70" s="108">
        <f>'Data Sheet'!H82</f>
        <v>23980</v>
      </c>
      <c r="J70" s="108">
        <f>'Data Sheet'!I82</f>
        <v>34963</v>
      </c>
      <c r="K70" s="108">
        <f>'Data Sheet'!J82</f>
        <v>33065</v>
      </c>
      <c r="L70" s="108">
        <f>'Data Sheet'!K82</f>
        <v>35654</v>
      </c>
    </row>
    <row r="72" spans="1:13">
      <c r="B72" t="s">
        <v>89</v>
      </c>
      <c r="C72" s="108">
        <f>'Data Sheet'!B83</f>
        <v>-4133.09</v>
      </c>
      <c r="D72" s="108">
        <f>'Data Sheet'!C83</f>
        <v>-7867.89</v>
      </c>
      <c r="E72" s="108">
        <f>'Data Sheet'!D83</f>
        <v>2681</v>
      </c>
      <c r="F72" s="108">
        <f>'Data Sheet'!E83</f>
        <v>15480</v>
      </c>
      <c r="G72" s="108">
        <f>'Data Sheet'!F83</f>
        <v>-10594</v>
      </c>
      <c r="H72" s="108">
        <f>'Data Sheet'!G83</f>
        <v>-5925</v>
      </c>
      <c r="I72" s="108">
        <f>'Data Sheet'!H83</f>
        <v>-6678</v>
      </c>
      <c r="J72" s="108">
        <f>'Data Sheet'!I83</f>
        <v>-2243</v>
      </c>
      <c r="K72" s="108">
        <f>'Data Sheet'!J83</f>
        <v>-668</v>
      </c>
      <c r="L72" s="108">
        <f>'Data Sheet'!K83</f>
        <v>-13676</v>
      </c>
    </row>
    <row r="74" spans="1:13">
      <c r="B74" t="s">
        <v>90</v>
      </c>
      <c r="C74" s="108">
        <f>'Data Sheet'!B84</f>
        <v>-13955.77</v>
      </c>
      <c r="D74" s="108">
        <f>'Data Sheet'!C84</f>
        <v>-11302.95</v>
      </c>
      <c r="E74" s="108">
        <f>'Data Sheet'!D84</f>
        <v>-12425</v>
      </c>
      <c r="F74" s="108">
        <f>'Data Sheet'!E84</f>
        <v>-39255</v>
      </c>
      <c r="G74" s="108">
        <f>'Data Sheet'!F84</f>
        <v>-10242</v>
      </c>
      <c r="H74" s="108">
        <f>'Data Sheet'!G84</f>
        <v>-15547</v>
      </c>
      <c r="I74" s="108">
        <f>'Data Sheet'!H84</f>
        <v>-17565</v>
      </c>
      <c r="J74" s="108">
        <f>'Data Sheet'!I84</f>
        <v>-28903</v>
      </c>
      <c r="K74" s="108">
        <f>'Data Sheet'!J84</f>
        <v>-34142</v>
      </c>
      <c r="L74" s="108">
        <f>'Data Sheet'!K84</f>
        <v>-26092</v>
      </c>
    </row>
    <row r="76" spans="1:13">
      <c r="B76" s="1" t="s">
        <v>91</v>
      </c>
      <c r="C76" s="30">
        <f t="shared" ref="C76:L76" si="22">IFERROR(C70+C72+C74,0)</f>
        <v>-283.72999999999956</v>
      </c>
      <c r="D76" s="30">
        <f t="shared" si="22"/>
        <v>1206.0799999999981</v>
      </c>
      <c r="E76" s="30">
        <f t="shared" si="22"/>
        <v>8339</v>
      </c>
      <c r="F76" s="30">
        <f t="shared" si="22"/>
        <v>-6409</v>
      </c>
      <c r="G76" s="30">
        <f t="shared" si="22"/>
        <v>2918</v>
      </c>
      <c r="H76" s="30">
        <f t="shared" si="22"/>
        <v>-2172</v>
      </c>
      <c r="I76" s="30">
        <f t="shared" si="22"/>
        <v>-263</v>
      </c>
      <c r="J76" s="30">
        <f t="shared" si="22"/>
        <v>3817</v>
      </c>
      <c r="K76" s="30">
        <f t="shared" si="22"/>
        <v>-1745</v>
      </c>
      <c r="L76" s="30">
        <f t="shared" si="22"/>
        <v>-4114</v>
      </c>
    </row>
  </sheetData>
  <mergeCells count="1">
    <mergeCell ref="B2:M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6E45-0ED7-46FC-B495-FA76E0E81502}">
  <sheetPr>
    <tabColor rgb="FF002060"/>
  </sheetPr>
  <dimension ref="A1"/>
  <sheetViews>
    <sheetView workbookViewId="0">
      <selection activeCell="K19" sqref="K19"/>
    </sheetView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284B-6E43-4C29-92AC-CEA7C520B163}">
  <dimension ref="A1:L93"/>
  <sheetViews>
    <sheetView workbookViewId="0">
      <pane xSplit="1" ySplit="1" topLeftCell="B2" activePane="bottomRight" state="frozen"/>
      <selection activeCell="C4" sqref="C4"/>
      <selection pane="topRight" activeCell="C4" sqref="C4"/>
      <selection pane="bottomLeft" activeCell="C4" sqref="C4"/>
      <selection pane="bottomRight" activeCell="K11" sqref="K11"/>
    </sheetView>
  </sheetViews>
  <sheetFormatPr defaultColWidth="10.44140625" defaultRowHeight="13.2"/>
  <cols>
    <col min="1" max="1" width="26.6640625" style="32" bestFit="1" customWidth="1"/>
    <col min="2" max="11" width="11.44140625" style="32" bestFit="1" customWidth="1"/>
    <col min="12" max="16384" width="10.44140625" style="32"/>
  </cols>
  <sheetData>
    <row r="1" spans="1:11" s="31" customFormat="1">
      <c r="A1" s="31" t="s">
        <v>92</v>
      </c>
      <c r="B1" s="31" t="s">
        <v>225</v>
      </c>
      <c r="E1" s="116" t="str">
        <f>IF(B2&lt;&gt;B3, "A NEW VERSION OF THE WORKSHEET IS AVAILABLE", "")</f>
        <v/>
      </c>
      <c r="F1" s="116"/>
      <c r="G1" s="116"/>
      <c r="H1" s="116"/>
      <c r="I1" s="116"/>
      <c r="J1" s="116"/>
      <c r="K1" s="116"/>
    </row>
    <row r="2" spans="1:11">
      <c r="A2" s="31" t="s">
        <v>93</v>
      </c>
      <c r="B2" s="32">
        <v>2.1</v>
      </c>
      <c r="E2" s="117" t="s">
        <v>94</v>
      </c>
      <c r="F2" s="117"/>
      <c r="G2" s="117"/>
      <c r="H2" s="117"/>
      <c r="I2" s="117"/>
      <c r="J2" s="117"/>
      <c r="K2" s="117"/>
    </row>
    <row r="3" spans="1:11">
      <c r="A3" s="31" t="s">
        <v>95</v>
      </c>
      <c r="B3" s="32">
        <v>2.1</v>
      </c>
    </row>
    <row r="4" spans="1:11">
      <c r="A4" s="31"/>
    </row>
    <row r="5" spans="1:11">
      <c r="A5" s="31" t="s">
        <v>96</v>
      </c>
    </row>
    <row r="6" spans="1:11">
      <c r="A6" s="32" t="s">
        <v>97</v>
      </c>
      <c r="B6" s="32">
        <v>366.57069627052743</v>
      </c>
    </row>
    <row r="7" spans="1:11">
      <c r="A7" s="32" t="s">
        <v>98</v>
      </c>
      <c r="B7" s="33">
        <v>1</v>
      </c>
    </row>
    <row r="8" spans="1:11">
      <c r="A8" s="32" t="s">
        <v>99</v>
      </c>
      <c r="B8" s="33">
        <v>469.95</v>
      </c>
    </row>
    <row r="9" spans="1:11">
      <c r="A9" s="32" t="s">
        <v>17</v>
      </c>
      <c r="B9" s="33">
        <v>174690.1</v>
      </c>
    </row>
    <row r="15" spans="1:11">
      <c r="A15" s="31" t="s">
        <v>100</v>
      </c>
      <c r="B15" s="32">
        <f>B26+B34</f>
        <v>5779.6899999999987</v>
      </c>
      <c r="K15" s="32">
        <f>K17-K18-K20-K21-K22-K23-K19</f>
        <v>45271</v>
      </c>
    </row>
    <row r="16" spans="1:11" s="36" customFormat="1">
      <c r="A16" s="34" t="s">
        <v>101</v>
      </c>
      <c r="B16" s="35">
        <v>42094</v>
      </c>
      <c r="C16" s="35">
        <v>42460</v>
      </c>
      <c r="D16" s="35">
        <v>42825</v>
      </c>
      <c r="E16" s="35">
        <v>43190</v>
      </c>
      <c r="F16" s="35">
        <v>43555</v>
      </c>
      <c r="G16" s="35">
        <v>43921</v>
      </c>
      <c r="H16" s="35">
        <v>44286</v>
      </c>
      <c r="I16" s="35">
        <v>44651</v>
      </c>
      <c r="J16" s="35">
        <v>45016</v>
      </c>
      <c r="K16" s="35">
        <v>45382</v>
      </c>
    </row>
    <row r="17" spans="1:11">
      <c r="A17" s="32" t="s">
        <v>43</v>
      </c>
      <c r="B17" s="33">
        <v>73709.5</v>
      </c>
      <c r="C17" s="33">
        <v>64261.760000000002</v>
      </c>
      <c r="D17" s="33">
        <v>72225</v>
      </c>
      <c r="E17" s="33">
        <v>91866</v>
      </c>
      <c r="F17" s="33">
        <v>92048</v>
      </c>
      <c r="G17" s="33">
        <v>84447</v>
      </c>
      <c r="H17" s="33">
        <v>88021</v>
      </c>
      <c r="I17" s="33">
        <v>132732</v>
      </c>
      <c r="J17" s="33">
        <v>147308</v>
      </c>
      <c r="K17" s="33">
        <v>143727</v>
      </c>
    </row>
    <row r="18" spans="1:11" ht="14.4">
      <c r="A18" s="32" t="s">
        <v>102</v>
      </c>
      <c r="B18" s="37">
        <v>24613.759999999998</v>
      </c>
      <c r="C18" s="37">
        <v>21793.05</v>
      </c>
      <c r="D18" s="37">
        <v>23109</v>
      </c>
      <c r="E18" s="37">
        <v>31802</v>
      </c>
      <c r="F18" s="37">
        <v>26078</v>
      </c>
      <c r="G18" s="37">
        <v>21486</v>
      </c>
      <c r="H18" s="37">
        <v>22890</v>
      </c>
      <c r="I18" s="37">
        <v>37530</v>
      </c>
      <c r="J18" s="37">
        <v>44527</v>
      </c>
      <c r="K18" s="37">
        <v>44231</v>
      </c>
    </row>
    <row r="19" spans="1:11" ht="14.4">
      <c r="A19" s="32" t="s">
        <v>103</v>
      </c>
      <c r="B19" s="37">
        <v>-55.45</v>
      </c>
      <c r="C19" s="37">
        <v>-318.89999999999998</v>
      </c>
      <c r="D19" s="37">
        <v>1229</v>
      </c>
      <c r="E19" s="37">
        <v>-450</v>
      </c>
      <c r="F19" s="37">
        <v>-72</v>
      </c>
      <c r="G19" s="37">
        <v>-1017</v>
      </c>
      <c r="H19" s="37">
        <v>-792</v>
      </c>
      <c r="I19" s="37">
        <v>2049</v>
      </c>
      <c r="J19" s="37">
        <v>377</v>
      </c>
      <c r="K19" s="37">
        <v>-176</v>
      </c>
    </row>
    <row r="20" spans="1:11">
      <c r="A20" s="32" t="s">
        <v>104</v>
      </c>
      <c r="B20" s="33">
        <v>8273.69</v>
      </c>
      <c r="C20" s="33">
        <v>9301.5400000000009</v>
      </c>
      <c r="D20" s="33">
        <v>10402</v>
      </c>
      <c r="E20" s="33">
        <v>14026</v>
      </c>
      <c r="F20" s="33">
        <v>18144</v>
      </c>
      <c r="G20" s="33">
        <v>16606</v>
      </c>
      <c r="H20" s="33">
        <v>13674</v>
      </c>
      <c r="I20" s="33">
        <v>20939</v>
      </c>
      <c r="J20" s="33">
        <v>34543</v>
      </c>
      <c r="K20" s="33">
        <v>27033</v>
      </c>
    </row>
    <row r="21" spans="1:11">
      <c r="A21" s="32" t="s">
        <v>105</v>
      </c>
      <c r="B21" s="33">
        <v>4835.5600000000004</v>
      </c>
      <c r="C21" s="33">
        <v>4963.16</v>
      </c>
      <c r="D21" s="33">
        <v>5928</v>
      </c>
      <c r="E21" s="33">
        <v>6038</v>
      </c>
      <c r="F21" s="33">
        <v>8482</v>
      </c>
      <c r="G21" s="33">
        <v>9244</v>
      </c>
      <c r="H21" s="33">
        <v>8730</v>
      </c>
      <c r="I21" s="33">
        <v>12218</v>
      </c>
      <c r="J21" s="33">
        <v>13581</v>
      </c>
      <c r="K21" s="33">
        <v>13573</v>
      </c>
    </row>
    <row r="22" spans="1:11">
      <c r="A22" s="32" t="s">
        <v>106</v>
      </c>
      <c r="B22" s="33">
        <v>2922.04</v>
      </c>
      <c r="C22" s="33">
        <v>2613.7800000000002</v>
      </c>
      <c r="D22" s="33">
        <v>2345</v>
      </c>
      <c r="E22" s="33">
        <v>2501</v>
      </c>
      <c r="F22" s="33">
        <v>3023</v>
      </c>
      <c r="G22" s="33">
        <v>2672</v>
      </c>
      <c r="H22" s="33">
        <v>2861</v>
      </c>
      <c r="I22" s="33">
        <v>2811</v>
      </c>
      <c r="J22" s="33">
        <v>3098</v>
      </c>
      <c r="K22" s="33">
        <v>3300</v>
      </c>
    </row>
    <row r="23" spans="1:11">
      <c r="A23" s="32" t="s">
        <v>107</v>
      </c>
      <c r="B23" s="33">
        <v>5583.66</v>
      </c>
      <c r="C23" s="33">
        <v>5583.55</v>
      </c>
      <c r="D23" s="33">
        <v>6341</v>
      </c>
      <c r="E23" s="33">
        <v>7156</v>
      </c>
      <c r="F23" s="33">
        <v>6229</v>
      </c>
      <c r="G23" s="33">
        <v>5316</v>
      </c>
      <c r="H23" s="33">
        <v>5175</v>
      </c>
      <c r="I23" s="33">
        <v>7823</v>
      </c>
      <c r="J23" s="33">
        <v>9519</v>
      </c>
      <c r="K23" s="33">
        <v>10495</v>
      </c>
    </row>
    <row r="24" spans="1:11">
      <c r="A24" s="32" t="s">
        <v>108</v>
      </c>
      <c r="B24" s="33">
        <v>5310.98</v>
      </c>
      <c r="C24" s="33">
        <v>38167.199999999997</v>
      </c>
      <c r="D24" s="33">
        <v>3953</v>
      </c>
      <c r="E24" s="33">
        <v>5016</v>
      </c>
      <c r="F24" s="33">
        <v>6849</v>
      </c>
      <c r="G24" s="33">
        <v>7363</v>
      </c>
      <c r="H24" s="33">
        <v>6581</v>
      </c>
      <c r="I24" s="33">
        <v>8636</v>
      </c>
      <c r="J24" s="33">
        <v>7986</v>
      </c>
      <c r="K24" s="33">
        <v>9607</v>
      </c>
    </row>
    <row r="25" spans="1:11">
      <c r="A25" s="32" t="s">
        <v>109</v>
      </c>
      <c r="B25" s="33">
        <v>-19221.54</v>
      </c>
      <c r="C25" s="33">
        <v>4289.82</v>
      </c>
      <c r="D25" s="33">
        <v>4423</v>
      </c>
      <c r="E25" s="33">
        <v>6087</v>
      </c>
      <c r="F25" s="33">
        <v>4270</v>
      </c>
      <c r="G25" s="33">
        <v>-14932</v>
      </c>
      <c r="H25" s="33">
        <v>2743</v>
      </c>
      <c r="I25" s="33">
        <v>1832</v>
      </c>
      <c r="J25" s="33">
        <v>2625</v>
      </c>
      <c r="K25" s="33">
        <v>5239</v>
      </c>
    </row>
    <row r="26" spans="1:11">
      <c r="A26" s="32" t="s">
        <v>56</v>
      </c>
      <c r="B26" s="33">
        <v>7159.16</v>
      </c>
      <c r="C26" s="33">
        <v>8572.44</v>
      </c>
      <c r="D26" s="33">
        <v>6292</v>
      </c>
      <c r="E26" s="33">
        <v>6283</v>
      </c>
      <c r="F26" s="33">
        <v>8192</v>
      </c>
      <c r="G26" s="33">
        <v>9093</v>
      </c>
      <c r="H26" s="33">
        <v>7638</v>
      </c>
      <c r="I26" s="33">
        <v>8895</v>
      </c>
      <c r="J26" s="33">
        <v>10555</v>
      </c>
      <c r="K26" s="33">
        <v>10723</v>
      </c>
    </row>
    <row r="27" spans="1:11" ht="14.4">
      <c r="A27" s="32" t="s">
        <v>54</v>
      </c>
      <c r="B27" s="33">
        <v>5658.78</v>
      </c>
      <c r="C27" s="33">
        <v>5778.13</v>
      </c>
      <c r="D27" s="33">
        <v>5855</v>
      </c>
      <c r="E27" s="33">
        <v>5112</v>
      </c>
      <c r="F27" s="33">
        <v>5689</v>
      </c>
      <c r="G27" s="33">
        <v>4977</v>
      </c>
      <c r="H27" s="33">
        <v>5210</v>
      </c>
      <c r="I27" s="33">
        <v>4797</v>
      </c>
      <c r="J27" s="37">
        <v>6225</v>
      </c>
      <c r="K27" s="37">
        <v>9465</v>
      </c>
    </row>
    <row r="28" spans="1:11">
      <c r="A28" s="32" t="s">
        <v>110</v>
      </c>
      <c r="B28" s="33">
        <v>-9925.1200000000008</v>
      </c>
      <c r="C28" s="33">
        <v>-28540.17</v>
      </c>
      <c r="D28" s="33">
        <v>13652</v>
      </c>
      <c r="E28" s="33">
        <v>19569</v>
      </c>
      <c r="F28" s="33">
        <v>13560</v>
      </c>
      <c r="G28" s="33">
        <v>-8259</v>
      </c>
      <c r="H28" s="33">
        <v>17213</v>
      </c>
      <c r="I28" s="33">
        <v>32964</v>
      </c>
      <c r="J28" s="33">
        <v>20276</v>
      </c>
      <c r="K28" s="33">
        <v>20363</v>
      </c>
    </row>
    <row r="29" spans="1:11">
      <c r="A29" s="32" t="s">
        <v>60</v>
      </c>
      <c r="B29" s="33">
        <v>1448.36</v>
      </c>
      <c r="C29" s="33">
        <v>-10677.55</v>
      </c>
      <c r="D29" s="33">
        <v>2333</v>
      </c>
      <c r="E29" s="33">
        <v>5877</v>
      </c>
      <c r="F29" s="33">
        <v>3862</v>
      </c>
      <c r="G29" s="33">
        <v>-3516</v>
      </c>
      <c r="H29" s="33">
        <v>2180</v>
      </c>
      <c r="I29" s="33">
        <v>9255</v>
      </c>
      <c r="J29" s="33">
        <v>5770</v>
      </c>
      <c r="K29" s="33">
        <v>12826</v>
      </c>
    </row>
    <row r="30" spans="1:11">
      <c r="A30" s="32" t="s">
        <v>111</v>
      </c>
      <c r="B30" s="33">
        <v>-15645.77</v>
      </c>
      <c r="C30" s="33">
        <v>-12270.47</v>
      </c>
      <c r="D30" s="33">
        <v>6958</v>
      </c>
      <c r="E30" s="33">
        <v>10342</v>
      </c>
      <c r="F30" s="33">
        <v>7065</v>
      </c>
      <c r="G30" s="33">
        <v>-6664</v>
      </c>
      <c r="H30" s="33">
        <v>11602</v>
      </c>
      <c r="I30" s="33">
        <v>18802</v>
      </c>
      <c r="J30" s="33">
        <v>10574</v>
      </c>
      <c r="K30" s="33">
        <v>4239</v>
      </c>
    </row>
    <row r="31" spans="1:11">
      <c r="A31" s="32" t="s">
        <v>112</v>
      </c>
      <c r="B31" s="33">
        <v>1215.6500000000001</v>
      </c>
      <c r="C31" s="33">
        <v>1037.75</v>
      </c>
      <c r="D31" s="33">
        <v>5776.65</v>
      </c>
      <c r="E31" s="33">
        <v>7886.4</v>
      </c>
      <c r="F31" s="33">
        <v>7012.2</v>
      </c>
      <c r="G31" s="33">
        <v>1450.8</v>
      </c>
      <c r="H31" s="33">
        <v>3534</v>
      </c>
      <c r="I31" s="33">
        <v>16740</v>
      </c>
      <c r="J31" s="33">
        <v>37758</v>
      </c>
      <c r="K31" s="33">
        <v>10974</v>
      </c>
    </row>
    <row r="32" spans="1:11">
      <c r="A32" s="32" t="s">
        <v>61</v>
      </c>
      <c r="B32" s="38">
        <f>B29/B28</f>
        <v>-0.14592871421201958</v>
      </c>
      <c r="C32" s="38">
        <f t="shared" ref="C32:K32" si="0">C29/C28</f>
        <v>0.37412355988068746</v>
      </c>
      <c r="D32" s="38">
        <f t="shared" si="0"/>
        <v>0.17089071198359215</v>
      </c>
      <c r="E32" s="38">
        <f t="shared" si="0"/>
        <v>0.30032193775869997</v>
      </c>
      <c r="F32" s="38">
        <f t="shared" si="0"/>
        <v>0.28480825958702066</v>
      </c>
      <c r="G32" s="38">
        <f t="shared" si="0"/>
        <v>0.42571739920087176</v>
      </c>
      <c r="H32" s="38">
        <f t="shared" si="0"/>
        <v>0.12664846337070818</v>
      </c>
      <c r="I32" s="38">
        <f t="shared" si="0"/>
        <v>0.28076082999635965</v>
      </c>
      <c r="J32" s="38">
        <f t="shared" si="0"/>
        <v>0.28457289406194514</v>
      </c>
      <c r="K32" s="38">
        <f t="shared" si="0"/>
        <v>0.62986789765751605</v>
      </c>
    </row>
    <row r="34" spans="1:11">
      <c r="A34" s="32" t="s">
        <v>52</v>
      </c>
      <c r="B34" s="32">
        <f>+B30+B29+B27+B26</f>
        <v>-1379.4700000000012</v>
      </c>
      <c r="C34" s="32">
        <f t="shared" ref="C34:K34" si="1">+C30+C29+C27+C26</f>
        <v>-8597.4499999999953</v>
      </c>
      <c r="D34" s="32">
        <f t="shared" si="1"/>
        <v>21438</v>
      </c>
      <c r="E34" s="32">
        <f t="shared" si="1"/>
        <v>27614</v>
      </c>
      <c r="F34" s="32">
        <f t="shared" si="1"/>
        <v>24808</v>
      </c>
      <c r="G34" s="32">
        <f t="shared" si="1"/>
        <v>3890</v>
      </c>
      <c r="H34" s="32">
        <f t="shared" si="1"/>
        <v>26630</v>
      </c>
      <c r="I34" s="32">
        <f t="shared" si="1"/>
        <v>41749</v>
      </c>
      <c r="J34" s="32">
        <f t="shared" si="1"/>
        <v>33124</v>
      </c>
      <c r="K34" s="32">
        <f t="shared" si="1"/>
        <v>37253</v>
      </c>
    </row>
    <row r="40" spans="1:11">
      <c r="A40" s="31" t="s">
        <v>113</v>
      </c>
    </row>
    <row r="41" spans="1:11" s="36" customFormat="1">
      <c r="A41" s="34" t="s">
        <v>101</v>
      </c>
      <c r="B41" s="35">
        <v>44561</v>
      </c>
      <c r="C41" s="35">
        <v>44651</v>
      </c>
      <c r="D41" s="35">
        <v>44742</v>
      </c>
      <c r="E41" s="35">
        <v>44834</v>
      </c>
      <c r="F41" s="35">
        <v>44926</v>
      </c>
      <c r="G41" s="35">
        <v>45016</v>
      </c>
      <c r="H41" s="35">
        <v>45107</v>
      </c>
      <c r="I41" s="35">
        <v>45199</v>
      </c>
      <c r="J41" s="35">
        <v>45291</v>
      </c>
      <c r="K41" s="35">
        <v>45382</v>
      </c>
    </row>
    <row r="42" spans="1:11">
      <c r="A42" s="32" t="s">
        <v>43</v>
      </c>
      <c r="B42" s="33">
        <v>34097</v>
      </c>
      <c r="C42" s="33">
        <v>39822</v>
      </c>
      <c r="D42" s="33">
        <v>38622</v>
      </c>
      <c r="E42" s="33">
        <v>36654</v>
      </c>
      <c r="F42" s="33">
        <v>34102</v>
      </c>
      <c r="G42" s="33">
        <v>37930</v>
      </c>
      <c r="H42" s="33">
        <v>33733</v>
      </c>
      <c r="I42" s="33">
        <v>38945</v>
      </c>
      <c r="J42" s="33">
        <v>35541</v>
      </c>
      <c r="K42" s="33">
        <v>35509</v>
      </c>
    </row>
    <row r="43" spans="1:11">
      <c r="A43" s="32" t="s">
        <v>114</v>
      </c>
      <c r="B43" s="33">
        <v>23287</v>
      </c>
      <c r="C43" s="33">
        <v>26189</v>
      </c>
      <c r="D43" s="33">
        <v>28425</v>
      </c>
      <c r="E43" s="33">
        <v>28955</v>
      </c>
      <c r="F43" s="33">
        <v>27035</v>
      </c>
      <c r="G43" s="33">
        <v>28471</v>
      </c>
      <c r="H43" s="33">
        <v>27313</v>
      </c>
      <c r="I43" s="33">
        <v>27466</v>
      </c>
      <c r="J43" s="33">
        <v>27010</v>
      </c>
      <c r="K43" s="33">
        <v>26741</v>
      </c>
    </row>
    <row r="44" spans="1:11">
      <c r="A44" s="32" t="s">
        <v>109</v>
      </c>
      <c r="B44" s="33">
        <v>472</v>
      </c>
      <c r="C44" s="33">
        <v>275</v>
      </c>
      <c r="D44" s="33">
        <v>733</v>
      </c>
      <c r="E44" s="33">
        <v>931</v>
      </c>
      <c r="F44" s="33">
        <v>1619</v>
      </c>
      <c r="G44" s="33">
        <v>-631</v>
      </c>
      <c r="H44" s="33">
        <v>2326</v>
      </c>
      <c r="I44" s="33">
        <v>1863</v>
      </c>
      <c r="J44" s="33">
        <v>779</v>
      </c>
      <c r="K44" s="33">
        <v>383</v>
      </c>
    </row>
    <row r="45" spans="1:11">
      <c r="A45" s="32" t="s">
        <v>56</v>
      </c>
      <c r="B45" s="33">
        <v>2274</v>
      </c>
      <c r="C45" s="33">
        <v>2379</v>
      </c>
      <c r="D45" s="33">
        <v>2464</v>
      </c>
      <c r="E45" s="33">
        <v>2624</v>
      </c>
      <c r="F45" s="33">
        <v>2720</v>
      </c>
      <c r="G45" s="33">
        <v>2765</v>
      </c>
      <c r="H45" s="33">
        <v>2550</v>
      </c>
      <c r="I45" s="33">
        <v>2642</v>
      </c>
      <c r="J45" s="33">
        <v>2788</v>
      </c>
      <c r="K45" s="33">
        <v>2743</v>
      </c>
    </row>
    <row r="46" spans="1:11" ht="14.4">
      <c r="A46" s="32" t="s">
        <v>54</v>
      </c>
      <c r="B46" s="37">
        <v>1216</v>
      </c>
      <c r="C46" s="37">
        <v>1333</v>
      </c>
      <c r="D46" s="37">
        <v>1206</v>
      </c>
      <c r="E46" s="37">
        <v>1642</v>
      </c>
      <c r="F46" s="37">
        <v>1572</v>
      </c>
      <c r="G46" s="37">
        <v>1805</v>
      </c>
      <c r="H46" s="37">
        <v>2110</v>
      </c>
      <c r="I46" s="37">
        <v>2523</v>
      </c>
      <c r="J46" s="37">
        <v>2417</v>
      </c>
      <c r="K46" s="37">
        <v>2415</v>
      </c>
    </row>
    <row r="47" spans="1:11">
      <c r="A47" s="32" t="s">
        <v>110</v>
      </c>
      <c r="B47" s="33">
        <v>7792</v>
      </c>
      <c r="C47" s="33">
        <v>10196</v>
      </c>
      <c r="D47" s="33">
        <v>7260</v>
      </c>
      <c r="E47" s="33">
        <v>4364</v>
      </c>
      <c r="F47" s="33">
        <v>4394</v>
      </c>
      <c r="G47" s="33">
        <v>4258</v>
      </c>
      <c r="H47" s="33">
        <v>4086</v>
      </c>
      <c r="I47" s="33">
        <v>8177</v>
      </c>
      <c r="J47" s="33">
        <v>4105</v>
      </c>
      <c r="K47" s="33">
        <v>3993</v>
      </c>
    </row>
    <row r="48" spans="1:11">
      <c r="A48" s="32" t="s">
        <v>60</v>
      </c>
      <c r="B48" s="33">
        <v>2438</v>
      </c>
      <c r="C48" s="33">
        <v>2935</v>
      </c>
      <c r="D48" s="33">
        <v>1668</v>
      </c>
      <c r="E48" s="33">
        <v>1674</v>
      </c>
      <c r="F48" s="33">
        <v>1302</v>
      </c>
      <c r="G48" s="33">
        <v>1126</v>
      </c>
      <c r="H48" s="33">
        <v>778</v>
      </c>
      <c r="I48" s="33">
        <v>9092</v>
      </c>
      <c r="J48" s="33">
        <v>1237</v>
      </c>
      <c r="K48" s="33">
        <v>1720</v>
      </c>
    </row>
    <row r="49" spans="1:11">
      <c r="A49" s="32" t="s">
        <v>111</v>
      </c>
      <c r="B49" s="33">
        <v>4164</v>
      </c>
      <c r="C49" s="33">
        <v>5799</v>
      </c>
      <c r="D49" s="33">
        <v>4421</v>
      </c>
      <c r="E49" s="33">
        <v>1808</v>
      </c>
      <c r="F49" s="33">
        <v>2464</v>
      </c>
      <c r="G49" s="33">
        <v>1881</v>
      </c>
      <c r="H49" s="33">
        <v>2640</v>
      </c>
      <c r="I49" s="33">
        <v>-1783</v>
      </c>
      <c r="J49" s="33">
        <v>2013</v>
      </c>
      <c r="K49" s="33">
        <v>1369</v>
      </c>
    </row>
    <row r="50" spans="1:11">
      <c r="A50" s="32" t="s">
        <v>115</v>
      </c>
      <c r="B50" s="33">
        <v>10810</v>
      </c>
      <c r="C50" s="33">
        <v>13633</v>
      </c>
      <c r="D50" s="33">
        <v>10197</v>
      </c>
      <c r="E50" s="33">
        <v>7699</v>
      </c>
      <c r="F50" s="33">
        <v>7067</v>
      </c>
      <c r="G50" s="33">
        <v>9459</v>
      </c>
      <c r="H50" s="33">
        <v>6420</v>
      </c>
      <c r="I50" s="33">
        <v>11479</v>
      </c>
      <c r="J50" s="33">
        <v>8531</v>
      </c>
      <c r="K50" s="33">
        <v>8768</v>
      </c>
    </row>
    <row r="51" spans="1:11">
      <c r="A51" s="32" t="s">
        <v>52</v>
      </c>
      <c r="B51" s="32">
        <f>B49+B48+B46+B45</f>
        <v>10092</v>
      </c>
      <c r="C51" s="32">
        <f t="shared" ref="C51:K51" si="2">C49+C48+C46+C45</f>
        <v>12446</v>
      </c>
      <c r="D51" s="32">
        <f t="shared" si="2"/>
        <v>9759</v>
      </c>
      <c r="E51" s="32">
        <f t="shared" si="2"/>
        <v>7748</v>
      </c>
      <c r="F51" s="32">
        <f t="shared" si="2"/>
        <v>8058</v>
      </c>
      <c r="G51" s="32">
        <f t="shared" si="2"/>
        <v>7577</v>
      </c>
      <c r="H51" s="32">
        <f t="shared" si="2"/>
        <v>8078</v>
      </c>
      <c r="I51" s="32">
        <f t="shared" si="2"/>
        <v>12474</v>
      </c>
      <c r="J51" s="32">
        <f t="shared" si="2"/>
        <v>8455</v>
      </c>
      <c r="K51" s="32">
        <f t="shared" si="2"/>
        <v>8247</v>
      </c>
    </row>
    <row r="55" spans="1:11">
      <c r="A55" s="31" t="s">
        <v>116</v>
      </c>
    </row>
    <row r="56" spans="1:11" s="36" customFormat="1">
      <c r="A56" s="34" t="s">
        <v>101</v>
      </c>
      <c r="B56" s="35">
        <v>42094</v>
      </c>
      <c r="C56" s="35">
        <v>42460</v>
      </c>
      <c r="D56" s="35">
        <v>42825</v>
      </c>
      <c r="E56" s="35">
        <v>43190</v>
      </c>
      <c r="F56" s="35">
        <v>43555</v>
      </c>
      <c r="G56" s="35">
        <v>43921</v>
      </c>
      <c r="H56" s="35">
        <v>44286</v>
      </c>
      <c r="I56" s="35">
        <v>44651</v>
      </c>
      <c r="J56" s="35">
        <v>45016</v>
      </c>
      <c r="K56" s="35">
        <v>45382</v>
      </c>
    </row>
    <row r="57" spans="1:11">
      <c r="A57" s="32" t="s">
        <v>71</v>
      </c>
      <c r="B57" s="33">
        <v>296.5</v>
      </c>
      <c r="C57" s="33">
        <v>296.5</v>
      </c>
      <c r="D57" s="33">
        <v>297</v>
      </c>
      <c r="E57" s="33">
        <v>372</v>
      </c>
      <c r="F57" s="33">
        <v>372</v>
      </c>
      <c r="G57" s="33">
        <v>372</v>
      </c>
      <c r="H57" s="33">
        <v>372</v>
      </c>
      <c r="I57" s="33">
        <v>372</v>
      </c>
      <c r="J57" s="33">
        <v>372</v>
      </c>
      <c r="K57" s="33">
        <v>372</v>
      </c>
    </row>
    <row r="58" spans="1:11">
      <c r="A58" s="32" t="s">
        <v>72</v>
      </c>
      <c r="B58" s="33">
        <v>53578.77</v>
      </c>
      <c r="C58" s="33">
        <v>43742.67</v>
      </c>
      <c r="D58" s="33">
        <v>60128</v>
      </c>
      <c r="E58" s="33">
        <v>62940</v>
      </c>
      <c r="F58" s="33">
        <v>61925</v>
      </c>
      <c r="G58" s="33">
        <v>54263</v>
      </c>
      <c r="H58" s="33">
        <v>61906</v>
      </c>
      <c r="I58" s="33">
        <v>65011</v>
      </c>
      <c r="J58" s="33">
        <v>39051</v>
      </c>
      <c r="K58" s="33">
        <v>30350</v>
      </c>
    </row>
    <row r="59" spans="1:11" ht="14.4">
      <c r="A59" s="32" t="s">
        <v>73</v>
      </c>
      <c r="B59" s="37">
        <v>77752.3</v>
      </c>
      <c r="C59" s="37">
        <v>67777.81</v>
      </c>
      <c r="D59" s="37">
        <v>71569</v>
      </c>
      <c r="E59" s="37">
        <v>58159</v>
      </c>
      <c r="F59" s="37">
        <v>66226</v>
      </c>
      <c r="G59" s="37">
        <v>59185</v>
      </c>
      <c r="H59" s="37">
        <v>57667</v>
      </c>
      <c r="I59" s="37">
        <v>53583</v>
      </c>
      <c r="J59" s="37">
        <v>80329</v>
      </c>
      <c r="K59" s="37">
        <v>87706</v>
      </c>
    </row>
    <row r="60" spans="1:11">
      <c r="A60" s="32" t="s">
        <v>74</v>
      </c>
      <c r="B60" s="33">
        <v>58653.61</v>
      </c>
      <c r="C60" s="33">
        <v>80163.37</v>
      </c>
      <c r="D60" s="33">
        <v>64952</v>
      </c>
      <c r="E60" s="33">
        <v>58896</v>
      </c>
      <c r="F60" s="33">
        <v>70045</v>
      </c>
      <c r="G60" s="33">
        <v>66917</v>
      </c>
      <c r="H60" s="33">
        <v>63551</v>
      </c>
      <c r="I60" s="33">
        <v>74981</v>
      </c>
      <c r="J60" s="33">
        <v>69703</v>
      </c>
      <c r="K60" s="33">
        <v>69690</v>
      </c>
    </row>
    <row r="61" spans="1:11" s="31" customFormat="1">
      <c r="A61" s="31" t="s">
        <v>35</v>
      </c>
      <c r="B61" s="33">
        <v>190281.18</v>
      </c>
      <c r="C61" s="33">
        <v>191980.35</v>
      </c>
      <c r="D61" s="33">
        <v>196946</v>
      </c>
      <c r="E61" s="33">
        <v>180367</v>
      </c>
      <c r="F61" s="33">
        <v>198568</v>
      </c>
      <c r="G61" s="33">
        <v>180737</v>
      </c>
      <c r="H61" s="33">
        <v>183496</v>
      </c>
      <c r="I61" s="33">
        <v>193947</v>
      </c>
      <c r="J61" s="33">
        <v>189455</v>
      </c>
      <c r="K61" s="33">
        <v>188118</v>
      </c>
    </row>
    <row r="62" spans="1:11">
      <c r="A62" s="32" t="s">
        <v>117</v>
      </c>
      <c r="B62" s="33">
        <v>70107.83</v>
      </c>
      <c r="C62" s="33">
        <v>61590.85</v>
      </c>
      <c r="D62" s="33">
        <v>75631</v>
      </c>
      <c r="E62" s="33">
        <v>78455</v>
      </c>
      <c r="F62" s="33">
        <v>86327</v>
      </c>
      <c r="G62" s="33">
        <v>86127</v>
      </c>
      <c r="H62" s="33">
        <v>88002</v>
      </c>
      <c r="I62" s="33">
        <v>89498</v>
      </c>
      <c r="J62" s="33">
        <v>90483</v>
      </c>
      <c r="K62" s="33">
        <v>92551</v>
      </c>
    </row>
    <row r="63" spans="1:11">
      <c r="A63" s="32" t="s">
        <v>77</v>
      </c>
      <c r="B63" s="33">
        <v>38747.949999999997</v>
      </c>
      <c r="C63" s="33">
        <v>38461.33</v>
      </c>
      <c r="D63" s="33">
        <v>27557</v>
      </c>
      <c r="E63" s="33">
        <v>32055</v>
      </c>
      <c r="F63" s="33">
        <v>24959</v>
      </c>
      <c r="G63" s="33">
        <v>18585</v>
      </c>
      <c r="H63" s="33">
        <v>16314</v>
      </c>
      <c r="I63" s="33">
        <v>15879</v>
      </c>
      <c r="J63" s="33">
        <v>19529</v>
      </c>
      <c r="K63" s="33">
        <v>22889</v>
      </c>
    </row>
    <row r="64" spans="1:11" ht="14.4">
      <c r="A64" s="32" t="s">
        <v>78</v>
      </c>
      <c r="B64" s="33">
        <v>39606.04</v>
      </c>
      <c r="C64" s="37">
        <v>53385.98</v>
      </c>
      <c r="D64" s="33">
        <v>46962</v>
      </c>
      <c r="E64" s="33">
        <v>28700</v>
      </c>
      <c r="F64" s="33">
        <v>33065</v>
      </c>
      <c r="G64" s="33">
        <v>24753</v>
      </c>
      <c r="H64" s="33">
        <v>16660</v>
      </c>
      <c r="I64" s="33">
        <v>17291</v>
      </c>
      <c r="J64" s="33">
        <v>13150</v>
      </c>
      <c r="K64" s="33">
        <v>11869</v>
      </c>
    </row>
    <row r="65" spans="1:11">
      <c r="A65" s="32" t="s">
        <v>79</v>
      </c>
      <c r="B65" s="33">
        <v>41819.360000000001</v>
      </c>
      <c r="C65" s="33">
        <v>38542.19</v>
      </c>
      <c r="D65" s="33">
        <v>46796</v>
      </c>
      <c r="E65" s="33">
        <v>41157</v>
      </c>
      <c r="F65" s="33">
        <v>54217</v>
      </c>
      <c r="G65" s="33">
        <v>51272</v>
      </c>
      <c r="H65" s="33">
        <v>62520</v>
      </c>
      <c r="I65" s="33">
        <v>71279</v>
      </c>
      <c r="J65" s="33">
        <v>66293</v>
      </c>
      <c r="K65" s="33">
        <v>60809</v>
      </c>
    </row>
    <row r="66" spans="1:11" s="31" customFormat="1">
      <c r="A66" s="31" t="s">
        <v>35</v>
      </c>
      <c r="B66" s="33">
        <v>190281.18</v>
      </c>
      <c r="C66" s="33">
        <v>191980.35</v>
      </c>
      <c r="D66" s="33">
        <v>196946</v>
      </c>
      <c r="E66" s="33">
        <v>180367</v>
      </c>
      <c r="F66" s="33">
        <v>198568</v>
      </c>
      <c r="G66" s="33">
        <v>180737</v>
      </c>
      <c r="H66" s="33">
        <v>183496</v>
      </c>
      <c r="I66" s="33">
        <v>193947</v>
      </c>
      <c r="J66" s="33">
        <v>189455</v>
      </c>
      <c r="K66" s="33">
        <v>188118</v>
      </c>
    </row>
    <row r="67" spans="1:11">
      <c r="A67" s="32" t="s">
        <v>81</v>
      </c>
      <c r="B67" s="33">
        <v>3605.13</v>
      </c>
      <c r="C67" s="33">
        <v>2493.75</v>
      </c>
      <c r="D67" s="33">
        <v>2240</v>
      </c>
      <c r="E67" s="33">
        <v>3969</v>
      </c>
      <c r="F67" s="33">
        <v>3982</v>
      </c>
      <c r="G67" s="33">
        <v>2697</v>
      </c>
      <c r="H67" s="33">
        <v>3491</v>
      </c>
      <c r="I67" s="33">
        <v>4946</v>
      </c>
      <c r="J67" s="33">
        <v>4014</v>
      </c>
      <c r="K67" s="33">
        <v>3607</v>
      </c>
    </row>
    <row r="68" spans="1:11" ht="14.4">
      <c r="A68" s="32" t="s">
        <v>82</v>
      </c>
      <c r="B68" s="37">
        <v>8725.02</v>
      </c>
      <c r="C68" s="37">
        <v>8011.65</v>
      </c>
      <c r="D68" s="37">
        <v>9628</v>
      </c>
      <c r="E68" s="37">
        <v>11967</v>
      </c>
      <c r="F68" s="37">
        <v>13198</v>
      </c>
      <c r="G68" s="37">
        <v>11335</v>
      </c>
      <c r="H68" s="37">
        <v>9923</v>
      </c>
      <c r="I68" s="37">
        <v>14313</v>
      </c>
      <c r="J68" s="37">
        <v>15012</v>
      </c>
      <c r="K68" s="37">
        <v>13001</v>
      </c>
    </row>
    <row r="69" spans="1:11">
      <c r="A69" s="32" t="s">
        <v>83</v>
      </c>
      <c r="B69" s="33">
        <v>5696.28</v>
      </c>
      <c r="C69" s="33">
        <v>3708.79</v>
      </c>
      <c r="D69" s="33">
        <v>14123</v>
      </c>
      <c r="E69" s="33">
        <v>5216</v>
      </c>
      <c r="F69" s="33">
        <v>8369</v>
      </c>
      <c r="G69" s="33">
        <v>12502</v>
      </c>
      <c r="H69" s="33">
        <v>16629</v>
      </c>
      <c r="I69" s="33">
        <v>15355</v>
      </c>
      <c r="J69" s="33">
        <v>9254</v>
      </c>
      <c r="K69" s="33">
        <v>4327</v>
      </c>
    </row>
    <row r="70" spans="1:11">
      <c r="A70" s="32" t="s">
        <v>118</v>
      </c>
      <c r="B70" s="33">
        <v>2965004871</v>
      </c>
      <c r="C70" s="33">
        <v>2965004871</v>
      </c>
      <c r="D70" s="33">
        <v>2970000000</v>
      </c>
      <c r="E70" s="33">
        <v>3720000000</v>
      </c>
      <c r="F70" s="33">
        <v>3720000000</v>
      </c>
      <c r="G70" s="33">
        <v>3720000000</v>
      </c>
      <c r="H70" s="33">
        <v>3720000000</v>
      </c>
      <c r="I70" s="33">
        <v>3720000000</v>
      </c>
      <c r="J70" s="33">
        <v>3720000000</v>
      </c>
      <c r="K70" s="33">
        <v>3720000000</v>
      </c>
    </row>
    <row r="71" spans="1:11" ht="13.8">
      <c r="A71" s="32" t="s">
        <v>119</v>
      </c>
      <c r="B71" s="39"/>
      <c r="C71" s="39"/>
      <c r="G71" s="39"/>
      <c r="H71" s="39"/>
    </row>
    <row r="72" spans="1:11">
      <c r="A72" s="32" t="s">
        <v>120</v>
      </c>
      <c r="B72" s="33">
        <v>1</v>
      </c>
      <c r="C72" s="33">
        <v>1</v>
      </c>
      <c r="D72" s="33">
        <v>1</v>
      </c>
      <c r="E72" s="33">
        <v>1</v>
      </c>
      <c r="F72" s="33">
        <v>1</v>
      </c>
      <c r="G72" s="33">
        <v>1</v>
      </c>
      <c r="H72" s="33">
        <v>1</v>
      </c>
      <c r="I72" s="33">
        <v>1</v>
      </c>
      <c r="J72" s="33">
        <v>1</v>
      </c>
      <c r="K72" s="33">
        <v>1</v>
      </c>
    </row>
    <row r="73" spans="1:11">
      <c r="H73" s="32">
        <f>H62-G62+H45</f>
        <v>4425</v>
      </c>
      <c r="I73" s="32">
        <f t="shared" ref="I73:K73" si="3">I62-H62+I45</f>
        <v>4138</v>
      </c>
      <c r="J73" s="32">
        <f t="shared" si="3"/>
        <v>3773</v>
      </c>
      <c r="K73" s="32">
        <f t="shared" si="3"/>
        <v>4811</v>
      </c>
    </row>
    <row r="80" spans="1:11">
      <c r="A80" s="31" t="s">
        <v>121</v>
      </c>
    </row>
    <row r="81" spans="1:12" s="36" customFormat="1">
      <c r="A81" s="34" t="s">
        <v>101</v>
      </c>
      <c r="B81" s="35">
        <v>42094</v>
      </c>
      <c r="C81" s="35">
        <v>42460</v>
      </c>
      <c r="D81" s="35">
        <v>42825</v>
      </c>
      <c r="E81" s="35">
        <v>43190</v>
      </c>
      <c r="F81" s="35">
        <v>43555</v>
      </c>
      <c r="G81" s="35">
        <v>43921</v>
      </c>
      <c r="H81" s="35">
        <v>44286</v>
      </c>
      <c r="I81" s="35">
        <v>44651</v>
      </c>
      <c r="J81" s="35">
        <v>45016</v>
      </c>
      <c r="K81" s="35">
        <v>45382</v>
      </c>
      <c r="L81" s="35"/>
    </row>
    <row r="82" spans="1:12" s="31" customFormat="1">
      <c r="A82" s="32" t="s">
        <v>122</v>
      </c>
      <c r="B82" s="33">
        <v>17805.13</v>
      </c>
      <c r="C82" s="33">
        <v>20376.919999999998</v>
      </c>
      <c r="D82" s="33">
        <v>18083</v>
      </c>
      <c r="E82" s="33">
        <v>17366</v>
      </c>
      <c r="F82" s="33">
        <v>23754</v>
      </c>
      <c r="G82" s="33">
        <v>19300</v>
      </c>
      <c r="H82" s="33">
        <v>23980</v>
      </c>
      <c r="I82" s="33">
        <v>34963</v>
      </c>
      <c r="J82" s="33">
        <v>33065</v>
      </c>
      <c r="K82" s="33">
        <v>35654</v>
      </c>
    </row>
    <row r="83" spans="1:12">
      <c r="A83" s="32" t="s">
        <v>123</v>
      </c>
      <c r="B83" s="33">
        <v>-4133.09</v>
      </c>
      <c r="C83" s="33">
        <v>-7867.89</v>
      </c>
      <c r="D83" s="33">
        <v>2681</v>
      </c>
      <c r="E83" s="33">
        <v>15480</v>
      </c>
      <c r="F83" s="33">
        <v>-10594</v>
      </c>
      <c r="G83" s="33">
        <v>-5925</v>
      </c>
      <c r="H83" s="33">
        <v>-6678</v>
      </c>
      <c r="I83" s="33">
        <v>-2243</v>
      </c>
      <c r="J83" s="33">
        <v>-668</v>
      </c>
      <c r="K83" s="33">
        <v>-13676</v>
      </c>
    </row>
    <row r="84" spans="1:12">
      <c r="A84" s="32" t="s">
        <v>124</v>
      </c>
      <c r="B84" s="33">
        <v>-13955.77</v>
      </c>
      <c r="C84" s="33">
        <v>-11302.95</v>
      </c>
      <c r="D84" s="33">
        <v>-12425</v>
      </c>
      <c r="E84" s="33">
        <v>-39255</v>
      </c>
      <c r="F84" s="33">
        <v>-10242</v>
      </c>
      <c r="G84" s="33">
        <v>-15547</v>
      </c>
      <c r="H84" s="33">
        <v>-17565</v>
      </c>
      <c r="I84" s="33">
        <v>-28903</v>
      </c>
      <c r="J84" s="33">
        <v>-34142</v>
      </c>
      <c r="K84" s="33">
        <v>-26092</v>
      </c>
    </row>
    <row r="85" spans="1:12" s="31" customFormat="1">
      <c r="A85" s="32" t="s">
        <v>91</v>
      </c>
      <c r="B85" s="33">
        <v>-283.73</v>
      </c>
      <c r="C85" s="33">
        <v>1206.08</v>
      </c>
      <c r="D85" s="33">
        <v>8339</v>
      </c>
      <c r="E85" s="33">
        <v>-6409</v>
      </c>
      <c r="F85" s="33">
        <v>2918</v>
      </c>
      <c r="G85" s="33">
        <v>-2172</v>
      </c>
      <c r="H85" s="33">
        <v>-263</v>
      </c>
      <c r="I85" s="33">
        <v>3817</v>
      </c>
      <c r="J85" s="33">
        <v>-1745</v>
      </c>
      <c r="K85" s="33">
        <v>-4114</v>
      </c>
    </row>
    <row r="90" spans="1:12" s="31" customFormat="1">
      <c r="A90" s="31" t="s">
        <v>125</v>
      </c>
      <c r="B90" s="33">
        <v>189.5</v>
      </c>
      <c r="C90" s="33">
        <v>89.85</v>
      </c>
      <c r="D90" s="33">
        <v>274.95</v>
      </c>
      <c r="E90" s="33">
        <v>277.85000000000002</v>
      </c>
      <c r="F90" s="33">
        <v>184.45</v>
      </c>
      <c r="G90" s="33">
        <v>64.7</v>
      </c>
      <c r="H90" s="33">
        <v>228.75</v>
      </c>
      <c r="I90" s="33">
        <v>403.35</v>
      </c>
      <c r="J90" s="33">
        <v>274.45</v>
      </c>
      <c r="K90" s="33">
        <v>271.64999999999998</v>
      </c>
    </row>
    <row r="92" spans="1:12" s="31" customFormat="1">
      <c r="A92" s="31" t="s">
        <v>126</v>
      </c>
    </row>
    <row r="93" spans="1:12">
      <c r="A93" s="32" t="s">
        <v>127</v>
      </c>
      <c r="B93" s="40">
        <v>296.47000000000003</v>
      </c>
      <c r="C93" s="40">
        <v>296.47000000000003</v>
      </c>
      <c r="D93" s="40">
        <v>296.47000000000003</v>
      </c>
      <c r="E93" s="40">
        <v>371.72</v>
      </c>
      <c r="F93" s="40">
        <v>371.72</v>
      </c>
      <c r="G93" s="40">
        <v>371.72</v>
      </c>
      <c r="H93" s="40">
        <v>371.72</v>
      </c>
      <c r="I93" s="40">
        <v>371.72</v>
      </c>
      <c r="J93" s="40">
        <v>371.72</v>
      </c>
      <c r="K93" s="40">
        <v>371.72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C03866C7-AB34-441B-ACAE-C23DCFBCDD3D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55B1-9469-4E1B-8CE5-647380F64976}">
  <dimension ref="B2:O110"/>
  <sheetViews>
    <sheetView showGridLines="0" tabSelected="1" topLeftCell="A2" workbookViewId="0">
      <pane ySplit="1" topLeftCell="A3" activePane="bottomLeft" state="frozen"/>
      <selection activeCell="A2" sqref="A2"/>
      <selection pane="bottomLeft" activeCell="Q23" sqref="Q23"/>
    </sheetView>
  </sheetViews>
  <sheetFormatPr defaultRowHeight="14.4"/>
  <cols>
    <col min="1" max="1" width="1.88671875" customWidth="1"/>
    <col min="2" max="2" width="35.44140625" bestFit="1" customWidth="1"/>
    <col min="3" max="14" width="10.77734375" customWidth="1"/>
  </cols>
  <sheetData>
    <row r="2" spans="2:15">
      <c r="B2" s="16" t="s">
        <v>157</v>
      </c>
      <c r="C2" s="42">
        <v>41334</v>
      </c>
      <c r="D2" s="42">
        <v>41699</v>
      </c>
      <c r="E2" s="42">
        <v>42064</v>
      </c>
      <c r="F2" s="42">
        <v>42430</v>
      </c>
      <c r="G2" s="42">
        <v>42795</v>
      </c>
      <c r="H2" s="42">
        <v>43160</v>
      </c>
      <c r="I2" s="42">
        <v>43525</v>
      </c>
      <c r="J2" s="42">
        <v>43891</v>
      </c>
      <c r="K2" s="42">
        <v>44256</v>
      </c>
      <c r="L2" s="42">
        <v>44621</v>
      </c>
      <c r="M2" s="42">
        <v>44986</v>
      </c>
      <c r="N2" s="42">
        <v>45352</v>
      </c>
    </row>
    <row r="3" spans="2:15"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5">
      <c r="B4" s="1" t="s">
        <v>128</v>
      </c>
      <c r="C4" s="47">
        <v>638</v>
      </c>
      <c r="D4" s="47">
        <v>644</v>
      </c>
      <c r="E4" s="47">
        <v>644</v>
      </c>
      <c r="F4" s="47">
        <v>679</v>
      </c>
      <c r="G4" s="47">
        <v>679</v>
      </c>
      <c r="H4" s="47">
        <v>679</v>
      </c>
      <c r="I4" s="47">
        <v>679</v>
      </c>
      <c r="J4" s="47">
        <v>720</v>
      </c>
      <c r="K4" s="47">
        <v>766</v>
      </c>
      <c r="L4" s="47">
        <v>766</v>
      </c>
      <c r="M4" s="47">
        <v>766</v>
      </c>
      <c r="N4" s="47">
        <v>766</v>
      </c>
    </row>
    <row r="5" spans="2:15">
      <c r="B5" s="1" t="s">
        <v>72</v>
      </c>
      <c r="C5" s="47">
        <v>36999</v>
      </c>
      <c r="D5" s="47">
        <v>64960</v>
      </c>
      <c r="E5" s="47">
        <v>55618</v>
      </c>
      <c r="F5" s="47">
        <v>78273</v>
      </c>
      <c r="G5" s="47">
        <v>57383</v>
      </c>
      <c r="H5" s="47">
        <v>94749</v>
      </c>
      <c r="I5" s="47">
        <v>59500</v>
      </c>
      <c r="J5" s="47">
        <v>61491</v>
      </c>
      <c r="K5" s="47">
        <v>54481</v>
      </c>
      <c r="L5" s="47">
        <v>43795</v>
      </c>
      <c r="M5" s="47">
        <v>44556</v>
      </c>
      <c r="N5" s="47">
        <v>84152</v>
      </c>
    </row>
    <row r="6" spans="2:15">
      <c r="B6" s="1" t="s">
        <v>129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 spans="2:15">
      <c r="B7" t="s">
        <v>130</v>
      </c>
      <c r="C7" s="47">
        <v>32155</v>
      </c>
      <c r="D7" s="47">
        <v>45259</v>
      </c>
      <c r="E7" s="47">
        <v>56071</v>
      </c>
      <c r="F7" s="47">
        <v>50510</v>
      </c>
      <c r="G7" s="47">
        <v>60629</v>
      </c>
      <c r="H7" s="47">
        <v>61200</v>
      </c>
      <c r="I7" s="47">
        <v>70818</v>
      </c>
      <c r="J7" s="47">
        <v>83316</v>
      </c>
      <c r="K7" s="47">
        <v>93113</v>
      </c>
      <c r="L7" s="47">
        <v>97759</v>
      </c>
      <c r="M7" s="47">
        <v>88696</v>
      </c>
      <c r="N7" s="47">
        <v>62149</v>
      </c>
    </row>
    <row r="8" spans="2:15">
      <c r="B8" t="s">
        <v>131</v>
      </c>
      <c r="C8" s="47">
        <v>11620</v>
      </c>
      <c r="D8" s="47">
        <v>9696</v>
      </c>
      <c r="E8" s="47">
        <v>13140</v>
      </c>
      <c r="F8" s="47">
        <v>11451</v>
      </c>
      <c r="G8" s="47">
        <v>13860</v>
      </c>
      <c r="H8" s="47">
        <v>16795</v>
      </c>
      <c r="I8" s="47">
        <v>20150</v>
      </c>
      <c r="J8" s="47">
        <v>16363</v>
      </c>
      <c r="K8" s="47">
        <v>42792</v>
      </c>
      <c r="L8" s="47">
        <v>41918</v>
      </c>
      <c r="M8" s="47">
        <v>36965</v>
      </c>
      <c r="N8" s="47">
        <v>36352</v>
      </c>
      <c r="O8">
        <v>138339</v>
      </c>
    </row>
    <row r="9" spans="2:15">
      <c r="B9" t="s">
        <v>132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173</v>
      </c>
      <c r="J9" s="47">
        <v>5977</v>
      </c>
      <c r="K9" s="47">
        <v>6226</v>
      </c>
      <c r="L9" s="47">
        <v>6772</v>
      </c>
      <c r="M9" s="47">
        <v>8453</v>
      </c>
      <c r="N9" s="47">
        <v>8762</v>
      </c>
    </row>
    <row r="10" spans="2:15">
      <c r="B10" t="s">
        <v>133</v>
      </c>
      <c r="C10" s="47">
        <v>9940</v>
      </c>
      <c r="D10" s="47">
        <v>5688</v>
      </c>
      <c r="E10" s="47">
        <v>4399</v>
      </c>
      <c r="F10" s="47">
        <v>7399</v>
      </c>
      <c r="G10" s="47">
        <v>4115</v>
      </c>
      <c r="H10" s="47">
        <v>10956</v>
      </c>
      <c r="I10" s="47">
        <v>15034</v>
      </c>
      <c r="J10" s="47">
        <v>19132</v>
      </c>
      <c r="K10" s="47">
        <v>0</v>
      </c>
      <c r="L10" s="47">
        <v>0</v>
      </c>
      <c r="M10" s="47">
        <v>0</v>
      </c>
      <c r="N10" s="47">
        <v>0</v>
      </c>
    </row>
    <row r="11" spans="2:15">
      <c r="B11" s="1" t="s">
        <v>134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</row>
    <row r="12" spans="2:15">
      <c r="B12" t="s">
        <v>135</v>
      </c>
      <c r="C12" s="47">
        <v>370</v>
      </c>
      <c r="D12" s="47">
        <v>421</v>
      </c>
      <c r="E12" s="47">
        <v>433</v>
      </c>
      <c r="F12" s="47">
        <v>433</v>
      </c>
      <c r="G12" s="47">
        <v>453</v>
      </c>
      <c r="H12" s="47">
        <v>525</v>
      </c>
      <c r="I12" s="47">
        <v>523</v>
      </c>
      <c r="J12" s="47">
        <v>814</v>
      </c>
      <c r="K12" s="47">
        <v>1573</v>
      </c>
      <c r="L12" s="47">
        <v>4271</v>
      </c>
      <c r="M12" s="47">
        <v>7278</v>
      </c>
      <c r="N12" s="47">
        <v>8176</v>
      </c>
    </row>
    <row r="13" spans="2:15">
      <c r="B13" t="s">
        <v>136</v>
      </c>
      <c r="C13" s="47">
        <v>44912</v>
      </c>
      <c r="D13" s="47">
        <v>57316</v>
      </c>
      <c r="E13" s="47">
        <v>57407</v>
      </c>
      <c r="F13" s="47">
        <v>61562</v>
      </c>
      <c r="G13" s="47">
        <v>62533</v>
      </c>
      <c r="H13" s="47">
        <v>76940</v>
      </c>
      <c r="I13" s="47">
        <v>71691</v>
      </c>
      <c r="J13" s="47">
        <v>66398</v>
      </c>
      <c r="K13" s="47">
        <v>76040</v>
      </c>
      <c r="L13" s="47">
        <v>69750</v>
      </c>
      <c r="M13" s="47">
        <v>79252</v>
      </c>
      <c r="N13" s="47">
        <v>93979</v>
      </c>
    </row>
    <row r="14" spans="2:15">
      <c r="B14" t="s">
        <v>137</v>
      </c>
      <c r="C14" s="47">
        <v>2067</v>
      </c>
      <c r="D14" s="47">
        <v>3119</v>
      </c>
      <c r="E14" s="47">
        <v>2289</v>
      </c>
      <c r="F14" s="47">
        <v>2165</v>
      </c>
      <c r="G14" s="47">
        <v>1711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</row>
    <row r="15" spans="2:15">
      <c r="B15" t="s">
        <v>138</v>
      </c>
      <c r="C15" s="48">
        <v>29627</v>
      </c>
      <c r="D15" s="48">
        <v>31325</v>
      </c>
      <c r="E15" s="48">
        <v>47313</v>
      </c>
      <c r="F15" s="48">
        <v>50712</v>
      </c>
      <c r="G15" s="48">
        <v>71218</v>
      </c>
      <c r="H15" s="48">
        <v>65349</v>
      </c>
      <c r="I15" s="48">
        <v>67135</v>
      </c>
      <c r="J15" s="48">
        <v>65969</v>
      </c>
      <c r="K15" s="48">
        <v>66579</v>
      </c>
      <c r="L15" s="48">
        <v>64030</v>
      </c>
      <c r="M15" s="48">
        <v>68710</v>
      </c>
      <c r="N15" s="48">
        <v>75186</v>
      </c>
    </row>
    <row r="16" spans="2:15">
      <c r="B16" s="45" t="s">
        <v>75</v>
      </c>
      <c r="C16" s="45">
        <v>168330</v>
      </c>
      <c r="D16" s="45">
        <v>218426</v>
      </c>
      <c r="E16" s="45">
        <v>237315</v>
      </c>
      <c r="F16" s="45">
        <v>263184</v>
      </c>
      <c r="G16" s="45">
        <v>272580</v>
      </c>
      <c r="H16" s="45">
        <v>327192</v>
      </c>
      <c r="I16" s="45">
        <v>305703</v>
      </c>
      <c r="J16" s="45">
        <v>320179</v>
      </c>
      <c r="K16" s="45">
        <v>341570</v>
      </c>
      <c r="L16" s="45">
        <v>329061</v>
      </c>
      <c r="M16" s="45">
        <v>334674</v>
      </c>
      <c r="N16" s="45">
        <v>369521</v>
      </c>
    </row>
    <row r="17" spans="2:14"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</row>
    <row r="18" spans="2:14">
      <c r="B18" s="1" t="s">
        <v>139</v>
      </c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</row>
    <row r="19" spans="2:14">
      <c r="B19" t="s">
        <v>140</v>
      </c>
      <c r="C19" s="47">
        <v>1959</v>
      </c>
      <c r="D19" s="47">
        <v>2296</v>
      </c>
      <c r="E19" s="47">
        <v>2513</v>
      </c>
      <c r="F19" s="47">
        <v>7185</v>
      </c>
      <c r="G19" s="47">
        <v>6762</v>
      </c>
      <c r="H19" s="47">
        <v>7339</v>
      </c>
      <c r="I19" s="47">
        <v>7286</v>
      </c>
      <c r="J19" s="47">
        <v>7675</v>
      </c>
      <c r="K19" s="47">
        <v>7819</v>
      </c>
      <c r="L19" s="47">
        <v>7760</v>
      </c>
      <c r="M19" s="47">
        <v>8045</v>
      </c>
      <c r="N19" s="47">
        <v>7930</v>
      </c>
    </row>
    <row r="20" spans="2:14">
      <c r="B20" t="s">
        <v>141</v>
      </c>
      <c r="C20" s="47">
        <v>8323</v>
      </c>
      <c r="D20" s="47">
        <v>11010</v>
      </c>
      <c r="E20" s="47">
        <v>13396</v>
      </c>
      <c r="F20" s="47">
        <v>12343</v>
      </c>
      <c r="G20" s="47">
        <v>12164</v>
      </c>
      <c r="H20" s="47">
        <v>16552</v>
      </c>
      <c r="I20" s="47">
        <v>22938</v>
      </c>
      <c r="J20" s="47">
        <v>32665</v>
      </c>
      <c r="K20" s="47">
        <v>35537</v>
      </c>
      <c r="L20" s="47">
        <v>36466</v>
      </c>
      <c r="M20" s="47">
        <v>38674</v>
      </c>
      <c r="N20" s="47">
        <v>40584</v>
      </c>
    </row>
    <row r="21" spans="2:14">
      <c r="B21" t="s">
        <v>142</v>
      </c>
      <c r="C21" s="47">
        <v>63478</v>
      </c>
      <c r="D21" s="47">
        <v>79505</v>
      </c>
      <c r="E21" s="47">
        <v>88943</v>
      </c>
      <c r="F21" s="47">
        <v>80063</v>
      </c>
      <c r="G21" s="47">
        <v>79976</v>
      </c>
      <c r="H21" s="47">
        <v>100226</v>
      </c>
      <c r="I21" s="47">
        <v>109415</v>
      </c>
      <c r="J21" s="47">
        <v>124158</v>
      </c>
      <c r="K21" s="47">
        <v>138868</v>
      </c>
      <c r="L21" s="47">
        <v>148585</v>
      </c>
      <c r="M21" s="47">
        <v>153672</v>
      </c>
      <c r="N21" s="47">
        <v>151878</v>
      </c>
    </row>
    <row r="22" spans="2:14">
      <c r="B22" t="s">
        <v>143</v>
      </c>
      <c r="C22" s="47">
        <v>928</v>
      </c>
      <c r="D22" s="47">
        <v>1126</v>
      </c>
      <c r="E22" s="47">
        <v>1846</v>
      </c>
      <c r="F22" s="47">
        <v>2132</v>
      </c>
      <c r="G22" s="47">
        <v>1767</v>
      </c>
      <c r="H22" s="47">
        <v>1943</v>
      </c>
      <c r="I22" s="47">
        <v>2335</v>
      </c>
      <c r="J22" s="47">
        <v>3054</v>
      </c>
      <c r="K22" s="47">
        <v>3172</v>
      </c>
      <c r="L22" s="47">
        <v>3383</v>
      </c>
      <c r="M22" s="47">
        <v>3499</v>
      </c>
      <c r="N22" s="47">
        <v>3667</v>
      </c>
    </row>
    <row r="23" spans="2:14">
      <c r="B23" t="s">
        <v>144</v>
      </c>
      <c r="C23" s="47">
        <v>710</v>
      </c>
      <c r="D23" s="47">
        <v>1011</v>
      </c>
      <c r="E23" s="47">
        <v>1149</v>
      </c>
      <c r="F23" s="47">
        <v>1241</v>
      </c>
      <c r="G23" s="47">
        <v>1401</v>
      </c>
      <c r="H23" s="47">
        <v>1430</v>
      </c>
      <c r="I23" s="47">
        <v>1626</v>
      </c>
      <c r="J23" s="47">
        <v>1890</v>
      </c>
      <c r="K23" s="47">
        <v>1956</v>
      </c>
      <c r="L23" s="47">
        <v>1984</v>
      </c>
      <c r="M23" s="47">
        <v>2084</v>
      </c>
      <c r="N23" s="47">
        <v>2029</v>
      </c>
    </row>
    <row r="24" spans="2:14">
      <c r="B24" t="s">
        <v>145</v>
      </c>
      <c r="C24" s="47">
        <v>251</v>
      </c>
      <c r="D24" s="47">
        <v>270</v>
      </c>
      <c r="E24" s="47">
        <v>280</v>
      </c>
      <c r="F24" s="47">
        <v>280</v>
      </c>
      <c r="G24" s="47">
        <v>291</v>
      </c>
      <c r="H24" s="47">
        <v>353</v>
      </c>
      <c r="I24" s="47">
        <v>387</v>
      </c>
      <c r="J24" s="47">
        <v>601</v>
      </c>
      <c r="K24" s="47">
        <v>845</v>
      </c>
      <c r="L24" s="47">
        <v>725</v>
      </c>
      <c r="M24" s="47">
        <v>788</v>
      </c>
      <c r="N24" s="47">
        <v>956</v>
      </c>
    </row>
    <row r="25" spans="2:14">
      <c r="B25" t="s">
        <v>146</v>
      </c>
      <c r="C25" s="47">
        <v>7423</v>
      </c>
      <c r="D25" s="47">
        <v>8994</v>
      </c>
      <c r="E25" s="47">
        <v>9580</v>
      </c>
      <c r="F25" s="47">
        <v>58951</v>
      </c>
      <c r="G25" s="47">
        <v>54932</v>
      </c>
      <c r="H25" s="47">
        <v>77870</v>
      </c>
      <c r="I25" s="47">
        <v>80480</v>
      </c>
      <c r="J25" s="47">
        <v>91157</v>
      </c>
      <c r="K25" s="47">
        <v>114809</v>
      </c>
      <c r="L25" s="47">
        <v>114323</v>
      </c>
      <c r="M25" s="47">
        <v>112538</v>
      </c>
      <c r="N25" s="47">
        <v>116714</v>
      </c>
    </row>
    <row r="26" spans="2:14">
      <c r="B26" t="s">
        <v>147</v>
      </c>
      <c r="C26" s="47">
        <v>24161</v>
      </c>
      <c r="D26" s="47">
        <v>33694</v>
      </c>
      <c r="E26" s="47">
        <v>45196</v>
      </c>
      <c r="F26" s="47">
        <v>6746</v>
      </c>
      <c r="G26" s="47">
        <v>6219</v>
      </c>
      <c r="H26" s="47">
        <v>7497</v>
      </c>
      <c r="I26" s="47">
        <v>8049</v>
      </c>
      <c r="J26" s="47">
        <v>9380</v>
      </c>
      <c r="K26" s="47">
        <v>10686</v>
      </c>
      <c r="L26" s="47">
        <v>10870</v>
      </c>
      <c r="M26" s="47">
        <v>11841</v>
      </c>
      <c r="N26" s="47">
        <v>10724</v>
      </c>
    </row>
    <row r="27" spans="2:14">
      <c r="B27" s="1" t="s">
        <v>148</v>
      </c>
      <c r="C27" s="49">
        <v>107234</v>
      </c>
      <c r="D27" s="49">
        <v>137907</v>
      </c>
      <c r="E27" s="49">
        <v>162904</v>
      </c>
      <c r="F27" s="49">
        <v>168941</v>
      </c>
      <c r="G27" s="49">
        <v>163512</v>
      </c>
      <c r="H27" s="49">
        <v>213209</v>
      </c>
      <c r="I27" s="49">
        <v>232517</v>
      </c>
      <c r="J27" s="49">
        <v>270579</v>
      </c>
      <c r="K27" s="49">
        <v>313692</v>
      </c>
      <c r="L27" s="49">
        <v>324096</v>
      </c>
      <c r="M27" s="49">
        <v>331141</v>
      </c>
      <c r="N27" s="49">
        <v>334482</v>
      </c>
    </row>
    <row r="28" spans="2:14">
      <c r="B28" s="1" t="s">
        <v>149</v>
      </c>
      <c r="C28" s="48">
        <v>51723</v>
      </c>
      <c r="D28" s="48">
        <v>68815</v>
      </c>
      <c r="E28" s="48">
        <v>74424</v>
      </c>
      <c r="F28" s="48">
        <v>61709</v>
      </c>
      <c r="G28" s="48">
        <v>67568</v>
      </c>
      <c r="H28" s="48">
        <v>91795</v>
      </c>
      <c r="I28" s="48">
        <v>121283</v>
      </c>
      <c r="J28" s="48">
        <v>143471</v>
      </c>
      <c r="K28" s="48">
        <v>174985</v>
      </c>
      <c r="L28" s="48">
        <v>185241</v>
      </c>
      <c r="M28" s="48">
        <v>199062</v>
      </c>
      <c r="N28" s="48">
        <v>213197</v>
      </c>
    </row>
    <row r="29" spans="2:14">
      <c r="B29" s="50" t="s">
        <v>117</v>
      </c>
      <c r="C29" s="51">
        <f>C27-C28</f>
        <v>55511</v>
      </c>
      <c r="D29" s="51">
        <f t="shared" ref="D29:N29" si="0">D27-D28</f>
        <v>69092</v>
      </c>
      <c r="E29" s="51">
        <f t="shared" si="0"/>
        <v>88480</v>
      </c>
      <c r="F29" s="51">
        <f t="shared" si="0"/>
        <v>107232</v>
      </c>
      <c r="G29" s="51">
        <f t="shared" si="0"/>
        <v>95944</v>
      </c>
      <c r="H29" s="51">
        <f t="shared" si="0"/>
        <v>121414</v>
      </c>
      <c r="I29" s="51">
        <f t="shared" si="0"/>
        <v>111234</v>
      </c>
      <c r="J29" s="51">
        <f t="shared" si="0"/>
        <v>127108</v>
      </c>
      <c r="K29" s="51">
        <f t="shared" si="0"/>
        <v>138707</v>
      </c>
      <c r="L29" s="51">
        <f t="shared" si="0"/>
        <v>138855</v>
      </c>
      <c r="M29" s="51">
        <f t="shared" si="0"/>
        <v>132079</v>
      </c>
      <c r="N29" s="51">
        <f t="shared" si="0"/>
        <v>121285</v>
      </c>
    </row>
    <row r="30" spans="2:14">
      <c r="B30" s="1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</row>
    <row r="31" spans="2:14">
      <c r="B31" s="1" t="s">
        <v>150</v>
      </c>
      <c r="C31" s="47">
        <v>18454</v>
      </c>
      <c r="D31" s="47">
        <v>33263</v>
      </c>
      <c r="E31" s="47">
        <v>28640</v>
      </c>
      <c r="F31" s="47">
        <v>25919</v>
      </c>
      <c r="G31" s="47">
        <v>33699</v>
      </c>
      <c r="H31" s="47">
        <v>40034</v>
      </c>
      <c r="I31" s="47">
        <v>31884</v>
      </c>
      <c r="J31" s="47">
        <v>35622</v>
      </c>
      <c r="K31" s="47">
        <v>20964</v>
      </c>
      <c r="L31" s="47">
        <v>10251</v>
      </c>
      <c r="M31" s="47">
        <v>14274</v>
      </c>
      <c r="N31" s="47">
        <v>35698</v>
      </c>
    </row>
    <row r="32" spans="2:14">
      <c r="B32" s="1" t="s">
        <v>78</v>
      </c>
      <c r="C32" s="47">
        <v>8765</v>
      </c>
      <c r="D32" s="47">
        <v>10687</v>
      </c>
      <c r="E32" s="47">
        <v>15337</v>
      </c>
      <c r="F32" s="47">
        <v>23767</v>
      </c>
      <c r="G32" s="47">
        <v>20338</v>
      </c>
      <c r="H32" s="47">
        <v>20813</v>
      </c>
      <c r="I32" s="47">
        <v>15771</v>
      </c>
      <c r="J32" s="47">
        <v>16308</v>
      </c>
      <c r="K32" s="47">
        <v>24620</v>
      </c>
      <c r="L32" s="47">
        <v>29380</v>
      </c>
      <c r="M32" s="47">
        <v>26379</v>
      </c>
      <c r="N32" s="47">
        <v>22971</v>
      </c>
    </row>
    <row r="33" spans="2:15">
      <c r="B33" s="1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</row>
    <row r="34" spans="2:15">
      <c r="B34" s="1" t="s">
        <v>151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</row>
    <row r="35" spans="2:15">
      <c r="B35" t="s">
        <v>152</v>
      </c>
      <c r="C35" s="47">
        <v>21037</v>
      </c>
      <c r="D35" s="47">
        <v>27271</v>
      </c>
      <c r="E35" s="47">
        <v>29272</v>
      </c>
      <c r="F35" s="47">
        <v>32656</v>
      </c>
      <c r="G35" s="47">
        <v>35085</v>
      </c>
      <c r="H35" s="47">
        <v>42138</v>
      </c>
      <c r="I35" s="47">
        <v>39014</v>
      </c>
      <c r="J35" s="47">
        <v>37457</v>
      </c>
      <c r="K35" s="47">
        <v>36089</v>
      </c>
      <c r="L35" s="47">
        <v>35240</v>
      </c>
      <c r="M35" s="47">
        <v>40755</v>
      </c>
      <c r="N35" s="47">
        <v>47788</v>
      </c>
    </row>
    <row r="36" spans="2:15">
      <c r="B36" t="s">
        <v>153</v>
      </c>
      <c r="C36" s="47">
        <v>10960</v>
      </c>
      <c r="D36" s="47">
        <v>10574</v>
      </c>
      <c r="E36" s="47">
        <v>12579</v>
      </c>
      <c r="F36" s="47">
        <v>13571</v>
      </c>
      <c r="G36" s="47">
        <v>14076</v>
      </c>
      <c r="H36" s="47">
        <v>19893</v>
      </c>
      <c r="I36" s="47">
        <v>18996</v>
      </c>
      <c r="J36" s="47">
        <v>11173</v>
      </c>
      <c r="K36" s="47">
        <v>12679</v>
      </c>
      <c r="L36" s="47">
        <v>12442</v>
      </c>
      <c r="M36" s="47">
        <v>15738</v>
      </c>
      <c r="N36" s="47">
        <v>16952</v>
      </c>
    </row>
    <row r="37" spans="2:15">
      <c r="B37" t="s">
        <v>154</v>
      </c>
      <c r="C37" s="47">
        <v>21115</v>
      </c>
      <c r="D37" s="47">
        <v>29712</v>
      </c>
      <c r="E37" s="47">
        <v>32116</v>
      </c>
      <c r="F37" s="47">
        <v>30460</v>
      </c>
      <c r="G37" s="47">
        <v>36078</v>
      </c>
      <c r="H37" s="47">
        <v>34614</v>
      </c>
      <c r="I37" s="47">
        <v>32649</v>
      </c>
      <c r="J37" s="47">
        <v>33727</v>
      </c>
      <c r="K37" s="47">
        <v>46792</v>
      </c>
      <c r="L37" s="47">
        <v>40669</v>
      </c>
      <c r="M37" s="47">
        <v>37016</v>
      </c>
      <c r="N37" s="47">
        <v>45807</v>
      </c>
      <c r="O37">
        <v>4327</v>
      </c>
    </row>
    <row r="38" spans="2:15">
      <c r="B38" t="s">
        <v>155</v>
      </c>
      <c r="C38" s="47">
        <v>7041</v>
      </c>
      <c r="D38" s="47">
        <v>9344</v>
      </c>
      <c r="E38" s="47">
        <v>6190</v>
      </c>
      <c r="F38" s="47">
        <v>0</v>
      </c>
      <c r="G38" s="47">
        <v>0</v>
      </c>
      <c r="H38" s="47">
        <v>966</v>
      </c>
      <c r="I38" s="47">
        <v>974</v>
      </c>
      <c r="J38" s="47">
        <v>39</v>
      </c>
      <c r="K38" s="47">
        <v>142</v>
      </c>
      <c r="L38" s="47">
        <v>47</v>
      </c>
      <c r="M38" s="47">
        <v>119</v>
      </c>
      <c r="N38" s="47">
        <v>168</v>
      </c>
    </row>
    <row r="39" spans="2:15">
      <c r="B39" t="s">
        <v>156</v>
      </c>
      <c r="C39" s="52">
        <v>25448</v>
      </c>
      <c r="D39" s="52">
        <v>28484</v>
      </c>
      <c r="E39" s="52">
        <v>24701</v>
      </c>
      <c r="F39" s="52">
        <v>29579</v>
      </c>
      <c r="G39" s="52">
        <v>37361</v>
      </c>
      <c r="H39" s="52">
        <v>47321</v>
      </c>
      <c r="I39" s="52">
        <v>55182</v>
      </c>
      <c r="J39" s="52">
        <v>58746</v>
      </c>
      <c r="K39" s="52">
        <v>61576</v>
      </c>
      <c r="L39" s="52">
        <v>62177</v>
      </c>
      <c r="M39" s="52">
        <v>68313</v>
      </c>
      <c r="N39" s="52">
        <v>78851</v>
      </c>
    </row>
    <row r="40" spans="2:15">
      <c r="B40" s="45" t="s">
        <v>85</v>
      </c>
      <c r="C40" s="53">
        <v>168330</v>
      </c>
      <c r="D40" s="53">
        <v>218426</v>
      </c>
      <c r="E40" s="53">
        <v>237315</v>
      </c>
      <c r="F40" s="53">
        <v>263184</v>
      </c>
      <c r="G40" s="53">
        <v>272580</v>
      </c>
      <c r="H40" s="53">
        <v>327192</v>
      </c>
      <c r="I40" s="53">
        <v>305703</v>
      </c>
      <c r="J40" s="53">
        <v>320179</v>
      </c>
      <c r="K40" s="53">
        <v>341570</v>
      </c>
      <c r="L40" s="53">
        <v>329061</v>
      </c>
      <c r="M40" s="53">
        <v>334674</v>
      </c>
      <c r="N40" s="53">
        <v>369521</v>
      </c>
    </row>
    <row r="43" spans="2:15"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3"/>
    </row>
    <row r="44" spans="2:15">
      <c r="B44" s="64" t="s">
        <v>170</v>
      </c>
      <c r="C44" s="58">
        <v>22163</v>
      </c>
      <c r="D44" s="58">
        <v>36151</v>
      </c>
      <c r="E44" s="59">
        <v>35531</v>
      </c>
      <c r="F44" s="59">
        <v>37900</v>
      </c>
      <c r="G44" s="59">
        <v>30199</v>
      </c>
      <c r="H44" s="59">
        <v>23857</v>
      </c>
      <c r="I44" s="59">
        <v>18891</v>
      </c>
      <c r="J44" s="59">
        <v>26633</v>
      </c>
      <c r="K44" s="59">
        <v>29001</v>
      </c>
      <c r="L44" s="59">
        <v>14283</v>
      </c>
      <c r="M44" s="59">
        <v>35388</v>
      </c>
      <c r="N44" s="58">
        <v>67915</v>
      </c>
    </row>
    <row r="45" spans="2:15">
      <c r="B45" s="60" t="s">
        <v>171</v>
      </c>
      <c r="C45" s="59">
        <v>24406</v>
      </c>
      <c r="D45" s="59">
        <v>36303</v>
      </c>
      <c r="E45" s="59">
        <v>43397</v>
      </c>
      <c r="F45" s="59">
        <v>38626</v>
      </c>
      <c r="G45" s="59">
        <v>28840</v>
      </c>
      <c r="H45" s="59">
        <v>33312</v>
      </c>
      <c r="I45" s="59">
        <v>28771</v>
      </c>
      <c r="J45" s="59">
        <v>23352</v>
      </c>
      <c r="K45" s="59">
        <v>31198</v>
      </c>
      <c r="L45" s="59">
        <v>26943</v>
      </c>
      <c r="M45" s="59">
        <v>41694</v>
      </c>
      <c r="N45" s="59">
        <v>65106</v>
      </c>
    </row>
    <row r="46" spans="2:15">
      <c r="B46" s="61" t="s">
        <v>81</v>
      </c>
      <c r="C46" s="62">
        <v>-5177</v>
      </c>
      <c r="D46" s="62">
        <v>445</v>
      </c>
      <c r="E46" s="62">
        <v>-3179</v>
      </c>
      <c r="F46" s="62">
        <v>-2223</v>
      </c>
      <c r="G46" s="62">
        <v>-4152</v>
      </c>
      <c r="H46" s="62">
        <v>-10688</v>
      </c>
      <c r="I46" s="62">
        <v>-9109</v>
      </c>
      <c r="J46" s="62">
        <v>9950</v>
      </c>
      <c r="K46" s="62">
        <v>-5505</v>
      </c>
      <c r="L46" s="62">
        <v>185</v>
      </c>
      <c r="M46" s="62">
        <v>-2213</v>
      </c>
      <c r="N46" s="63">
        <v>-1875</v>
      </c>
    </row>
    <row r="47" spans="2:15">
      <c r="B47" s="61" t="s">
        <v>82</v>
      </c>
      <c r="C47" s="62">
        <v>-2656</v>
      </c>
      <c r="D47" s="62">
        <v>-2853</v>
      </c>
      <c r="E47" s="62">
        <v>-3692</v>
      </c>
      <c r="F47" s="62">
        <v>-5743</v>
      </c>
      <c r="G47" s="62">
        <v>-6621</v>
      </c>
      <c r="H47" s="62">
        <v>-3560</v>
      </c>
      <c r="I47" s="62">
        <v>2069</v>
      </c>
      <c r="J47" s="62">
        <v>2326</v>
      </c>
      <c r="K47" s="62">
        <v>3814</v>
      </c>
      <c r="L47" s="62">
        <v>472</v>
      </c>
      <c r="M47" s="62">
        <v>-5665</v>
      </c>
      <c r="N47" s="63">
        <v>-7265</v>
      </c>
    </row>
    <row r="48" spans="2:15">
      <c r="B48" s="61" t="s">
        <v>172</v>
      </c>
      <c r="C48" s="62">
        <v>8132</v>
      </c>
      <c r="D48" s="62">
        <v>4694</v>
      </c>
      <c r="E48" s="62">
        <v>3598</v>
      </c>
      <c r="F48" s="62">
        <v>3947</v>
      </c>
      <c r="G48" s="62">
        <v>9301</v>
      </c>
      <c r="H48" s="62">
        <v>7320</v>
      </c>
      <c r="I48" s="62">
        <v>-4692</v>
      </c>
      <c r="J48" s="62">
        <v>-8085</v>
      </c>
      <c r="K48" s="62">
        <v>5748</v>
      </c>
      <c r="L48" s="62">
        <v>-7012</v>
      </c>
      <c r="M48" s="63">
        <v>6945</v>
      </c>
      <c r="N48" s="62">
        <v>13706</v>
      </c>
    </row>
    <row r="49" spans="2:14">
      <c r="B49" s="61" t="s">
        <v>173</v>
      </c>
      <c r="C49" s="62">
        <v>0</v>
      </c>
      <c r="D49" s="62">
        <v>0</v>
      </c>
      <c r="E49" s="62">
        <v>0</v>
      </c>
      <c r="F49" s="62">
        <v>-520</v>
      </c>
      <c r="G49" s="62">
        <v>0</v>
      </c>
      <c r="H49" s="62">
        <v>0</v>
      </c>
      <c r="I49" s="62">
        <v>0</v>
      </c>
      <c r="J49" s="62">
        <v>0</v>
      </c>
      <c r="K49" s="62">
        <v>0</v>
      </c>
      <c r="L49" s="62">
        <v>0</v>
      </c>
      <c r="M49" s="62">
        <v>0</v>
      </c>
      <c r="N49" s="62">
        <v>0</v>
      </c>
    </row>
    <row r="50" spans="2:14">
      <c r="B50" s="60" t="s">
        <v>174</v>
      </c>
      <c r="C50" s="58">
        <v>-303</v>
      </c>
      <c r="D50" s="58">
        <v>1870</v>
      </c>
      <c r="E50" s="58">
        <v>-398</v>
      </c>
      <c r="F50" s="58">
        <v>5852</v>
      </c>
      <c r="G50" s="58">
        <v>4727</v>
      </c>
      <c r="H50" s="58">
        <v>494</v>
      </c>
      <c r="I50" s="58">
        <v>4512</v>
      </c>
      <c r="J50" s="58">
        <v>875</v>
      </c>
      <c r="K50" s="58">
        <v>-4150</v>
      </c>
      <c r="L50" s="58">
        <v>-4396</v>
      </c>
      <c r="M50" s="58">
        <v>-2194</v>
      </c>
      <c r="N50" s="59">
        <v>2760</v>
      </c>
    </row>
    <row r="51" spans="2:14">
      <c r="B51" s="61" t="s">
        <v>175</v>
      </c>
      <c r="C51" s="62">
        <v>-3</v>
      </c>
      <c r="D51" s="62">
        <v>4157</v>
      </c>
      <c r="E51" s="62">
        <v>-3672</v>
      </c>
      <c r="F51" s="62">
        <v>1313</v>
      </c>
      <c r="G51" s="62">
        <v>3254</v>
      </c>
      <c r="H51" s="62">
        <v>-6434</v>
      </c>
      <c r="I51" s="62">
        <v>-7221</v>
      </c>
      <c r="J51" s="63">
        <v>5065</v>
      </c>
      <c r="K51" s="62">
        <v>-93</v>
      </c>
      <c r="L51" s="63">
        <v>-10750</v>
      </c>
      <c r="M51" s="63">
        <v>-3127</v>
      </c>
      <c r="N51" s="63">
        <v>7325</v>
      </c>
    </row>
    <row r="52" spans="2:14">
      <c r="B52" s="61" t="s">
        <v>176</v>
      </c>
      <c r="C52" s="62">
        <v>-2240</v>
      </c>
      <c r="D52" s="62">
        <v>-4308</v>
      </c>
      <c r="E52" s="62">
        <v>-4194</v>
      </c>
      <c r="F52" s="62">
        <v>-2040</v>
      </c>
      <c r="G52" s="62">
        <v>-1895</v>
      </c>
      <c r="H52" s="62">
        <v>-3021</v>
      </c>
      <c r="I52" s="62">
        <v>-2659</v>
      </c>
      <c r="J52" s="62">
        <v>-1785</v>
      </c>
      <c r="K52" s="62">
        <v>-2105</v>
      </c>
      <c r="L52" s="62">
        <v>-1910</v>
      </c>
      <c r="M52" s="62">
        <v>-3179</v>
      </c>
      <c r="N52" s="62">
        <v>-4516</v>
      </c>
    </row>
    <row r="53" spans="2:14">
      <c r="B53" s="57" t="s">
        <v>177</v>
      </c>
      <c r="C53" s="58">
        <v>-22969</v>
      </c>
      <c r="D53" s="58">
        <v>-27991</v>
      </c>
      <c r="E53" s="58">
        <v>-36232</v>
      </c>
      <c r="F53" s="58">
        <v>-36694</v>
      </c>
      <c r="G53" s="58">
        <v>-39571</v>
      </c>
      <c r="H53" s="58">
        <v>-25139</v>
      </c>
      <c r="I53" s="58">
        <v>-20878</v>
      </c>
      <c r="J53" s="59">
        <v>-33115</v>
      </c>
      <c r="K53" s="58">
        <v>-25672</v>
      </c>
      <c r="L53" s="58">
        <v>-4444</v>
      </c>
      <c r="M53" s="58">
        <v>-15417</v>
      </c>
      <c r="N53" s="58">
        <v>-22782</v>
      </c>
    </row>
    <row r="54" spans="2:14">
      <c r="B54" s="61" t="s">
        <v>178</v>
      </c>
      <c r="C54" s="62">
        <v>-18863</v>
      </c>
      <c r="D54" s="62">
        <v>-26975</v>
      </c>
      <c r="E54" s="62">
        <v>-31962</v>
      </c>
      <c r="F54" s="62">
        <v>-31503</v>
      </c>
      <c r="G54" s="62">
        <v>-16072</v>
      </c>
      <c r="H54" s="62">
        <v>-35079</v>
      </c>
      <c r="I54" s="62">
        <v>-35304</v>
      </c>
      <c r="J54" s="63">
        <v>-29702</v>
      </c>
      <c r="K54" s="63">
        <v>-20205</v>
      </c>
      <c r="L54" s="62">
        <v>-15168</v>
      </c>
      <c r="M54" s="62">
        <v>-19230</v>
      </c>
      <c r="N54" s="62">
        <v>-31414</v>
      </c>
    </row>
    <row r="55" spans="2:14">
      <c r="B55" s="61" t="s">
        <v>179</v>
      </c>
      <c r="C55" s="62">
        <v>37</v>
      </c>
      <c r="D55" s="62">
        <v>50</v>
      </c>
      <c r="E55" s="62">
        <v>74</v>
      </c>
      <c r="F55" s="62">
        <v>59</v>
      </c>
      <c r="G55" s="62">
        <v>53</v>
      </c>
      <c r="H55" s="62">
        <v>30</v>
      </c>
      <c r="I55" s="62">
        <v>67</v>
      </c>
      <c r="J55" s="62">
        <v>171</v>
      </c>
      <c r="K55" s="62">
        <v>351</v>
      </c>
      <c r="L55" s="62">
        <v>230</v>
      </c>
      <c r="M55" s="62">
        <v>285</v>
      </c>
      <c r="N55" s="62">
        <v>231</v>
      </c>
    </row>
    <row r="56" spans="2:14">
      <c r="B56" s="61" t="s">
        <v>180</v>
      </c>
      <c r="C56" s="62">
        <v>73</v>
      </c>
      <c r="D56" s="62">
        <v>-429</v>
      </c>
      <c r="E56" s="62">
        <v>-5461</v>
      </c>
      <c r="F56" s="62">
        <v>-4728</v>
      </c>
      <c r="G56" s="62">
        <v>-6</v>
      </c>
      <c r="H56" s="62">
        <v>-329</v>
      </c>
      <c r="I56" s="62">
        <v>-130</v>
      </c>
      <c r="J56" s="62">
        <v>-1439</v>
      </c>
      <c r="K56" s="62">
        <v>-7530</v>
      </c>
      <c r="L56" s="62">
        <v>-3008</v>
      </c>
      <c r="M56" s="62">
        <v>-50</v>
      </c>
      <c r="N56" s="62">
        <v>-74</v>
      </c>
    </row>
    <row r="57" spans="2:14">
      <c r="B57" s="61" t="s">
        <v>181</v>
      </c>
      <c r="C57" s="62">
        <v>34</v>
      </c>
      <c r="D57" s="62">
        <v>4</v>
      </c>
      <c r="E57" s="62">
        <v>42</v>
      </c>
      <c r="F57" s="62">
        <v>89</v>
      </c>
      <c r="G57" s="62">
        <v>1965</v>
      </c>
      <c r="H57" s="62">
        <v>2381</v>
      </c>
      <c r="I57" s="62">
        <v>5644</v>
      </c>
      <c r="J57" s="62">
        <v>21</v>
      </c>
      <c r="K57" s="62">
        <v>226</v>
      </c>
      <c r="L57" s="62">
        <v>104</v>
      </c>
      <c r="M57" s="62">
        <v>6895</v>
      </c>
      <c r="N57" s="62">
        <v>10820</v>
      </c>
    </row>
    <row r="58" spans="2:14">
      <c r="B58" s="61" t="s">
        <v>182</v>
      </c>
      <c r="C58" s="62">
        <v>713</v>
      </c>
      <c r="D58" s="62">
        <v>653</v>
      </c>
      <c r="E58" s="62">
        <v>698</v>
      </c>
      <c r="F58" s="62">
        <v>731</v>
      </c>
      <c r="G58" s="62">
        <v>638</v>
      </c>
      <c r="H58" s="62">
        <v>690</v>
      </c>
      <c r="I58" s="62">
        <v>761</v>
      </c>
      <c r="J58" s="62">
        <v>1104</v>
      </c>
      <c r="K58" s="62">
        <v>428</v>
      </c>
      <c r="L58" s="62">
        <v>653</v>
      </c>
      <c r="M58" s="62">
        <v>973</v>
      </c>
      <c r="N58" s="62">
        <v>2493</v>
      </c>
    </row>
    <row r="59" spans="2:14">
      <c r="B59" s="61" t="s">
        <v>183</v>
      </c>
      <c r="C59" s="62">
        <v>95</v>
      </c>
      <c r="D59" s="62">
        <v>40</v>
      </c>
      <c r="E59" s="62">
        <v>80</v>
      </c>
      <c r="F59" s="62">
        <v>58</v>
      </c>
      <c r="G59" s="62">
        <v>620</v>
      </c>
      <c r="H59" s="62">
        <v>1797</v>
      </c>
      <c r="I59" s="62">
        <v>232</v>
      </c>
      <c r="J59" s="62">
        <v>21</v>
      </c>
      <c r="K59" s="62">
        <v>18</v>
      </c>
      <c r="L59" s="62">
        <v>32</v>
      </c>
      <c r="M59" s="62">
        <v>46</v>
      </c>
      <c r="N59" s="62">
        <v>47</v>
      </c>
    </row>
    <row r="60" spans="2:14">
      <c r="B60" s="61" t="s">
        <v>184</v>
      </c>
      <c r="C60" s="62">
        <v>0</v>
      </c>
      <c r="D60" s="62">
        <v>0</v>
      </c>
      <c r="E60" s="62">
        <v>-160</v>
      </c>
      <c r="F60" s="62">
        <v>0</v>
      </c>
      <c r="G60" s="62">
        <v>-107</v>
      </c>
      <c r="H60" s="62">
        <v>-4</v>
      </c>
      <c r="I60" s="62">
        <v>-9</v>
      </c>
      <c r="J60" s="62">
        <v>-606</v>
      </c>
      <c r="K60" s="62">
        <v>-10</v>
      </c>
      <c r="L60" s="62">
        <v>0</v>
      </c>
      <c r="M60" s="62">
        <v>0</v>
      </c>
      <c r="N60" s="62">
        <v>-150</v>
      </c>
    </row>
    <row r="61" spans="2:14">
      <c r="B61" s="61" t="s">
        <v>185</v>
      </c>
      <c r="C61" s="62">
        <v>0</v>
      </c>
      <c r="D61" s="62">
        <v>0</v>
      </c>
      <c r="E61" s="62">
        <v>0</v>
      </c>
      <c r="F61" s="62">
        <v>0</v>
      </c>
      <c r="G61" s="62">
        <v>0</v>
      </c>
      <c r="H61" s="62">
        <v>14</v>
      </c>
      <c r="I61" s="62">
        <v>533</v>
      </c>
      <c r="J61" s="62">
        <v>0</v>
      </c>
      <c r="K61" s="62">
        <v>0</v>
      </c>
      <c r="L61" s="62">
        <v>0</v>
      </c>
      <c r="M61" s="62">
        <v>19</v>
      </c>
      <c r="N61" s="62">
        <v>108</v>
      </c>
    </row>
    <row r="62" spans="2:14">
      <c r="B62" s="61" t="s">
        <v>186</v>
      </c>
      <c r="C62" s="62">
        <v>0</v>
      </c>
      <c r="D62" s="62">
        <v>-185</v>
      </c>
      <c r="E62" s="62">
        <v>0</v>
      </c>
      <c r="F62" s="62">
        <v>-111</v>
      </c>
      <c r="G62" s="62">
        <v>0</v>
      </c>
      <c r="H62" s="62">
        <v>0</v>
      </c>
      <c r="I62" s="62">
        <v>-8</v>
      </c>
      <c r="J62" s="62">
        <v>-27</v>
      </c>
      <c r="K62" s="62">
        <v>0</v>
      </c>
      <c r="L62" s="62">
        <v>-98</v>
      </c>
      <c r="M62" s="62">
        <v>0</v>
      </c>
      <c r="N62" s="62">
        <v>0</v>
      </c>
    </row>
    <row r="63" spans="2:14">
      <c r="B63" s="57" t="s">
        <v>187</v>
      </c>
      <c r="C63" s="58">
        <v>45</v>
      </c>
      <c r="D63" s="58">
        <v>0</v>
      </c>
      <c r="E63" s="58">
        <v>0</v>
      </c>
      <c r="F63" s="58">
        <v>0</v>
      </c>
      <c r="G63" s="58">
        <v>0</v>
      </c>
      <c r="H63" s="58">
        <v>0</v>
      </c>
      <c r="I63" s="58">
        <v>0</v>
      </c>
      <c r="J63" s="59">
        <v>0</v>
      </c>
      <c r="K63" s="59">
        <v>0</v>
      </c>
      <c r="L63" s="59">
        <v>0</v>
      </c>
      <c r="M63" s="58">
        <v>0</v>
      </c>
      <c r="N63" s="59">
        <v>-24</v>
      </c>
    </row>
    <row r="64" spans="2:14">
      <c r="B64" s="61" t="s">
        <v>188</v>
      </c>
      <c r="C64" s="62">
        <v>-5103</v>
      </c>
      <c r="D64" s="62">
        <v>-1149</v>
      </c>
      <c r="E64" s="62">
        <v>456</v>
      </c>
      <c r="F64" s="62">
        <v>-1289</v>
      </c>
      <c r="G64" s="62">
        <v>-26663</v>
      </c>
      <c r="H64" s="62">
        <v>5360</v>
      </c>
      <c r="I64" s="62">
        <v>7335</v>
      </c>
      <c r="J64" s="62">
        <v>-2659</v>
      </c>
      <c r="K64" s="62">
        <v>1051</v>
      </c>
      <c r="L64" s="62">
        <v>12813</v>
      </c>
      <c r="M64" s="62">
        <v>-4357</v>
      </c>
      <c r="N64" s="62">
        <v>-4817</v>
      </c>
    </row>
    <row r="65" spans="2:15">
      <c r="B65" s="61" t="s">
        <v>189</v>
      </c>
      <c r="C65" s="62">
        <v>-1692</v>
      </c>
      <c r="D65" s="62">
        <v>-3883</v>
      </c>
      <c r="E65" s="62">
        <v>5201</v>
      </c>
      <c r="F65" s="62">
        <v>-3795</v>
      </c>
      <c r="G65" s="62">
        <v>6205</v>
      </c>
      <c r="H65" s="62">
        <v>2012</v>
      </c>
      <c r="I65" s="62">
        <v>8830</v>
      </c>
      <c r="J65" s="62">
        <v>3390</v>
      </c>
      <c r="K65" s="62">
        <v>9904</v>
      </c>
      <c r="L65" s="62">
        <v>-3380</v>
      </c>
      <c r="M65" s="62">
        <v>-26243</v>
      </c>
      <c r="N65" s="62">
        <v>-37006</v>
      </c>
    </row>
    <row r="66" spans="2:15">
      <c r="B66" s="61" t="s">
        <v>190</v>
      </c>
      <c r="C66" s="62">
        <v>1</v>
      </c>
      <c r="D66" s="62">
        <v>0</v>
      </c>
      <c r="E66" s="62">
        <v>0</v>
      </c>
      <c r="F66" s="62">
        <v>7433</v>
      </c>
      <c r="G66" s="62">
        <v>5</v>
      </c>
      <c r="H66" s="62">
        <v>0</v>
      </c>
      <c r="I66" s="62">
        <v>0</v>
      </c>
      <c r="J66" s="62">
        <v>3889</v>
      </c>
      <c r="K66" s="62">
        <v>2603</v>
      </c>
      <c r="L66" s="62">
        <v>19</v>
      </c>
      <c r="M66" s="62">
        <v>20</v>
      </c>
      <c r="N66" s="62">
        <v>82</v>
      </c>
    </row>
    <row r="67" spans="2:15">
      <c r="B67" s="61" t="s">
        <v>191</v>
      </c>
      <c r="C67" s="62">
        <v>-97</v>
      </c>
      <c r="D67" s="62">
        <v>-658</v>
      </c>
      <c r="E67" s="62">
        <v>-744</v>
      </c>
      <c r="F67" s="62">
        <v>0</v>
      </c>
      <c r="G67" s="62">
        <v>0</v>
      </c>
      <c r="H67" s="62">
        <v>0</v>
      </c>
      <c r="I67" s="62">
        <v>0</v>
      </c>
      <c r="J67" s="63">
        <v>0</v>
      </c>
      <c r="K67" s="63">
        <v>0</v>
      </c>
      <c r="L67" s="63">
        <v>0</v>
      </c>
      <c r="M67" s="62">
        <v>0</v>
      </c>
      <c r="N67" s="63">
        <v>0</v>
      </c>
    </row>
    <row r="68" spans="2:15">
      <c r="B68" s="61" t="s">
        <v>192</v>
      </c>
      <c r="C68" s="62">
        <v>27863</v>
      </c>
      <c r="D68" s="62">
        <v>33258</v>
      </c>
      <c r="E68" s="62">
        <v>36363</v>
      </c>
      <c r="F68" s="62">
        <v>19519</v>
      </c>
      <c r="G68" s="62">
        <v>33390</v>
      </c>
      <c r="H68" s="62">
        <v>37482</v>
      </c>
      <c r="I68" s="62">
        <v>51128</v>
      </c>
      <c r="J68" s="62">
        <v>38297</v>
      </c>
      <c r="K68" s="62">
        <v>46641</v>
      </c>
      <c r="L68" s="62">
        <v>46578</v>
      </c>
      <c r="M68" s="62">
        <v>43934</v>
      </c>
      <c r="N68" s="62">
        <v>18747</v>
      </c>
    </row>
    <row r="69" spans="2:15">
      <c r="B69" s="61" t="s">
        <v>193</v>
      </c>
      <c r="C69" s="62">
        <v>-20395</v>
      </c>
      <c r="D69" s="62">
        <v>-29141</v>
      </c>
      <c r="E69" s="62">
        <v>-23332</v>
      </c>
      <c r="F69" s="62">
        <v>-24924</v>
      </c>
      <c r="G69" s="62">
        <v>-21732</v>
      </c>
      <c r="H69" s="62">
        <v>-29964</v>
      </c>
      <c r="I69" s="62">
        <v>-35198</v>
      </c>
      <c r="J69" s="62">
        <v>-29847</v>
      </c>
      <c r="K69" s="62">
        <v>-29709</v>
      </c>
      <c r="L69" s="62">
        <v>-42816</v>
      </c>
      <c r="M69" s="62">
        <v>-62557</v>
      </c>
      <c r="N69" s="62">
        <v>-47332</v>
      </c>
    </row>
    <row r="70" spans="2:15">
      <c r="B70" s="57" t="s">
        <v>91</v>
      </c>
      <c r="C70" s="58">
        <v>-4666</v>
      </c>
      <c r="D70" s="58">
        <v>-6171</v>
      </c>
      <c r="E70" s="58">
        <v>-6307</v>
      </c>
      <c r="F70" s="58">
        <v>-5716</v>
      </c>
      <c r="G70" s="58">
        <v>-5336</v>
      </c>
      <c r="H70" s="58">
        <v>-5411</v>
      </c>
      <c r="I70" s="58">
        <v>-7005</v>
      </c>
      <c r="J70" s="58">
        <v>-7518</v>
      </c>
      <c r="K70" s="58">
        <v>-8123</v>
      </c>
      <c r="L70" s="58">
        <v>-9251</v>
      </c>
      <c r="M70" s="59">
        <v>-9336</v>
      </c>
      <c r="N70" s="59">
        <v>-9332</v>
      </c>
    </row>
    <row r="74" spans="2:15">
      <c r="C74" s="113">
        <v>41334</v>
      </c>
      <c r="D74" s="113">
        <v>41699</v>
      </c>
      <c r="E74" s="113">
        <v>42064</v>
      </c>
      <c r="F74" s="113">
        <v>42430</v>
      </c>
      <c r="G74" s="113">
        <v>42795</v>
      </c>
      <c r="H74" s="113">
        <v>43160</v>
      </c>
      <c r="I74" s="113">
        <v>43525</v>
      </c>
      <c r="J74" s="113">
        <v>43891</v>
      </c>
      <c r="K74" s="113">
        <v>44256</v>
      </c>
      <c r="L74" s="113">
        <v>44621</v>
      </c>
      <c r="M74" s="113">
        <v>44986</v>
      </c>
      <c r="N74" s="113">
        <v>45352</v>
      </c>
    </row>
    <row r="75" spans="2:15">
      <c r="B75" t="s">
        <v>128</v>
      </c>
      <c r="C75">
        <v>87</v>
      </c>
      <c r="D75">
        <v>296</v>
      </c>
      <c r="E75">
        <v>296</v>
      </c>
      <c r="F75">
        <v>296</v>
      </c>
      <c r="G75">
        <v>297</v>
      </c>
      <c r="H75">
        <v>372</v>
      </c>
      <c r="I75">
        <v>372</v>
      </c>
      <c r="J75">
        <v>372</v>
      </c>
      <c r="K75">
        <v>372</v>
      </c>
      <c r="L75">
        <v>372</v>
      </c>
      <c r="M75">
        <v>372</v>
      </c>
      <c r="N75">
        <v>372</v>
      </c>
    </row>
    <row r="76" spans="2:15">
      <c r="B76" t="s">
        <v>72</v>
      </c>
      <c r="C76" s="41">
        <v>17388</v>
      </c>
      <c r="D76" s="41">
        <v>72712</v>
      </c>
      <c r="E76" s="41">
        <v>53579</v>
      </c>
      <c r="F76" s="41">
        <v>43743</v>
      </c>
      <c r="G76" s="41">
        <v>60128</v>
      </c>
      <c r="H76" s="41">
        <v>62940</v>
      </c>
      <c r="I76" s="41">
        <v>61925</v>
      </c>
      <c r="J76" s="41">
        <v>54263</v>
      </c>
      <c r="K76" s="41">
        <v>61906</v>
      </c>
      <c r="L76" s="41">
        <v>65011</v>
      </c>
      <c r="M76" s="41">
        <v>39051</v>
      </c>
      <c r="N76" s="41">
        <v>30350</v>
      </c>
    </row>
    <row r="77" spans="2:15">
      <c r="B77" t="s">
        <v>233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2</v>
      </c>
      <c r="L77">
        <v>0</v>
      </c>
      <c r="M77">
        <v>0</v>
      </c>
      <c r="N77">
        <v>0</v>
      </c>
    </row>
    <row r="78" spans="2:15">
      <c r="B78" t="s">
        <v>129</v>
      </c>
      <c r="C78" s="41">
        <v>4839</v>
      </c>
      <c r="D78" s="41">
        <v>80566</v>
      </c>
      <c r="E78" s="41">
        <v>77752</v>
      </c>
      <c r="F78" s="41">
        <v>67778</v>
      </c>
      <c r="G78" s="41">
        <v>71569</v>
      </c>
      <c r="H78" s="41">
        <v>58159</v>
      </c>
      <c r="I78" s="41">
        <v>66226</v>
      </c>
      <c r="J78" s="41">
        <v>59185</v>
      </c>
      <c r="K78" s="41">
        <v>57667</v>
      </c>
      <c r="L78" s="41">
        <v>53583</v>
      </c>
      <c r="M78" s="41">
        <v>80329</v>
      </c>
      <c r="N78" s="41">
        <v>87706</v>
      </c>
    </row>
    <row r="79" spans="2:15">
      <c r="B79" t="s">
        <v>130</v>
      </c>
      <c r="C79" s="41">
        <v>1179</v>
      </c>
      <c r="D79" s="41">
        <v>54966</v>
      </c>
      <c r="E79" s="41">
        <v>52025</v>
      </c>
      <c r="F79" s="41">
        <v>49378</v>
      </c>
      <c r="G79" s="41">
        <v>30255</v>
      </c>
      <c r="H79" s="41">
        <v>26789</v>
      </c>
      <c r="I79" s="41">
        <v>34721</v>
      </c>
      <c r="J79" s="41">
        <v>36724</v>
      </c>
      <c r="K79" s="41">
        <v>37962</v>
      </c>
      <c r="L79" s="41">
        <v>36205</v>
      </c>
      <c r="M79" s="41">
        <v>43476</v>
      </c>
      <c r="N79" s="41">
        <v>50633</v>
      </c>
      <c r="O79" s="41">
        <f>N78+N79</f>
        <v>138339</v>
      </c>
    </row>
    <row r="80" spans="2:15">
      <c r="B80" t="s">
        <v>131</v>
      </c>
      <c r="C80" s="41">
        <v>3652</v>
      </c>
      <c r="D80" s="41">
        <v>17395</v>
      </c>
      <c r="E80" s="41">
        <v>19941</v>
      </c>
      <c r="F80" s="41">
        <v>12290</v>
      </c>
      <c r="G80" s="41">
        <v>32245</v>
      </c>
      <c r="H80" s="41">
        <v>21951</v>
      </c>
      <c r="I80" s="41">
        <v>22982</v>
      </c>
      <c r="J80" s="41">
        <v>13076</v>
      </c>
      <c r="K80" s="41">
        <v>19066</v>
      </c>
      <c r="L80" s="41">
        <v>16904</v>
      </c>
      <c r="M80" s="41">
        <v>36407</v>
      </c>
      <c r="N80" s="41">
        <v>36060</v>
      </c>
    </row>
    <row r="81" spans="2:14">
      <c r="B81" t="s">
        <v>132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641</v>
      </c>
      <c r="L81">
        <v>474</v>
      </c>
      <c r="M81">
        <v>446</v>
      </c>
      <c r="N81" s="41">
        <v>1013</v>
      </c>
    </row>
    <row r="82" spans="2:14">
      <c r="B82" t="s">
        <v>133</v>
      </c>
      <c r="C82">
        <v>8</v>
      </c>
      <c r="D82" s="41">
        <v>8206</v>
      </c>
      <c r="E82" s="41">
        <v>5786</v>
      </c>
      <c r="F82" s="41">
        <v>6110</v>
      </c>
      <c r="G82" s="41">
        <v>9069</v>
      </c>
      <c r="H82" s="41">
        <v>9419</v>
      </c>
      <c r="I82" s="41">
        <v>8523</v>
      </c>
      <c r="J82" s="41">
        <v>9385</v>
      </c>
      <c r="K82">
        <v>-2</v>
      </c>
      <c r="L82">
        <v>0</v>
      </c>
      <c r="M82">
        <v>0</v>
      </c>
      <c r="N82">
        <v>0</v>
      </c>
    </row>
    <row r="83" spans="2:14">
      <c r="B83" t="s">
        <v>134</v>
      </c>
      <c r="C83">
        <v>723</v>
      </c>
      <c r="D83" s="41">
        <v>60545</v>
      </c>
      <c r="E83" s="41">
        <v>58654</v>
      </c>
      <c r="F83" s="41">
        <v>80163</v>
      </c>
      <c r="G83" s="41">
        <v>64952</v>
      </c>
      <c r="H83" s="41">
        <v>58896</v>
      </c>
      <c r="I83" s="41">
        <v>70045</v>
      </c>
      <c r="J83" s="41">
        <v>66917</v>
      </c>
      <c r="K83" s="41">
        <v>63551</v>
      </c>
      <c r="L83" s="41">
        <v>74981</v>
      </c>
      <c r="M83" s="41">
        <v>69703</v>
      </c>
      <c r="N83" s="41">
        <v>69690</v>
      </c>
    </row>
    <row r="84" spans="2:14">
      <c r="B84" t="s">
        <v>135</v>
      </c>
      <c r="C84">
        <v>0</v>
      </c>
      <c r="D84" s="41">
        <v>33797</v>
      </c>
      <c r="E84" s="41">
        <v>35530</v>
      </c>
      <c r="F84" s="41">
        <v>36561</v>
      </c>
      <c r="G84" s="41">
        <v>13928</v>
      </c>
      <c r="H84" s="41">
        <v>15961</v>
      </c>
      <c r="I84" s="41">
        <v>15227</v>
      </c>
      <c r="J84" s="41">
        <v>17112</v>
      </c>
      <c r="K84" s="41">
        <v>15138</v>
      </c>
      <c r="L84" s="41">
        <v>17321</v>
      </c>
      <c r="M84" s="41">
        <v>10004</v>
      </c>
      <c r="N84" s="41">
        <v>11347</v>
      </c>
    </row>
    <row r="85" spans="2:14">
      <c r="B85" t="s">
        <v>136</v>
      </c>
      <c r="C85">
        <v>321</v>
      </c>
      <c r="D85" s="41">
        <v>4167</v>
      </c>
      <c r="E85" s="41">
        <v>5278</v>
      </c>
      <c r="F85" s="41">
        <v>16162</v>
      </c>
      <c r="G85" s="41">
        <v>18459</v>
      </c>
      <c r="H85" s="41">
        <v>17843</v>
      </c>
      <c r="I85" s="41">
        <v>17352</v>
      </c>
      <c r="J85" s="41">
        <v>16972</v>
      </c>
      <c r="K85" s="41">
        <v>15889</v>
      </c>
      <c r="L85" s="41">
        <v>21531</v>
      </c>
      <c r="M85" s="41">
        <v>11043</v>
      </c>
      <c r="N85" s="41">
        <v>10095</v>
      </c>
    </row>
    <row r="86" spans="2:14">
      <c r="B86" t="s">
        <v>137</v>
      </c>
      <c r="C86">
        <v>10</v>
      </c>
      <c r="D86">
        <v>379</v>
      </c>
      <c r="E86">
        <v>317</v>
      </c>
      <c r="F86" s="41">
        <v>2567</v>
      </c>
      <c r="G86" s="41">
        <v>4721</v>
      </c>
      <c r="H86" s="41">
        <v>4944</v>
      </c>
      <c r="I86" s="41">
        <v>9194</v>
      </c>
      <c r="J86" s="41">
        <v>7887</v>
      </c>
      <c r="K86" s="41">
        <v>6233</v>
      </c>
      <c r="L86" s="41">
        <v>4127</v>
      </c>
      <c r="M86" s="41">
        <v>8931</v>
      </c>
      <c r="N86" s="41">
        <v>8076</v>
      </c>
    </row>
    <row r="87" spans="2:14">
      <c r="B87" t="s">
        <v>138</v>
      </c>
      <c r="C87">
        <v>392</v>
      </c>
      <c r="D87" s="41">
        <v>22202</v>
      </c>
      <c r="E87" s="41">
        <v>17529</v>
      </c>
      <c r="F87" s="41">
        <v>24873</v>
      </c>
      <c r="G87" s="41">
        <v>27844</v>
      </c>
      <c r="H87" s="41">
        <v>20148</v>
      </c>
      <c r="I87" s="41">
        <v>28272</v>
      </c>
      <c r="J87" s="41">
        <v>24946</v>
      </c>
      <c r="K87" s="41">
        <v>26291</v>
      </c>
      <c r="L87" s="41">
        <v>32002</v>
      </c>
      <c r="M87" s="41">
        <v>39725</v>
      </c>
      <c r="N87" s="41">
        <v>40172</v>
      </c>
    </row>
    <row r="88" spans="2:14">
      <c r="B88" t="s">
        <v>75</v>
      </c>
      <c r="C88" s="41">
        <v>23037</v>
      </c>
      <c r="D88" s="41">
        <v>214120</v>
      </c>
      <c r="E88" s="41">
        <v>190281</v>
      </c>
      <c r="F88" s="41">
        <v>191980</v>
      </c>
      <c r="G88" s="41">
        <v>196946</v>
      </c>
      <c r="H88" s="41">
        <v>180367</v>
      </c>
      <c r="I88" s="41">
        <v>198568</v>
      </c>
      <c r="J88" s="41">
        <v>180737</v>
      </c>
      <c r="K88" s="41">
        <v>183496</v>
      </c>
      <c r="L88" s="41">
        <v>193947</v>
      </c>
      <c r="M88" s="41">
        <v>189455</v>
      </c>
      <c r="N88" s="41">
        <v>188118</v>
      </c>
    </row>
    <row r="89" spans="2:14">
      <c r="B89" t="s">
        <v>139</v>
      </c>
      <c r="C89" s="41">
        <v>4136</v>
      </c>
      <c r="D89" s="41">
        <v>87205</v>
      </c>
      <c r="E89" s="41">
        <v>70108</v>
      </c>
      <c r="F89" s="41">
        <v>61591</v>
      </c>
      <c r="G89" s="41">
        <v>75631</v>
      </c>
      <c r="H89" s="41">
        <v>78455</v>
      </c>
      <c r="I89" s="41">
        <v>86327</v>
      </c>
      <c r="J89" s="41">
        <v>86127</v>
      </c>
      <c r="K89" s="41">
        <v>88002</v>
      </c>
      <c r="L89" s="41">
        <v>89498</v>
      </c>
      <c r="M89" s="41">
        <v>90483</v>
      </c>
      <c r="N89" s="41">
        <v>92551</v>
      </c>
    </row>
    <row r="90" spans="2:14">
      <c r="B90" t="s">
        <v>140</v>
      </c>
      <c r="C90">
        <v>272</v>
      </c>
      <c r="D90" s="41">
        <v>1655</v>
      </c>
      <c r="E90" s="41">
        <v>1738</v>
      </c>
      <c r="F90" s="41">
        <v>2005</v>
      </c>
      <c r="G90" s="41">
        <v>2088</v>
      </c>
      <c r="H90" s="41">
        <v>2156</v>
      </c>
      <c r="I90" s="41">
        <v>2558</v>
      </c>
      <c r="J90" s="41">
        <v>2900</v>
      </c>
      <c r="K90" s="41">
        <v>3100</v>
      </c>
      <c r="L90" s="41">
        <v>3215</v>
      </c>
      <c r="M90" s="41">
        <v>3497</v>
      </c>
      <c r="N90" s="41">
        <v>3853</v>
      </c>
    </row>
    <row r="91" spans="2:14">
      <c r="B91" t="s">
        <v>141</v>
      </c>
      <c r="C91">
        <v>315</v>
      </c>
      <c r="D91" s="41">
        <v>7497</v>
      </c>
      <c r="E91" s="41">
        <v>8918</v>
      </c>
      <c r="F91" s="41">
        <v>11496</v>
      </c>
      <c r="G91" s="41">
        <v>11941</v>
      </c>
      <c r="H91" s="41">
        <v>12543</v>
      </c>
      <c r="I91" s="41">
        <v>14030</v>
      </c>
      <c r="J91" s="41">
        <v>14688</v>
      </c>
      <c r="K91" s="41">
        <v>14961</v>
      </c>
      <c r="L91" s="41">
        <v>15284</v>
      </c>
      <c r="M91" s="41">
        <v>16001</v>
      </c>
      <c r="N91" s="41">
        <v>16422</v>
      </c>
    </row>
    <row r="92" spans="2:14">
      <c r="B92" t="s">
        <v>142</v>
      </c>
      <c r="C92" s="41">
        <v>1755</v>
      </c>
      <c r="D92" s="41">
        <v>52802</v>
      </c>
      <c r="E92" s="41">
        <v>62003</v>
      </c>
      <c r="F92" s="41">
        <v>69387</v>
      </c>
      <c r="G92" s="41">
        <v>81813</v>
      </c>
      <c r="H92" s="41">
        <v>90752</v>
      </c>
      <c r="I92" s="41">
        <v>99853</v>
      </c>
      <c r="J92" s="41">
        <v>104514</v>
      </c>
      <c r="K92" s="41">
        <v>109870</v>
      </c>
      <c r="L92" s="41">
        <v>116073</v>
      </c>
      <c r="M92" s="41">
        <v>121131</v>
      </c>
      <c r="N92" s="41">
        <v>128168</v>
      </c>
    </row>
    <row r="93" spans="2:14">
      <c r="B93" t="s">
        <v>234</v>
      </c>
      <c r="C93">
        <v>328</v>
      </c>
      <c r="D93">
        <v>474</v>
      </c>
      <c r="E93">
        <v>407</v>
      </c>
      <c r="F93">
        <v>649</v>
      </c>
      <c r="G93">
        <v>650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2:14">
      <c r="B94" t="s">
        <v>143</v>
      </c>
      <c r="C94">
        <v>14</v>
      </c>
      <c r="D94">
        <v>636</v>
      </c>
      <c r="E94">
        <v>779</v>
      </c>
      <c r="F94">
        <v>679</v>
      </c>
      <c r="G94">
        <v>676</v>
      </c>
      <c r="H94">
        <v>722</v>
      </c>
      <c r="I94">
        <v>831</v>
      </c>
      <c r="J94">
        <v>974</v>
      </c>
      <c r="K94" s="41">
        <v>1078</v>
      </c>
      <c r="L94" s="41">
        <v>1164</v>
      </c>
      <c r="M94" s="41">
        <v>1165</v>
      </c>
      <c r="N94" s="41">
        <v>1198</v>
      </c>
    </row>
    <row r="95" spans="2:14">
      <c r="B95" t="s">
        <v>144</v>
      </c>
      <c r="C95">
        <v>11</v>
      </c>
      <c r="D95">
        <v>194</v>
      </c>
      <c r="E95">
        <v>373</v>
      </c>
      <c r="F95">
        <v>306</v>
      </c>
      <c r="G95">
        <v>306</v>
      </c>
      <c r="H95">
        <v>336</v>
      </c>
      <c r="I95">
        <v>384</v>
      </c>
      <c r="J95">
        <v>410</v>
      </c>
      <c r="K95">
        <v>456</v>
      </c>
      <c r="L95">
        <v>499</v>
      </c>
      <c r="M95">
        <v>467</v>
      </c>
      <c r="N95">
        <v>462</v>
      </c>
    </row>
    <row r="96" spans="2:14">
      <c r="B96" t="s">
        <v>235</v>
      </c>
      <c r="C96">
        <v>0</v>
      </c>
      <c r="D96">
        <v>901</v>
      </c>
      <c r="E96" s="41">
        <v>1137</v>
      </c>
      <c r="F96">
        <v>958</v>
      </c>
      <c r="G96" s="41">
        <v>1262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2:14">
      <c r="B97" t="s">
        <v>145</v>
      </c>
      <c r="C97">
        <v>27</v>
      </c>
      <c r="D97">
        <v>295</v>
      </c>
      <c r="E97">
        <v>320</v>
      </c>
      <c r="F97">
        <v>340</v>
      </c>
      <c r="G97">
        <v>108</v>
      </c>
      <c r="H97">
        <v>126</v>
      </c>
      <c r="I97">
        <v>359</v>
      </c>
      <c r="J97">
        <v>394</v>
      </c>
      <c r="K97">
        <v>376</v>
      </c>
      <c r="L97">
        <v>402</v>
      </c>
      <c r="M97">
        <v>396</v>
      </c>
      <c r="N97">
        <v>397</v>
      </c>
    </row>
    <row r="98" spans="2:14">
      <c r="B98" t="s">
        <v>146</v>
      </c>
      <c r="C98" s="41">
        <v>2168</v>
      </c>
      <c r="D98" s="41">
        <v>39238</v>
      </c>
      <c r="E98" s="41">
        <v>17790</v>
      </c>
      <c r="F98">
        <v>672</v>
      </c>
      <c r="G98">
        <v>672</v>
      </c>
      <c r="H98">
        <v>897</v>
      </c>
      <c r="I98">
        <v>224</v>
      </c>
      <c r="J98">
        <v>247</v>
      </c>
      <c r="K98">
        <v>236</v>
      </c>
      <c r="L98">
        <v>221</v>
      </c>
      <c r="M98">
        <v>220</v>
      </c>
      <c r="N98">
        <v>198</v>
      </c>
    </row>
    <row r="99" spans="2:14">
      <c r="B99" t="s">
        <v>147</v>
      </c>
      <c r="C99">
        <v>177</v>
      </c>
      <c r="D99" s="41">
        <v>12633</v>
      </c>
      <c r="E99" s="41">
        <v>12467</v>
      </c>
      <c r="F99">
        <v>697</v>
      </c>
      <c r="G99" s="41">
        <v>8662</v>
      </c>
      <c r="H99" s="41">
        <v>10805</v>
      </c>
      <c r="I99" s="41">
        <v>14207</v>
      </c>
      <c r="J99" s="41">
        <v>15824</v>
      </c>
      <c r="K99" s="41">
        <v>18582</v>
      </c>
      <c r="L99" s="41">
        <v>22074</v>
      </c>
      <c r="M99" s="41">
        <v>25099</v>
      </c>
      <c r="N99" s="41">
        <v>27176</v>
      </c>
    </row>
    <row r="100" spans="2:14">
      <c r="B100" t="s">
        <v>148</v>
      </c>
      <c r="C100" s="41">
        <v>5066</v>
      </c>
      <c r="D100" s="41">
        <v>116325</v>
      </c>
      <c r="E100" s="41">
        <v>105931</v>
      </c>
      <c r="F100" s="41">
        <v>87189</v>
      </c>
      <c r="G100" s="41">
        <v>108178</v>
      </c>
      <c r="H100" s="41">
        <v>118337</v>
      </c>
      <c r="I100" s="41">
        <v>132446</v>
      </c>
      <c r="J100" s="41">
        <v>139951</v>
      </c>
      <c r="K100" s="41">
        <v>148659</v>
      </c>
      <c r="L100" s="41">
        <v>158932</v>
      </c>
      <c r="M100" s="41">
        <v>167976</v>
      </c>
      <c r="N100" s="41">
        <v>177874</v>
      </c>
    </row>
    <row r="101" spans="2:14">
      <c r="B101" t="s">
        <v>149</v>
      </c>
      <c r="C101">
        <v>930</v>
      </c>
      <c r="D101" s="41">
        <v>29056</v>
      </c>
      <c r="E101" s="41">
        <v>35759</v>
      </c>
      <c r="F101" s="41">
        <v>25598</v>
      </c>
      <c r="G101" s="41">
        <v>32547</v>
      </c>
      <c r="H101" s="41">
        <v>39882</v>
      </c>
      <c r="I101" s="41">
        <v>46119</v>
      </c>
      <c r="J101" s="41">
        <v>53824</v>
      </c>
      <c r="K101" s="41">
        <v>60657</v>
      </c>
      <c r="L101" s="41">
        <v>69434</v>
      </c>
      <c r="M101" s="41">
        <v>77493</v>
      </c>
      <c r="N101" s="41">
        <v>85323</v>
      </c>
    </row>
    <row r="102" spans="2:14">
      <c r="B102" t="s">
        <v>150</v>
      </c>
      <c r="C102">
        <v>723</v>
      </c>
      <c r="D102" s="41">
        <v>43128</v>
      </c>
      <c r="E102" s="41">
        <v>38748</v>
      </c>
      <c r="F102" s="41">
        <v>38461</v>
      </c>
      <c r="G102" s="41">
        <v>27557</v>
      </c>
      <c r="H102" s="41">
        <v>32055</v>
      </c>
      <c r="I102" s="41">
        <v>24959</v>
      </c>
      <c r="J102" s="41">
        <v>18585</v>
      </c>
      <c r="K102" s="41">
        <v>16314</v>
      </c>
      <c r="L102" s="41">
        <v>15879</v>
      </c>
      <c r="M102" s="41">
        <v>19529</v>
      </c>
      <c r="N102" s="41">
        <v>22889</v>
      </c>
    </row>
    <row r="103" spans="2:14">
      <c r="B103" t="s">
        <v>78</v>
      </c>
      <c r="C103" s="41">
        <v>16059</v>
      </c>
      <c r="D103" s="41">
        <v>37910</v>
      </c>
      <c r="E103" s="41">
        <v>39606</v>
      </c>
      <c r="F103" s="41">
        <v>53386</v>
      </c>
      <c r="G103" s="41">
        <v>46962</v>
      </c>
      <c r="H103" s="41">
        <v>28700</v>
      </c>
      <c r="I103" s="41">
        <v>33065</v>
      </c>
      <c r="J103" s="41">
        <v>24753</v>
      </c>
      <c r="K103" s="41">
        <v>16660</v>
      </c>
      <c r="L103" s="41">
        <v>17291</v>
      </c>
      <c r="M103" s="41">
        <v>13150</v>
      </c>
      <c r="N103" s="41">
        <v>11869</v>
      </c>
    </row>
    <row r="104" spans="2:14">
      <c r="B104" t="s">
        <v>151</v>
      </c>
      <c r="C104" s="41">
        <v>2119</v>
      </c>
      <c r="D104" s="41">
        <v>45877</v>
      </c>
      <c r="E104" s="41">
        <v>41819</v>
      </c>
      <c r="F104" s="41">
        <v>38542</v>
      </c>
      <c r="G104" s="41">
        <v>46796</v>
      </c>
      <c r="H104" s="41">
        <v>41157</v>
      </c>
      <c r="I104" s="41">
        <v>54217</v>
      </c>
      <c r="J104" s="41">
        <v>51272</v>
      </c>
      <c r="K104" s="41">
        <v>62520</v>
      </c>
      <c r="L104" s="41">
        <v>71279</v>
      </c>
      <c r="M104" s="41">
        <v>66293</v>
      </c>
      <c r="N104" s="41">
        <v>60809</v>
      </c>
    </row>
    <row r="105" spans="2:14">
      <c r="B105" t="s">
        <v>152</v>
      </c>
      <c r="C105">
        <v>961</v>
      </c>
      <c r="D105" s="41">
        <v>9034</v>
      </c>
      <c r="E105" s="41">
        <v>8725</v>
      </c>
      <c r="F105" s="41">
        <v>8012</v>
      </c>
      <c r="G105" s="41">
        <v>9628</v>
      </c>
      <c r="H105" s="41">
        <v>11967</v>
      </c>
      <c r="I105" s="41">
        <v>13198</v>
      </c>
      <c r="J105" s="41">
        <v>11335</v>
      </c>
      <c r="K105" s="41">
        <v>9923</v>
      </c>
      <c r="L105" s="41">
        <v>14313</v>
      </c>
      <c r="M105" s="41">
        <v>15012</v>
      </c>
      <c r="N105" s="41">
        <v>13001</v>
      </c>
    </row>
    <row r="106" spans="2:14">
      <c r="B106" t="s">
        <v>153</v>
      </c>
      <c r="C106">
        <v>142</v>
      </c>
      <c r="D106" s="41">
        <v>4620</v>
      </c>
      <c r="E106" s="41">
        <v>3605</v>
      </c>
      <c r="F106" s="41">
        <v>2494</v>
      </c>
      <c r="G106" s="41">
        <v>2240</v>
      </c>
      <c r="H106" s="41">
        <v>3969</v>
      </c>
      <c r="I106" s="41">
        <v>3982</v>
      </c>
      <c r="J106" s="41">
        <v>2697</v>
      </c>
      <c r="K106" s="41">
        <v>3491</v>
      </c>
      <c r="L106" s="41">
        <v>4946</v>
      </c>
      <c r="M106" s="41">
        <v>4014</v>
      </c>
      <c r="N106" s="41">
        <v>3607</v>
      </c>
    </row>
    <row r="107" spans="2:14">
      <c r="B107" t="s">
        <v>154</v>
      </c>
      <c r="C107">
        <v>36</v>
      </c>
      <c r="D107" s="41">
        <v>7686</v>
      </c>
      <c r="E107" s="41">
        <v>5696</v>
      </c>
      <c r="F107" s="41">
        <v>3709</v>
      </c>
      <c r="G107" s="41">
        <v>14123</v>
      </c>
      <c r="H107" s="41">
        <v>5216</v>
      </c>
      <c r="I107" s="41">
        <v>8369</v>
      </c>
      <c r="J107" s="41">
        <v>12502</v>
      </c>
      <c r="K107" s="41">
        <v>16629</v>
      </c>
      <c r="L107" s="41">
        <v>15355</v>
      </c>
      <c r="M107" s="41">
        <v>9254</v>
      </c>
      <c r="N107" s="41">
        <v>4327</v>
      </c>
    </row>
    <row r="108" spans="2:14">
      <c r="B108" t="s">
        <v>236</v>
      </c>
      <c r="C108">
        <v>41</v>
      </c>
      <c r="D108">
        <v>61</v>
      </c>
      <c r="E108">
        <v>52</v>
      </c>
      <c r="F108">
        <v>125</v>
      </c>
      <c r="G108">
        <v>251</v>
      </c>
      <c r="H108">
        <v>494</v>
      </c>
      <c r="I108">
        <v>687</v>
      </c>
      <c r="J108">
        <v>221</v>
      </c>
      <c r="K108" s="41">
        <v>2425</v>
      </c>
      <c r="L108" s="41">
        <v>2533</v>
      </c>
      <c r="M108" s="41">
        <v>3865</v>
      </c>
      <c r="N108" s="41">
        <v>3462</v>
      </c>
    </row>
    <row r="109" spans="2:14">
      <c r="B109" t="s">
        <v>156</v>
      </c>
      <c r="C109">
        <v>939</v>
      </c>
      <c r="D109" s="41">
        <v>24477</v>
      </c>
      <c r="E109" s="41">
        <v>23741</v>
      </c>
      <c r="F109" s="41">
        <v>24203</v>
      </c>
      <c r="G109" s="41">
        <v>20554</v>
      </c>
      <c r="H109" s="41">
        <v>19511</v>
      </c>
      <c r="I109" s="41">
        <v>27981</v>
      </c>
      <c r="J109" s="41">
        <v>24517</v>
      </c>
      <c r="K109" s="41">
        <v>30052</v>
      </c>
      <c r="L109" s="41">
        <v>34132</v>
      </c>
      <c r="M109" s="41">
        <v>34148</v>
      </c>
      <c r="N109" s="41">
        <v>36412</v>
      </c>
    </row>
    <row r="110" spans="2:14">
      <c r="B110" t="s">
        <v>85</v>
      </c>
      <c r="C110" s="41">
        <v>23037</v>
      </c>
      <c r="D110" s="41">
        <v>214120</v>
      </c>
      <c r="E110" s="41">
        <v>190281</v>
      </c>
      <c r="F110" s="41">
        <v>191980</v>
      </c>
      <c r="G110" s="41">
        <v>196946</v>
      </c>
      <c r="H110" s="41">
        <v>180367</v>
      </c>
      <c r="I110" s="41">
        <v>198568</v>
      </c>
      <c r="J110" s="41">
        <v>180737</v>
      </c>
      <c r="K110" s="41">
        <v>183496</v>
      </c>
      <c r="L110" s="41">
        <v>193947</v>
      </c>
      <c r="M110" s="41">
        <v>189455</v>
      </c>
      <c r="N110" s="41">
        <v>188118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DCF&gt;</vt:lpstr>
      <vt:lpstr>WACC</vt:lpstr>
      <vt:lpstr>Data&gt;</vt:lpstr>
      <vt:lpstr>Intrisic Growth</vt:lpstr>
      <vt:lpstr>DCF</vt:lpstr>
      <vt:lpstr>HistoricalFS</vt:lpstr>
      <vt:lpstr>Data Room&gt;</vt:lpstr>
      <vt:lpstr>Data Sheet</vt:lpstr>
      <vt:lpstr>Raw FS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Valuation School</dc:creator>
  <cp:lastModifiedBy>Vansh Agrawal</cp:lastModifiedBy>
  <cp:lastPrinted>2023-02-21T19:04:51Z</cp:lastPrinted>
  <dcterms:created xsi:type="dcterms:W3CDTF">2023-02-06T14:53:36Z</dcterms:created>
  <dcterms:modified xsi:type="dcterms:W3CDTF">2024-06-21T02:10:07Z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{1EE99B22-FCBF-4602-91E6-C0830BFCF47D}</vt:lpwstr>
  </property>
</Properties>
</file>