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7ec3d38628237/Desktop/Finance Club/"/>
    </mc:Choice>
  </mc:AlternateContent>
  <xr:revisionPtr revIDLastSave="2" documentId="8_{29A15F2D-B08A-4DBE-8CC1-2F8C14729CD7}" xr6:coauthVersionLast="47" xr6:coauthVersionMax="47" xr10:uidLastSave="{1145484E-1529-44F8-B259-6C61F13869B1}"/>
  <bookViews>
    <workbookView xWindow="-108" yWindow="-108" windowWidth="23256" windowHeight="12456" activeTab="1" xr2:uid="{D4886810-D9CC-4231-AA87-2302A306BB27}"/>
  </bookViews>
  <sheets>
    <sheet name="Financials&gt;" sheetId="1" r:id="rId1"/>
    <sheet name="HistoricalFS" sheetId="3" r:id="rId2"/>
    <sheet name="Forecasting" sheetId="8" r:id="rId3"/>
    <sheet name="Data&gt;" sheetId="4" r:id="rId4"/>
    <sheet name="Data Sheet" sheetId="2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8" l="1"/>
  <c r="L6" i="8"/>
  <c r="L7" i="8" s="1"/>
  <c r="L8" i="8" s="1"/>
  <c r="L9" i="8" s="1"/>
  <c r="L10" i="8" s="1"/>
  <c r="L11" i="8" s="1"/>
  <c r="L12" i="8" s="1"/>
  <c r="L13" i="8" s="1"/>
  <c r="L14" i="8" s="1"/>
  <c r="L5" i="8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C4" i="8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D11" i="8" l="1"/>
  <c r="D8" i="8"/>
  <c r="D16" i="8"/>
  <c r="D7" i="8"/>
  <c r="D6" i="8"/>
  <c r="D17" i="8"/>
  <c r="D5" i="8"/>
  <c r="D4" i="8"/>
  <c r="D18" i="8" s="1"/>
  <c r="E18" i="8" s="1"/>
  <c r="D13" i="8"/>
  <c r="E13" i="8" s="1"/>
  <c r="D12" i="8"/>
  <c r="E12" i="8" s="1"/>
  <c r="L15" i="8"/>
  <c r="G15" i="8"/>
  <c r="D10" i="8"/>
  <c r="E10" i="8" s="1"/>
  <c r="E17" i="8" l="1"/>
  <c r="E6" i="8"/>
  <c r="E7" i="8"/>
  <c r="E8" i="8"/>
  <c r="E9" i="8"/>
  <c r="E5" i="8"/>
  <c r="D15" i="8"/>
  <c r="E15" i="8" s="1"/>
  <c r="D14" i="8"/>
  <c r="E14" i="8" s="1"/>
  <c r="E11" i="8"/>
  <c r="L16" i="8"/>
  <c r="G16" i="8"/>
  <c r="E16" i="8" l="1"/>
  <c r="L17" i="8"/>
  <c r="G17" i="8"/>
  <c r="L18" i="8" l="1"/>
  <c r="G18" i="8"/>
  <c r="L74" i="3" l="1"/>
  <c r="K74" i="3"/>
  <c r="J74" i="3"/>
  <c r="I74" i="3"/>
  <c r="H74" i="3"/>
  <c r="G74" i="3"/>
  <c r="F74" i="3"/>
  <c r="E74" i="3"/>
  <c r="D74" i="3"/>
  <c r="C74" i="3"/>
  <c r="L72" i="3"/>
  <c r="K72" i="3"/>
  <c r="J72" i="3"/>
  <c r="I72" i="3"/>
  <c r="H72" i="3"/>
  <c r="G72" i="3"/>
  <c r="F72" i="3"/>
  <c r="E72" i="3"/>
  <c r="D72" i="3"/>
  <c r="C72" i="3"/>
  <c r="L70" i="3"/>
  <c r="K70" i="3"/>
  <c r="J70" i="3"/>
  <c r="I70" i="3"/>
  <c r="H70" i="3"/>
  <c r="G70" i="3"/>
  <c r="F70" i="3"/>
  <c r="E70" i="3"/>
  <c r="D70" i="3"/>
  <c r="C70" i="3"/>
  <c r="L56" i="3"/>
  <c r="K56" i="3"/>
  <c r="J56" i="3"/>
  <c r="I56" i="3"/>
  <c r="H56" i="3"/>
  <c r="G56" i="3"/>
  <c r="F56" i="3"/>
  <c r="E56" i="3"/>
  <c r="D56" i="3"/>
  <c r="C56" i="3"/>
  <c r="L61" i="3"/>
  <c r="K61" i="3"/>
  <c r="J61" i="3"/>
  <c r="I61" i="3"/>
  <c r="H61" i="3"/>
  <c r="G61" i="3"/>
  <c r="F61" i="3"/>
  <c r="E61" i="3"/>
  <c r="D61" i="3"/>
  <c r="L60" i="3"/>
  <c r="K60" i="3"/>
  <c r="J60" i="3"/>
  <c r="I60" i="3"/>
  <c r="H60" i="3"/>
  <c r="G60" i="3"/>
  <c r="F60" i="3"/>
  <c r="E60" i="3"/>
  <c r="D60" i="3"/>
  <c r="L59" i="3"/>
  <c r="K59" i="3"/>
  <c r="J59" i="3"/>
  <c r="I59" i="3"/>
  <c r="H59" i="3"/>
  <c r="G59" i="3"/>
  <c r="F59" i="3"/>
  <c r="E59" i="3"/>
  <c r="D59" i="3"/>
  <c r="C61" i="3"/>
  <c r="C60" i="3"/>
  <c r="C59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M18" i="3" s="1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4" i="8" l="1" a="1"/>
  <c r="B15" i="2"/>
  <c r="H62" i="3"/>
  <c r="I57" i="3"/>
  <c r="G62" i="3"/>
  <c r="F62" i="3"/>
  <c r="E57" i="3"/>
  <c r="C62" i="3"/>
  <c r="I62" i="3"/>
  <c r="I64" i="3" s="1"/>
  <c r="I66" i="3" s="1"/>
  <c r="D62" i="3"/>
  <c r="J57" i="3"/>
  <c r="H57" i="3"/>
  <c r="J62" i="3"/>
  <c r="C57" i="3"/>
  <c r="K57" i="3"/>
  <c r="K62" i="3"/>
  <c r="K64" i="3" s="1"/>
  <c r="K66" i="3" s="1"/>
  <c r="F76" i="3"/>
  <c r="F57" i="3"/>
  <c r="D57" i="3"/>
  <c r="L57" i="3"/>
  <c r="E62" i="3"/>
  <c r="I76" i="3"/>
  <c r="L62" i="3"/>
  <c r="G57" i="3"/>
  <c r="J76" i="3"/>
  <c r="L41" i="3"/>
  <c r="F10" i="3"/>
  <c r="K12" i="3"/>
  <c r="K13" i="3" s="1"/>
  <c r="D10" i="3"/>
  <c r="M25" i="3"/>
  <c r="C12" i="3"/>
  <c r="C18" i="3" s="1"/>
  <c r="C19" i="3" s="1"/>
  <c r="J12" i="3"/>
  <c r="J13" i="3" s="1"/>
  <c r="C16" i="3"/>
  <c r="C22" i="3"/>
  <c r="K22" i="3"/>
  <c r="M27" i="3"/>
  <c r="K7" i="3"/>
  <c r="G16" i="3"/>
  <c r="E22" i="3"/>
  <c r="M22" i="3"/>
  <c r="F25" i="3"/>
  <c r="G7" i="3"/>
  <c r="L10" i="3"/>
  <c r="H16" i="3"/>
  <c r="G25" i="3"/>
  <c r="I7" i="3"/>
  <c r="G12" i="3"/>
  <c r="G22" i="3"/>
  <c r="H22" i="3"/>
  <c r="E16" i="3"/>
  <c r="F22" i="3"/>
  <c r="F16" i="3"/>
  <c r="L25" i="3"/>
  <c r="I10" i="3"/>
  <c r="J16" i="3"/>
  <c r="E10" i="3"/>
  <c r="I16" i="3"/>
  <c r="I22" i="3"/>
  <c r="F12" i="3"/>
  <c r="H10" i="3"/>
  <c r="M19" i="3"/>
  <c r="J10" i="3"/>
  <c r="K16" i="3"/>
  <c r="J22" i="3"/>
  <c r="J7" i="3"/>
  <c r="J25" i="3"/>
  <c r="D25" i="3"/>
  <c r="H25" i="3"/>
  <c r="D16" i="3"/>
  <c r="L16" i="3"/>
  <c r="C25" i="3"/>
  <c r="K25" i="3"/>
  <c r="L12" i="3"/>
  <c r="E12" i="3"/>
  <c r="D22" i="3"/>
  <c r="L22" i="3"/>
  <c r="D12" i="3"/>
  <c r="E25" i="3"/>
  <c r="D7" i="3"/>
  <c r="L7" i="3"/>
  <c r="G10" i="3"/>
  <c r="M10" i="3"/>
  <c r="E7" i="3"/>
  <c r="M7" i="3"/>
  <c r="F7" i="3"/>
  <c r="H12" i="3"/>
  <c r="I25" i="3"/>
  <c r="H7" i="3"/>
  <c r="C10" i="3"/>
  <c r="K10" i="3"/>
  <c r="I12" i="3"/>
  <c r="M12" i="3"/>
  <c r="M13" i="3" s="1"/>
  <c r="I6" i="8" l="1"/>
  <c r="I11" i="8"/>
  <c r="I8" i="8"/>
  <c r="I7" i="8"/>
  <c r="J7" i="8" s="1"/>
  <c r="I10" i="8"/>
  <c r="I13" i="8"/>
  <c r="I4" i="8"/>
  <c r="I9" i="8"/>
  <c r="J9" i="8" s="1"/>
  <c r="I5" i="8"/>
  <c r="J5" i="8" s="1"/>
  <c r="I12" i="8"/>
  <c r="J12" i="8" s="1"/>
  <c r="G76" i="3"/>
  <c r="J64" i="3"/>
  <c r="J66" i="3" s="1"/>
  <c r="H64" i="3"/>
  <c r="H66" i="3" s="1"/>
  <c r="E76" i="3"/>
  <c r="C64" i="3"/>
  <c r="C66" i="3" s="1"/>
  <c r="K76" i="3"/>
  <c r="H76" i="3"/>
  <c r="C76" i="3"/>
  <c r="L76" i="3"/>
  <c r="G64" i="3"/>
  <c r="G66" i="3" s="1"/>
  <c r="F64" i="3"/>
  <c r="F66" i="3" s="1"/>
  <c r="D76" i="3"/>
  <c r="L64" i="3"/>
  <c r="L66" i="3" s="1"/>
  <c r="D64" i="3"/>
  <c r="D66" i="3" s="1"/>
  <c r="E64" i="3"/>
  <c r="E66" i="3" s="1"/>
  <c r="J18" i="3"/>
  <c r="J19" i="3" s="1"/>
  <c r="C13" i="3"/>
  <c r="C27" i="3"/>
  <c r="C28" i="3" s="1"/>
  <c r="K18" i="3"/>
  <c r="K19" i="3" s="1"/>
  <c r="E18" i="3"/>
  <c r="E13" i="3"/>
  <c r="G18" i="3"/>
  <c r="G13" i="3"/>
  <c r="F18" i="3"/>
  <c r="F13" i="3"/>
  <c r="L18" i="3"/>
  <c r="L13" i="3"/>
  <c r="H18" i="3"/>
  <c r="H13" i="3"/>
  <c r="M31" i="3"/>
  <c r="M33" i="3"/>
  <c r="M28" i="3"/>
  <c r="I18" i="3"/>
  <c r="I13" i="3"/>
  <c r="D18" i="3"/>
  <c r="D13" i="3"/>
  <c r="I14" i="8" l="1"/>
  <c r="J14" i="8" s="1"/>
  <c r="I15" i="8"/>
  <c r="J15" i="8" s="1"/>
  <c r="I16" i="8"/>
  <c r="J16" i="8" s="1"/>
  <c r="I17" i="8"/>
  <c r="J17" i="8" s="1"/>
  <c r="I18" i="8"/>
  <c r="J11" i="8"/>
  <c r="J10" i="8"/>
  <c r="J8" i="8"/>
  <c r="J13" i="8"/>
  <c r="J6" i="8"/>
  <c r="J27" i="3"/>
  <c r="J28" i="3" s="1"/>
  <c r="C33" i="3"/>
  <c r="C34" i="3" s="1"/>
  <c r="C31" i="3"/>
  <c r="K27" i="3"/>
  <c r="K28" i="3" s="1"/>
  <c r="G19" i="3"/>
  <c r="G27" i="3"/>
  <c r="F19" i="3"/>
  <c r="F27" i="3"/>
  <c r="I19" i="3"/>
  <c r="I27" i="3"/>
  <c r="D19" i="3"/>
  <c r="D27" i="3"/>
  <c r="H19" i="3"/>
  <c r="H27" i="3"/>
  <c r="E19" i="3"/>
  <c r="E27" i="3"/>
  <c r="L19" i="3"/>
  <c r="L27" i="3"/>
  <c r="M34" i="3"/>
  <c r="M38" i="3"/>
  <c r="J18" i="8" l="1"/>
  <c r="C38" i="3"/>
  <c r="J33" i="3"/>
  <c r="J38" i="3" s="1"/>
  <c r="J31" i="3"/>
  <c r="K33" i="3"/>
  <c r="K34" i="3" s="1"/>
  <c r="K31" i="3"/>
  <c r="M42" i="3"/>
  <c r="M44" i="3" s="1"/>
  <c r="C42" i="3"/>
  <c r="C44" i="3" s="1"/>
  <c r="L31" i="3"/>
  <c r="L33" i="3"/>
  <c r="L28" i="3"/>
  <c r="K38" i="3"/>
  <c r="E31" i="3"/>
  <c r="E33" i="3"/>
  <c r="E28" i="3"/>
  <c r="D31" i="3"/>
  <c r="D33" i="3"/>
  <c r="D28" i="3"/>
  <c r="F28" i="3"/>
  <c r="F33" i="3"/>
  <c r="F31" i="3"/>
  <c r="H28" i="3"/>
  <c r="H31" i="3"/>
  <c r="H33" i="3"/>
  <c r="G33" i="3"/>
  <c r="G28" i="3"/>
  <c r="G31" i="3"/>
  <c r="I33" i="3"/>
  <c r="I28" i="3"/>
  <c r="I31" i="3"/>
  <c r="J34" i="3" l="1"/>
  <c r="J42" i="3"/>
  <c r="J44" i="3" s="1"/>
  <c r="K39" i="3"/>
  <c r="K44" i="3"/>
  <c r="K42" i="3"/>
  <c r="F34" i="3"/>
  <c r="F38" i="3"/>
  <c r="I38" i="3"/>
  <c r="J39" i="3" s="1"/>
  <c r="I34" i="3"/>
  <c r="D38" i="3"/>
  <c r="N4" i="8" s="1" a="1"/>
  <c r="D34" i="3"/>
  <c r="H34" i="3"/>
  <c r="H38" i="3"/>
  <c r="E34" i="3"/>
  <c r="E38" i="3"/>
  <c r="G34" i="3"/>
  <c r="G38" i="3"/>
  <c r="L38" i="3"/>
  <c r="L34" i="3"/>
  <c r="N9" i="8" l="1"/>
  <c r="N7" i="8"/>
  <c r="N13" i="8"/>
  <c r="N5" i="8"/>
  <c r="N11" i="8"/>
  <c r="N8" i="8"/>
  <c r="O8" i="8" s="1"/>
  <c r="N6" i="8"/>
  <c r="O6" i="8" s="1"/>
  <c r="N12" i="8"/>
  <c r="N4" i="8"/>
  <c r="N10" i="8"/>
  <c r="O10" i="8" s="1"/>
  <c r="E39" i="3"/>
  <c r="E42" i="3"/>
  <c r="E44" i="3" s="1"/>
  <c r="H39" i="3"/>
  <c r="H42" i="3"/>
  <c r="H44" i="3" s="1"/>
  <c r="G39" i="3"/>
  <c r="G42" i="3"/>
  <c r="G44" i="3" s="1"/>
  <c r="I39" i="3"/>
  <c r="I42" i="3"/>
  <c r="I44" i="3" s="1"/>
  <c r="F39" i="3"/>
  <c r="F42" i="3"/>
  <c r="F44" i="3" s="1"/>
  <c r="L39" i="3"/>
  <c r="L44" i="3"/>
  <c r="L42" i="3"/>
  <c r="M39" i="3"/>
  <c r="D39" i="3"/>
  <c r="D42" i="3"/>
  <c r="D44" i="3" s="1"/>
  <c r="N14" i="8" l="1"/>
  <c r="O14" i="8" s="1"/>
  <c r="N15" i="8"/>
  <c r="O15" i="8" s="1"/>
  <c r="N16" i="8"/>
  <c r="O16" i="8" s="1"/>
  <c r="N17" i="8"/>
  <c r="O17" i="8" s="1"/>
  <c r="N18" i="8"/>
  <c r="O13" i="8"/>
  <c r="O12" i="8"/>
  <c r="O11" i="8"/>
  <c r="O5" i="8"/>
  <c r="O7" i="8"/>
  <c r="O9" i="8"/>
  <c r="O18" i="8" l="1"/>
</calcChain>
</file>

<file path=xl/sharedStrings.xml><?xml version="1.0" encoding="utf-8"?>
<sst xmlns="http://schemas.openxmlformats.org/spreadsheetml/2006/main" count="135" uniqueCount="94">
  <si>
    <t>COMPANY NAME</t>
  </si>
  <si>
    <t>VEDANTA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</si>
  <si>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</si>
  <si>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</si>
  <si>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</si>
  <si>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</si>
  <si>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</si>
  <si>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</si>
  <si>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</si>
  <si>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</si>
  <si>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</si>
  <si>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</si>
  <si>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</si>
  <si>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</si>
  <si>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</si>
  <si>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</si>
  <si>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</si>
  <si>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</si>
  <si>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</si>
  <si>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</si>
  <si>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</si>
  <si>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</si>
  <si>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</si>
  <si>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</si>
  <si>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</si>
  <si>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</si>
  <si>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</si>
  <si>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</si>
  <si>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</si>
  <si>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</si>
  <si>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</si>
  <si>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</si>
  <si>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</si>
  <si>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</si>
  <si>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</si>
  <si>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</si>
  <si>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</si>
  <si>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</si>
  <si>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</si>
  <si>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</si>
  <si>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</si>
  <si>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</si>
  <si>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</si>
  <si>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</si>
  <si>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</si>
  <si>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</si>
  <si>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</si>
  <si>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</si>
  <si>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</si>
  <si>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</si>
  <si>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</si>
  <si>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</si>
  <si>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</si>
  <si>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</si>
  <si>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</si>
  <si>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</si>
  <si>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</si>
  <si>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</si>
  <si>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</si>
  <si>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</si>
  <si>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</si>
  <si>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</si>
  <si>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</si>
  <si>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</si>
  <si>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</si>
  <si>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</si>
  <si>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</si>
  <si>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</si>
  <si>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</si>
  <si>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</si>
  <si>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</si>
  <si>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</si>
  <si>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</si>
  <si>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</si>
  <si>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</si>
  <si>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</si>
  <si>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</si>
  <si>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</si>
  <si>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</si>
  <si>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</si>
  <si>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</si>
  <si>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</si>
  <si>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</si>
  <si>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</si>
  <si>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</si>
  <si>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</si>
  <si>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</si>
  <si>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</si>
  <si>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</si>
  <si>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</si>
  <si>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</si>
  <si>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</si>
  <si>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Year 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</si>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</sst>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42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0" fontId="2" fillId="6" borderId="0" xfId="0" applyFont="1" applyFill="1"/>
    <xf numFmtId="0" fontId="2" fillId="6" borderId="0" xfId="0" applyFont="1" applyFill="1" applyAlignment="1">
      <alignment horizontal="righ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7" borderId="0" xfId="0" applyFill="1" applyAlignment="1">
      <alignment horizontal="left"/>
    </xf>
    <xf numFmtId="169" fontId="0" fillId="7" borderId="0" xfId="0" applyNumberFormat="1" applyFill="1" applyAlignment="1">
      <alignment horizontal="right"/>
    </xf>
    <xf numFmtId="170" fontId="0" fillId="7" borderId="0" xfId="0" applyNumberFormat="1" applyFill="1"/>
    <xf numFmtId="10" fontId="0" fillId="7" borderId="0" xfId="1" applyNumberFormat="1" applyFont="1" applyFill="1"/>
    <xf numFmtId="0" fontId="0" fillId="0" borderId="1" xfId="0" applyBorder="1"/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A6F-FAE9-493F-95C8-EA88CC872622}">
  <sheetPr>
    <tabColor theme="8" tint="-0.499984740745262"/>
  </sheetPr>
  <dimension ref="A1"/>
  <sheetViews>
    <sheetView showGridLines="0"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dimension ref="A2:M76"/>
  <sheetViews>
    <sheetView showGridLines="0" tabSelected="1" workbookViewId="0">
      <pane ySplit="3" topLeftCell="A52" activePane="bottomLeft" state="frozen"/>
      <selection pane="bottomLeft" activeCell="N44" sqref="N44"/>
    </sheetView>
  </sheetViews>
  <sheetFormatPr defaultRowHeight="14.4" x14ac:dyDescent="0.3"/>
  <cols>
    <col min="1" max="1" width="1.88671875" customWidth="1"/>
    <col min="2" max="2" width="28.44140625" bestFit="1" customWidth="1"/>
    <col min="3" max="13" width="13" customWidth="1"/>
  </cols>
  <sheetData>
    <row r="2" spans="1:13" x14ac:dyDescent="0.3">
      <c r="B2" s="38" t="str">
        <f>"Historical Financial Statement - "&amp;'Data Sheet'!B1</f>
        <v>Historical Financial Statement - VEDANTA LTD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3">
      <c r="B3" s="11" t="s">
        <v>56</v>
      </c>
      <c r="C3" s="12">
        <f>'Data Sheet'!B16</f>
        <v>42094</v>
      </c>
      <c r="D3" s="12">
        <f>'Data Sheet'!C16</f>
        <v>42460</v>
      </c>
      <c r="E3" s="12">
        <f>'Data Sheet'!D16</f>
        <v>42825</v>
      </c>
      <c r="F3" s="12">
        <f>'Data Sheet'!E16</f>
        <v>43190</v>
      </c>
      <c r="G3" s="12">
        <f>'Data Sheet'!F16</f>
        <v>43555</v>
      </c>
      <c r="H3" s="12">
        <f>'Data Sheet'!G16</f>
        <v>43921</v>
      </c>
      <c r="I3" s="12">
        <f>'Data Sheet'!H16</f>
        <v>44286</v>
      </c>
      <c r="J3" s="12">
        <f>'Data Sheet'!I16</f>
        <v>44651</v>
      </c>
      <c r="K3" s="12">
        <f>'Data Sheet'!J16</f>
        <v>45016</v>
      </c>
      <c r="L3" s="12">
        <f>'Data Sheet'!K16</f>
        <v>45382</v>
      </c>
      <c r="M3" s="13" t="s">
        <v>57</v>
      </c>
    </row>
    <row r="4" spans="1:13" x14ac:dyDescent="0.3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3">
      <c r="A5" t="s">
        <v>59</v>
      </c>
      <c r="B5" s="25" t="s">
        <v>58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3">
      <c r="B6" t="s">
        <v>12</v>
      </c>
      <c r="C6" s="15">
        <f>IFERROR('Data Sheet'!B17,0)</f>
        <v>73709.5</v>
      </c>
      <c r="D6" s="15">
        <f>IFERROR('Data Sheet'!C17,0)</f>
        <v>64261.760000000002</v>
      </c>
      <c r="E6" s="15">
        <f>IFERROR('Data Sheet'!D17,0)</f>
        <v>72225</v>
      </c>
      <c r="F6" s="15">
        <f>IFERROR('Data Sheet'!E17,0)</f>
        <v>91866</v>
      </c>
      <c r="G6" s="15">
        <f>IFERROR('Data Sheet'!F17,0)</f>
        <v>92048</v>
      </c>
      <c r="H6" s="15">
        <f>IFERROR('Data Sheet'!G17,0)</f>
        <v>84447</v>
      </c>
      <c r="I6" s="15">
        <f>IFERROR('Data Sheet'!H17,0)</f>
        <v>88021</v>
      </c>
      <c r="J6" s="15">
        <f>IFERROR('Data Sheet'!I17,0)</f>
        <v>132732</v>
      </c>
      <c r="K6" s="15">
        <f>IFERROR('Data Sheet'!J17,0)</f>
        <v>147308</v>
      </c>
      <c r="L6" s="15">
        <f>IFERROR('Data Sheet'!K17,0)</f>
        <v>143727</v>
      </c>
      <c r="M6" s="15">
        <f>IFERROR(SUM('Data Sheet'!H42:K42),0)</f>
        <v>143728</v>
      </c>
    </row>
    <row r="7" spans="1:13" x14ac:dyDescent="0.3">
      <c r="B7" s="18" t="s">
        <v>60</v>
      </c>
      <c r="C7" s="19" t="s">
        <v>61</v>
      </c>
      <c r="D7" s="20">
        <f>D6/C6-1</f>
        <v>-0.12817533696470607</v>
      </c>
      <c r="E7" s="20">
        <f t="shared" ref="E7:M7" si="0">E6/D6-1</f>
        <v>0.12391879711978016</v>
      </c>
      <c r="F7" s="20">
        <f t="shared" si="0"/>
        <v>0.27194184839044655</v>
      </c>
      <c r="G7" s="20">
        <f t="shared" si="0"/>
        <v>1.9811464524415179E-3</v>
      </c>
      <c r="H7" s="20">
        <f t="shared" si="0"/>
        <v>-8.2576481835564097E-2</v>
      </c>
      <c r="I7" s="20">
        <f t="shared" si="0"/>
        <v>4.2322403400949726E-2</v>
      </c>
      <c r="J7" s="20">
        <f t="shared" si="0"/>
        <v>0.50795832812624253</v>
      </c>
      <c r="K7" s="20">
        <f t="shared" si="0"/>
        <v>0.10981526685350929</v>
      </c>
      <c r="L7" s="20">
        <f t="shared" si="0"/>
        <v>-2.4309609797159681E-2</v>
      </c>
      <c r="M7" s="20">
        <f t="shared" si="0"/>
        <v>6.9576349606137455E-6</v>
      </c>
    </row>
    <row r="9" spans="1:13" x14ac:dyDescent="0.3">
      <c r="B9" t="s">
        <v>62</v>
      </c>
      <c r="C9" s="15">
        <f>IFERROR(SUM('Data Sheet'!B18,'Data Sheet'!B20:B22)-1*'Data Sheet'!B19,0)</f>
        <v>40700.499999999993</v>
      </c>
      <c r="D9" s="15">
        <f>IFERROR(SUM('Data Sheet'!C18,'Data Sheet'!C20:C22)-1*'Data Sheet'!C19,0)</f>
        <v>38990.43</v>
      </c>
      <c r="E9" s="15">
        <f>IFERROR(SUM('Data Sheet'!D18,'Data Sheet'!D20:D22)-1*'Data Sheet'!D19,0)</f>
        <v>40555</v>
      </c>
      <c r="F9" s="15">
        <f>IFERROR(SUM('Data Sheet'!E18,'Data Sheet'!E20:E22)-1*'Data Sheet'!E19,0)</f>
        <v>54817</v>
      </c>
      <c r="G9" s="15">
        <f>IFERROR(SUM('Data Sheet'!F18,'Data Sheet'!F20:F22)-1*'Data Sheet'!F19,0)</f>
        <v>55799</v>
      </c>
      <c r="H9" s="15">
        <f>IFERROR(SUM('Data Sheet'!G18,'Data Sheet'!G20:G22)-1*'Data Sheet'!G19,0)</f>
        <v>51025</v>
      </c>
      <c r="I9" s="15">
        <f>IFERROR(SUM('Data Sheet'!H18,'Data Sheet'!H20:H22)-1*'Data Sheet'!H19,0)</f>
        <v>48947</v>
      </c>
      <c r="J9" s="15">
        <f>IFERROR(SUM('Data Sheet'!I18,'Data Sheet'!I20:I22)-1*'Data Sheet'!I19,0)</f>
        <v>71449</v>
      </c>
      <c r="K9" s="15">
        <f>IFERROR(SUM('Data Sheet'!J18,'Data Sheet'!J20:J22)-1*'Data Sheet'!J19,0)</f>
        <v>95372</v>
      </c>
      <c r="L9" s="15">
        <f>IFERROR(SUM('Data Sheet'!K18,'Data Sheet'!K20:K22)-1*'Data Sheet'!K19,0)</f>
        <v>88313</v>
      </c>
      <c r="M9" s="15">
        <f>IFERROR(SUM('Data Sheet'!H43:K43),0)</f>
        <v>108530</v>
      </c>
    </row>
    <row r="10" spans="1:13" x14ac:dyDescent="0.3">
      <c r="B10" s="18" t="s">
        <v>63</v>
      </c>
      <c r="C10" s="20">
        <f>C9/C6</f>
        <v>0.55217441442419213</v>
      </c>
      <c r="D10" s="20">
        <f t="shared" ref="D10:M10" si="1">D9/D6</f>
        <v>0.60674388625521614</v>
      </c>
      <c r="E10" s="20">
        <f t="shared" si="1"/>
        <v>0.56150917272412604</v>
      </c>
      <c r="F10" s="20">
        <f t="shared" si="1"/>
        <v>0.59670607188731417</v>
      </c>
      <c r="G10" s="20">
        <f t="shared" si="1"/>
        <v>0.60619459412480448</v>
      </c>
      <c r="H10" s="20">
        <f t="shared" si="1"/>
        <v>0.60422513529195832</v>
      </c>
      <c r="I10" s="20">
        <f t="shared" si="1"/>
        <v>0.55608320741641204</v>
      </c>
      <c r="J10" s="20">
        <f t="shared" si="1"/>
        <v>0.53829521140342951</v>
      </c>
      <c r="K10" s="20">
        <f t="shared" si="1"/>
        <v>0.64743259021913269</v>
      </c>
      <c r="L10" s="20">
        <f t="shared" si="1"/>
        <v>0.61444961628643191</v>
      </c>
      <c r="M10" s="20">
        <f t="shared" si="1"/>
        <v>0.75510686852944453</v>
      </c>
    </row>
    <row r="12" spans="1:13" x14ac:dyDescent="0.3">
      <c r="B12" t="s">
        <v>64</v>
      </c>
      <c r="C12" s="21">
        <f>C6-C9</f>
        <v>33009.000000000007</v>
      </c>
      <c r="D12" s="21">
        <f t="shared" ref="D12:M12" si="2">D6-D9</f>
        <v>25271.33</v>
      </c>
      <c r="E12" s="21">
        <f t="shared" si="2"/>
        <v>31670</v>
      </c>
      <c r="F12" s="21">
        <f t="shared" si="2"/>
        <v>37049</v>
      </c>
      <c r="G12" s="21">
        <f t="shared" si="2"/>
        <v>36249</v>
      </c>
      <c r="H12" s="21">
        <f t="shared" si="2"/>
        <v>33422</v>
      </c>
      <c r="I12" s="21">
        <f t="shared" si="2"/>
        <v>39074</v>
      </c>
      <c r="J12" s="21">
        <f t="shared" si="2"/>
        <v>61283</v>
      </c>
      <c r="K12" s="21">
        <f t="shared" si="2"/>
        <v>51936</v>
      </c>
      <c r="L12" s="21">
        <f t="shared" si="2"/>
        <v>55414</v>
      </c>
      <c r="M12" s="21">
        <f t="shared" si="2"/>
        <v>35198</v>
      </c>
    </row>
    <row r="13" spans="1:13" x14ac:dyDescent="0.3">
      <c r="B13" s="18" t="s">
        <v>70</v>
      </c>
      <c r="C13" s="20">
        <f>C12/C6</f>
        <v>0.44782558557580782</v>
      </c>
      <c r="D13" s="20">
        <f t="shared" ref="D13:M13" si="3">D12/D6</f>
        <v>0.39325611374478386</v>
      </c>
      <c r="E13" s="20">
        <f t="shared" si="3"/>
        <v>0.43849082727587402</v>
      </c>
      <c r="F13" s="20">
        <f t="shared" si="3"/>
        <v>0.40329392811268588</v>
      </c>
      <c r="G13" s="20">
        <f t="shared" si="3"/>
        <v>0.39380540587519552</v>
      </c>
      <c r="H13" s="20">
        <f t="shared" si="3"/>
        <v>0.39577486470804174</v>
      </c>
      <c r="I13" s="20">
        <f t="shared" si="3"/>
        <v>0.44391679258358802</v>
      </c>
      <c r="J13" s="20">
        <f t="shared" si="3"/>
        <v>0.46170478859657055</v>
      </c>
      <c r="K13" s="20">
        <f t="shared" si="3"/>
        <v>0.35256740978086731</v>
      </c>
      <c r="L13" s="20">
        <f t="shared" si="3"/>
        <v>0.38555038371356809</v>
      </c>
      <c r="M13" s="20">
        <f t="shared" si="3"/>
        <v>0.2448931314705555</v>
      </c>
    </row>
    <row r="15" spans="1:13" x14ac:dyDescent="0.3">
      <c r="B15" t="s">
        <v>65</v>
      </c>
      <c r="C15" s="21">
        <f>IFERROR(SUM('Data Sheet'!B23:B24),0)</f>
        <v>10894.64</v>
      </c>
      <c r="D15" s="21">
        <f>IFERROR(SUM('Data Sheet'!C23:C24),0)</f>
        <v>43750.75</v>
      </c>
      <c r="E15" s="21">
        <f>IFERROR(SUM('Data Sheet'!D23:D24),0)</f>
        <v>10294</v>
      </c>
      <c r="F15" s="21">
        <f>IFERROR(SUM('Data Sheet'!E23:E24),0)</f>
        <v>12172</v>
      </c>
      <c r="G15" s="21">
        <f>IFERROR(SUM('Data Sheet'!F23:F24),0)</f>
        <v>13078</v>
      </c>
      <c r="H15" s="21">
        <f>IFERROR(SUM('Data Sheet'!G23:G24),0)</f>
        <v>12679</v>
      </c>
      <c r="I15" s="21">
        <f>IFERROR(SUM('Data Sheet'!H23:H24),0)</f>
        <v>11756</v>
      </c>
      <c r="J15" s="21">
        <f>IFERROR(SUM('Data Sheet'!I23:I24),0)</f>
        <v>16459</v>
      </c>
      <c r="K15" s="21">
        <f>IFERROR(SUM('Data Sheet'!J23:J24),0)</f>
        <v>17505</v>
      </c>
      <c r="L15" s="21">
        <f>IFERROR(SUM('Data Sheet'!K23:K24),0)</f>
        <v>20102</v>
      </c>
      <c r="M15" s="21"/>
    </row>
    <row r="16" spans="1:13" x14ac:dyDescent="0.3">
      <c r="B16" s="18" t="s">
        <v>66</v>
      </c>
      <c r="C16" s="20">
        <f>C15/C6</f>
        <v>0.14780509974969305</v>
      </c>
      <c r="D16" s="20">
        <f t="shared" ref="D16:M16" si="4">D15/D6</f>
        <v>0.68082091122309751</v>
      </c>
      <c r="E16" s="20">
        <f t="shared" si="4"/>
        <v>0.14252682589131188</v>
      </c>
      <c r="F16" s="20">
        <f t="shared" si="4"/>
        <v>0.13249733307208325</v>
      </c>
      <c r="G16" s="20">
        <f t="shared" si="4"/>
        <v>0.14207804623674605</v>
      </c>
      <c r="H16" s="20">
        <f t="shared" si="4"/>
        <v>0.1501415088753893</v>
      </c>
      <c r="I16" s="20">
        <f t="shared" si="4"/>
        <v>0.1335590370479772</v>
      </c>
      <c r="J16" s="20">
        <f t="shared" si="4"/>
        <v>0.12400174788295211</v>
      </c>
      <c r="K16" s="20">
        <f t="shared" si="4"/>
        <v>0.11883264995791132</v>
      </c>
      <c r="L16" s="20">
        <f t="shared" si="4"/>
        <v>0.13986237798047688</v>
      </c>
      <c r="M16" s="20">
        <f t="shared" si="4"/>
        <v>0</v>
      </c>
    </row>
    <row r="18" spans="2:13" x14ac:dyDescent="0.3">
      <c r="B18" t="s">
        <v>28</v>
      </c>
      <c r="C18" s="21">
        <f t="shared" ref="C18:L18" si="5">C12-C15</f>
        <v>22114.360000000008</v>
      </c>
      <c r="D18" s="21">
        <f t="shared" si="5"/>
        <v>-18479.419999999998</v>
      </c>
      <c r="E18" s="21">
        <f t="shared" si="5"/>
        <v>21376</v>
      </c>
      <c r="F18" s="21">
        <f t="shared" si="5"/>
        <v>24877</v>
      </c>
      <c r="G18" s="21">
        <f t="shared" si="5"/>
        <v>23171</v>
      </c>
      <c r="H18" s="21">
        <f t="shared" si="5"/>
        <v>20743</v>
      </c>
      <c r="I18" s="21">
        <f t="shared" si="5"/>
        <v>27318</v>
      </c>
      <c r="J18" s="21">
        <f t="shared" si="5"/>
        <v>44824</v>
      </c>
      <c r="K18" s="21">
        <f t="shared" si="5"/>
        <v>34431</v>
      </c>
      <c r="L18" s="21">
        <f t="shared" si="5"/>
        <v>35312</v>
      </c>
      <c r="M18" s="21">
        <f>IFERROR(SUM('Data Sheet'!H51:K51),0)</f>
        <v>37254</v>
      </c>
    </row>
    <row r="19" spans="2:13" x14ac:dyDescent="0.3">
      <c r="B19" s="18" t="s">
        <v>67</v>
      </c>
      <c r="C19" s="20">
        <f>C18/C6</f>
        <v>0.30002048582611479</v>
      </c>
      <c r="D19" s="20">
        <f t="shared" ref="D19:M19" si="6">D18/D6</f>
        <v>-0.28756479747831365</v>
      </c>
      <c r="E19" s="20">
        <f t="shared" si="6"/>
        <v>0.29596400138456214</v>
      </c>
      <c r="F19" s="20">
        <f t="shared" si="6"/>
        <v>0.27079659504060261</v>
      </c>
      <c r="G19" s="20">
        <f t="shared" si="6"/>
        <v>0.2517273596384495</v>
      </c>
      <c r="H19" s="20">
        <f t="shared" si="6"/>
        <v>0.24563335583265244</v>
      </c>
      <c r="I19" s="20">
        <f t="shared" si="6"/>
        <v>0.31035775553561085</v>
      </c>
      <c r="J19" s="20">
        <f t="shared" si="6"/>
        <v>0.3377030407136184</v>
      </c>
      <c r="K19" s="20">
        <f t="shared" si="6"/>
        <v>0.233734759822956</v>
      </c>
      <c r="L19" s="20">
        <f t="shared" si="6"/>
        <v>0.24568800573309121</v>
      </c>
      <c r="M19" s="20">
        <f t="shared" si="6"/>
        <v>0.25919792942224201</v>
      </c>
    </row>
    <row r="21" spans="2:13" x14ac:dyDescent="0.3">
      <c r="B21" t="s">
        <v>22</v>
      </c>
      <c r="C21" s="21">
        <f>IFERROR('Data Sheet'!B27,0)</f>
        <v>5658.78</v>
      </c>
      <c r="D21" s="21">
        <f>IFERROR('Data Sheet'!C27,0)</f>
        <v>5778.13</v>
      </c>
      <c r="E21" s="21">
        <f>IFERROR('Data Sheet'!D27,0)</f>
        <v>5855</v>
      </c>
      <c r="F21" s="21">
        <f>IFERROR('Data Sheet'!E27,0)</f>
        <v>5112</v>
      </c>
      <c r="G21" s="21">
        <f>IFERROR('Data Sheet'!F27,0)</f>
        <v>5689</v>
      </c>
      <c r="H21" s="21">
        <f>IFERROR('Data Sheet'!G27,0)</f>
        <v>4977</v>
      </c>
      <c r="I21" s="21">
        <f>IFERROR('Data Sheet'!H27,0)</f>
        <v>5210</v>
      </c>
      <c r="J21" s="21">
        <f>IFERROR('Data Sheet'!I27,0)</f>
        <v>4797</v>
      </c>
      <c r="K21" s="21">
        <f>IFERROR('Data Sheet'!J27,0)</f>
        <v>6225</v>
      </c>
      <c r="L21" s="21">
        <f>IFERROR('Data Sheet'!K27,0)</f>
        <v>9465</v>
      </c>
      <c r="M21" s="21">
        <f>IFERROR(SUM('Data Sheet'!H46:K46),0)</f>
        <v>9465</v>
      </c>
    </row>
    <row r="22" spans="2:13" x14ac:dyDescent="0.3">
      <c r="B22" s="18" t="s">
        <v>68</v>
      </c>
      <c r="C22" s="20">
        <f>C21/C6</f>
        <v>7.6771379537237394E-2</v>
      </c>
      <c r="D22" s="20">
        <f t="shared" ref="D22:M22" si="7">D21/D6</f>
        <v>8.9915526745610458E-2</v>
      </c>
      <c r="E22" s="20">
        <f t="shared" si="7"/>
        <v>8.1066112841813781E-2</v>
      </c>
      <c r="F22" s="20">
        <f t="shared" si="7"/>
        <v>5.5646267389458562E-2</v>
      </c>
      <c r="G22" s="20">
        <f t="shared" si="7"/>
        <v>6.1804710585781332E-2</v>
      </c>
      <c r="H22" s="20">
        <f t="shared" si="7"/>
        <v>5.8936374293935841E-2</v>
      </c>
      <c r="I22" s="20">
        <f t="shared" si="7"/>
        <v>5.9190420467842904E-2</v>
      </c>
      <c r="J22" s="20">
        <f t="shared" si="7"/>
        <v>3.6140493626254405E-2</v>
      </c>
      <c r="K22" s="20">
        <f t="shared" si="7"/>
        <v>4.2258397371493742E-2</v>
      </c>
      <c r="L22" s="20">
        <f t="shared" si="7"/>
        <v>6.5854014903254085E-2</v>
      </c>
      <c r="M22" s="20">
        <f t="shared" si="7"/>
        <v>6.5853556718245582E-2</v>
      </c>
    </row>
    <row r="24" spans="2:13" x14ac:dyDescent="0.3">
      <c r="B24" t="s">
        <v>21</v>
      </c>
      <c r="C24" s="21">
        <f>IFERROR('Data Sheet'!B26,0)</f>
        <v>7159.16</v>
      </c>
      <c r="D24" s="21">
        <f>IFERROR('Data Sheet'!C26,0)</f>
        <v>8572.44</v>
      </c>
      <c r="E24" s="21">
        <f>IFERROR('Data Sheet'!D26,0)</f>
        <v>6292</v>
      </c>
      <c r="F24" s="21">
        <f>IFERROR('Data Sheet'!E26,0)</f>
        <v>6283</v>
      </c>
      <c r="G24" s="21">
        <f>IFERROR('Data Sheet'!F26,0)</f>
        <v>8192</v>
      </c>
      <c r="H24" s="21">
        <f>IFERROR('Data Sheet'!G26,0)</f>
        <v>9093</v>
      </c>
      <c r="I24" s="21">
        <f>IFERROR('Data Sheet'!H26,0)</f>
        <v>7638</v>
      </c>
      <c r="J24" s="21">
        <f>IFERROR('Data Sheet'!I26,0)</f>
        <v>8895</v>
      </c>
      <c r="K24" s="21">
        <f>IFERROR('Data Sheet'!J26,0)</f>
        <v>10555</v>
      </c>
      <c r="L24" s="21">
        <f>IFERROR('Data Sheet'!K26,0)</f>
        <v>10723</v>
      </c>
      <c r="M24" s="21">
        <f>IFERROR(SUM('Data Sheet'!H45:K45),0)</f>
        <v>10723</v>
      </c>
    </row>
    <row r="25" spans="2:13" x14ac:dyDescent="0.3">
      <c r="B25" s="18" t="s">
        <v>69</v>
      </c>
      <c r="C25" s="20">
        <f>C24/C6</f>
        <v>9.712669330276287E-2</v>
      </c>
      <c r="D25" s="20">
        <f t="shared" ref="D25:M25" si="8">D24/D6</f>
        <v>0.1333987740142816</v>
      </c>
      <c r="E25" s="20">
        <f t="shared" si="8"/>
        <v>8.7116649359640017E-2</v>
      </c>
      <c r="F25" s="20">
        <f t="shared" si="8"/>
        <v>6.8393094289508627E-2</v>
      </c>
      <c r="G25" s="20">
        <f t="shared" si="8"/>
        <v>8.8997045019989576E-2</v>
      </c>
      <c r="H25" s="20">
        <f t="shared" si="8"/>
        <v>0.10767700451170557</v>
      </c>
      <c r="I25" s="20">
        <f t="shared" si="8"/>
        <v>8.6774746935390418E-2</v>
      </c>
      <c r="J25" s="20">
        <f t="shared" si="8"/>
        <v>6.7014736461441099E-2</v>
      </c>
      <c r="K25" s="20">
        <f t="shared" si="8"/>
        <v>7.1652591848372124E-2</v>
      </c>
      <c r="L25" s="20">
        <f t="shared" si="8"/>
        <v>7.4606719683845066E-2</v>
      </c>
      <c r="M25" s="20">
        <f t="shared" si="8"/>
        <v>7.4606200601135472E-2</v>
      </c>
    </row>
    <row r="27" spans="2:13" x14ac:dyDescent="0.3">
      <c r="B27" t="s">
        <v>71</v>
      </c>
      <c r="C27" s="21">
        <f>IFERROR(C18-SUM(C24,C21),0)</f>
        <v>9296.4200000000092</v>
      </c>
      <c r="D27" s="21">
        <f t="shared" ref="D27:M27" si="9">IFERROR(D18-SUM(D24,D21),0)</f>
        <v>-32829.99</v>
      </c>
      <c r="E27" s="21">
        <f t="shared" si="9"/>
        <v>9229</v>
      </c>
      <c r="F27" s="21">
        <f t="shared" si="9"/>
        <v>13482</v>
      </c>
      <c r="G27" s="21">
        <f t="shared" si="9"/>
        <v>9290</v>
      </c>
      <c r="H27" s="21">
        <f t="shared" si="9"/>
        <v>6673</v>
      </c>
      <c r="I27" s="15">
        <f t="shared" si="9"/>
        <v>14470</v>
      </c>
      <c r="J27" s="15">
        <f t="shared" si="9"/>
        <v>31132</v>
      </c>
      <c r="K27" s="15">
        <f t="shared" si="9"/>
        <v>17651</v>
      </c>
      <c r="L27" s="15">
        <f t="shared" si="9"/>
        <v>15124</v>
      </c>
      <c r="M27" s="15">
        <f t="shared" si="9"/>
        <v>17066</v>
      </c>
    </row>
    <row r="28" spans="2:13" x14ac:dyDescent="0.3">
      <c r="B28" s="18" t="s">
        <v>72</v>
      </c>
      <c r="C28" s="20">
        <f>C27/C6</f>
        <v>0.12612241298611454</v>
      </c>
      <c r="D28" s="20">
        <f t="shared" ref="D28:M28" si="10">D27/D6</f>
        <v>-0.51087909823820565</v>
      </c>
      <c r="E28" s="20">
        <f t="shared" si="10"/>
        <v>0.12778123918310835</v>
      </c>
      <c r="F28" s="20">
        <f t="shared" si="10"/>
        <v>0.14675723336163543</v>
      </c>
      <c r="G28" s="20">
        <f t="shared" si="10"/>
        <v>0.1009256040326786</v>
      </c>
      <c r="H28" s="20">
        <f t="shared" si="10"/>
        <v>7.9019977027011024E-2</v>
      </c>
      <c r="I28" s="20">
        <f t="shared" si="10"/>
        <v>0.1643925881323775</v>
      </c>
      <c r="J28" s="20">
        <f t="shared" si="10"/>
        <v>0.23454781062592292</v>
      </c>
      <c r="K28" s="20">
        <f t="shared" si="10"/>
        <v>0.11982377060309013</v>
      </c>
      <c r="L28" s="20">
        <f t="shared" si="10"/>
        <v>0.10522727114599205</v>
      </c>
      <c r="M28" s="20">
        <f t="shared" si="10"/>
        <v>0.11873817210286096</v>
      </c>
    </row>
    <row r="30" spans="2:13" x14ac:dyDescent="0.3">
      <c r="B30" t="s">
        <v>24</v>
      </c>
      <c r="C30" s="15">
        <f>IFERROR('Data Sheet'!B29,0)</f>
        <v>1448.36</v>
      </c>
      <c r="D30" s="15">
        <f>IFERROR('Data Sheet'!C29,0)</f>
        <v>-10677.55</v>
      </c>
      <c r="E30" s="15">
        <f>IFERROR('Data Sheet'!D29,0)</f>
        <v>2333</v>
      </c>
      <c r="F30" s="15">
        <f>IFERROR('Data Sheet'!E29,0)</f>
        <v>5877</v>
      </c>
      <c r="G30" s="15">
        <f>IFERROR('Data Sheet'!F29,0)</f>
        <v>3862</v>
      </c>
      <c r="H30" s="15">
        <f>IFERROR('Data Sheet'!G29,0)</f>
        <v>-3516</v>
      </c>
      <c r="I30" s="15">
        <f>IFERROR('Data Sheet'!H29,0)</f>
        <v>2180</v>
      </c>
      <c r="J30" s="15">
        <f>IFERROR('Data Sheet'!I29,0)</f>
        <v>9255</v>
      </c>
      <c r="K30" s="15">
        <f>IFERROR('Data Sheet'!J29,0)</f>
        <v>5770</v>
      </c>
      <c r="L30" s="15">
        <f>IFERROR('Data Sheet'!K29,0)</f>
        <v>12826</v>
      </c>
      <c r="M30" s="15">
        <f>IFERROR(SUM('Data Sheet'!H48:K48),0)</f>
        <v>12827</v>
      </c>
    </row>
    <row r="31" spans="2:13" x14ac:dyDescent="0.3">
      <c r="B31" s="18" t="s">
        <v>27</v>
      </c>
      <c r="C31" s="20">
        <f>C30/C27</f>
        <v>0.15579760811150942</v>
      </c>
      <c r="D31" s="20">
        <f t="shared" ref="D31:M31" si="11">D30/D27</f>
        <v>0.32523768663956337</v>
      </c>
      <c r="E31" s="20">
        <f t="shared" si="11"/>
        <v>0.2527901181059703</v>
      </c>
      <c r="F31" s="20">
        <f t="shared" si="11"/>
        <v>0.43591455273698265</v>
      </c>
      <c r="G31" s="20">
        <f t="shared" si="11"/>
        <v>0.41571582346609259</v>
      </c>
      <c r="H31" s="20">
        <f t="shared" si="11"/>
        <v>-0.52689944552674961</v>
      </c>
      <c r="I31" s="20">
        <f t="shared" si="11"/>
        <v>0.15065653075328264</v>
      </c>
      <c r="J31" s="20">
        <f t="shared" si="11"/>
        <v>0.29728253886676087</v>
      </c>
      <c r="K31" s="20">
        <f t="shared" si="11"/>
        <v>0.32689366041584045</v>
      </c>
      <c r="L31" s="20">
        <f t="shared" si="11"/>
        <v>0.84805606982279824</v>
      </c>
      <c r="M31" s="20">
        <f t="shared" si="11"/>
        <v>0.75161139106996366</v>
      </c>
    </row>
    <row r="33" spans="1:13" x14ac:dyDescent="0.3">
      <c r="B33" t="s">
        <v>73</v>
      </c>
      <c r="C33" s="15">
        <f>IFERROR(C27-C30,0)</f>
        <v>7848.0600000000095</v>
      </c>
      <c r="D33" s="15">
        <f t="shared" ref="D33:M33" si="12">IFERROR(D27-D30,0)</f>
        <v>-22152.44</v>
      </c>
      <c r="E33" s="15">
        <f t="shared" si="12"/>
        <v>6896</v>
      </c>
      <c r="F33" s="15">
        <f t="shared" si="12"/>
        <v>7605</v>
      </c>
      <c r="G33" s="15">
        <f t="shared" si="12"/>
        <v>5428</v>
      </c>
      <c r="H33" s="15">
        <f t="shared" si="12"/>
        <v>10189</v>
      </c>
      <c r="I33" s="15">
        <f t="shared" si="12"/>
        <v>12290</v>
      </c>
      <c r="J33" s="15">
        <f t="shared" si="12"/>
        <v>21877</v>
      </c>
      <c r="K33" s="15">
        <f t="shared" si="12"/>
        <v>11881</v>
      </c>
      <c r="L33" s="15">
        <f t="shared" si="12"/>
        <v>2298</v>
      </c>
      <c r="M33" s="15">
        <f t="shared" si="12"/>
        <v>4239</v>
      </c>
    </row>
    <row r="34" spans="1:13" x14ac:dyDescent="0.3">
      <c r="B34" s="18" t="s">
        <v>74</v>
      </c>
      <c r="C34" s="20">
        <f>C33/C6</f>
        <v>0.10647284271362592</v>
      </c>
      <c r="D34" s="20">
        <f t="shared" ref="D34:M34" si="13">D33/D6</f>
        <v>-0.34472196217470541</v>
      </c>
      <c r="E34" s="20">
        <f t="shared" si="13"/>
        <v>9.5479404638283139E-2</v>
      </c>
      <c r="F34" s="20">
        <f t="shared" si="13"/>
        <v>8.2783619619881135E-2</v>
      </c>
      <c r="G34" s="20">
        <f t="shared" si="13"/>
        <v>5.8969233443420824E-2</v>
      </c>
      <c r="H34" s="20">
        <f t="shared" si="13"/>
        <v>0.12065555910807962</v>
      </c>
      <c r="I34" s="20">
        <f t="shared" si="13"/>
        <v>0.13962577112280025</v>
      </c>
      <c r="J34" s="20">
        <f t="shared" si="13"/>
        <v>0.16482084199740832</v>
      </c>
      <c r="K34" s="20">
        <f t="shared" si="13"/>
        <v>8.0654139625818008E-2</v>
      </c>
      <c r="L34" s="20">
        <f t="shared" si="13"/>
        <v>1.5988645139744097E-2</v>
      </c>
      <c r="M34" s="20">
        <f t="shared" si="13"/>
        <v>2.949320939552488E-2</v>
      </c>
    </row>
    <row r="36" spans="1:13" x14ac:dyDescent="0.3">
      <c r="B36" t="s">
        <v>75</v>
      </c>
      <c r="C36">
        <f>IFERROR('Data Sheet'!B93,0)</f>
        <v>296.47000000000003</v>
      </c>
      <c r="D36">
        <f>IFERROR('Data Sheet'!C93,0)</f>
        <v>296.47000000000003</v>
      </c>
      <c r="E36">
        <f>IFERROR('Data Sheet'!D93,0)</f>
        <v>296.47000000000003</v>
      </c>
      <c r="F36">
        <f>IFERROR('Data Sheet'!E93,0)</f>
        <v>371.72</v>
      </c>
      <c r="G36">
        <f>IFERROR('Data Sheet'!F93,0)</f>
        <v>371.72</v>
      </c>
      <c r="H36">
        <f>IFERROR('Data Sheet'!G93,0)</f>
        <v>371.72</v>
      </c>
      <c r="I36">
        <f>IFERROR('Data Sheet'!H93,0)</f>
        <v>371.72</v>
      </c>
      <c r="J36">
        <f>IFERROR('Data Sheet'!I93,0)</f>
        <v>371.72</v>
      </c>
      <c r="K36">
        <f>IFERROR('Data Sheet'!J93,0)</f>
        <v>371.72</v>
      </c>
      <c r="L36">
        <f>IFERROR('Data Sheet'!K93,0)</f>
        <v>371.72</v>
      </c>
      <c r="M36">
        <f>L36</f>
        <v>371.72</v>
      </c>
    </row>
    <row r="37" spans="1:13" x14ac:dyDescent="0.3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3">
      <c r="B38" t="s">
        <v>77</v>
      </c>
      <c r="C38" s="21">
        <f>IFERROR(C33/C36,0)</f>
        <v>26.471683475562482</v>
      </c>
      <c r="D38" s="21">
        <f t="shared" ref="D38:M38" si="14">IFERROR(D33/D36,0)</f>
        <v>-74.720680001349194</v>
      </c>
      <c r="E38" s="21">
        <f t="shared" si="14"/>
        <v>23.26036361183256</v>
      </c>
      <c r="F38" s="21">
        <f t="shared" si="14"/>
        <v>20.458947594963949</v>
      </c>
      <c r="G38" s="21">
        <f t="shared" si="14"/>
        <v>14.602388894867103</v>
      </c>
      <c r="H38" s="21">
        <f t="shared" si="14"/>
        <v>27.410416442483587</v>
      </c>
      <c r="I38" s="21">
        <f t="shared" si="14"/>
        <v>33.062520176476916</v>
      </c>
      <c r="J38" s="21">
        <f t="shared" si="14"/>
        <v>58.853438071666844</v>
      </c>
      <c r="K38" s="21">
        <f t="shared" si="14"/>
        <v>31.962229635209294</v>
      </c>
      <c r="L38" s="21">
        <f t="shared" si="14"/>
        <v>6.1820725277090283</v>
      </c>
      <c r="M38" s="21">
        <f t="shared" si="14"/>
        <v>11.403744754116001</v>
      </c>
    </row>
    <row r="39" spans="1:13" x14ac:dyDescent="0.3">
      <c r="B39" s="18" t="s">
        <v>78</v>
      </c>
      <c r="C39" s="20"/>
      <c r="D39" s="20">
        <f>IFERROR(D38/C38-1,0)</f>
        <v>-3.8226644546550319</v>
      </c>
      <c r="E39" s="20">
        <f t="shared" ref="E39:M39" si="15">IFERROR(E38/D38-1,0)</f>
        <v>-1.3112975365241932</v>
      </c>
      <c r="F39" s="20">
        <f t="shared" si="15"/>
        <v>-0.12043732693170495</v>
      </c>
      <c r="G39" s="20">
        <f t="shared" si="15"/>
        <v>-0.28625904010519398</v>
      </c>
      <c r="H39" s="20">
        <f t="shared" si="15"/>
        <v>0.87711864406779672</v>
      </c>
      <c r="I39" s="20">
        <f t="shared" si="15"/>
        <v>0.20620276769064683</v>
      </c>
      <c r="J39" s="20">
        <f t="shared" si="15"/>
        <v>0.7800650935720097</v>
      </c>
      <c r="K39" s="20">
        <f t="shared" si="15"/>
        <v>-0.45691822461946341</v>
      </c>
      <c r="L39" s="20">
        <f t="shared" si="15"/>
        <v>-0.80658193754734442</v>
      </c>
      <c r="M39" s="20">
        <f t="shared" si="15"/>
        <v>0.84464751958224538</v>
      </c>
    </row>
    <row r="41" spans="1:13" x14ac:dyDescent="0.3">
      <c r="B41" t="s">
        <v>76</v>
      </c>
      <c r="C41" s="15">
        <f>IFERROR('Data Sheet'!B31/HistoricalFS!C36,0)</f>
        <v>4.100414881775559</v>
      </c>
      <c r="D41" s="15">
        <f>IFERROR('Data Sheet'!C31/HistoricalFS!D36,0)</f>
        <v>3.5003541673693794</v>
      </c>
      <c r="E41" s="15">
        <f>IFERROR('Data Sheet'!D31/HistoricalFS!E36,0)</f>
        <v>19.484770803116671</v>
      </c>
      <c r="F41" s="15">
        <f>IFERROR('Data Sheet'!E31/HistoricalFS!F36,0)</f>
        <v>21.215969008931452</v>
      </c>
      <c r="G41" s="15">
        <f>IFERROR('Data Sheet'!F31/HistoricalFS!G36,0)</f>
        <v>18.864198859356502</v>
      </c>
      <c r="H41" s="15">
        <f>IFERROR('Data Sheet'!G31/HistoricalFS!H36,0)</f>
        <v>3.9029376950392765</v>
      </c>
      <c r="I41" s="15">
        <f>IFERROR('Data Sheet'!H31/HistoricalFS!I36,0)</f>
        <v>9.5071559238136221</v>
      </c>
      <c r="J41" s="15">
        <f>IFERROR('Data Sheet'!I31/HistoricalFS!J36,0)</f>
        <v>45.033896481222421</v>
      </c>
      <c r="K41" s="15">
        <f>IFERROR('Data Sheet'!J31/HistoricalFS!K36,0)</f>
        <v>101.57645539653502</v>
      </c>
      <c r="L41" s="15">
        <f>IFERROR('Data Sheet'!K31/HistoricalFS!L36,0)</f>
        <v>29.522221026579142</v>
      </c>
      <c r="M41" s="15">
        <f>IFERROR('Data Sheet'!L31/HistoricalFS!M36,0)</f>
        <v>0</v>
      </c>
    </row>
    <row r="42" spans="1:13" x14ac:dyDescent="0.3">
      <c r="B42" s="18" t="s">
        <v>79</v>
      </c>
      <c r="C42" s="20">
        <f>IFERROR(C41/C38,0)</f>
        <v>0.15489815317416006</v>
      </c>
      <c r="D42" s="20">
        <f t="shared" ref="D42:M42" si="16">IFERROR(D41/D38,0)</f>
        <v>-4.6845855354985734E-2</v>
      </c>
      <c r="E42" s="20">
        <f t="shared" si="16"/>
        <v>0.83768126450116009</v>
      </c>
      <c r="F42" s="20">
        <f t="shared" si="16"/>
        <v>1.0370019723865878</v>
      </c>
      <c r="G42" s="20">
        <f t="shared" si="16"/>
        <v>1.2918570375829035</v>
      </c>
      <c r="H42" s="20">
        <f t="shared" si="16"/>
        <v>0.14238885072136617</v>
      </c>
      <c r="I42" s="20">
        <f t="shared" si="16"/>
        <v>0.2875508543531326</v>
      </c>
      <c r="J42" s="20">
        <f t="shared" si="16"/>
        <v>0.76518718288613607</v>
      </c>
      <c r="K42" s="20">
        <f t="shared" si="16"/>
        <v>3.1780153185758779</v>
      </c>
      <c r="L42" s="20">
        <f t="shared" si="16"/>
        <v>4.7754569190600513</v>
      </c>
      <c r="M42" s="20">
        <f t="shared" si="16"/>
        <v>0</v>
      </c>
    </row>
    <row r="44" spans="1:13" x14ac:dyDescent="0.3">
      <c r="B44" t="s">
        <v>80</v>
      </c>
      <c r="C44" s="16">
        <f>IFERROR(IF(C38&gt;C41,1-C42,0),0)</f>
        <v>0.84510184682584</v>
      </c>
      <c r="D44" s="16">
        <f t="shared" ref="D44:M44" si="17">IFERROR(IF(D38&gt;D41,1-D42,0),0)</f>
        <v>0</v>
      </c>
      <c r="E44" s="16">
        <f t="shared" si="17"/>
        <v>0.16231873549883991</v>
      </c>
      <c r="F44" s="16">
        <f t="shared" si="17"/>
        <v>0</v>
      </c>
      <c r="G44" s="16">
        <f t="shared" si="17"/>
        <v>0</v>
      </c>
      <c r="H44" s="16">
        <f t="shared" si="17"/>
        <v>0.8576111492786338</v>
      </c>
      <c r="I44" s="16">
        <f t="shared" si="17"/>
        <v>0.71244914564686734</v>
      </c>
      <c r="J44" s="16">
        <f t="shared" si="17"/>
        <v>0.23481281711386393</v>
      </c>
      <c r="K44" s="16">
        <f t="shared" si="17"/>
        <v>0</v>
      </c>
      <c r="L44" s="16">
        <f t="shared" si="17"/>
        <v>0</v>
      </c>
      <c r="M44" s="16">
        <f t="shared" si="17"/>
        <v>1</v>
      </c>
    </row>
    <row r="46" spans="1:13" x14ac:dyDescent="0.3">
      <c r="A46" t="s">
        <v>59</v>
      </c>
      <c r="B46" s="25" t="s">
        <v>81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x14ac:dyDescent="0.3">
      <c r="B47" t="s">
        <v>33</v>
      </c>
      <c r="C47" s="15">
        <f>IFERROR('Data Sheet'!B57,0)</f>
        <v>296.5</v>
      </c>
      <c r="D47" s="15">
        <f>IFERROR('Data Sheet'!C57,0)</f>
        <v>296.5</v>
      </c>
      <c r="E47" s="15">
        <f>IFERROR('Data Sheet'!D57,0)</f>
        <v>297</v>
      </c>
      <c r="F47" s="15">
        <f>IFERROR('Data Sheet'!E57,0)</f>
        <v>372</v>
      </c>
      <c r="G47" s="15">
        <f>IFERROR('Data Sheet'!F57,0)</f>
        <v>372</v>
      </c>
      <c r="H47" s="15">
        <f>IFERROR('Data Sheet'!G57,0)</f>
        <v>372</v>
      </c>
      <c r="I47" s="15">
        <f>IFERROR('Data Sheet'!H57,0)</f>
        <v>372</v>
      </c>
      <c r="J47" s="15">
        <f>IFERROR('Data Sheet'!I57,0)</f>
        <v>372</v>
      </c>
      <c r="K47" s="15">
        <f>IFERROR('Data Sheet'!J57,0)</f>
        <v>372</v>
      </c>
      <c r="L47" s="15">
        <f>IFERROR('Data Sheet'!K57,0)</f>
        <v>372</v>
      </c>
    </row>
    <row r="48" spans="1:13" x14ac:dyDescent="0.3">
      <c r="B48" t="s">
        <v>34</v>
      </c>
      <c r="C48" s="15">
        <f>IFERROR('Data Sheet'!B58,0)</f>
        <v>53578.77</v>
      </c>
      <c r="D48" s="15">
        <f>IFERROR('Data Sheet'!C58,0)</f>
        <v>43742.67</v>
      </c>
      <c r="E48" s="15">
        <f>IFERROR('Data Sheet'!D58,0)</f>
        <v>60128</v>
      </c>
      <c r="F48" s="15">
        <f>IFERROR('Data Sheet'!E58,0)</f>
        <v>62940</v>
      </c>
      <c r="G48" s="15">
        <f>IFERROR('Data Sheet'!F58,0)</f>
        <v>61925</v>
      </c>
      <c r="H48" s="15">
        <f>IFERROR('Data Sheet'!G58,0)</f>
        <v>54263</v>
      </c>
      <c r="I48" s="15">
        <f>IFERROR('Data Sheet'!H58,0)</f>
        <v>61906</v>
      </c>
      <c r="J48" s="15">
        <f>IFERROR('Data Sheet'!I58,0)</f>
        <v>65011</v>
      </c>
      <c r="K48" s="15">
        <f>IFERROR('Data Sheet'!J58,0)</f>
        <v>39051</v>
      </c>
      <c r="L48" s="15">
        <f>IFERROR('Data Sheet'!K58,0)</f>
        <v>30350</v>
      </c>
    </row>
    <row r="49" spans="2:13" x14ac:dyDescent="0.3">
      <c r="B49" t="s">
        <v>35</v>
      </c>
      <c r="C49" s="15">
        <f>IFERROR('Data Sheet'!B59,0)</f>
        <v>77752.3</v>
      </c>
      <c r="D49" s="15">
        <f>IFERROR('Data Sheet'!C59,0)</f>
        <v>67777.81</v>
      </c>
      <c r="E49" s="15">
        <f>IFERROR('Data Sheet'!D59,0)</f>
        <v>71569</v>
      </c>
      <c r="F49" s="15">
        <f>IFERROR('Data Sheet'!E59,0)</f>
        <v>58159</v>
      </c>
      <c r="G49" s="15">
        <f>IFERROR('Data Sheet'!F59,0)</f>
        <v>66226</v>
      </c>
      <c r="H49" s="15">
        <f>IFERROR('Data Sheet'!G59,0)</f>
        <v>59185</v>
      </c>
      <c r="I49" s="15">
        <f>IFERROR('Data Sheet'!H59,0)</f>
        <v>57667</v>
      </c>
      <c r="J49" s="15">
        <f>IFERROR('Data Sheet'!I59,0)</f>
        <v>53583</v>
      </c>
      <c r="K49" s="15">
        <f>IFERROR('Data Sheet'!J59,0)</f>
        <v>80329</v>
      </c>
      <c r="L49" s="15">
        <f>IFERROR('Data Sheet'!K59,0)</f>
        <v>87706</v>
      </c>
    </row>
    <row r="50" spans="2:13" x14ac:dyDescent="0.3">
      <c r="B50" t="s">
        <v>36</v>
      </c>
      <c r="C50" s="15">
        <f>IFERROR('Data Sheet'!B60,0)</f>
        <v>58653.61</v>
      </c>
      <c r="D50" s="15">
        <f>IFERROR('Data Sheet'!C60,0)</f>
        <v>80163.37</v>
      </c>
      <c r="E50" s="15">
        <f>IFERROR('Data Sheet'!D60,0)</f>
        <v>64952</v>
      </c>
      <c r="F50" s="15">
        <f>IFERROR('Data Sheet'!E60,0)</f>
        <v>58896</v>
      </c>
      <c r="G50" s="15">
        <f>IFERROR('Data Sheet'!F60,0)</f>
        <v>70045</v>
      </c>
      <c r="H50" s="15">
        <f>IFERROR('Data Sheet'!G60,0)</f>
        <v>66917</v>
      </c>
      <c r="I50" s="15">
        <f>IFERROR('Data Sheet'!H60,0)</f>
        <v>63551</v>
      </c>
      <c r="J50" s="15">
        <f>IFERROR('Data Sheet'!I60,0)</f>
        <v>74981</v>
      </c>
      <c r="K50" s="15">
        <f>IFERROR('Data Sheet'!J60,0)</f>
        <v>69703</v>
      </c>
      <c r="L50" s="15">
        <f>IFERROR('Data Sheet'!K60,0)</f>
        <v>69690</v>
      </c>
    </row>
    <row r="51" spans="2:13" x14ac:dyDescent="0.3">
      <c r="B51" s="14" t="s">
        <v>82</v>
      </c>
      <c r="C51" s="27">
        <f>IFERROR('Data Sheet'!B61,0)</f>
        <v>190281.18</v>
      </c>
      <c r="D51" s="27">
        <f>IFERROR('Data Sheet'!C61,0)</f>
        <v>191980.35</v>
      </c>
      <c r="E51" s="27">
        <f>IFERROR('Data Sheet'!D61,0)</f>
        <v>196946</v>
      </c>
      <c r="F51" s="27">
        <f>IFERROR('Data Sheet'!E61,0)</f>
        <v>180367</v>
      </c>
      <c r="G51" s="27">
        <f>IFERROR('Data Sheet'!F61,0)</f>
        <v>198568</v>
      </c>
      <c r="H51" s="27">
        <f>IFERROR('Data Sheet'!G61,0)</f>
        <v>180737</v>
      </c>
      <c r="I51" s="27">
        <f>IFERROR('Data Sheet'!H61,0)</f>
        <v>183496</v>
      </c>
      <c r="J51" s="27">
        <f>IFERROR('Data Sheet'!I61,0)</f>
        <v>193947</v>
      </c>
      <c r="K51" s="27">
        <f>IFERROR('Data Sheet'!J61,0)</f>
        <v>189455</v>
      </c>
      <c r="L51" s="27">
        <f>IFERROR('Data Sheet'!K61,0)</f>
        <v>188118</v>
      </c>
      <c r="M51" s="14"/>
    </row>
    <row r="53" spans="2:13" x14ac:dyDescent="0.3">
      <c r="B53" t="s">
        <v>83</v>
      </c>
      <c r="C53" s="15">
        <f>IFERROR('Data Sheet'!B62,0)</f>
        <v>70107.83</v>
      </c>
      <c r="D53" s="15">
        <f>IFERROR('Data Sheet'!C62,0)</f>
        <v>61590.85</v>
      </c>
      <c r="E53" s="15">
        <f>IFERROR('Data Sheet'!D62,0)</f>
        <v>75631</v>
      </c>
      <c r="F53" s="15">
        <f>IFERROR('Data Sheet'!E62,0)</f>
        <v>78455</v>
      </c>
      <c r="G53" s="15">
        <f>IFERROR('Data Sheet'!F62,0)</f>
        <v>86327</v>
      </c>
      <c r="H53" s="15">
        <f>IFERROR('Data Sheet'!G62,0)</f>
        <v>86127</v>
      </c>
      <c r="I53" s="15">
        <f>IFERROR('Data Sheet'!H62,0)</f>
        <v>88002</v>
      </c>
      <c r="J53" s="15">
        <f>IFERROR('Data Sheet'!I62,0)</f>
        <v>89498</v>
      </c>
      <c r="K53" s="15">
        <f>IFERROR('Data Sheet'!J62,0)</f>
        <v>90483</v>
      </c>
      <c r="L53" s="15">
        <f>IFERROR('Data Sheet'!K62,0)</f>
        <v>92551</v>
      </c>
    </row>
    <row r="54" spans="2:13" x14ac:dyDescent="0.3">
      <c r="B54" t="s">
        <v>39</v>
      </c>
      <c r="C54" s="15">
        <f>IFERROR('Data Sheet'!B63,0)</f>
        <v>38747.949999999997</v>
      </c>
      <c r="D54" s="15">
        <f>IFERROR('Data Sheet'!C63,0)</f>
        <v>38461.33</v>
      </c>
      <c r="E54" s="15">
        <f>IFERROR('Data Sheet'!D63,0)</f>
        <v>27557</v>
      </c>
      <c r="F54" s="15">
        <f>IFERROR('Data Sheet'!E63,0)</f>
        <v>32055</v>
      </c>
      <c r="G54" s="15">
        <f>IFERROR('Data Sheet'!F63,0)</f>
        <v>24959</v>
      </c>
      <c r="H54" s="15">
        <f>IFERROR('Data Sheet'!G63,0)</f>
        <v>18585</v>
      </c>
      <c r="I54" s="15">
        <f>IFERROR('Data Sheet'!H63,0)</f>
        <v>16314</v>
      </c>
      <c r="J54" s="15">
        <f>IFERROR('Data Sheet'!I63,0)</f>
        <v>15879</v>
      </c>
      <c r="K54" s="15">
        <f>IFERROR('Data Sheet'!J63,0)</f>
        <v>19529</v>
      </c>
      <c r="L54" s="15">
        <f>IFERROR('Data Sheet'!K63,0)</f>
        <v>22889</v>
      </c>
    </row>
    <row r="55" spans="2:13" x14ac:dyDescent="0.3">
      <c r="B55" t="s">
        <v>40</v>
      </c>
      <c r="C55" s="15">
        <f>IFERROR('Data Sheet'!B64,0)</f>
        <v>39606.04</v>
      </c>
      <c r="D55" s="15">
        <f>IFERROR('Data Sheet'!C64,0)</f>
        <v>53385.98</v>
      </c>
      <c r="E55" s="15">
        <f>IFERROR('Data Sheet'!D64,0)</f>
        <v>46962</v>
      </c>
      <c r="F55" s="15">
        <f>IFERROR('Data Sheet'!E64,0)</f>
        <v>28700</v>
      </c>
      <c r="G55" s="15">
        <f>IFERROR('Data Sheet'!F64,0)</f>
        <v>33065</v>
      </c>
      <c r="H55" s="15">
        <f>IFERROR('Data Sheet'!G64,0)</f>
        <v>24753</v>
      </c>
      <c r="I55" s="15">
        <f>IFERROR('Data Sheet'!H64,0)</f>
        <v>16660</v>
      </c>
      <c r="J55" s="15">
        <f>IFERROR('Data Sheet'!I64,0)</f>
        <v>17291</v>
      </c>
      <c r="K55" s="15">
        <f>IFERROR('Data Sheet'!J64,0)</f>
        <v>13150</v>
      </c>
      <c r="L55" s="15">
        <f>IFERROR('Data Sheet'!K64,0)</f>
        <v>11869</v>
      </c>
    </row>
    <row r="56" spans="2:13" x14ac:dyDescent="0.3">
      <c r="B56" t="s">
        <v>41</v>
      </c>
      <c r="C56" s="15">
        <f>IFERROR('Data Sheet'!B65-SUM('Data Sheet'!B67:B69),0)</f>
        <v>23792.93</v>
      </c>
      <c r="D56" s="15">
        <f>IFERROR('Data Sheet'!C65-SUM('Data Sheet'!C67:C69),0)</f>
        <v>24328.000000000004</v>
      </c>
      <c r="E56" s="15">
        <f>IFERROR('Data Sheet'!D65-SUM('Data Sheet'!D67:D69),0)</f>
        <v>20805</v>
      </c>
      <c r="F56" s="15">
        <f>IFERROR('Data Sheet'!E65-SUM('Data Sheet'!E67:E69),0)</f>
        <v>20005</v>
      </c>
      <c r="G56" s="15">
        <f>IFERROR('Data Sheet'!F65-SUM('Data Sheet'!F67:F69),0)</f>
        <v>28668</v>
      </c>
      <c r="H56" s="15">
        <f>IFERROR('Data Sheet'!G65-SUM('Data Sheet'!G67:G69),0)</f>
        <v>24738</v>
      </c>
      <c r="I56" s="15">
        <f>IFERROR('Data Sheet'!H65-SUM('Data Sheet'!H67:H69),0)</f>
        <v>32477</v>
      </c>
      <c r="J56" s="15">
        <f>IFERROR('Data Sheet'!I65-SUM('Data Sheet'!I67:I69),0)</f>
        <v>36665</v>
      </c>
      <c r="K56" s="15">
        <f>IFERROR('Data Sheet'!J65-SUM('Data Sheet'!J67:J69),0)</f>
        <v>38013</v>
      </c>
      <c r="L56" s="15">
        <f>IFERROR('Data Sheet'!K65-SUM('Data Sheet'!K67:K69),0)</f>
        <v>39874</v>
      </c>
    </row>
    <row r="57" spans="2:13" x14ac:dyDescent="0.3">
      <c r="B57" s="14" t="s">
        <v>84</v>
      </c>
      <c r="C57" s="27">
        <f>SUM(C53:C56)</f>
        <v>172254.75</v>
      </c>
      <c r="D57" s="27">
        <f t="shared" ref="D57:L57" si="18">SUM(D53:D56)</f>
        <v>177766.16</v>
      </c>
      <c r="E57" s="27">
        <f t="shared" si="18"/>
        <v>170955</v>
      </c>
      <c r="F57" s="27">
        <f t="shared" si="18"/>
        <v>159215</v>
      </c>
      <c r="G57" s="27">
        <f t="shared" si="18"/>
        <v>173019</v>
      </c>
      <c r="H57" s="27">
        <f t="shared" si="18"/>
        <v>154203</v>
      </c>
      <c r="I57" s="27">
        <f t="shared" si="18"/>
        <v>153453</v>
      </c>
      <c r="J57" s="27">
        <f t="shared" si="18"/>
        <v>159333</v>
      </c>
      <c r="K57" s="27">
        <f t="shared" si="18"/>
        <v>161175</v>
      </c>
      <c r="L57" s="27">
        <f t="shared" si="18"/>
        <v>167183</v>
      </c>
    </row>
    <row r="58" spans="2:13" x14ac:dyDescent="0.3">
      <c r="B58" s="14"/>
    </row>
    <row r="59" spans="2:13" x14ac:dyDescent="0.3">
      <c r="B59" t="s">
        <v>42</v>
      </c>
      <c r="C59" s="15">
        <f>IFERROR('Data Sheet'!B67,0)</f>
        <v>3605.13</v>
      </c>
      <c r="D59" s="15">
        <f>IFERROR('Data Sheet'!C67,0)</f>
        <v>2493.75</v>
      </c>
      <c r="E59" s="15">
        <f>IFERROR('Data Sheet'!D67,0)</f>
        <v>2240</v>
      </c>
      <c r="F59" s="15">
        <f>IFERROR('Data Sheet'!E67,0)</f>
        <v>3969</v>
      </c>
      <c r="G59" s="15">
        <f>IFERROR('Data Sheet'!F67,0)</f>
        <v>3982</v>
      </c>
      <c r="H59" s="15">
        <f>IFERROR('Data Sheet'!G67,0)</f>
        <v>2697</v>
      </c>
      <c r="I59" s="15">
        <f>IFERROR('Data Sheet'!H67,0)</f>
        <v>3491</v>
      </c>
      <c r="J59" s="15">
        <f>IFERROR('Data Sheet'!I67,0)</f>
        <v>4946</v>
      </c>
      <c r="K59" s="15">
        <f>IFERROR('Data Sheet'!J67,0)</f>
        <v>4014</v>
      </c>
      <c r="L59" s="15">
        <f>IFERROR('Data Sheet'!K67,0)</f>
        <v>3607</v>
      </c>
    </row>
    <row r="60" spans="2:13" x14ac:dyDescent="0.3">
      <c r="B60" t="s">
        <v>43</v>
      </c>
      <c r="C60" s="15">
        <f>IFERROR('Data Sheet'!B68,0)</f>
        <v>8725.02</v>
      </c>
      <c r="D60" s="15">
        <f>IFERROR('Data Sheet'!C68,0)</f>
        <v>8011.65</v>
      </c>
      <c r="E60" s="15">
        <f>IFERROR('Data Sheet'!D68,0)</f>
        <v>9628</v>
      </c>
      <c r="F60" s="15">
        <f>IFERROR('Data Sheet'!E68,0)</f>
        <v>11967</v>
      </c>
      <c r="G60" s="15">
        <f>IFERROR('Data Sheet'!F68,0)</f>
        <v>13198</v>
      </c>
      <c r="H60" s="15">
        <f>IFERROR('Data Sheet'!G68,0)</f>
        <v>11335</v>
      </c>
      <c r="I60" s="15">
        <f>IFERROR('Data Sheet'!H68,0)</f>
        <v>9923</v>
      </c>
      <c r="J60" s="15">
        <f>IFERROR('Data Sheet'!I68,0)</f>
        <v>14313</v>
      </c>
      <c r="K60" s="15">
        <f>IFERROR('Data Sheet'!J68,0)</f>
        <v>15012</v>
      </c>
      <c r="L60" s="15">
        <f>IFERROR('Data Sheet'!K68,0)</f>
        <v>13001</v>
      </c>
    </row>
    <row r="61" spans="2:13" x14ac:dyDescent="0.3">
      <c r="B61" t="s">
        <v>44</v>
      </c>
      <c r="C61" s="15">
        <f>IFERROR('Data Sheet'!B69,0)</f>
        <v>5696.28</v>
      </c>
      <c r="D61" s="15">
        <f>IFERROR('Data Sheet'!C69,0)</f>
        <v>3708.79</v>
      </c>
      <c r="E61" s="15">
        <f>IFERROR('Data Sheet'!D69,0)</f>
        <v>14123</v>
      </c>
      <c r="F61" s="15">
        <f>IFERROR('Data Sheet'!E69,0)</f>
        <v>5216</v>
      </c>
      <c r="G61" s="15">
        <f>IFERROR('Data Sheet'!F69,0)</f>
        <v>8369</v>
      </c>
      <c r="H61" s="15">
        <f>IFERROR('Data Sheet'!G69,0)</f>
        <v>12502</v>
      </c>
      <c r="I61" s="15">
        <f>IFERROR('Data Sheet'!H69,0)</f>
        <v>16629</v>
      </c>
      <c r="J61" s="15">
        <f>IFERROR('Data Sheet'!I69,0)</f>
        <v>15355</v>
      </c>
      <c r="K61" s="15">
        <f>IFERROR('Data Sheet'!J69,0)</f>
        <v>9254</v>
      </c>
      <c r="L61" s="15">
        <f>IFERROR('Data Sheet'!K69,0)</f>
        <v>4327</v>
      </c>
    </row>
    <row r="62" spans="2:13" x14ac:dyDescent="0.3">
      <c r="B62" s="14" t="s">
        <v>85</v>
      </c>
      <c r="C62" s="27">
        <f>IFERROR(SUM(C59:C61),0)</f>
        <v>18026.43</v>
      </c>
      <c r="D62" s="27">
        <f t="shared" ref="D62:L62" si="19">IFERROR(SUM(D59:D61),0)</f>
        <v>14214.189999999999</v>
      </c>
      <c r="E62" s="27">
        <f t="shared" si="19"/>
        <v>25991</v>
      </c>
      <c r="F62" s="27">
        <f t="shared" si="19"/>
        <v>21152</v>
      </c>
      <c r="G62" s="27">
        <f t="shared" si="19"/>
        <v>25549</v>
      </c>
      <c r="H62" s="27">
        <f t="shared" si="19"/>
        <v>26534</v>
      </c>
      <c r="I62" s="27">
        <f t="shared" si="19"/>
        <v>30043</v>
      </c>
      <c r="J62" s="27">
        <f t="shared" si="19"/>
        <v>34614</v>
      </c>
      <c r="K62" s="27">
        <f t="shared" si="19"/>
        <v>28280</v>
      </c>
      <c r="L62" s="27">
        <f t="shared" si="19"/>
        <v>20935</v>
      </c>
    </row>
    <row r="64" spans="2:13" x14ac:dyDescent="0.3">
      <c r="B64" s="14" t="s">
        <v>86</v>
      </c>
      <c r="C64" s="27">
        <f>IFERROR(C62+C57,0)</f>
        <v>190281.18</v>
      </c>
      <c r="D64" s="27">
        <f t="shared" ref="D64:L64" si="20">IFERROR(D62+D57,0)</f>
        <v>191980.35</v>
      </c>
      <c r="E64" s="27">
        <f t="shared" si="20"/>
        <v>196946</v>
      </c>
      <c r="F64" s="27">
        <f t="shared" si="20"/>
        <v>180367</v>
      </c>
      <c r="G64" s="27">
        <f t="shared" si="20"/>
        <v>198568</v>
      </c>
      <c r="H64" s="27">
        <f t="shared" si="20"/>
        <v>180737</v>
      </c>
      <c r="I64" s="27">
        <f t="shared" si="20"/>
        <v>183496</v>
      </c>
      <c r="J64" s="27">
        <f t="shared" si="20"/>
        <v>193947</v>
      </c>
      <c r="K64" s="27">
        <f t="shared" si="20"/>
        <v>189455</v>
      </c>
      <c r="L64" s="27">
        <f t="shared" si="20"/>
        <v>188118</v>
      </c>
    </row>
    <row r="66" spans="1:13" x14ac:dyDescent="0.3">
      <c r="B66" s="17" t="s">
        <v>87</v>
      </c>
      <c r="C66" s="17" t="b">
        <f>C64=C51</f>
        <v>1</v>
      </c>
      <c r="D66" s="17" t="b">
        <f t="shared" ref="D66:L66" si="21">D64=D51</f>
        <v>1</v>
      </c>
      <c r="E66" s="17" t="b">
        <f t="shared" si="21"/>
        <v>1</v>
      </c>
      <c r="F66" s="17" t="b">
        <f t="shared" si="21"/>
        <v>1</v>
      </c>
      <c r="G66" s="17" t="b">
        <f t="shared" si="21"/>
        <v>1</v>
      </c>
      <c r="H66" s="17" t="b">
        <f t="shared" si="21"/>
        <v>1</v>
      </c>
      <c r="I66" s="17" t="b">
        <f t="shared" si="21"/>
        <v>1</v>
      </c>
      <c r="J66" s="17" t="b">
        <f t="shared" si="21"/>
        <v>1</v>
      </c>
      <c r="K66" s="17" t="b">
        <f t="shared" si="21"/>
        <v>1</v>
      </c>
      <c r="L66" s="17" t="b">
        <f t="shared" si="21"/>
        <v>1</v>
      </c>
    </row>
    <row r="68" spans="1:13" x14ac:dyDescent="0.3">
      <c r="A68" t="s">
        <v>59</v>
      </c>
      <c r="B68" s="25" t="s">
        <v>88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x14ac:dyDescent="0.3">
      <c r="B69" s="14"/>
    </row>
    <row r="70" spans="1:13" x14ac:dyDescent="0.3">
      <c r="B70" t="s">
        <v>89</v>
      </c>
      <c r="C70" s="15">
        <f>'Data Sheet'!B82</f>
        <v>17805.13</v>
      </c>
      <c r="D70" s="15">
        <f>'Data Sheet'!C82</f>
        <v>20376.919999999998</v>
      </c>
      <c r="E70" s="15">
        <f>'Data Sheet'!D82</f>
        <v>18083</v>
      </c>
      <c r="F70" s="15">
        <f>'Data Sheet'!E82</f>
        <v>17366</v>
      </c>
      <c r="G70" s="15">
        <f>'Data Sheet'!F82</f>
        <v>23754</v>
      </c>
      <c r="H70" s="15">
        <f>'Data Sheet'!G82</f>
        <v>19300</v>
      </c>
      <c r="I70" s="15">
        <f>'Data Sheet'!H82</f>
        <v>23980</v>
      </c>
      <c r="J70" s="15">
        <f>'Data Sheet'!I82</f>
        <v>34963</v>
      </c>
      <c r="K70" s="15">
        <f>'Data Sheet'!J82</f>
        <v>33065</v>
      </c>
      <c r="L70" s="15">
        <f>'Data Sheet'!K82</f>
        <v>35654</v>
      </c>
    </row>
    <row r="72" spans="1:13" x14ac:dyDescent="0.3">
      <c r="B72" t="s">
        <v>90</v>
      </c>
      <c r="C72" s="15">
        <f>'Data Sheet'!B83</f>
        <v>-4133.09</v>
      </c>
      <c r="D72" s="15">
        <f>'Data Sheet'!C83</f>
        <v>-7867.89</v>
      </c>
      <c r="E72" s="15">
        <f>'Data Sheet'!D83</f>
        <v>2681</v>
      </c>
      <c r="F72" s="15">
        <f>'Data Sheet'!E83</f>
        <v>15480</v>
      </c>
      <c r="G72" s="15">
        <f>'Data Sheet'!F83</f>
        <v>-10594</v>
      </c>
      <c r="H72" s="15">
        <f>'Data Sheet'!G83</f>
        <v>-5925</v>
      </c>
      <c r="I72" s="15">
        <f>'Data Sheet'!H83</f>
        <v>-6678</v>
      </c>
      <c r="J72" s="15">
        <f>'Data Sheet'!I83</f>
        <v>-2243</v>
      </c>
      <c r="K72" s="15">
        <f>'Data Sheet'!J83</f>
        <v>-668</v>
      </c>
      <c r="L72" s="15">
        <f>'Data Sheet'!K83</f>
        <v>-13676</v>
      </c>
    </row>
    <row r="74" spans="1:13" x14ac:dyDescent="0.3">
      <c r="B74" t="s">
        <v>91</v>
      </c>
      <c r="C74" s="15">
        <f>'Data Sheet'!B84</f>
        <v>-13955.77</v>
      </c>
      <c r="D74" s="15">
        <f>'Data Sheet'!C84</f>
        <v>-11302.95</v>
      </c>
      <c r="E74" s="15">
        <f>'Data Sheet'!D84</f>
        <v>-12425</v>
      </c>
      <c r="F74" s="15">
        <f>'Data Sheet'!E84</f>
        <v>-39255</v>
      </c>
      <c r="G74" s="15">
        <f>'Data Sheet'!F84</f>
        <v>-10242</v>
      </c>
      <c r="H74" s="15">
        <f>'Data Sheet'!G84</f>
        <v>-15547</v>
      </c>
      <c r="I74" s="15">
        <f>'Data Sheet'!H84</f>
        <v>-17565</v>
      </c>
      <c r="J74" s="15">
        <f>'Data Sheet'!I84</f>
        <v>-28903</v>
      </c>
      <c r="K74" s="15">
        <f>'Data Sheet'!J84</f>
        <v>-34142</v>
      </c>
      <c r="L74" s="15">
        <f>'Data Sheet'!K84</f>
        <v>-26092</v>
      </c>
    </row>
    <row r="76" spans="1:13" x14ac:dyDescent="0.3">
      <c r="B76" s="14" t="s">
        <v>52</v>
      </c>
      <c r="C76" s="27">
        <f t="shared" ref="C76:L76" si="22">IFERROR(C70+C72+C74,0)</f>
        <v>-283.72999999999956</v>
      </c>
      <c r="D76" s="27">
        <f t="shared" si="22"/>
        <v>1206.0799999999981</v>
      </c>
      <c r="E76" s="27">
        <f t="shared" si="22"/>
        <v>8339</v>
      </c>
      <c r="F76" s="27">
        <f t="shared" si="22"/>
        <v>-6409</v>
      </c>
      <c r="G76" s="27">
        <f t="shared" si="22"/>
        <v>2918</v>
      </c>
      <c r="H76" s="27">
        <f t="shared" si="22"/>
        <v>-2172</v>
      </c>
      <c r="I76" s="27">
        <f t="shared" si="22"/>
        <v>-263</v>
      </c>
      <c r="J76" s="27">
        <f t="shared" si="22"/>
        <v>3817</v>
      </c>
      <c r="K76" s="27">
        <f t="shared" si="22"/>
        <v>-1745</v>
      </c>
      <c r="L76" s="27">
        <f t="shared" si="22"/>
        <v>-4114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68F4-35F9-440F-B28A-35F728E0E20C}">
  <dimension ref="B2:O21"/>
  <sheetViews>
    <sheetView showGridLines="0" workbookViewId="0">
      <selection activeCell="J23" sqref="J23"/>
    </sheetView>
  </sheetViews>
  <sheetFormatPr defaultRowHeight="14.4" x14ac:dyDescent="0.3"/>
  <cols>
    <col min="1" max="1" width="1.88671875" customWidth="1"/>
    <col min="2" max="2" width="12" bestFit="1" customWidth="1"/>
    <col min="3" max="3" width="10" bestFit="1" customWidth="1"/>
    <col min="4" max="4" width="11.6640625" customWidth="1"/>
    <col min="5" max="5" width="12.6640625" bestFit="1" customWidth="1"/>
    <col min="6" max="6" width="2.6640625" customWidth="1"/>
    <col min="7" max="7" width="12" bestFit="1" customWidth="1"/>
    <col min="8" max="8" width="6.33203125" bestFit="1" customWidth="1"/>
    <col min="9" max="9" width="9.6640625" bestFit="1" customWidth="1"/>
    <col min="10" max="10" width="12.6640625" bestFit="1" customWidth="1"/>
    <col min="11" max="11" width="2.6640625" customWidth="1"/>
    <col min="12" max="12" width="17.109375" customWidth="1"/>
    <col min="13" max="13" width="6.33203125" bestFit="1" customWidth="1"/>
    <col min="14" max="14" width="8.33203125" bestFit="1" customWidth="1"/>
    <col min="15" max="15" width="17.44140625" customWidth="1"/>
  </cols>
  <sheetData>
    <row r="2" spans="2:15" x14ac:dyDescent="0.3">
      <c r="B2" s="39" t="str">
        <f>'Data Sheet'!$B$1&amp;" - "&amp;'Data Sheet'!A17&amp;" Forecasting"</f>
        <v>VEDANTA LTD - Sales Forecasting</v>
      </c>
      <c r="C2" s="39"/>
      <c r="D2" s="39"/>
      <c r="E2" s="39"/>
      <c r="G2" s="39" t="str">
        <f>'Data Sheet'!$B$1&amp;" - "&amp;'Data Sheet'!A34&amp;" Forecasting"</f>
        <v>VEDANTA LTD - EBITDA Forecasting</v>
      </c>
      <c r="H2" s="39"/>
      <c r="I2" s="39"/>
      <c r="J2" s="39"/>
      <c r="L2" s="39" t="str">
        <f>'Data Sheet'!$B$1&amp;" - "&amp;HistoricalFS!B38&amp;" Forecasting"</f>
        <v>VEDANTA LTD - Earnings per Share Forecasting</v>
      </c>
      <c r="M2" s="39"/>
      <c r="N2" s="39"/>
      <c r="O2" s="39"/>
    </row>
    <row r="3" spans="2:15" x14ac:dyDescent="0.3">
      <c r="B3" s="29" t="s">
        <v>92</v>
      </c>
      <c r="C3" s="30" t="s">
        <v>93</v>
      </c>
      <c r="D3" s="30" t="s">
        <v>12</v>
      </c>
      <c r="E3" s="30" t="s">
        <v>60</v>
      </c>
      <c r="G3" s="29" t="s">
        <v>92</v>
      </c>
      <c r="H3" s="30" t="s">
        <v>93</v>
      </c>
      <c r="I3" s="30" t="s">
        <v>12</v>
      </c>
      <c r="J3" s="30" t="s">
        <v>60</v>
      </c>
      <c r="L3" s="29" t="s">
        <v>92</v>
      </c>
      <c r="M3" s="30" t="s">
        <v>93</v>
      </c>
      <c r="N3" s="30" t="s">
        <v>12</v>
      </c>
      <c r="O3" s="30" t="s">
        <v>60</v>
      </c>
    </row>
    <row r="4" spans="2:15" x14ac:dyDescent="0.3">
      <c r="B4" s="28">
        <v>1</v>
      </c>
      <c r="C4" s="31">
        <f>'Data Sheet'!$B$16</f>
        <v>42094</v>
      </c>
      <c r="D4" s="32">
        <f t="array" ref="D4:D13">TRANSPOSE('Data Sheet'!B17:K17)</f>
        <v>73709.5</v>
      </c>
      <c r="G4" s="28">
        <v>1</v>
      </c>
      <c r="H4" s="31">
        <f>'Data Sheet'!$B$16</f>
        <v>42094</v>
      </c>
      <c r="I4" s="32">
        <f t="array" ref="I4:I13">TRANSPOSE('Data Sheet'!B34:K34)</f>
        <v>-1379.4700000000012</v>
      </c>
      <c r="L4" s="28">
        <v>1</v>
      </c>
      <c r="M4" s="31">
        <f>'Data Sheet'!$B$16</f>
        <v>42094</v>
      </c>
      <c r="N4" s="32">
        <f t="array" ref="N4:N13">TRANSPOSE(HistoricalFS!C38:L38)</f>
        <v>26.471683475562482</v>
      </c>
    </row>
    <row r="5" spans="2:15" x14ac:dyDescent="0.3">
      <c r="B5" s="28">
        <f>B4+1</f>
        <v>2</v>
      </c>
      <c r="C5" s="31">
        <f>C4+365</f>
        <v>42459</v>
      </c>
      <c r="D5" s="32">
        <v>64261.760000000002</v>
      </c>
      <c r="E5" s="16">
        <f>D5/D4-1</f>
        <v>-0.12817533696470607</v>
      </c>
      <c r="G5" s="28">
        <f>G4+1</f>
        <v>2</v>
      </c>
      <c r="H5" s="31">
        <f>H4+365</f>
        <v>42459</v>
      </c>
      <c r="I5" s="32">
        <v>-8597.4499999999953</v>
      </c>
      <c r="J5" s="16">
        <f>I5/I4-1</f>
        <v>5.2324298462452887</v>
      </c>
      <c r="L5" s="28">
        <f>L4+1</f>
        <v>2</v>
      </c>
      <c r="M5" s="31">
        <f>M4+365</f>
        <v>42459</v>
      </c>
      <c r="N5" s="32">
        <v>-74.720680001349194</v>
      </c>
      <c r="O5" s="16">
        <f>N5/N4-1</f>
        <v>-3.8226644546550319</v>
      </c>
    </row>
    <row r="6" spans="2:15" x14ac:dyDescent="0.3">
      <c r="B6" s="28">
        <f t="shared" ref="B6:B18" si="0">B5+1</f>
        <v>3</v>
      </c>
      <c r="C6" s="31">
        <f t="shared" ref="C6:C18" si="1">C5+365</f>
        <v>42824</v>
      </c>
      <c r="D6" s="32">
        <v>72225</v>
      </c>
      <c r="E6" s="16">
        <f t="shared" ref="E6:E18" si="2">D6/D5-1</f>
        <v>0.12391879711978016</v>
      </c>
      <c r="G6" s="28">
        <f t="shared" ref="G6:G18" si="3">G5+1</f>
        <v>3</v>
      </c>
      <c r="H6" s="31">
        <f t="shared" ref="H6:H18" si="4">H5+365</f>
        <v>42824</v>
      </c>
      <c r="I6" s="32">
        <v>21438</v>
      </c>
      <c r="J6" s="16">
        <f t="shared" ref="J6:J18" si="5">I6/I5-1</f>
        <v>-3.4935300583312507</v>
      </c>
      <c r="L6" s="28">
        <f t="shared" ref="L6:L18" si="6">L5+1</f>
        <v>3</v>
      </c>
      <c r="M6" s="31">
        <f t="shared" ref="M6:M18" si="7">M5+365</f>
        <v>42824</v>
      </c>
      <c r="N6" s="32">
        <v>23.26036361183256</v>
      </c>
      <c r="O6" s="16">
        <f t="shared" ref="O6:O18" si="8">N6/N5-1</f>
        <v>-1.3112975365241932</v>
      </c>
    </row>
    <row r="7" spans="2:15" x14ac:dyDescent="0.3">
      <c r="B7" s="28">
        <f t="shared" si="0"/>
        <v>4</v>
      </c>
      <c r="C7" s="31">
        <f t="shared" si="1"/>
        <v>43189</v>
      </c>
      <c r="D7" s="32">
        <v>91866</v>
      </c>
      <c r="E7" s="16">
        <f t="shared" si="2"/>
        <v>0.27194184839044655</v>
      </c>
      <c r="G7" s="28">
        <f t="shared" si="3"/>
        <v>4</v>
      </c>
      <c r="H7" s="31">
        <f t="shared" si="4"/>
        <v>43189</v>
      </c>
      <c r="I7" s="32">
        <v>27614</v>
      </c>
      <c r="J7" s="16">
        <f t="shared" si="5"/>
        <v>0.28808657524022774</v>
      </c>
      <c r="L7" s="28">
        <f t="shared" si="6"/>
        <v>4</v>
      </c>
      <c r="M7" s="31">
        <f t="shared" si="7"/>
        <v>43189</v>
      </c>
      <c r="N7" s="32">
        <v>20.458947594963949</v>
      </c>
      <c r="O7" s="16">
        <f t="shared" si="8"/>
        <v>-0.12043732693170495</v>
      </c>
    </row>
    <row r="8" spans="2:15" x14ac:dyDescent="0.3">
      <c r="B8" s="28">
        <f t="shared" si="0"/>
        <v>5</v>
      </c>
      <c r="C8" s="31">
        <f t="shared" si="1"/>
        <v>43554</v>
      </c>
      <c r="D8" s="32">
        <v>92048</v>
      </c>
      <c r="E8" s="16">
        <f t="shared" si="2"/>
        <v>1.9811464524415179E-3</v>
      </c>
      <c r="G8" s="28">
        <f t="shared" si="3"/>
        <v>5</v>
      </c>
      <c r="H8" s="31">
        <f t="shared" si="4"/>
        <v>43554</v>
      </c>
      <c r="I8" s="32">
        <v>24808</v>
      </c>
      <c r="J8" s="16">
        <f t="shared" si="5"/>
        <v>-0.10161512276381546</v>
      </c>
      <c r="L8" s="28">
        <f t="shared" si="6"/>
        <v>5</v>
      </c>
      <c r="M8" s="31">
        <f t="shared" si="7"/>
        <v>43554</v>
      </c>
      <c r="N8" s="32">
        <v>14.602388894867103</v>
      </c>
      <c r="O8" s="16">
        <f t="shared" si="8"/>
        <v>-0.28625904010519398</v>
      </c>
    </row>
    <row r="9" spans="2:15" x14ac:dyDescent="0.3">
      <c r="B9" s="28">
        <f t="shared" si="0"/>
        <v>6</v>
      </c>
      <c r="C9" s="31">
        <f t="shared" si="1"/>
        <v>43919</v>
      </c>
      <c r="D9" s="32">
        <v>84447</v>
      </c>
      <c r="E9" s="16">
        <f t="shared" si="2"/>
        <v>-8.2576481835564097E-2</v>
      </c>
      <c r="G9" s="28">
        <f t="shared" si="3"/>
        <v>6</v>
      </c>
      <c r="H9" s="31">
        <f t="shared" si="4"/>
        <v>43919</v>
      </c>
      <c r="I9" s="32">
        <v>3890</v>
      </c>
      <c r="J9" s="16">
        <f t="shared" si="5"/>
        <v>-0.84319574330861014</v>
      </c>
      <c r="L9" s="28">
        <f t="shared" si="6"/>
        <v>6</v>
      </c>
      <c r="M9" s="31">
        <f t="shared" si="7"/>
        <v>43919</v>
      </c>
      <c r="N9" s="32">
        <v>27.410416442483587</v>
      </c>
      <c r="O9" s="16">
        <f t="shared" si="8"/>
        <v>0.87711864406779672</v>
      </c>
    </row>
    <row r="10" spans="2:15" x14ac:dyDescent="0.3">
      <c r="B10" s="28">
        <f t="shared" si="0"/>
        <v>7</v>
      </c>
      <c r="C10" s="31">
        <f t="shared" si="1"/>
        <v>44284</v>
      </c>
      <c r="D10" s="32">
        <v>88021</v>
      </c>
      <c r="E10" s="16">
        <f t="shared" si="2"/>
        <v>4.2322403400949726E-2</v>
      </c>
      <c r="G10" s="28">
        <f t="shared" si="3"/>
        <v>7</v>
      </c>
      <c r="H10" s="31">
        <f t="shared" si="4"/>
        <v>44284</v>
      </c>
      <c r="I10" s="32">
        <v>26630</v>
      </c>
      <c r="J10" s="16">
        <f t="shared" si="5"/>
        <v>5.8457583547557839</v>
      </c>
      <c r="L10" s="28">
        <f t="shared" si="6"/>
        <v>7</v>
      </c>
      <c r="M10" s="31">
        <f t="shared" si="7"/>
        <v>44284</v>
      </c>
      <c r="N10" s="32">
        <v>33.062520176476916</v>
      </c>
      <c r="O10" s="16">
        <f t="shared" si="8"/>
        <v>0.20620276769064683</v>
      </c>
    </row>
    <row r="11" spans="2:15" x14ac:dyDescent="0.3">
      <c r="B11" s="28">
        <f t="shared" si="0"/>
        <v>8</v>
      </c>
      <c r="C11" s="31">
        <f t="shared" si="1"/>
        <v>44649</v>
      </c>
      <c r="D11" s="32">
        <v>132732</v>
      </c>
      <c r="E11" s="16">
        <f t="shared" si="2"/>
        <v>0.50795832812624253</v>
      </c>
      <c r="G11" s="28">
        <f t="shared" si="3"/>
        <v>8</v>
      </c>
      <c r="H11" s="31">
        <f t="shared" si="4"/>
        <v>44649</v>
      </c>
      <c r="I11" s="32">
        <v>41749</v>
      </c>
      <c r="J11" s="16">
        <f t="shared" si="5"/>
        <v>0.56774314682688698</v>
      </c>
      <c r="L11" s="28">
        <f t="shared" si="6"/>
        <v>8</v>
      </c>
      <c r="M11" s="31">
        <f t="shared" si="7"/>
        <v>44649</v>
      </c>
      <c r="N11" s="32">
        <v>58.853438071666844</v>
      </c>
      <c r="O11" s="16">
        <f t="shared" si="8"/>
        <v>0.7800650935720097</v>
      </c>
    </row>
    <row r="12" spans="2:15" x14ac:dyDescent="0.3">
      <c r="B12" s="28">
        <f t="shared" si="0"/>
        <v>9</v>
      </c>
      <c r="C12" s="31">
        <f t="shared" si="1"/>
        <v>45014</v>
      </c>
      <c r="D12" s="32">
        <v>147308</v>
      </c>
      <c r="E12" s="16">
        <f t="shared" si="2"/>
        <v>0.10981526685350929</v>
      </c>
      <c r="G12" s="28">
        <f t="shared" si="3"/>
        <v>9</v>
      </c>
      <c r="H12" s="31">
        <f t="shared" si="4"/>
        <v>45014</v>
      </c>
      <c r="I12" s="32">
        <v>33124</v>
      </c>
      <c r="J12" s="16">
        <f t="shared" si="5"/>
        <v>-0.20659177465328515</v>
      </c>
      <c r="L12" s="28">
        <f t="shared" si="6"/>
        <v>9</v>
      </c>
      <c r="M12" s="31">
        <f t="shared" si="7"/>
        <v>45014</v>
      </c>
      <c r="N12" s="32">
        <v>31.962229635209294</v>
      </c>
      <c r="O12" s="16">
        <f t="shared" si="8"/>
        <v>-0.45691822461946341</v>
      </c>
    </row>
    <row r="13" spans="2:15" x14ac:dyDescent="0.3">
      <c r="B13" s="28">
        <f t="shared" si="0"/>
        <v>10</v>
      </c>
      <c r="C13" s="31">
        <f t="shared" si="1"/>
        <v>45379</v>
      </c>
      <c r="D13" s="32">
        <v>143727</v>
      </c>
      <c r="E13" s="16">
        <f t="shared" si="2"/>
        <v>-2.4309609797159681E-2</v>
      </c>
      <c r="G13" s="28">
        <f t="shared" si="3"/>
        <v>10</v>
      </c>
      <c r="H13" s="31">
        <f t="shared" si="4"/>
        <v>45379</v>
      </c>
      <c r="I13" s="32">
        <v>37253</v>
      </c>
      <c r="J13" s="16">
        <f t="shared" si="5"/>
        <v>0.12465281970776476</v>
      </c>
      <c r="L13" s="28">
        <f t="shared" si="6"/>
        <v>10</v>
      </c>
      <c r="M13" s="31">
        <f t="shared" si="7"/>
        <v>45379</v>
      </c>
      <c r="N13" s="32">
        <v>6.1820725277090283</v>
      </c>
      <c r="O13" s="16">
        <f t="shared" si="8"/>
        <v>-0.80658193754734442</v>
      </c>
    </row>
    <row r="14" spans="2:15" x14ac:dyDescent="0.3">
      <c r="B14" s="33">
        <f t="shared" si="0"/>
        <v>11</v>
      </c>
      <c r="C14" s="34">
        <f t="shared" si="1"/>
        <v>45744</v>
      </c>
      <c r="D14" s="35">
        <f>FORECAST(B14,$D$4:$D$13,$B$4:$B$13)</f>
        <v>148863.86533333335</v>
      </c>
      <c r="E14" s="36">
        <f t="shared" si="2"/>
        <v>3.5740433831731977E-2</v>
      </c>
      <c r="G14" s="33">
        <f t="shared" si="3"/>
        <v>11</v>
      </c>
      <c r="H14" s="34">
        <f t="shared" si="4"/>
        <v>45744</v>
      </c>
      <c r="I14" s="35">
        <f>FORECAST(G14,$I$4:$I$13,$G$4:$G$13)</f>
        <v>44567.154000000002</v>
      </c>
      <c r="J14" s="36">
        <f t="shared" si="5"/>
        <v>0.19633731511556118</v>
      </c>
      <c r="L14" s="33">
        <f t="shared" si="6"/>
        <v>11</v>
      </c>
      <c r="M14" s="34">
        <f t="shared" si="7"/>
        <v>45744</v>
      </c>
      <c r="N14" s="35">
        <f>FORECAST(L14,$N$4:$N$13,$L$4:$L$13)</f>
        <v>43.179604260160758</v>
      </c>
      <c r="O14" s="36">
        <f t="shared" si="8"/>
        <v>5.9846486055643853</v>
      </c>
    </row>
    <row r="15" spans="2:15" x14ac:dyDescent="0.3">
      <c r="B15" s="33">
        <f t="shared" si="0"/>
        <v>12</v>
      </c>
      <c r="C15" s="34">
        <f t="shared" si="1"/>
        <v>46109</v>
      </c>
      <c r="D15" s="35">
        <f t="shared" ref="D15:D18" si="9">FORECAST(B15,$D$4:$D$13,$B$4:$B$13)</f>
        <v>157923.74521212123</v>
      </c>
      <c r="E15" s="36">
        <f t="shared" si="2"/>
        <v>6.0860168171108286E-2</v>
      </c>
      <c r="G15" s="33">
        <f t="shared" si="3"/>
        <v>12</v>
      </c>
      <c r="H15" s="34">
        <f t="shared" si="4"/>
        <v>46109</v>
      </c>
      <c r="I15" s="35">
        <f t="shared" ref="I15:I18" si="10">FORECAST(G15,$I$4:$I$13,$G$4:$G$13)</f>
        <v>48915.198727272727</v>
      </c>
      <c r="J15" s="36">
        <f t="shared" si="5"/>
        <v>9.7561642084498468E-2</v>
      </c>
      <c r="L15" s="33">
        <f t="shared" si="6"/>
        <v>12</v>
      </c>
      <c r="M15" s="34">
        <f t="shared" si="7"/>
        <v>46109</v>
      </c>
      <c r="N15" s="35">
        <f t="shared" ref="N15:N18" si="11">FORECAST(L15,$N$4:$N$13,$L$4:$L$13)</f>
        <v>47.984198117836854</v>
      </c>
      <c r="O15" s="36">
        <f t="shared" si="8"/>
        <v>0.111269983595218</v>
      </c>
    </row>
    <row r="16" spans="2:15" x14ac:dyDescent="0.3">
      <c r="B16" s="33">
        <f t="shared" si="0"/>
        <v>13</v>
      </c>
      <c r="C16" s="34">
        <f t="shared" si="1"/>
        <v>46474</v>
      </c>
      <c r="D16" s="35">
        <f t="shared" si="9"/>
        <v>166983.6250909091</v>
      </c>
      <c r="E16" s="36">
        <f t="shared" si="2"/>
        <v>5.7368699473399287E-2</v>
      </c>
      <c r="G16" s="33">
        <f t="shared" si="3"/>
        <v>13</v>
      </c>
      <c r="H16" s="34">
        <f t="shared" si="4"/>
        <v>46474</v>
      </c>
      <c r="I16" s="35">
        <f t="shared" si="10"/>
        <v>53263.243454545453</v>
      </c>
      <c r="J16" s="36">
        <f t="shared" si="5"/>
        <v>8.8889442144870046E-2</v>
      </c>
      <c r="L16" s="33">
        <f t="shared" si="6"/>
        <v>13</v>
      </c>
      <c r="M16" s="34">
        <f t="shared" si="7"/>
        <v>46474</v>
      </c>
      <c r="N16" s="35">
        <f t="shared" si="11"/>
        <v>52.78879197551295</v>
      </c>
      <c r="O16" s="36">
        <f t="shared" si="8"/>
        <v>0.10012866831445733</v>
      </c>
    </row>
    <row r="17" spans="2:15" x14ac:dyDescent="0.3">
      <c r="B17" s="33">
        <f t="shared" si="0"/>
        <v>14</v>
      </c>
      <c r="C17" s="34">
        <f t="shared" si="1"/>
        <v>46839</v>
      </c>
      <c r="D17" s="35">
        <f t="shared" si="9"/>
        <v>176043.50496969698</v>
      </c>
      <c r="E17" s="36">
        <f t="shared" si="2"/>
        <v>5.4256097709314277E-2</v>
      </c>
      <c r="G17" s="33">
        <f t="shared" si="3"/>
        <v>14</v>
      </c>
      <c r="H17" s="34">
        <f t="shared" si="4"/>
        <v>46839</v>
      </c>
      <c r="I17" s="35">
        <f t="shared" si="10"/>
        <v>57611.288181818185</v>
      </c>
      <c r="J17" s="36">
        <f t="shared" si="5"/>
        <v>8.1633119676298493E-2</v>
      </c>
      <c r="L17" s="33">
        <f t="shared" si="6"/>
        <v>14</v>
      </c>
      <c r="M17" s="34">
        <f t="shared" si="7"/>
        <v>46839</v>
      </c>
      <c r="N17" s="35">
        <f t="shared" si="11"/>
        <v>57.593385833189046</v>
      </c>
      <c r="O17" s="36">
        <f t="shared" si="8"/>
        <v>9.1015415922091947E-2</v>
      </c>
    </row>
    <row r="18" spans="2:15" x14ac:dyDescent="0.3">
      <c r="B18" s="33">
        <f t="shared" si="0"/>
        <v>15</v>
      </c>
      <c r="C18" s="34">
        <f t="shared" si="1"/>
        <v>47204</v>
      </c>
      <c r="D18" s="35">
        <f t="shared" si="9"/>
        <v>185103.38484848486</v>
      </c>
      <c r="E18" s="36">
        <f t="shared" si="2"/>
        <v>5.1463869004127138E-2</v>
      </c>
      <c r="G18" s="33">
        <f t="shared" si="3"/>
        <v>15</v>
      </c>
      <c r="H18" s="34">
        <f t="shared" si="4"/>
        <v>47204</v>
      </c>
      <c r="I18" s="35">
        <f t="shared" si="10"/>
        <v>61959.33290909091</v>
      </c>
      <c r="J18" s="36">
        <f t="shared" si="5"/>
        <v>7.5472096953474122E-2</v>
      </c>
      <c r="L18" s="33">
        <f t="shared" si="6"/>
        <v>15</v>
      </c>
      <c r="M18" s="34">
        <f t="shared" si="7"/>
        <v>47204</v>
      </c>
      <c r="N18" s="35">
        <f t="shared" si="11"/>
        <v>62.397979690865128</v>
      </c>
      <c r="O18" s="36">
        <f t="shared" si="8"/>
        <v>8.3422667172093234E-2</v>
      </c>
    </row>
    <row r="20" spans="2:15" ht="15" thickBot="1" x14ac:dyDescent="0.35">
      <c r="N20" s="37"/>
    </row>
    <row r="21" spans="2:15" ht="15" thickTop="1" x14ac:dyDescent="0.3"/>
  </sheetData>
  <mergeCells count="3">
    <mergeCell ref="B2:E2"/>
    <mergeCell ref="G2:J2"/>
    <mergeCell ref="L2:O2"/>
  </mergeCells>
  <pageMargins left="0.7" right="0.7" top="0.75" bottom="0.75" header="0.3" footer="0.3"/>
  <customProperties>
    <customPr name="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dimension ref="A1:L93"/>
  <sheetViews>
    <sheetView workbookViewId="0">
      <pane xSplit="1" ySplit="1" topLeftCell="B17" activePane="bottomRight" state="frozen"/>
      <selection activeCell="C4" sqref="C4"/>
      <selection pane="topRight" activeCell="C4" sqref="C4"/>
      <selection pane="bottomLeft" activeCell="C4" sqref="C4"/>
      <selection pane="bottomRight" activeCell="E2" sqref="E2:K2"/>
    </sheetView>
  </sheetViews>
  <sheetFormatPr defaultColWidth="10.44140625" defaultRowHeight="13.2" x14ac:dyDescent="0.25"/>
  <cols>
    <col min="1" max="1" width="26.6640625" style="2" bestFit="1" customWidth="1"/>
    <col min="2" max="11" width="11.44140625" style="2" bestFit="1" customWidth="1"/>
    <col min="12" max="16384" width="10.44140625" style="2"/>
  </cols>
  <sheetData>
    <row r="1" spans="1:11" s="1" customFormat="1" x14ac:dyDescent="0.25">
      <c r="A1" s="1" t="s">
        <v>0</v>
      </c>
      <c r="B1" s="1" t="s">
        <v>1</v>
      </c>
      <c r="E1" s="40" t="str">
        <f>IF(B2&lt;&gt;B3, "A NEW VERSION OF THE WORKSHEET IS AVAILABLE", "")</f>
        <v/>
      </c>
      <c r="F1" s="40"/>
      <c r="G1" s="40"/>
      <c r="H1" s="40"/>
      <c r="I1" s="40"/>
      <c r="J1" s="40"/>
      <c r="K1" s="40"/>
    </row>
    <row r="2" spans="1:11" x14ac:dyDescent="0.25">
      <c r="A2" s="1" t="s">
        <v>2</v>
      </c>
      <c r="B2" s="2">
        <v>2.1</v>
      </c>
      <c r="E2" s="41" t="s">
        <v>3</v>
      </c>
      <c r="F2" s="41"/>
      <c r="G2" s="41"/>
      <c r="H2" s="41"/>
      <c r="I2" s="41"/>
      <c r="J2" s="41"/>
      <c r="K2" s="41"/>
    </row>
    <row r="3" spans="1:11" x14ac:dyDescent="0.25">
      <c r="A3" s="1" t="s">
        <v>4</v>
      </c>
      <c r="B3" s="2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2" t="s">
        <v>6</v>
      </c>
      <c r="B6" s="2">
        <f>IF(B9&gt;0, B9/B8, 0)</f>
        <v>371.72060857538037</v>
      </c>
    </row>
    <row r="7" spans="1:11" x14ac:dyDescent="0.25">
      <c r="A7" s="2" t="s">
        <v>7</v>
      </c>
      <c r="B7" s="3">
        <v>1</v>
      </c>
    </row>
    <row r="8" spans="1:11" x14ac:dyDescent="0.25">
      <c r="A8" s="2" t="s">
        <v>8</v>
      </c>
      <c r="B8" s="3">
        <v>469.95</v>
      </c>
    </row>
    <row r="9" spans="1:11" x14ac:dyDescent="0.25">
      <c r="A9" s="2" t="s">
        <v>9</v>
      </c>
      <c r="B9" s="3">
        <v>174690.1</v>
      </c>
    </row>
    <row r="15" spans="1:11" x14ac:dyDescent="0.25">
      <c r="A15" s="1" t="s">
        <v>10</v>
      </c>
      <c r="B15" s="2">
        <f>B26+B34</f>
        <v>5779.6899999999987</v>
      </c>
      <c r="K15" s="2">
        <f>K17-K18-K20-K21-K22-K23-K19</f>
        <v>45271</v>
      </c>
    </row>
    <row r="16" spans="1:11" s="6" customFormat="1" x14ac:dyDescent="0.25">
      <c r="A16" s="4" t="s">
        <v>11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25">
      <c r="A17" s="2" t="s">
        <v>12</v>
      </c>
      <c r="B17" s="3">
        <v>73709.5</v>
      </c>
      <c r="C17" s="3">
        <v>64261.760000000002</v>
      </c>
      <c r="D17" s="3">
        <v>72225</v>
      </c>
      <c r="E17" s="3">
        <v>91866</v>
      </c>
      <c r="F17" s="3">
        <v>92048</v>
      </c>
      <c r="G17" s="3">
        <v>84447</v>
      </c>
      <c r="H17" s="3">
        <v>88021</v>
      </c>
      <c r="I17" s="3">
        <v>132732</v>
      </c>
      <c r="J17" s="3">
        <v>147308</v>
      </c>
      <c r="K17" s="3">
        <v>143727</v>
      </c>
    </row>
    <row r="18" spans="1:11" ht="14.4" x14ac:dyDescent="0.3">
      <c r="A18" s="2" t="s">
        <v>13</v>
      </c>
      <c r="B18" s="7">
        <v>24613.759999999998</v>
      </c>
      <c r="C18" s="7">
        <v>21793.05</v>
      </c>
      <c r="D18" s="7">
        <v>23109</v>
      </c>
      <c r="E18" s="7">
        <v>31802</v>
      </c>
      <c r="F18" s="7">
        <v>26078</v>
      </c>
      <c r="G18" s="7">
        <v>21486</v>
      </c>
      <c r="H18" s="7">
        <v>22890</v>
      </c>
      <c r="I18" s="7">
        <v>37530</v>
      </c>
      <c r="J18" s="7">
        <v>44527</v>
      </c>
      <c r="K18" s="7">
        <v>44231</v>
      </c>
    </row>
    <row r="19" spans="1:11" ht="14.4" x14ac:dyDescent="0.3">
      <c r="A19" s="2" t="s">
        <v>14</v>
      </c>
      <c r="B19" s="7">
        <v>-55.45</v>
      </c>
      <c r="C19" s="7">
        <v>-318.89999999999998</v>
      </c>
      <c r="D19" s="7">
        <v>1229</v>
      </c>
      <c r="E19" s="7">
        <v>-450</v>
      </c>
      <c r="F19" s="7">
        <v>-72</v>
      </c>
      <c r="G19" s="7">
        <v>-1017</v>
      </c>
      <c r="H19" s="7">
        <v>-792</v>
      </c>
      <c r="I19" s="7">
        <v>2049</v>
      </c>
      <c r="J19" s="7">
        <v>377</v>
      </c>
      <c r="K19" s="7">
        <v>-176</v>
      </c>
    </row>
    <row r="20" spans="1:11" x14ac:dyDescent="0.25">
      <c r="A20" s="2" t="s">
        <v>15</v>
      </c>
      <c r="B20" s="3">
        <v>8273.69</v>
      </c>
      <c r="C20" s="3">
        <v>9301.5400000000009</v>
      </c>
      <c r="D20" s="3">
        <v>10402</v>
      </c>
      <c r="E20" s="3">
        <v>14026</v>
      </c>
      <c r="F20" s="3">
        <v>18144</v>
      </c>
      <c r="G20" s="3">
        <v>16606</v>
      </c>
      <c r="H20" s="3">
        <v>13674</v>
      </c>
      <c r="I20" s="3">
        <v>20939</v>
      </c>
      <c r="J20" s="3">
        <v>34543</v>
      </c>
      <c r="K20" s="3">
        <v>27033</v>
      </c>
    </row>
    <row r="21" spans="1:11" x14ac:dyDescent="0.25">
      <c r="A21" s="2" t="s">
        <v>16</v>
      </c>
      <c r="B21" s="3">
        <v>4835.5600000000004</v>
      </c>
      <c r="C21" s="3">
        <v>4963.16</v>
      </c>
      <c r="D21" s="3">
        <v>5928</v>
      </c>
      <c r="E21" s="3">
        <v>6038</v>
      </c>
      <c r="F21" s="3">
        <v>8482</v>
      </c>
      <c r="G21" s="3">
        <v>9244</v>
      </c>
      <c r="H21" s="3">
        <v>8730</v>
      </c>
      <c r="I21" s="3">
        <v>12218</v>
      </c>
      <c r="J21" s="3">
        <v>13581</v>
      </c>
      <c r="K21" s="3">
        <v>13573</v>
      </c>
    </row>
    <row r="22" spans="1:11" x14ac:dyDescent="0.25">
      <c r="A22" s="2" t="s">
        <v>17</v>
      </c>
      <c r="B22" s="3">
        <v>2922.04</v>
      </c>
      <c r="C22" s="3">
        <v>2613.7800000000002</v>
      </c>
      <c r="D22" s="3">
        <v>2345</v>
      </c>
      <c r="E22" s="3">
        <v>2501</v>
      </c>
      <c r="F22" s="3">
        <v>3023</v>
      </c>
      <c r="G22" s="3">
        <v>2672</v>
      </c>
      <c r="H22" s="3">
        <v>2861</v>
      </c>
      <c r="I22" s="3">
        <v>2811</v>
      </c>
      <c r="J22" s="3">
        <v>3098</v>
      </c>
      <c r="K22" s="3">
        <v>3300</v>
      </c>
    </row>
    <row r="23" spans="1:11" x14ac:dyDescent="0.25">
      <c r="A23" s="2" t="s">
        <v>18</v>
      </c>
      <c r="B23" s="3">
        <v>5583.66</v>
      </c>
      <c r="C23" s="3">
        <v>5583.55</v>
      </c>
      <c r="D23" s="3">
        <v>6341</v>
      </c>
      <c r="E23" s="3">
        <v>7156</v>
      </c>
      <c r="F23" s="3">
        <v>6229</v>
      </c>
      <c r="G23" s="3">
        <v>5316</v>
      </c>
      <c r="H23" s="3">
        <v>5175</v>
      </c>
      <c r="I23" s="3">
        <v>7823</v>
      </c>
      <c r="J23" s="3">
        <v>9519</v>
      </c>
      <c r="K23" s="3">
        <v>10495</v>
      </c>
    </row>
    <row r="24" spans="1:11" x14ac:dyDescent="0.25">
      <c r="A24" s="2" t="s">
        <v>19</v>
      </c>
      <c r="B24" s="3">
        <v>5310.98</v>
      </c>
      <c r="C24" s="3">
        <v>38167.199999999997</v>
      </c>
      <c r="D24" s="3">
        <v>3953</v>
      </c>
      <c r="E24" s="3">
        <v>5016</v>
      </c>
      <c r="F24" s="3">
        <v>6849</v>
      </c>
      <c r="G24" s="3">
        <v>7363</v>
      </c>
      <c r="H24" s="3">
        <v>6581</v>
      </c>
      <c r="I24" s="3">
        <v>8636</v>
      </c>
      <c r="J24" s="3">
        <v>7986</v>
      </c>
      <c r="K24" s="3">
        <v>9607</v>
      </c>
    </row>
    <row r="25" spans="1:11" x14ac:dyDescent="0.25">
      <c r="A25" s="2" t="s">
        <v>20</v>
      </c>
      <c r="B25" s="3">
        <v>-19221.54</v>
      </c>
      <c r="C25" s="3">
        <v>4289.82</v>
      </c>
      <c r="D25" s="3">
        <v>4423</v>
      </c>
      <c r="E25" s="3">
        <v>6087</v>
      </c>
      <c r="F25" s="3">
        <v>4270</v>
      </c>
      <c r="G25" s="3">
        <v>-14932</v>
      </c>
      <c r="H25" s="3">
        <v>2743</v>
      </c>
      <c r="I25" s="3">
        <v>1832</v>
      </c>
      <c r="J25" s="3">
        <v>2625</v>
      </c>
      <c r="K25" s="3">
        <v>5239</v>
      </c>
    </row>
    <row r="26" spans="1:11" x14ac:dyDescent="0.25">
      <c r="A26" s="2" t="s">
        <v>21</v>
      </c>
      <c r="B26" s="3">
        <v>7159.16</v>
      </c>
      <c r="C26" s="3">
        <v>8572.44</v>
      </c>
      <c r="D26" s="3">
        <v>6292</v>
      </c>
      <c r="E26" s="3">
        <v>6283</v>
      </c>
      <c r="F26" s="3">
        <v>8192</v>
      </c>
      <c r="G26" s="3">
        <v>9093</v>
      </c>
      <c r="H26" s="3">
        <v>7638</v>
      </c>
      <c r="I26" s="3">
        <v>8895</v>
      </c>
      <c r="J26" s="3">
        <v>10555</v>
      </c>
      <c r="K26" s="3">
        <v>10723</v>
      </c>
    </row>
    <row r="27" spans="1:11" ht="14.4" x14ac:dyDescent="0.3">
      <c r="A27" s="2" t="s">
        <v>22</v>
      </c>
      <c r="B27" s="3">
        <v>5658.78</v>
      </c>
      <c r="C27" s="3">
        <v>5778.13</v>
      </c>
      <c r="D27" s="3">
        <v>5855</v>
      </c>
      <c r="E27" s="3">
        <v>5112</v>
      </c>
      <c r="F27" s="3">
        <v>5689</v>
      </c>
      <c r="G27" s="3">
        <v>4977</v>
      </c>
      <c r="H27" s="3">
        <v>5210</v>
      </c>
      <c r="I27" s="3">
        <v>4797</v>
      </c>
      <c r="J27" s="7">
        <v>6225</v>
      </c>
      <c r="K27" s="7">
        <v>9465</v>
      </c>
    </row>
    <row r="28" spans="1:11" x14ac:dyDescent="0.25">
      <c r="A28" s="2" t="s">
        <v>23</v>
      </c>
      <c r="B28" s="3">
        <v>-9925.1200000000008</v>
      </c>
      <c r="C28" s="3">
        <v>-28540.17</v>
      </c>
      <c r="D28" s="3">
        <v>13652</v>
      </c>
      <c r="E28" s="3">
        <v>19569</v>
      </c>
      <c r="F28" s="3">
        <v>13560</v>
      </c>
      <c r="G28" s="3">
        <v>-8259</v>
      </c>
      <c r="H28" s="3">
        <v>17213</v>
      </c>
      <c r="I28" s="3">
        <v>32964</v>
      </c>
      <c r="J28" s="3">
        <v>20276</v>
      </c>
      <c r="K28" s="3">
        <v>20363</v>
      </c>
    </row>
    <row r="29" spans="1:11" x14ac:dyDescent="0.25">
      <c r="A29" s="2" t="s">
        <v>24</v>
      </c>
      <c r="B29" s="3">
        <v>1448.36</v>
      </c>
      <c r="C29" s="3">
        <v>-10677.55</v>
      </c>
      <c r="D29" s="3">
        <v>2333</v>
      </c>
      <c r="E29" s="3">
        <v>5877</v>
      </c>
      <c r="F29" s="3">
        <v>3862</v>
      </c>
      <c r="G29" s="3">
        <v>-3516</v>
      </c>
      <c r="H29" s="3">
        <v>2180</v>
      </c>
      <c r="I29" s="3">
        <v>9255</v>
      </c>
      <c r="J29" s="3">
        <v>5770</v>
      </c>
      <c r="K29" s="3">
        <v>12826</v>
      </c>
    </row>
    <row r="30" spans="1:11" x14ac:dyDescent="0.25">
      <c r="A30" s="2" t="s">
        <v>25</v>
      </c>
      <c r="B30" s="3">
        <v>-15645.77</v>
      </c>
      <c r="C30" s="3">
        <v>-12270.47</v>
      </c>
      <c r="D30" s="3">
        <v>6958</v>
      </c>
      <c r="E30" s="3">
        <v>10342</v>
      </c>
      <c r="F30" s="3">
        <v>7065</v>
      </c>
      <c r="G30" s="3">
        <v>-6664</v>
      </c>
      <c r="H30" s="3">
        <v>11602</v>
      </c>
      <c r="I30" s="3">
        <v>18802</v>
      </c>
      <c r="J30" s="3">
        <v>10574</v>
      </c>
      <c r="K30" s="3">
        <v>4239</v>
      </c>
    </row>
    <row r="31" spans="1:11" x14ac:dyDescent="0.25">
      <c r="A31" s="2" t="s">
        <v>26</v>
      </c>
      <c r="B31" s="3">
        <v>1215.6500000000001</v>
      </c>
      <c r="C31" s="3">
        <v>1037.75</v>
      </c>
      <c r="D31" s="3">
        <v>5776.65</v>
      </c>
      <c r="E31" s="3">
        <v>7886.4</v>
      </c>
      <c r="F31" s="3">
        <v>7012.2</v>
      </c>
      <c r="G31" s="3">
        <v>1450.8</v>
      </c>
      <c r="H31" s="3">
        <v>3534</v>
      </c>
      <c r="I31" s="3">
        <v>16740</v>
      </c>
      <c r="J31" s="3">
        <v>37758</v>
      </c>
      <c r="K31" s="3">
        <v>10974</v>
      </c>
    </row>
    <row r="32" spans="1:11" x14ac:dyDescent="0.25">
      <c r="A32" s="2" t="s">
        <v>27</v>
      </c>
      <c r="B32" s="8">
        <f>B29/B28</f>
        <v>-0.14592871421201958</v>
      </c>
      <c r="C32" s="8">
        <f t="shared" ref="C32:K32" si="0">C29/C28</f>
        <v>0.37412355988068746</v>
      </c>
      <c r="D32" s="8">
        <f t="shared" si="0"/>
        <v>0.17089071198359215</v>
      </c>
      <c r="E32" s="8">
        <f t="shared" si="0"/>
        <v>0.30032193775869997</v>
      </c>
      <c r="F32" s="8">
        <f t="shared" si="0"/>
        <v>0.28480825958702066</v>
      </c>
      <c r="G32" s="8">
        <f t="shared" si="0"/>
        <v>0.42571739920087176</v>
      </c>
      <c r="H32" s="8">
        <f t="shared" si="0"/>
        <v>0.12664846337070818</v>
      </c>
      <c r="I32" s="8">
        <f t="shared" si="0"/>
        <v>0.28076082999635965</v>
      </c>
      <c r="J32" s="8">
        <f t="shared" si="0"/>
        <v>0.28457289406194514</v>
      </c>
      <c r="K32" s="8">
        <f t="shared" si="0"/>
        <v>0.62986789765751605</v>
      </c>
    </row>
    <row r="34" spans="1:11" x14ac:dyDescent="0.25">
      <c r="A34" s="2" t="s">
        <v>28</v>
      </c>
      <c r="B34" s="2">
        <f>+B30+B29+B27+B26</f>
        <v>-1379.4700000000012</v>
      </c>
      <c r="C34" s="2">
        <f t="shared" ref="C34:K34" si="1">+C30+C29+C27+C26</f>
        <v>-8597.4499999999953</v>
      </c>
      <c r="D34" s="2">
        <f t="shared" si="1"/>
        <v>21438</v>
      </c>
      <c r="E34" s="2">
        <f t="shared" si="1"/>
        <v>27614</v>
      </c>
      <c r="F34" s="2">
        <f t="shared" si="1"/>
        <v>24808</v>
      </c>
      <c r="G34" s="2">
        <f t="shared" si="1"/>
        <v>3890</v>
      </c>
      <c r="H34" s="2">
        <f t="shared" si="1"/>
        <v>26630</v>
      </c>
      <c r="I34" s="2">
        <f t="shared" si="1"/>
        <v>41749</v>
      </c>
      <c r="J34" s="2">
        <f t="shared" si="1"/>
        <v>33124</v>
      </c>
      <c r="K34" s="2">
        <f t="shared" si="1"/>
        <v>37253</v>
      </c>
    </row>
    <row r="40" spans="1:11" x14ac:dyDescent="0.25">
      <c r="A40" s="1" t="s">
        <v>29</v>
      </c>
    </row>
    <row r="41" spans="1:11" s="6" customFormat="1" x14ac:dyDescent="0.25">
      <c r="A41" s="4" t="s">
        <v>11</v>
      </c>
      <c r="B41" s="5">
        <v>44561</v>
      </c>
      <c r="C41" s="5">
        <v>44651</v>
      </c>
      <c r="D41" s="5">
        <v>44742</v>
      </c>
      <c r="E41" s="5">
        <v>44834</v>
      </c>
      <c r="F41" s="5">
        <v>44926</v>
      </c>
      <c r="G41" s="5">
        <v>45016</v>
      </c>
      <c r="H41" s="5">
        <v>45107</v>
      </c>
      <c r="I41" s="5">
        <v>45199</v>
      </c>
      <c r="J41" s="5">
        <v>45291</v>
      </c>
      <c r="K41" s="5">
        <v>45382</v>
      </c>
    </row>
    <row r="42" spans="1:11" x14ac:dyDescent="0.25">
      <c r="A42" s="2" t="s">
        <v>12</v>
      </c>
      <c r="B42" s="3">
        <v>34097</v>
      </c>
      <c r="C42" s="3">
        <v>39822</v>
      </c>
      <c r="D42" s="3">
        <v>38622</v>
      </c>
      <c r="E42" s="3">
        <v>36654</v>
      </c>
      <c r="F42" s="3">
        <v>34102</v>
      </c>
      <c r="G42" s="3">
        <v>37930</v>
      </c>
      <c r="H42" s="3">
        <v>33733</v>
      </c>
      <c r="I42" s="3">
        <v>38945</v>
      </c>
      <c r="J42" s="3">
        <v>35541</v>
      </c>
      <c r="K42" s="3">
        <v>35509</v>
      </c>
    </row>
    <row r="43" spans="1:11" x14ac:dyDescent="0.25">
      <c r="A43" s="2" t="s">
        <v>30</v>
      </c>
      <c r="B43" s="3">
        <v>23287</v>
      </c>
      <c r="C43" s="3">
        <v>26189</v>
      </c>
      <c r="D43" s="3">
        <v>28425</v>
      </c>
      <c r="E43" s="3">
        <v>28955</v>
      </c>
      <c r="F43" s="3">
        <v>27035</v>
      </c>
      <c r="G43" s="3">
        <v>28471</v>
      </c>
      <c r="H43" s="3">
        <v>27313</v>
      </c>
      <c r="I43" s="3">
        <v>27466</v>
      </c>
      <c r="J43" s="3">
        <v>27010</v>
      </c>
      <c r="K43" s="3">
        <v>26741</v>
      </c>
    </row>
    <row r="44" spans="1:11" x14ac:dyDescent="0.25">
      <c r="A44" s="2" t="s">
        <v>20</v>
      </c>
      <c r="B44" s="3">
        <v>472</v>
      </c>
      <c r="C44" s="3">
        <v>275</v>
      </c>
      <c r="D44" s="3">
        <v>733</v>
      </c>
      <c r="E44" s="3">
        <v>931</v>
      </c>
      <c r="F44" s="3">
        <v>1619</v>
      </c>
      <c r="G44" s="3">
        <v>-631</v>
      </c>
      <c r="H44" s="3">
        <v>2326</v>
      </c>
      <c r="I44" s="3">
        <v>1863</v>
      </c>
      <c r="J44" s="3">
        <v>779</v>
      </c>
      <c r="K44" s="3">
        <v>383</v>
      </c>
    </row>
    <row r="45" spans="1:11" x14ac:dyDescent="0.25">
      <c r="A45" s="2" t="s">
        <v>21</v>
      </c>
      <c r="B45" s="3">
        <v>2274</v>
      </c>
      <c r="C45" s="3">
        <v>2379</v>
      </c>
      <c r="D45" s="3">
        <v>2464</v>
      </c>
      <c r="E45" s="3">
        <v>2624</v>
      </c>
      <c r="F45" s="3">
        <v>2720</v>
      </c>
      <c r="G45" s="3">
        <v>2765</v>
      </c>
      <c r="H45" s="3">
        <v>2550</v>
      </c>
      <c r="I45" s="3">
        <v>2642</v>
      </c>
      <c r="J45" s="3">
        <v>2788</v>
      </c>
      <c r="K45" s="3">
        <v>2743</v>
      </c>
    </row>
    <row r="46" spans="1:11" ht="14.4" x14ac:dyDescent="0.3">
      <c r="A46" s="2" t="s">
        <v>22</v>
      </c>
      <c r="B46" s="7">
        <v>1216</v>
      </c>
      <c r="C46" s="7">
        <v>1333</v>
      </c>
      <c r="D46" s="7">
        <v>1206</v>
      </c>
      <c r="E46" s="7">
        <v>1642</v>
      </c>
      <c r="F46" s="7">
        <v>1572</v>
      </c>
      <c r="G46" s="7">
        <v>1805</v>
      </c>
      <c r="H46" s="7">
        <v>2110</v>
      </c>
      <c r="I46" s="7">
        <v>2523</v>
      </c>
      <c r="J46" s="7">
        <v>2417</v>
      </c>
      <c r="K46" s="7">
        <v>2415</v>
      </c>
    </row>
    <row r="47" spans="1:11" x14ac:dyDescent="0.25">
      <c r="A47" s="2" t="s">
        <v>23</v>
      </c>
      <c r="B47" s="3">
        <v>7792</v>
      </c>
      <c r="C47" s="3">
        <v>10196</v>
      </c>
      <c r="D47" s="3">
        <v>7260</v>
      </c>
      <c r="E47" s="3">
        <v>4364</v>
      </c>
      <c r="F47" s="3">
        <v>4394</v>
      </c>
      <c r="G47" s="3">
        <v>4258</v>
      </c>
      <c r="H47" s="3">
        <v>4086</v>
      </c>
      <c r="I47" s="3">
        <v>8177</v>
      </c>
      <c r="J47" s="3">
        <v>4105</v>
      </c>
      <c r="K47" s="3">
        <v>3993</v>
      </c>
    </row>
    <row r="48" spans="1:11" x14ac:dyDescent="0.25">
      <c r="A48" s="2" t="s">
        <v>24</v>
      </c>
      <c r="B48" s="3">
        <v>2438</v>
      </c>
      <c r="C48" s="3">
        <v>2935</v>
      </c>
      <c r="D48" s="3">
        <v>1668</v>
      </c>
      <c r="E48" s="3">
        <v>1674</v>
      </c>
      <c r="F48" s="3">
        <v>1302</v>
      </c>
      <c r="G48" s="3">
        <v>1126</v>
      </c>
      <c r="H48" s="3">
        <v>778</v>
      </c>
      <c r="I48" s="3">
        <v>9092</v>
      </c>
      <c r="J48" s="3">
        <v>1237</v>
      </c>
      <c r="K48" s="3">
        <v>1720</v>
      </c>
    </row>
    <row r="49" spans="1:11" x14ac:dyDescent="0.25">
      <c r="A49" s="2" t="s">
        <v>25</v>
      </c>
      <c r="B49" s="3">
        <v>4164</v>
      </c>
      <c r="C49" s="3">
        <v>5799</v>
      </c>
      <c r="D49" s="3">
        <v>4421</v>
      </c>
      <c r="E49" s="3">
        <v>1808</v>
      </c>
      <c r="F49" s="3">
        <v>2464</v>
      </c>
      <c r="G49" s="3">
        <v>1881</v>
      </c>
      <c r="H49" s="3">
        <v>2640</v>
      </c>
      <c r="I49" s="3">
        <v>-1783</v>
      </c>
      <c r="J49" s="3">
        <v>2013</v>
      </c>
      <c r="K49" s="3">
        <v>1369</v>
      </c>
    </row>
    <row r="50" spans="1:11" x14ac:dyDescent="0.25">
      <c r="A50" s="2" t="s">
        <v>31</v>
      </c>
      <c r="B50" s="3">
        <v>10810</v>
      </c>
      <c r="C50" s="3">
        <v>13633</v>
      </c>
      <c r="D50" s="3">
        <v>10197</v>
      </c>
      <c r="E50" s="3">
        <v>7699</v>
      </c>
      <c r="F50" s="3">
        <v>7067</v>
      </c>
      <c r="G50" s="3">
        <v>9459</v>
      </c>
      <c r="H50" s="3">
        <v>6420</v>
      </c>
      <c r="I50" s="3">
        <v>11479</v>
      </c>
      <c r="J50" s="3">
        <v>8531</v>
      </c>
      <c r="K50" s="3">
        <v>8768</v>
      </c>
    </row>
    <row r="51" spans="1:11" x14ac:dyDescent="0.25">
      <c r="A51" s="2" t="s">
        <v>28</v>
      </c>
      <c r="B51" s="2">
        <f>B49+B48+B46+B45</f>
        <v>10092</v>
      </c>
      <c r="C51" s="2">
        <f t="shared" ref="C51:K51" si="2">C49+C48+C46+C45</f>
        <v>12446</v>
      </c>
      <c r="D51" s="2">
        <f t="shared" si="2"/>
        <v>9759</v>
      </c>
      <c r="E51" s="2">
        <f t="shared" si="2"/>
        <v>7748</v>
      </c>
      <c r="F51" s="2">
        <f t="shared" si="2"/>
        <v>8058</v>
      </c>
      <c r="G51" s="2">
        <f t="shared" si="2"/>
        <v>7577</v>
      </c>
      <c r="H51" s="2">
        <f t="shared" si="2"/>
        <v>8078</v>
      </c>
      <c r="I51" s="2">
        <f t="shared" si="2"/>
        <v>12474</v>
      </c>
      <c r="J51" s="2">
        <f t="shared" si="2"/>
        <v>8455</v>
      </c>
      <c r="K51" s="2">
        <f t="shared" si="2"/>
        <v>8247</v>
      </c>
    </row>
    <row r="55" spans="1:11" x14ac:dyDescent="0.25">
      <c r="A55" s="1" t="s">
        <v>32</v>
      </c>
    </row>
    <row r="56" spans="1:11" s="6" customFormat="1" x14ac:dyDescent="0.25">
      <c r="A56" s="4" t="s">
        <v>11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5">
      <c r="A57" s="2" t="s">
        <v>33</v>
      </c>
      <c r="B57" s="3">
        <v>296.5</v>
      </c>
      <c r="C57" s="3">
        <v>296.5</v>
      </c>
      <c r="D57" s="3">
        <v>297</v>
      </c>
      <c r="E57" s="3">
        <v>372</v>
      </c>
      <c r="F57" s="3">
        <v>372</v>
      </c>
      <c r="G57" s="3">
        <v>372</v>
      </c>
      <c r="H57" s="3">
        <v>372</v>
      </c>
      <c r="I57" s="3">
        <v>372</v>
      </c>
      <c r="J57" s="3">
        <v>372</v>
      </c>
      <c r="K57" s="3">
        <v>372</v>
      </c>
    </row>
    <row r="58" spans="1:11" x14ac:dyDescent="0.25">
      <c r="A58" s="2" t="s">
        <v>34</v>
      </c>
      <c r="B58" s="3">
        <v>53578.77</v>
      </c>
      <c r="C58" s="3">
        <v>43742.67</v>
      </c>
      <c r="D58" s="3">
        <v>60128</v>
      </c>
      <c r="E58" s="3">
        <v>62940</v>
      </c>
      <c r="F58" s="3">
        <v>61925</v>
      </c>
      <c r="G58" s="3">
        <v>54263</v>
      </c>
      <c r="H58" s="3">
        <v>61906</v>
      </c>
      <c r="I58" s="3">
        <v>65011</v>
      </c>
      <c r="J58" s="3">
        <v>39051</v>
      </c>
      <c r="K58" s="3">
        <v>30350</v>
      </c>
    </row>
    <row r="59" spans="1:11" ht="14.4" x14ac:dyDescent="0.3">
      <c r="A59" s="2" t="s">
        <v>35</v>
      </c>
      <c r="B59" s="7">
        <v>77752.3</v>
      </c>
      <c r="C59" s="7">
        <v>67777.81</v>
      </c>
      <c r="D59" s="7">
        <v>71569</v>
      </c>
      <c r="E59" s="7">
        <v>58159</v>
      </c>
      <c r="F59" s="7">
        <v>66226</v>
      </c>
      <c r="G59" s="7">
        <v>59185</v>
      </c>
      <c r="H59" s="7">
        <v>57667</v>
      </c>
      <c r="I59" s="7">
        <v>53583</v>
      </c>
      <c r="J59" s="7">
        <v>80329</v>
      </c>
      <c r="K59" s="7">
        <v>87706</v>
      </c>
    </row>
    <row r="60" spans="1:11" x14ac:dyDescent="0.25">
      <c r="A60" s="2" t="s">
        <v>36</v>
      </c>
      <c r="B60" s="3">
        <v>58653.61</v>
      </c>
      <c r="C60" s="3">
        <v>80163.37</v>
      </c>
      <c r="D60" s="3">
        <v>64952</v>
      </c>
      <c r="E60" s="3">
        <v>58896</v>
      </c>
      <c r="F60" s="3">
        <v>70045</v>
      </c>
      <c r="G60" s="3">
        <v>66917</v>
      </c>
      <c r="H60" s="3">
        <v>63551</v>
      </c>
      <c r="I60" s="3">
        <v>74981</v>
      </c>
      <c r="J60" s="3">
        <v>69703</v>
      </c>
      <c r="K60" s="3">
        <v>69690</v>
      </c>
    </row>
    <row r="61" spans="1:11" s="1" customFormat="1" x14ac:dyDescent="0.25">
      <c r="A61" s="1" t="s">
        <v>37</v>
      </c>
      <c r="B61" s="3">
        <v>190281.18</v>
      </c>
      <c r="C61" s="3">
        <v>191980.35</v>
      </c>
      <c r="D61" s="3">
        <v>196946</v>
      </c>
      <c r="E61" s="3">
        <v>180367</v>
      </c>
      <c r="F61" s="3">
        <v>198568</v>
      </c>
      <c r="G61" s="3">
        <v>180737</v>
      </c>
      <c r="H61" s="3">
        <v>183496</v>
      </c>
      <c r="I61" s="3">
        <v>193947</v>
      </c>
      <c r="J61" s="3">
        <v>189455</v>
      </c>
      <c r="K61" s="3">
        <v>188118</v>
      </c>
    </row>
    <row r="62" spans="1:11" x14ac:dyDescent="0.25">
      <c r="A62" s="2" t="s">
        <v>38</v>
      </c>
      <c r="B62" s="3">
        <v>70107.83</v>
      </c>
      <c r="C62" s="3">
        <v>61590.85</v>
      </c>
      <c r="D62" s="3">
        <v>75631</v>
      </c>
      <c r="E62" s="3">
        <v>78455</v>
      </c>
      <c r="F62" s="3">
        <v>86327</v>
      </c>
      <c r="G62" s="3">
        <v>86127</v>
      </c>
      <c r="H62" s="3">
        <v>88002</v>
      </c>
      <c r="I62" s="3">
        <v>89498</v>
      </c>
      <c r="J62" s="3">
        <v>90483</v>
      </c>
      <c r="K62" s="3">
        <v>92551</v>
      </c>
    </row>
    <row r="63" spans="1:11" x14ac:dyDescent="0.25">
      <c r="A63" s="2" t="s">
        <v>39</v>
      </c>
      <c r="B63" s="3">
        <v>38747.949999999997</v>
      </c>
      <c r="C63" s="3">
        <v>38461.33</v>
      </c>
      <c r="D63" s="3">
        <v>27557</v>
      </c>
      <c r="E63" s="3">
        <v>32055</v>
      </c>
      <c r="F63" s="3">
        <v>24959</v>
      </c>
      <c r="G63" s="3">
        <v>18585</v>
      </c>
      <c r="H63" s="3">
        <v>16314</v>
      </c>
      <c r="I63" s="3">
        <v>15879</v>
      </c>
      <c r="J63" s="3">
        <v>19529</v>
      </c>
      <c r="K63" s="3">
        <v>22889</v>
      </c>
    </row>
    <row r="64" spans="1:11" ht="14.4" x14ac:dyDescent="0.3">
      <c r="A64" s="2" t="s">
        <v>40</v>
      </c>
      <c r="B64" s="3">
        <v>39606.04</v>
      </c>
      <c r="C64" s="7">
        <v>53385.98</v>
      </c>
      <c r="D64" s="3">
        <v>46962</v>
      </c>
      <c r="E64" s="3">
        <v>28700</v>
      </c>
      <c r="F64" s="3">
        <v>33065</v>
      </c>
      <c r="G64" s="3">
        <v>24753</v>
      </c>
      <c r="H64" s="3">
        <v>16660</v>
      </c>
      <c r="I64" s="3">
        <v>17291</v>
      </c>
      <c r="J64" s="3">
        <v>13150</v>
      </c>
      <c r="K64" s="3">
        <v>11869</v>
      </c>
    </row>
    <row r="65" spans="1:11" x14ac:dyDescent="0.25">
      <c r="A65" s="2" t="s">
        <v>41</v>
      </c>
      <c r="B65" s="3">
        <v>41819.360000000001</v>
      </c>
      <c r="C65" s="3">
        <v>38542.19</v>
      </c>
      <c r="D65" s="3">
        <v>46796</v>
      </c>
      <c r="E65" s="3">
        <v>41157</v>
      </c>
      <c r="F65" s="3">
        <v>54217</v>
      </c>
      <c r="G65" s="3">
        <v>51272</v>
      </c>
      <c r="H65" s="3">
        <v>62520</v>
      </c>
      <c r="I65" s="3">
        <v>71279</v>
      </c>
      <c r="J65" s="3">
        <v>66293</v>
      </c>
      <c r="K65" s="3">
        <v>60809</v>
      </c>
    </row>
    <row r="66" spans="1:11" s="1" customFormat="1" x14ac:dyDescent="0.25">
      <c r="A66" s="1" t="s">
        <v>37</v>
      </c>
      <c r="B66" s="3">
        <v>190281.18</v>
      </c>
      <c r="C66" s="3">
        <v>191980.35</v>
      </c>
      <c r="D66" s="3">
        <v>196946</v>
      </c>
      <c r="E66" s="3">
        <v>180367</v>
      </c>
      <c r="F66" s="3">
        <v>198568</v>
      </c>
      <c r="G66" s="3">
        <v>180737</v>
      </c>
      <c r="H66" s="3">
        <v>183496</v>
      </c>
      <c r="I66" s="3">
        <v>193947</v>
      </c>
      <c r="J66" s="3">
        <v>189455</v>
      </c>
      <c r="K66" s="3">
        <v>188118</v>
      </c>
    </row>
    <row r="67" spans="1:11" x14ac:dyDescent="0.25">
      <c r="A67" s="2" t="s">
        <v>42</v>
      </c>
      <c r="B67" s="3">
        <v>3605.13</v>
      </c>
      <c r="C67" s="3">
        <v>2493.75</v>
      </c>
      <c r="D67" s="3">
        <v>2240</v>
      </c>
      <c r="E67" s="3">
        <v>3969</v>
      </c>
      <c r="F67" s="3">
        <v>3982</v>
      </c>
      <c r="G67" s="3">
        <v>2697</v>
      </c>
      <c r="H67" s="3">
        <v>3491</v>
      </c>
      <c r="I67" s="3">
        <v>4946</v>
      </c>
      <c r="J67" s="3">
        <v>4014</v>
      </c>
      <c r="K67" s="3">
        <v>3607</v>
      </c>
    </row>
    <row r="68" spans="1:11" ht="14.4" x14ac:dyDescent="0.3">
      <c r="A68" s="2" t="s">
        <v>43</v>
      </c>
      <c r="B68" s="7">
        <v>8725.02</v>
      </c>
      <c r="C68" s="7">
        <v>8011.65</v>
      </c>
      <c r="D68" s="7">
        <v>9628</v>
      </c>
      <c r="E68" s="7">
        <v>11967</v>
      </c>
      <c r="F68" s="7">
        <v>13198</v>
      </c>
      <c r="G68" s="7">
        <v>11335</v>
      </c>
      <c r="H68" s="7">
        <v>9923</v>
      </c>
      <c r="I68" s="7">
        <v>14313</v>
      </c>
      <c r="J68" s="7">
        <v>15012</v>
      </c>
      <c r="K68" s="7">
        <v>13001</v>
      </c>
    </row>
    <row r="69" spans="1:11" x14ac:dyDescent="0.25">
      <c r="A69" s="2" t="s">
        <v>44</v>
      </c>
      <c r="B69" s="3">
        <v>5696.28</v>
      </c>
      <c r="C69" s="3">
        <v>3708.79</v>
      </c>
      <c r="D69" s="3">
        <v>14123</v>
      </c>
      <c r="E69" s="3">
        <v>5216</v>
      </c>
      <c r="F69" s="3">
        <v>8369</v>
      </c>
      <c r="G69" s="3">
        <v>12502</v>
      </c>
      <c r="H69" s="3">
        <v>16629</v>
      </c>
      <c r="I69" s="3">
        <v>15355</v>
      </c>
      <c r="J69" s="3">
        <v>9254</v>
      </c>
      <c r="K69" s="3">
        <v>4327</v>
      </c>
    </row>
    <row r="70" spans="1:11" x14ac:dyDescent="0.25">
      <c r="A70" s="2" t="s">
        <v>45</v>
      </c>
      <c r="B70" s="3">
        <v>2965004871</v>
      </c>
      <c r="C70" s="3">
        <v>2965004871</v>
      </c>
      <c r="D70" s="3">
        <v>2970000000</v>
      </c>
      <c r="E70" s="3">
        <v>3720000000</v>
      </c>
      <c r="F70" s="3">
        <v>3720000000</v>
      </c>
      <c r="G70" s="3">
        <v>3720000000</v>
      </c>
      <c r="H70" s="3">
        <v>3720000000</v>
      </c>
      <c r="I70" s="3">
        <v>3720000000</v>
      </c>
      <c r="J70" s="3">
        <v>3720000000</v>
      </c>
      <c r="K70" s="3">
        <v>3720000000</v>
      </c>
    </row>
    <row r="71" spans="1:11" ht="13.8" x14ac:dyDescent="0.25">
      <c r="A71" s="2" t="s">
        <v>46</v>
      </c>
      <c r="B71" s="9"/>
      <c r="C71" s="9"/>
      <c r="G71" s="9"/>
      <c r="H71" s="9"/>
    </row>
    <row r="72" spans="1:11" x14ac:dyDescent="0.25">
      <c r="A72" s="2" t="s">
        <v>47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25">
      <c r="H73" s="2">
        <f>H62-G62+H45</f>
        <v>4425</v>
      </c>
      <c r="I73" s="2">
        <f t="shared" ref="I73:K73" si="3">I62-H62+I45</f>
        <v>4138</v>
      </c>
      <c r="J73" s="2">
        <f t="shared" si="3"/>
        <v>3773</v>
      </c>
      <c r="K73" s="2">
        <f t="shared" si="3"/>
        <v>4811</v>
      </c>
    </row>
    <row r="80" spans="1:11" x14ac:dyDescent="0.25">
      <c r="A80" s="1" t="s">
        <v>48</v>
      </c>
    </row>
    <row r="81" spans="1:12" s="6" customFormat="1" x14ac:dyDescent="0.25">
      <c r="A81" s="4" t="s">
        <v>11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x14ac:dyDescent="0.25">
      <c r="A82" s="2" t="s">
        <v>49</v>
      </c>
      <c r="B82" s="3">
        <v>17805.13</v>
      </c>
      <c r="C82" s="3">
        <v>20376.919999999998</v>
      </c>
      <c r="D82" s="3">
        <v>18083</v>
      </c>
      <c r="E82" s="3">
        <v>17366</v>
      </c>
      <c r="F82" s="3">
        <v>23754</v>
      </c>
      <c r="G82" s="3">
        <v>19300</v>
      </c>
      <c r="H82" s="3">
        <v>23980</v>
      </c>
      <c r="I82" s="3">
        <v>34963</v>
      </c>
      <c r="J82" s="3">
        <v>33065</v>
      </c>
      <c r="K82" s="3">
        <v>35654</v>
      </c>
    </row>
    <row r="83" spans="1:12" x14ac:dyDescent="0.25">
      <c r="A83" s="2" t="s">
        <v>50</v>
      </c>
      <c r="B83" s="3">
        <v>-4133.09</v>
      </c>
      <c r="C83" s="3">
        <v>-7867.89</v>
      </c>
      <c r="D83" s="3">
        <v>2681</v>
      </c>
      <c r="E83" s="3">
        <v>15480</v>
      </c>
      <c r="F83" s="3">
        <v>-10594</v>
      </c>
      <c r="G83" s="3">
        <v>-5925</v>
      </c>
      <c r="H83" s="3">
        <v>-6678</v>
      </c>
      <c r="I83" s="3">
        <v>-2243</v>
      </c>
      <c r="J83" s="3">
        <v>-668</v>
      </c>
      <c r="K83" s="3">
        <v>-13676</v>
      </c>
    </row>
    <row r="84" spans="1:12" x14ac:dyDescent="0.25">
      <c r="A84" s="2" t="s">
        <v>51</v>
      </c>
      <c r="B84" s="3">
        <v>-13955.77</v>
      </c>
      <c r="C84" s="3">
        <v>-11302.95</v>
      </c>
      <c r="D84" s="3">
        <v>-12425</v>
      </c>
      <c r="E84" s="3">
        <v>-39255</v>
      </c>
      <c r="F84" s="3">
        <v>-10242</v>
      </c>
      <c r="G84" s="3">
        <v>-15547</v>
      </c>
      <c r="H84" s="3">
        <v>-17565</v>
      </c>
      <c r="I84" s="3">
        <v>-28903</v>
      </c>
      <c r="J84" s="3">
        <v>-34142</v>
      </c>
      <c r="K84" s="3">
        <v>-26092</v>
      </c>
    </row>
    <row r="85" spans="1:12" s="1" customFormat="1" x14ac:dyDescent="0.25">
      <c r="A85" s="2" t="s">
        <v>52</v>
      </c>
      <c r="B85" s="3">
        <v>-283.73</v>
      </c>
      <c r="C85" s="3">
        <v>1206.08</v>
      </c>
      <c r="D85" s="3">
        <v>8339</v>
      </c>
      <c r="E85" s="3">
        <v>-6409</v>
      </c>
      <c r="F85" s="3">
        <v>2918</v>
      </c>
      <c r="G85" s="3">
        <v>-2172</v>
      </c>
      <c r="H85" s="3">
        <v>-263</v>
      </c>
      <c r="I85" s="3">
        <v>3817</v>
      </c>
      <c r="J85" s="3">
        <v>-1745</v>
      </c>
      <c r="K85" s="3">
        <v>-4114</v>
      </c>
    </row>
    <row r="90" spans="1:12" s="1" customFormat="1" x14ac:dyDescent="0.25">
      <c r="A90" s="1" t="s">
        <v>53</v>
      </c>
      <c r="B90" s="3">
        <v>189.5</v>
      </c>
      <c r="C90" s="3">
        <v>89.85</v>
      </c>
      <c r="D90" s="3">
        <v>274.95</v>
      </c>
      <c r="E90" s="3">
        <v>277.85000000000002</v>
      </c>
      <c r="F90" s="3">
        <v>184.45</v>
      </c>
      <c r="G90" s="3">
        <v>64.7</v>
      </c>
      <c r="H90" s="3">
        <v>228.75</v>
      </c>
      <c r="I90" s="3">
        <v>403.35</v>
      </c>
      <c r="J90" s="3">
        <v>274.45</v>
      </c>
      <c r="K90" s="3">
        <v>271.64999999999998</v>
      </c>
    </row>
    <row r="92" spans="1:12" s="1" customFormat="1" x14ac:dyDescent="0.25">
      <c r="A92" s="1" t="s">
        <v>54</v>
      </c>
    </row>
    <row r="93" spans="1:12" x14ac:dyDescent="0.25">
      <c r="A93" s="2" t="s">
        <v>55</v>
      </c>
      <c r="B93" s="10">
        <v>296.47000000000003</v>
      </c>
      <c r="C93" s="10">
        <v>296.47000000000003</v>
      </c>
      <c r="D93" s="10">
        <v>296.47000000000003</v>
      </c>
      <c r="E93" s="10">
        <v>371.72</v>
      </c>
      <c r="F93" s="10">
        <v>371.72</v>
      </c>
      <c r="G93" s="10">
        <v>371.72</v>
      </c>
      <c r="H93" s="10">
        <v>371.72</v>
      </c>
      <c r="I93" s="10">
        <v>371.72</v>
      </c>
      <c r="J93" s="10">
        <v>371.72</v>
      </c>
      <c r="K93" s="10">
        <v>371.72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Financials&gt;</vt:lpstr>
      <vt:lpstr>HistoricalFS</vt:lpstr>
      <vt:lpstr>Forecasting</vt:lpstr>
      <vt:lpstr>Data&gt;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Vansh Agrawal</cp:lastModifiedBy>
  <dcterms:created xsi:type="dcterms:W3CDTF">2023-01-14T08:22:33Z</dcterms:created>
  <dcterms:modified xsi:type="dcterms:W3CDTF">2024-06-21T02:10:47Z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