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97ec3d38628237/Desktop/Finance Club/"/>
    </mc:Choice>
  </mc:AlternateContent>
  <xr:revisionPtr revIDLastSave="0" documentId="8_{0B084D02-6FF0-40C1-9EF1-7D6D1A22FD63}" xr6:coauthVersionLast="47" xr6:coauthVersionMax="47" xr10:uidLastSave="{00000000-0000-0000-0000-000000000000}"/>
  <bookViews>
    <workbookView xWindow="-108" yWindow="-108" windowWidth="23256" windowHeight="12456" activeTab="4" xr2:uid="{D4886810-D9CC-4231-AA87-2302A306BB27}"/>
  </bookViews>
  <sheets>
    <sheet name="Financials&gt;" sheetId="1" r:id="rId1"/>
    <sheet name="HistoricalFS" sheetId="3" r:id="rId2"/>
    <sheet name="Ratio Analysis" sheetId="6" r:id="rId3"/>
    <sheet name="Data&gt;" sheetId="4" r:id="rId4"/>
    <sheet name="Data Sheet" sheetId="2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L3" i="6"/>
  <c r="K3" i="6"/>
  <c r="J3" i="6"/>
  <c r="I3" i="6"/>
  <c r="H3" i="6"/>
  <c r="G3" i="6"/>
  <c r="F3" i="6"/>
  <c r="E3" i="6"/>
  <c r="D3" i="6"/>
  <c r="C3" i="6"/>
  <c r="L74" i="3" l="1"/>
  <c r="K74" i="3"/>
  <c r="J74" i="3"/>
  <c r="I74" i="3"/>
  <c r="H74" i="3"/>
  <c r="G74" i="3"/>
  <c r="F74" i="3"/>
  <c r="E74" i="3"/>
  <c r="D74" i="3"/>
  <c r="C74" i="3"/>
  <c r="L72" i="3"/>
  <c r="K72" i="3"/>
  <c r="J72" i="3"/>
  <c r="I72" i="3"/>
  <c r="H72" i="3"/>
  <c r="G72" i="3"/>
  <c r="F72" i="3"/>
  <c r="E72" i="3"/>
  <c r="D72" i="3"/>
  <c r="C72" i="3"/>
  <c r="L70" i="3"/>
  <c r="K70" i="3"/>
  <c r="J70" i="3"/>
  <c r="I70" i="3"/>
  <c r="H70" i="3"/>
  <c r="G70" i="3"/>
  <c r="F70" i="3"/>
  <c r="E70" i="3"/>
  <c r="D70" i="3"/>
  <c r="C70" i="3"/>
  <c r="L56" i="3"/>
  <c r="K56" i="3"/>
  <c r="J56" i="3"/>
  <c r="I56" i="3"/>
  <c r="H56" i="3"/>
  <c r="G56" i="3"/>
  <c r="F56" i="3"/>
  <c r="E56" i="3"/>
  <c r="D56" i="3"/>
  <c r="C56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L59" i="3"/>
  <c r="K59" i="3"/>
  <c r="J59" i="3"/>
  <c r="I59" i="3"/>
  <c r="H59" i="3"/>
  <c r="G59" i="3"/>
  <c r="F59" i="3"/>
  <c r="E59" i="3"/>
  <c r="D59" i="3"/>
  <c r="C61" i="3"/>
  <c r="C60" i="3"/>
  <c r="C59" i="3"/>
  <c r="L55" i="3"/>
  <c r="K55" i="3"/>
  <c r="J55" i="3"/>
  <c r="I55" i="3"/>
  <c r="H55" i="3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1" i="3"/>
  <c r="K51" i="3"/>
  <c r="J51" i="3"/>
  <c r="I51" i="3"/>
  <c r="H51" i="3"/>
  <c r="G51" i="3"/>
  <c r="F51" i="3"/>
  <c r="E51" i="3"/>
  <c r="D51" i="3"/>
  <c r="L50" i="3"/>
  <c r="K50" i="3"/>
  <c r="J50" i="3"/>
  <c r="I50" i="3"/>
  <c r="H50" i="3"/>
  <c r="G50" i="3"/>
  <c r="F50" i="3"/>
  <c r="E50" i="3"/>
  <c r="D50" i="3"/>
  <c r="L49" i="3"/>
  <c r="K49" i="3"/>
  <c r="J49" i="3"/>
  <c r="I49" i="3"/>
  <c r="H49" i="3"/>
  <c r="G49" i="3"/>
  <c r="F49" i="3"/>
  <c r="E49" i="3"/>
  <c r="D49" i="3"/>
  <c r="L48" i="3"/>
  <c r="K48" i="3"/>
  <c r="J48" i="3"/>
  <c r="I48" i="3"/>
  <c r="H48" i="3"/>
  <c r="G48" i="3"/>
  <c r="F48" i="3"/>
  <c r="E48" i="3"/>
  <c r="D48" i="3"/>
  <c r="L47" i="3"/>
  <c r="K47" i="3"/>
  <c r="J47" i="3"/>
  <c r="I47" i="3"/>
  <c r="H47" i="3"/>
  <c r="G47" i="3"/>
  <c r="F47" i="3"/>
  <c r="E47" i="3"/>
  <c r="D47" i="3"/>
  <c r="C51" i="3"/>
  <c r="C50" i="3"/>
  <c r="C49" i="3"/>
  <c r="C48" i="3"/>
  <c r="C47" i="3"/>
  <c r="L36" i="3"/>
  <c r="M36" i="3" s="1"/>
  <c r="M41" i="3" s="1"/>
  <c r="K36" i="3"/>
  <c r="K41" i="3" s="1"/>
  <c r="K9" i="6" s="1"/>
  <c r="J36" i="3"/>
  <c r="J41" i="3" s="1"/>
  <c r="J9" i="6" s="1"/>
  <c r="I36" i="3"/>
  <c r="I41" i="3" s="1"/>
  <c r="H36" i="3"/>
  <c r="H41" i="3" s="1"/>
  <c r="G36" i="3"/>
  <c r="G41" i="3" s="1"/>
  <c r="G9" i="6" s="1"/>
  <c r="F36" i="3"/>
  <c r="F41" i="3" s="1"/>
  <c r="E36" i="3"/>
  <c r="E41" i="3" s="1"/>
  <c r="D36" i="3"/>
  <c r="D41" i="3" s="1"/>
  <c r="D9" i="6" s="1"/>
  <c r="C36" i="3"/>
  <c r="C41" i="3" s="1"/>
  <c r="M30" i="3"/>
  <c r="L30" i="3"/>
  <c r="K30" i="3"/>
  <c r="J30" i="3"/>
  <c r="I30" i="3"/>
  <c r="H30" i="3"/>
  <c r="G30" i="3"/>
  <c r="F30" i="3"/>
  <c r="E30" i="3"/>
  <c r="D30" i="3"/>
  <c r="C30" i="3"/>
  <c r="L24" i="3"/>
  <c r="K24" i="3"/>
  <c r="J24" i="3"/>
  <c r="I24" i="3"/>
  <c r="H24" i="3"/>
  <c r="G24" i="3"/>
  <c r="F24" i="3"/>
  <c r="E24" i="3"/>
  <c r="D24" i="3"/>
  <c r="C24" i="3"/>
  <c r="M24" i="3"/>
  <c r="M21" i="3"/>
  <c r="L21" i="3"/>
  <c r="K21" i="3"/>
  <c r="J21" i="3"/>
  <c r="I21" i="3"/>
  <c r="H21" i="3"/>
  <c r="G21" i="3"/>
  <c r="F21" i="3"/>
  <c r="E21" i="3"/>
  <c r="D21" i="3"/>
  <c r="C21" i="3"/>
  <c r="L15" i="3"/>
  <c r="K15" i="3"/>
  <c r="J15" i="3"/>
  <c r="I15" i="3"/>
  <c r="H15" i="3"/>
  <c r="G15" i="3"/>
  <c r="F15" i="3"/>
  <c r="E15" i="3"/>
  <c r="D15" i="3"/>
  <c r="C15" i="3"/>
  <c r="M9" i="3"/>
  <c r="L9" i="3"/>
  <c r="K9" i="3"/>
  <c r="J9" i="3"/>
  <c r="I9" i="3"/>
  <c r="H9" i="3"/>
  <c r="G9" i="3"/>
  <c r="F9" i="3"/>
  <c r="E9" i="3"/>
  <c r="D9" i="3"/>
  <c r="C9" i="3"/>
  <c r="M6" i="3"/>
  <c r="M16" i="3" s="1"/>
  <c r="L6" i="3"/>
  <c r="K6" i="3"/>
  <c r="J6" i="3"/>
  <c r="I6" i="3"/>
  <c r="H6" i="3"/>
  <c r="G6" i="3"/>
  <c r="F6" i="3"/>
  <c r="E6" i="3"/>
  <c r="D6" i="3"/>
  <c r="C6" i="3"/>
  <c r="L3" i="3"/>
  <c r="D3" i="3"/>
  <c r="E3" i="3"/>
  <c r="F3" i="3"/>
  <c r="G3" i="3"/>
  <c r="H3" i="3"/>
  <c r="I3" i="3"/>
  <c r="J3" i="3"/>
  <c r="K3" i="3"/>
  <c r="C3" i="3"/>
  <c r="B2" i="3"/>
  <c r="K73" i="2"/>
  <c r="J73" i="2"/>
  <c r="I73" i="2"/>
  <c r="H73" i="2"/>
  <c r="K51" i="2"/>
  <c r="J51" i="2"/>
  <c r="I51" i="2"/>
  <c r="H51" i="2"/>
  <c r="M18" i="3" s="1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K32" i="2"/>
  <c r="J32" i="2"/>
  <c r="I32" i="2"/>
  <c r="H32" i="2"/>
  <c r="G32" i="2"/>
  <c r="F32" i="2"/>
  <c r="E32" i="2"/>
  <c r="D32" i="2"/>
  <c r="C32" i="2"/>
  <c r="B32" i="2"/>
  <c r="K15" i="2"/>
  <c r="B15" i="2"/>
  <c r="B6" i="2"/>
  <c r="E1" i="2"/>
  <c r="E9" i="6" l="1"/>
  <c r="N9" i="6" s="1"/>
  <c r="H29" i="6"/>
  <c r="H35" i="6" s="1"/>
  <c r="H27" i="6"/>
  <c r="H33" i="6" s="1"/>
  <c r="H31" i="6"/>
  <c r="H30" i="6"/>
  <c r="H28" i="6"/>
  <c r="H34" i="6" s="1"/>
  <c r="H36" i="6" s="1"/>
  <c r="F9" i="6"/>
  <c r="D40" i="6"/>
  <c r="D38" i="6"/>
  <c r="E40" i="6"/>
  <c r="E38" i="6"/>
  <c r="G31" i="6"/>
  <c r="G29" i="6"/>
  <c r="G35" i="6" s="1"/>
  <c r="G27" i="6"/>
  <c r="G33" i="6" s="1"/>
  <c r="G30" i="6"/>
  <c r="G28" i="6"/>
  <c r="G34" i="6" s="1"/>
  <c r="I29" i="6"/>
  <c r="I35" i="6" s="1"/>
  <c r="I27" i="6"/>
  <c r="I33" i="6" s="1"/>
  <c r="I30" i="6"/>
  <c r="I28" i="6"/>
  <c r="I34" i="6" s="1"/>
  <c r="I36" i="6" s="1"/>
  <c r="I31" i="6"/>
  <c r="J27" i="6"/>
  <c r="J33" i="6" s="1"/>
  <c r="J30" i="6"/>
  <c r="J28" i="6"/>
  <c r="J34" i="6" s="1"/>
  <c r="J29" i="6"/>
  <c r="J35" i="6" s="1"/>
  <c r="J31" i="6"/>
  <c r="H9" i="6"/>
  <c r="F40" i="6"/>
  <c r="F38" i="6"/>
  <c r="E31" i="6"/>
  <c r="E29" i="6"/>
  <c r="E35" i="6" s="1"/>
  <c r="E27" i="6"/>
  <c r="E33" i="6" s="1"/>
  <c r="E30" i="6"/>
  <c r="E28" i="6"/>
  <c r="E34" i="6" s="1"/>
  <c r="E36" i="6" s="1"/>
  <c r="C40" i="6"/>
  <c r="C38" i="6"/>
  <c r="K27" i="6"/>
  <c r="K33" i="6" s="1"/>
  <c r="K30" i="6"/>
  <c r="K28" i="6"/>
  <c r="K34" i="6" s="1"/>
  <c r="K29" i="6"/>
  <c r="K35" i="6" s="1"/>
  <c r="K31" i="6"/>
  <c r="I9" i="6"/>
  <c r="G40" i="6"/>
  <c r="G38" i="6"/>
  <c r="F31" i="6"/>
  <c r="F29" i="6"/>
  <c r="F35" i="6" s="1"/>
  <c r="F27" i="6"/>
  <c r="F33" i="6" s="1"/>
  <c r="F30" i="6"/>
  <c r="F28" i="6"/>
  <c r="F34" i="6" s="1"/>
  <c r="F36" i="6" s="1"/>
  <c r="L30" i="6"/>
  <c r="L28" i="6"/>
  <c r="L34" i="6" s="1"/>
  <c r="L31" i="6"/>
  <c r="L27" i="6"/>
  <c r="L33" i="6" s="1"/>
  <c r="L29" i="6"/>
  <c r="L35" i="6" s="1"/>
  <c r="H40" i="6"/>
  <c r="H38" i="6"/>
  <c r="I38" i="6"/>
  <c r="I39" i="6"/>
  <c r="I40" i="6"/>
  <c r="K40" i="6"/>
  <c r="K38" i="6"/>
  <c r="L40" i="6"/>
  <c r="L38" i="6"/>
  <c r="J38" i="6"/>
  <c r="J40" i="6"/>
  <c r="C31" i="6"/>
  <c r="C30" i="6"/>
  <c r="C29" i="6"/>
  <c r="C28" i="6"/>
  <c r="C27" i="6"/>
  <c r="D31" i="6"/>
  <c r="D29" i="6"/>
  <c r="D35" i="6" s="1"/>
  <c r="D27" i="6"/>
  <c r="D33" i="6" s="1"/>
  <c r="D28" i="6"/>
  <c r="D34" i="6" s="1"/>
  <c r="D30" i="6"/>
  <c r="H62" i="3"/>
  <c r="I57" i="3"/>
  <c r="G62" i="3"/>
  <c r="F62" i="3"/>
  <c r="E57" i="3"/>
  <c r="C62" i="3"/>
  <c r="I62" i="3"/>
  <c r="I64" i="3" s="1"/>
  <c r="I66" i="3" s="1"/>
  <c r="D62" i="3"/>
  <c r="J57" i="3"/>
  <c r="H57" i="3"/>
  <c r="J62" i="3"/>
  <c r="C57" i="3"/>
  <c r="K57" i="3"/>
  <c r="K62" i="3"/>
  <c r="K64" i="3" s="1"/>
  <c r="K66" i="3" s="1"/>
  <c r="F76" i="3"/>
  <c r="F57" i="3"/>
  <c r="D57" i="3"/>
  <c r="L57" i="3"/>
  <c r="E62" i="3"/>
  <c r="I76" i="3"/>
  <c r="L62" i="3"/>
  <c r="G57" i="3"/>
  <c r="J76" i="3"/>
  <c r="L41" i="3"/>
  <c r="L9" i="6" s="1"/>
  <c r="F10" i="3"/>
  <c r="K12" i="3"/>
  <c r="K13" i="3" s="1"/>
  <c r="K11" i="6" s="1"/>
  <c r="D10" i="3"/>
  <c r="M25" i="3"/>
  <c r="C12" i="3"/>
  <c r="C18" i="3" s="1"/>
  <c r="J12" i="3"/>
  <c r="J13" i="3" s="1"/>
  <c r="J11" i="6" s="1"/>
  <c r="C16" i="3"/>
  <c r="C17" i="6" s="1"/>
  <c r="C22" i="3"/>
  <c r="K22" i="3"/>
  <c r="M27" i="3"/>
  <c r="K7" i="3"/>
  <c r="K5" i="6" s="1"/>
  <c r="G16" i="3"/>
  <c r="G17" i="6" s="1"/>
  <c r="E22" i="3"/>
  <c r="M22" i="3"/>
  <c r="F25" i="3"/>
  <c r="F18" i="6" s="1"/>
  <c r="G7" i="3"/>
  <c r="G5" i="6" s="1"/>
  <c r="L10" i="3"/>
  <c r="H16" i="3"/>
  <c r="H17" i="6" s="1"/>
  <c r="G25" i="3"/>
  <c r="G18" i="6" s="1"/>
  <c r="I7" i="3"/>
  <c r="I5" i="6" s="1"/>
  <c r="G12" i="3"/>
  <c r="G22" i="3"/>
  <c r="H22" i="3"/>
  <c r="E16" i="3"/>
  <c r="E17" i="6" s="1"/>
  <c r="F22" i="3"/>
  <c r="F16" i="3"/>
  <c r="F17" i="6" s="1"/>
  <c r="L25" i="3"/>
  <c r="L18" i="6" s="1"/>
  <c r="I10" i="3"/>
  <c r="J16" i="3"/>
  <c r="J17" i="6" s="1"/>
  <c r="E10" i="3"/>
  <c r="I16" i="3"/>
  <c r="I17" i="6" s="1"/>
  <c r="I22" i="3"/>
  <c r="F12" i="3"/>
  <c r="H10" i="3"/>
  <c r="M19" i="3"/>
  <c r="J10" i="3"/>
  <c r="K16" i="3"/>
  <c r="K17" i="6" s="1"/>
  <c r="J22" i="3"/>
  <c r="J7" i="3"/>
  <c r="J5" i="6" s="1"/>
  <c r="J25" i="3"/>
  <c r="J18" i="6" s="1"/>
  <c r="D25" i="3"/>
  <c r="D18" i="6" s="1"/>
  <c r="H25" i="3"/>
  <c r="H18" i="6" s="1"/>
  <c r="D16" i="3"/>
  <c r="D17" i="6" s="1"/>
  <c r="L16" i="3"/>
  <c r="L17" i="6" s="1"/>
  <c r="C25" i="3"/>
  <c r="C18" i="6" s="1"/>
  <c r="K25" i="3"/>
  <c r="K18" i="6" s="1"/>
  <c r="L12" i="3"/>
  <c r="E12" i="3"/>
  <c r="D22" i="3"/>
  <c r="L22" i="3"/>
  <c r="D12" i="3"/>
  <c r="E25" i="3"/>
  <c r="E18" i="6" s="1"/>
  <c r="D7" i="3"/>
  <c r="D5" i="6" s="1"/>
  <c r="L7" i="3"/>
  <c r="L5" i="6" s="1"/>
  <c r="G10" i="3"/>
  <c r="M10" i="3"/>
  <c r="E7" i="3"/>
  <c r="E5" i="6" s="1"/>
  <c r="M7" i="3"/>
  <c r="F7" i="3"/>
  <c r="F5" i="6" s="1"/>
  <c r="H12" i="3"/>
  <c r="I25" i="3"/>
  <c r="I18" i="6" s="1"/>
  <c r="H7" i="3"/>
  <c r="H5" i="6" s="1"/>
  <c r="C10" i="3"/>
  <c r="K10" i="3"/>
  <c r="I12" i="3"/>
  <c r="M12" i="3"/>
  <c r="M13" i="3" s="1"/>
  <c r="N30" i="6" l="1"/>
  <c r="O30" i="6"/>
  <c r="N31" i="6"/>
  <c r="O31" i="6"/>
  <c r="C35" i="6"/>
  <c r="N29" i="6"/>
  <c r="O29" i="6"/>
  <c r="N18" i="6"/>
  <c r="O18" i="6"/>
  <c r="K36" i="6"/>
  <c r="J36" i="6"/>
  <c r="O9" i="6"/>
  <c r="C34" i="6"/>
  <c r="N28" i="6"/>
  <c r="O28" i="6"/>
  <c r="L36" i="6"/>
  <c r="N38" i="6"/>
  <c r="O38" i="6"/>
  <c r="N17" i="6"/>
  <c r="O17" i="6"/>
  <c r="D36" i="6"/>
  <c r="O40" i="6"/>
  <c r="N40" i="6"/>
  <c r="N5" i="6"/>
  <c r="O5" i="6"/>
  <c r="C19" i="3"/>
  <c r="C12" i="6" s="1"/>
  <c r="C25" i="6"/>
  <c r="C21" i="6"/>
  <c r="C13" i="6"/>
  <c r="K39" i="6"/>
  <c r="G36" i="6"/>
  <c r="C33" i="6"/>
  <c r="N27" i="6"/>
  <c r="O27" i="6"/>
  <c r="G76" i="3"/>
  <c r="J64" i="3"/>
  <c r="H64" i="3"/>
  <c r="E76" i="3"/>
  <c r="C64" i="3"/>
  <c r="K76" i="3"/>
  <c r="H76" i="3"/>
  <c r="C76" i="3"/>
  <c r="L76" i="3"/>
  <c r="G64" i="3"/>
  <c r="F64" i="3"/>
  <c r="D76" i="3"/>
  <c r="L64" i="3"/>
  <c r="D64" i="3"/>
  <c r="E64" i="3"/>
  <c r="J18" i="3"/>
  <c r="C13" i="3"/>
  <c r="C11" i="6" s="1"/>
  <c r="C27" i="3"/>
  <c r="C28" i="3" s="1"/>
  <c r="C14" i="6" s="1"/>
  <c r="K18" i="3"/>
  <c r="E18" i="3"/>
  <c r="E13" i="3"/>
  <c r="E11" i="6" s="1"/>
  <c r="G18" i="3"/>
  <c r="G13" i="3"/>
  <c r="G11" i="6" s="1"/>
  <c r="F18" i="3"/>
  <c r="F13" i="3"/>
  <c r="F11" i="6" s="1"/>
  <c r="L18" i="3"/>
  <c r="L13" i="3"/>
  <c r="L11" i="6" s="1"/>
  <c r="H18" i="3"/>
  <c r="H13" i="3"/>
  <c r="H11" i="6" s="1"/>
  <c r="M31" i="3"/>
  <c r="M33" i="3"/>
  <c r="M28" i="3"/>
  <c r="I18" i="3"/>
  <c r="I13" i="3"/>
  <c r="I11" i="6" s="1"/>
  <c r="D18" i="3"/>
  <c r="D13" i="3"/>
  <c r="D11" i="6" s="1"/>
  <c r="F66" i="3" l="1"/>
  <c r="F39" i="6"/>
  <c r="C19" i="6"/>
  <c r="N34" i="6"/>
  <c r="O34" i="6"/>
  <c r="C36" i="6"/>
  <c r="H13" i="6"/>
  <c r="H19" i="6" s="1"/>
  <c r="H25" i="6"/>
  <c r="H6" i="6"/>
  <c r="H21" i="6"/>
  <c r="L6" i="6"/>
  <c r="L21" i="6"/>
  <c r="L13" i="6"/>
  <c r="L19" i="6" s="1"/>
  <c r="L25" i="6"/>
  <c r="F13" i="6"/>
  <c r="F19" i="6" s="1"/>
  <c r="F25" i="6"/>
  <c r="F6" i="6"/>
  <c r="F21" i="6"/>
  <c r="G13" i="6"/>
  <c r="G19" i="6" s="1"/>
  <c r="G25" i="6"/>
  <c r="G6" i="6"/>
  <c r="G21" i="6"/>
  <c r="N21" i="6" s="1"/>
  <c r="C66" i="3"/>
  <c r="C39" i="6"/>
  <c r="E13" i="6"/>
  <c r="E19" i="6" s="1"/>
  <c r="E21" i="6"/>
  <c r="E25" i="6"/>
  <c r="E6" i="6"/>
  <c r="D21" i="6"/>
  <c r="D13" i="6"/>
  <c r="D19" i="6" s="1"/>
  <c r="D6" i="6"/>
  <c r="D25" i="6"/>
  <c r="N25" i="6" s="1"/>
  <c r="K19" i="3"/>
  <c r="K12" i="6" s="1"/>
  <c r="K6" i="6"/>
  <c r="K25" i="6"/>
  <c r="K21" i="6"/>
  <c r="K13" i="6"/>
  <c r="K19" i="6" s="1"/>
  <c r="H66" i="3"/>
  <c r="H39" i="6"/>
  <c r="N35" i="6"/>
  <c r="O35" i="6"/>
  <c r="L66" i="3"/>
  <c r="L39" i="6"/>
  <c r="I25" i="6"/>
  <c r="I6" i="6"/>
  <c r="I21" i="6"/>
  <c r="I13" i="6"/>
  <c r="I19" i="6" s="1"/>
  <c r="N11" i="6"/>
  <c r="O11" i="6"/>
  <c r="G66" i="3"/>
  <c r="G39" i="6"/>
  <c r="J19" i="3"/>
  <c r="J12" i="6" s="1"/>
  <c r="J6" i="6"/>
  <c r="J25" i="6"/>
  <c r="J21" i="6"/>
  <c r="J13" i="6"/>
  <c r="J19" i="6" s="1"/>
  <c r="D66" i="3"/>
  <c r="D39" i="6"/>
  <c r="N33" i="6"/>
  <c r="O33" i="6"/>
  <c r="J66" i="3"/>
  <c r="J39" i="6"/>
  <c r="E66" i="3"/>
  <c r="E39" i="6"/>
  <c r="J27" i="3"/>
  <c r="C33" i="3"/>
  <c r="C31" i="3"/>
  <c r="K27" i="3"/>
  <c r="G19" i="3"/>
  <c r="G12" i="6" s="1"/>
  <c r="G27" i="3"/>
  <c r="G7" i="6" s="1"/>
  <c r="F19" i="3"/>
  <c r="F12" i="6" s="1"/>
  <c r="F27" i="3"/>
  <c r="I19" i="3"/>
  <c r="I12" i="6" s="1"/>
  <c r="I27" i="3"/>
  <c r="D19" i="3"/>
  <c r="D12" i="6" s="1"/>
  <c r="O12" i="6" s="1"/>
  <c r="D27" i="3"/>
  <c r="D7" i="6" s="1"/>
  <c r="H19" i="3"/>
  <c r="H12" i="6" s="1"/>
  <c r="H27" i="3"/>
  <c r="E19" i="3"/>
  <c r="E12" i="6" s="1"/>
  <c r="N12" i="6" s="1"/>
  <c r="E27" i="3"/>
  <c r="L19" i="3"/>
  <c r="L12" i="6" s="1"/>
  <c r="L27" i="3"/>
  <c r="M34" i="3"/>
  <c r="M38" i="3"/>
  <c r="O21" i="6" l="1"/>
  <c r="L7" i="6"/>
  <c r="C34" i="3"/>
  <c r="C15" i="6" s="1"/>
  <c r="C23" i="6"/>
  <c r="E7" i="6"/>
  <c r="J28" i="3"/>
  <c r="J14" i="6" s="1"/>
  <c r="J7" i="6"/>
  <c r="O39" i="6"/>
  <c r="N39" i="6"/>
  <c r="K28" i="3"/>
  <c r="K14" i="6" s="1"/>
  <c r="K7" i="6"/>
  <c r="N36" i="6"/>
  <c r="O36" i="6"/>
  <c r="O7" i="6"/>
  <c r="N6" i="6"/>
  <c r="O6" i="6"/>
  <c r="C38" i="3"/>
  <c r="O13" i="6"/>
  <c r="H7" i="6"/>
  <c r="O25" i="6"/>
  <c r="N13" i="6"/>
  <c r="O19" i="6"/>
  <c r="N19" i="6"/>
  <c r="I7" i="6"/>
  <c r="F7" i="6"/>
  <c r="N7" i="6" s="1"/>
  <c r="J33" i="3"/>
  <c r="J31" i="3"/>
  <c r="K33" i="3"/>
  <c r="K31" i="3"/>
  <c r="M42" i="3"/>
  <c r="M44" i="3" s="1"/>
  <c r="C42" i="3"/>
  <c r="C44" i="3" s="1"/>
  <c r="C22" i="6" s="1"/>
  <c r="L31" i="3"/>
  <c r="L33" i="3"/>
  <c r="L28" i="3"/>
  <c r="L14" i="6" s="1"/>
  <c r="E31" i="3"/>
  <c r="E33" i="3"/>
  <c r="E28" i="3"/>
  <c r="E14" i="6" s="1"/>
  <c r="D31" i="3"/>
  <c r="D33" i="3"/>
  <c r="D28" i="3"/>
  <c r="D14" i="6" s="1"/>
  <c r="F28" i="3"/>
  <c r="F14" i="6" s="1"/>
  <c r="F33" i="3"/>
  <c r="F31" i="3"/>
  <c r="H28" i="3"/>
  <c r="H14" i="6" s="1"/>
  <c r="H31" i="3"/>
  <c r="H33" i="3"/>
  <c r="G33" i="3"/>
  <c r="G28" i="3"/>
  <c r="G14" i="6" s="1"/>
  <c r="G31" i="3"/>
  <c r="I33" i="3"/>
  <c r="I28" i="3"/>
  <c r="I14" i="6" s="1"/>
  <c r="I31" i="3"/>
  <c r="H8" i="6" l="1"/>
  <c r="H23" i="6"/>
  <c r="F8" i="6"/>
  <c r="F23" i="6"/>
  <c r="O14" i="6"/>
  <c r="N14" i="6"/>
  <c r="J38" i="3"/>
  <c r="J8" i="6"/>
  <c r="J23" i="6"/>
  <c r="K34" i="3"/>
  <c r="K15" i="6" s="1"/>
  <c r="K8" i="6"/>
  <c r="K23" i="6"/>
  <c r="E8" i="6"/>
  <c r="E23" i="6"/>
  <c r="I8" i="6"/>
  <c r="I23" i="6"/>
  <c r="K38" i="3"/>
  <c r="K39" i="3" s="1"/>
  <c r="D8" i="6"/>
  <c r="D23" i="6"/>
  <c r="N23" i="6" s="1"/>
  <c r="L8" i="6"/>
  <c r="L23" i="6"/>
  <c r="G8" i="6"/>
  <c r="G23" i="6"/>
  <c r="C24" i="6"/>
  <c r="J34" i="3"/>
  <c r="J15" i="6" s="1"/>
  <c r="J44" i="3"/>
  <c r="J22" i="6" s="1"/>
  <c r="J24" i="6" s="1"/>
  <c r="J42" i="3"/>
  <c r="F34" i="3"/>
  <c r="F15" i="6" s="1"/>
  <c r="F38" i="3"/>
  <c r="I38" i="3"/>
  <c r="J39" i="3" s="1"/>
  <c r="I34" i="3"/>
  <c r="I15" i="6" s="1"/>
  <c r="D38" i="3"/>
  <c r="D34" i="3"/>
  <c r="D15" i="6" s="1"/>
  <c r="N15" i="6" s="1"/>
  <c r="H34" i="3"/>
  <c r="H15" i="6" s="1"/>
  <c r="H38" i="3"/>
  <c r="E34" i="3"/>
  <c r="E15" i="6" s="1"/>
  <c r="E38" i="3"/>
  <c r="G34" i="3"/>
  <c r="G15" i="6" s="1"/>
  <c r="G38" i="3"/>
  <c r="L38" i="3"/>
  <c r="L34" i="3"/>
  <c r="L15" i="6" s="1"/>
  <c r="N8" i="6" l="1"/>
  <c r="O8" i="6"/>
  <c r="O15" i="6"/>
  <c r="K42" i="3"/>
  <c r="K44" i="3"/>
  <c r="K22" i="6" s="1"/>
  <c r="K24" i="6" s="1"/>
  <c r="O23" i="6"/>
  <c r="E39" i="3"/>
  <c r="E42" i="3"/>
  <c r="E44" i="3" s="1"/>
  <c r="E22" i="6" s="1"/>
  <c r="E24" i="6" s="1"/>
  <c r="H39" i="3"/>
  <c r="H42" i="3"/>
  <c r="H44" i="3" s="1"/>
  <c r="H22" i="6" s="1"/>
  <c r="H24" i="6" s="1"/>
  <c r="G39" i="3"/>
  <c r="G42" i="3"/>
  <c r="G44" i="3" s="1"/>
  <c r="G22" i="6" s="1"/>
  <c r="G24" i="6" s="1"/>
  <c r="I44" i="3"/>
  <c r="I22" i="6" s="1"/>
  <c r="I24" i="6" s="1"/>
  <c r="I39" i="3"/>
  <c r="I42" i="3"/>
  <c r="F39" i="3"/>
  <c r="F42" i="3"/>
  <c r="F44" i="3" s="1"/>
  <c r="F22" i="6" s="1"/>
  <c r="F24" i="6" s="1"/>
  <c r="L39" i="3"/>
  <c r="L44" i="3"/>
  <c r="L22" i="6" s="1"/>
  <c r="L24" i="6" s="1"/>
  <c r="L42" i="3"/>
  <c r="M39" i="3"/>
  <c r="D39" i="3"/>
  <c r="D42" i="3"/>
  <c r="D44" i="3" s="1"/>
  <c r="D22" i="6" s="1"/>
  <c r="D24" i="6" l="1"/>
  <c r="O22" i="6"/>
  <c r="N22" i="6"/>
  <c r="N24" i="6" l="1"/>
  <c r="O24" i="6"/>
</calcChain>
</file>

<file path=xl/sharedStrings.xml><?xml version="1.0" encoding="utf-8"?>
<sst xmlns="http://schemas.openxmlformats.org/spreadsheetml/2006/main" count="157" uniqueCount="124">
  <si>
    <t>COMPANY NAME</t>
  </si>
  <si>
    <t>VEDANTA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</si>
  <si>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</si>
  <si>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</si>
  <si>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</si>
  <si>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</si>
  <si>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</si>
  <si>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</si>
  <si>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</si>
  <si>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</si>
  <si>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</si>
  <si>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</si>
  <si>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</si>
  <si>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</si>
  <si>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</si>
  <si>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</si>
  <si>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</si>
  <si>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</si>
  <si>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</si>
  <si>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</si>
  <si>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</si>
  <si>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</si>
  <si>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</si>
  <si>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</si>
  <si>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</si>
  <si>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</si>
  <si>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</si>
  <si>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</si>
  <si>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</si>
  <si>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</si>
  <si>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</si>
  <si>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</si>
  <si>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</si>
  <si>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</si>
  <si>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</si>
  <si>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</si>
  <si>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</si>
  <si>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</si>
  <si>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</si>
  <si>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</si>
  <si>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</si>
  <si>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</si>
  <si>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</si>
  <si>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</si>
  <si>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</si>
  <si>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</si>
  <si>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</si>
  <si>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</si>
  <si>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</si>
  <si>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</si>
  <si>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</si>
  <si>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</si>
  <si>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</si>
  <si>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</si>
  <si>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</si>
  <si>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</si>
  <si>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</si>
  <si>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</si>
  <si>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Income Statement</t>
  </si>
  <si>
    <t>#</t>
  </si>
  <si>
    <t>Sales Growth</t>
  </si>
  <si>
    <t>-</t>
  </si>
  <si>
    <t>COGS</t>
  </si>
  <si>
    <t>COGS % Sales</t>
  </si>
  <si>
    <t>Gross Profit</t>
  </si>
  <si>
    <t>Selling &amp; General Expenses</t>
  </si>
  <si>
    <t>S&amp;G Exp % Sales</t>
  </si>
  <si>
    <t>EBITDA Margins</t>
  </si>
  <si>
    <t>Interest % Sales</t>
  </si>
  <si>
    <t>Depreciation%Sales</t>
  </si>
  <si>
    <t>Gross Margins</t>
  </si>
  <si>
    <t>Earnings Before Tax</t>
  </si>
  <si>
    <t>EBT % Sales</t>
  </si>
  <si>
    <t>Net Profit</t>
  </si>
  <si>
    <t>Net Margins</t>
  </si>
  <si>
    <t>No of Equity Shares</t>
  </si>
  <si>
    <t>Dividend per Share</t>
  </si>
  <si>
    <t>Earnings per Share</t>
  </si>
  <si>
    <t>EPS Growth %</t>
  </si>
  <si>
    <t>Dividend payout ratio</t>
  </si>
  <si>
    <t>Retained Earnings</t>
  </si>
  <si>
    <t>Balance Sheet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</si>
  <si>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</si>
  <si>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</si>
  <si>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</si>
  <si>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</si>
  <si>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</si>
  <si>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</si>
  <si>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Cash Flow Statements</t>
  </si>
  <si>
    <t>Cash from Operating Activities</t>
  </si>
  <si>
    <t>Cash from Investing Activities</t>
  </si>
  <si>
    <t>Cash from Financing Activities</t>
  </si>
  <si>
    <t>Gross Margin</t>
  </si>
  <si>
    <t>EBITDA Margin</t>
  </si>
  <si>
    <t>OperatingIncome%Sales</t>
  </si>
  <si>
    <t>SalesExpenses%Sales</t>
  </si>
  <si>
    <t>SalesGrowth</t>
  </si>
  <si>
    <t>EBIT Growth</t>
  </si>
  <si>
    <t>Self Sustained Growth Rate</t>
  </si>
  <si>
    <t>Retained Earnings%</t>
  </si>
  <si>
    <t>Dividend Growth</t>
  </si>
  <si>
    <t>Net Profit Growth</t>
  </si>
  <si>
    <t>EBITDA Growth</t>
  </si>
  <si>
    <t>EBIT Margin</t>
  </si>
  <si>
    <t>EBT Margin</t>
  </si>
  <si>
    <t>Net Profit Margin</t>
  </si>
  <si>
    <t>Interest Coverage Ratio</t>
  </si>
  <si>
    <t>Debtor Turnover Ratio</t>
  </si>
  <si>
    <t>Inventory Turnover</t>
  </si>
  <si>
    <t>Fixed Asset Turnover</t>
  </si>
  <si>
    <t>Debtor Days</t>
  </si>
  <si>
    <t>Creditor Turnover Ratio</t>
  </si>
  <si>
    <t>Payable Days</t>
  </si>
  <si>
    <t>Capital Turnover Ratio</t>
  </si>
  <si>
    <t>Inventory Days</t>
  </si>
  <si>
    <t>Return on Equity%</t>
  </si>
  <si>
    <t>Return on Capital Employed</t>
  </si>
  <si>
    <t>CFO/Sales</t>
  </si>
  <si>
    <t>CFO/Total Assets</t>
  </si>
  <si>
    <t>CFO/Total Debt</t>
  </si>
  <si>
    <t>Cash Conversion Cycle (in days)</t>
  </si>
  <si>
    <t>Mean</t>
  </si>
  <si>
    <t>Median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</si>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</sst>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[$-409]mmm\-yy;@"/>
    <numFmt numFmtId="165" formatCode="_(* #,##0.00_);_(* \(#,##0.00\);_(* &quot;-&quot;??_);_(@_)"/>
    <numFmt numFmtId="166" formatCode="&quot;₹&quot;\ #,##0.0;\(&quot;₹&quot;\ #,##0.0\);\-"/>
    <numFmt numFmtId="167" formatCode="&quot;₹&quot;\ #,##0.00"/>
    <numFmt numFmtId="168" formatCode="&quot;₹&quot;\ #,##0.00;\(&quot;₹&quot;\ #,##0.00\);\-"/>
    <numFmt numFmtId="169" formatCode="0.00&quot;x&quot;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/>
      <bottom style="hair">
        <color rgb="FF002060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2" fillId="0" borderId="0"/>
  </cellStyleXfs>
  <cellXfs count="48">
    <xf numFmtId="0" fontId="0" fillId="0" borderId="0" xfId="0"/>
    <xf numFmtId="43" fontId="6" fillId="0" borderId="0" xfId="2" applyFont="1" applyBorder="1"/>
    <xf numFmtId="43" fontId="8" fillId="0" borderId="0" xfId="2" applyFont="1" applyBorder="1"/>
    <xf numFmtId="0" fontId="8" fillId="0" borderId="0" xfId="5" applyFont="1"/>
    <xf numFmtId="164" fontId="10" fillId="3" borderId="0" xfId="2" applyNumberFormat="1" applyFont="1" applyFill="1" applyBorder="1"/>
    <xf numFmtId="164" fontId="10" fillId="3" borderId="0" xfId="5" applyNumberFormat="1" applyFont="1" applyFill="1" applyAlignment="1">
      <alignment horizontal="center"/>
    </xf>
    <xf numFmtId="164" fontId="11" fillId="0" borderId="0" xfId="2" applyNumberFormat="1" applyFont="1" applyFill="1" applyBorder="1"/>
    <xf numFmtId="0" fontId="5" fillId="0" borderId="0" xfId="5"/>
    <xf numFmtId="9" fontId="8" fillId="0" borderId="0" xfId="6" applyFont="1" applyBorder="1"/>
    <xf numFmtId="0" fontId="12" fillId="0" borderId="0" xfId="7"/>
    <xf numFmtId="165" fontId="8" fillId="0" borderId="0" xfId="2" applyNumberFormat="1" applyFont="1" applyBorder="1"/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0" fontId="3" fillId="0" borderId="0" xfId="0" applyFont="1"/>
    <xf numFmtId="166" fontId="0" fillId="0" borderId="0" xfId="0" applyNumberFormat="1"/>
    <xf numFmtId="10" fontId="0" fillId="0" borderId="0" xfId="1" applyNumberFormat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0" fontId="14" fillId="0" borderId="0" xfId="1" applyNumberFormat="1" applyFont="1"/>
    <xf numFmtId="167" fontId="0" fillId="0" borderId="0" xfId="0" applyNumberFormat="1"/>
    <xf numFmtId="0" fontId="2" fillId="0" borderId="0" xfId="0" applyFont="1"/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0" fontId="3" fillId="5" borderId="0" xfId="0" applyFont="1" applyFill="1"/>
    <xf numFmtId="0" fontId="0" fillId="5" borderId="0" xfId="0" applyFill="1"/>
    <xf numFmtId="166" fontId="3" fillId="0" borderId="0" xfId="0" applyNumberFormat="1" applyFont="1"/>
    <xf numFmtId="0" fontId="3" fillId="0" borderId="1" xfId="0" applyFont="1" applyBorder="1"/>
    <xf numFmtId="167" fontId="3" fillId="0" borderId="1" xfId="0" applyNumberFormat="1" applyFont="1" applyBorder="1"/>
    <xf numFmtId="166" fontId="3" fillId="0" borderId="1" xfId="0" applyNumberFormat="1" applyFont="1" applyBorder="1"/>
    <xf numFmtId="168" fontId="0" fillId="0" borderId="0" xfId="0" applyNumberFormat="1"/>
    <xf numFmtId="0" fontId="0" fillId="0" borderId="2" xfId="0" applyBorder="1"/>
    <xf numFmtId="10" fontId="0" fillId="0" borderId="2" xfId="1" applyNumberFormat="1" applyFont="1" applyBorder="1"/>
    <xf numFmtId="10" fontId="0" fillId="0" borderId="0" xfId="1" applyNumberFormat="1" applyFont="1" applyBorder="1"/>
    <xf numFmtId="0" fontId="0" fillId="0" borderId="3" xfId="0" applyBorder="1"/>
    <xf numFmtId="10" fontId="0" fillId="0" borderId="3" xfId="1" applyNumberFormat="1" applyFont="1" applyBorder="1"/>
    <xf numFmtId="10" fontId="0" fillId="0" borderId="3" xfId="0" applyNumberFormat="1" applyBorder="1"/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/>
    <xf numFmtId="1" fontId="0" fillId="0" borderId="2" xfId="0" applyNumberFormat="1" applyBorder="1"/>
    <xf numFmtId="1" fontId="0" fillId="0" borderId="0" xfId="0" applyNumberFormat="1"/>
    <xf numFmtId="1" fontId="0" fillId="0" borderId="3" xfId="0" applyNumberFormat="1" applyBorder="1"/>
    <xf numFmtId="17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7" fillId="0" borderId="0" xfId="3" applyNumberFormat="1" applyFont="1" applyBorder="1" applyAlignment="1" applyProtection="1">
      <alignment horizontal="center"/>
    </xf>
    <xf numFmtId="43" fontId="10" fillId="2" borderId="0" xfId="4" applyNumberFormat="1" applyFont="1" applyBorder="1" applyAlignment="1">
      <alignment horizontal="center"/>
    </xf>
  </cellXfs>
  <cellStyles count="8">
    <cellStyle name="Accent6 2" xfId="4" xr:uid="{BBDB2BF0-232B-4C01-AC19-E13AE7790424}"/>
    <cellStyle name="Comma 2" xfId="2" xr:uid="{177753BF-8FC0-47C2-A09D-659D00B32ED6}"/>
    <cellStyle name="Hyperlink 2" xfId="3" xr:uid="{7C8B96FE-EF46-46CA-837F-CBE11AA9368D}"/>
    <cellStyle name="Normal" xfId="0" builtinId="0"/>
    <cellStyle name="Normal 2" xfId="7" xr:uid="{2080FAEF-89A5-4CB3-B948-0E63B4C07C78}"/>
    <cellStyle name="Normal 3" xfId="5" xr:uid="{D9D406C4-520E-4DB0-A06B-D346019C8727}"/>
    <cellStyle name="Percent" xfId="1" builtinId="5"/>
    <cellStyle name="Percent 3" xfId="6" xr:uid="{7B1B12B2-B1C6-4898-946F-9C0F047CCCB8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A6F-FAE9-493F-95C8-EA88CC872622}">
  <sheetPr>
    <tabColor theme="8" tint="-0.499984740745262"/>
  </sheetPr>
  <dimension ref="A1"/>
  <sheetViews>
    <sheetView showGridLines="0" workbookViewId="0">
      <selection activeCell="F22" sqref="F2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5E12-E142-48AD-908C-A9ADB1403414}">
  <dimension ref="A2:M76"/>
  <sheetViews>
    <sheetView showGridLines="0" zoomScale="90" zoomScaleNormal="90" workbookViewId="0">
      <pane ySplit="3" topLeftCell="A43" activePane="bottomLeft" state="frozen"/>
      <selection pane="bottomLeft" activeCell="L18" sqref="L18"/>
    </sheetView>
  </sheetViews>
  <sheetFormatPr defaultRowHeight="14.4" x14ac:dyDescent="0.3"/>
  <cols>
    <col min="1" max="1" width="1.88671875" customWidth="1"/>
    <col min="2" max="2" width="28.44140625" bestFit="1" customWidth="1"/>
    <col min="3" max="13" width="13" customWidth="1"/>
  </cols>
  <sheetData>
    <row r="2" spans="1:13" x14ac:dyDescent="0.3">
      <c r="B2" s="45" t="str">
        <f>"Historical Financial Statement - "&amp;'Data Sheet'!B1</f>
        <v>Historical Financial Statement - VEDANTA LTD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11" t="s">
        <v>56</v>
      </c>
      <c r="C3" s="12">
        <f>'Data Sheet'!B16</f>
        <v>42094</v>
      </c>
      <c r="D3" s="12">
        <f>'Data Sheet'!C16</f>
        <v>42460</v>
      </c>
      <c r="E3" s="12">
        <f>'Data Sheet'!D16</f>
        <v>42825</v>
      </c>
      <c r="F3" s="12">
        <f>'Data Sheet'!E16</f>
        <v>43190</v>
      </c>
      <c r="G3" s="12">
        <f>'Data Sheet'!F16</f>
        <v>43555</v>
      </c>
      <c r="H3" s="12">
        <f>'Data Sheet'!G16</f>
        <v>43921</v>
      </c>
      <c r="I3" s="12">
        <f>'Data Sheet'!H16</f>
        <v>44286</v>
      </c>
      <c r="J3" s="12">
        <f>'Data Sheet'!I16</f>
        <v>44651</v>
      </c>
      <c r="K3" s="12">
        <f>'Data Sheet'!J16</f>
        <v>45016</v>
      </c>
      <c r="L3" s="12">
        <f>'Data Sheet'!K16</f>
        <v>45382</v>
      </c>
      <c r="M3" s="13" t="s">
        <v>57</v>
      </c>
    </row>
    <row r="4" spans="1:13" x14ac:dyDescent="0.3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x14ac:dyDescent="0.3">
      <c r="A5" t="s">
        <v>59</v>
      </c>
      <c r="B5" s="25" t="s">
        <v>58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x14ac:dyDescent="0.3">
      <c r="B6" t="s">
        <v>12</v>
      </c>
      <c r="C6" s="15">
        <f>IFERROR('Data Sheet'!B17,0)</f>
        <v>73709.5</v>
      </c>
      <c r="D6" s="15">
        <f>IFERROR('Data Sheet'!C17,0)</f>
        <v>64261.760000000002</v>
      </c>
      <c r="E6" s="15">
        <f>IFERROR('Data Sheet'!D17,0)</f>
        <v>72225</v>
      </c>
      <c r="F6" s="15">
        <f>IFERROR('Data Sheet'!E17,0)</f>
        <v>91866</v>
      </c>
      <c r="G6" s="15">
        <f>IFERROR('Data Sheet'!F17,0)</f>
        <v>92048</v>
      </c>
      <c r="H6" s="15">
        <f>IFERROR('Data Sheet'!G17,0)</f>
        <v>84447</v>
      </c>
      <c r="I6" s="15">
        <f>IFERROR('Data Sheet'!H17,0)</f>
        <v>88021</v>
      </c>
      <c r="J6" s="15">
        <f>IFERROR('Data Sheet'!I17,0)</f>
        <v>132732</v>
      </c>
      <c r="K6" s="15">
        <f>IFERROR('Data Sheet'!J17,0)</f>
        <v>147308</v>
      </c>
      <c r="L6" s="15">
        <f>IFERROR('Data Sheet'!K17,0)</f>
        <v>143727</v>
      </c>
      <c r="M6" s="15">
        <f>IFERROR(SUM('Data Sheet'!H42:K42),0)</f>
        <v>143728</v>
      </c>
    </row>
    <row r="7" spans="1:13" x14ac:dyDescent="0.3">
      <c r="B7" s="18" t="s">
        <v>60</v>
      </c>
      <c r="C7" s="19" t="s">
        <v>61</v>
      </c>
      <c r="D7" s="20">
        <f>D6/C6-1</f>
        <v>-0.12817533696470607</v>
      </c>
      <c r="E7" s="20">
        <f t="shared" ref="E7:M7" si="0">E6/D6-1</f>
        <v>0.12391879711978016</v>
      </c>
      <c r="F7" s="20">
        <f t="shared" si="0"/>
        <v>0.27194184839044655</v>
      </c>
      <c r="G7" s="20">
        <f t="shared" si="0"/>
        <v>1.9811464524415179E-3</v>
      </c>
      <c r="H7" s="20">
        <f t="shared" si="0"/>
        <v>-8.2576481835564097E-2</v>
      </c>
      <c r="I7" s="20">
        <f t="shared" si="0"/>
        <v>4.2322403400949726E-2</v>
      </c>
      <c r="J7" s="20">
        <f t="shared" si="0"/>
        <v>0.50795832812624253</v>
      </c>
      <c r="K7" s="20">
        <f t="shared" si="0"/>
        <v>0.10981526685350929</v>
      </c>
      <c r="L7" s="20">
        <f t="shared" si="0"/>
        <v>-2.4309609797159681E-2</v>
      </c>
      <c r="M7" s="20">
        <f t="shared" si="0"/>
        <v>6.9576349606137455E-6</v>
      </c>
    </row>
    <row r="9" spans="1:13" x14ac:dyDescent="0.3">
      <c r="B9" t="s">
        <v>62</v>
      </c>
      <c r="C9" s="15">
        <f>IFERROR(SUM('Data Sheet'!B18,'Data Sheet'!B20:B22)-1*'Data Sheet'!B19,0)</f>
        <v>40700.499999999993</v>
      </c>
      <c r="D9" s="15">
        <f>IFERROR(SUM('Data Sheet'!C18,'Data Sheet'!C20:C22)-1*'Data Sheet'!C19,0)</f>
        <v>38990.43</v>
      </c>
      <c r="E9" s="15">
        <f>IFERROR(SUM('Data Sheet'!D18,'Data Sheet'!D20:D22)-1*'Data Sheet'!D19,0)</f>
        <v>40555</v>
      </c>
      <c r="F9" s="15">
        <f>IFERROR(SUM('Data Sheet'!E18,'Data Sheet'!E20:E22)-1*'Data Sheet'!E19,0)</f>
        <v>54817</v>
      </c>
      <c r="G9" s="15">
        <f>IFERROR(SUM('Data Sheet'!F18,'Data Sheet'!F20:F22)-1*'Data Sheet'!F19,0)</f>
        <v>55799</v>
      </c>
      <c r="H9" s="15">
        <f>IFERROR(SUM('Data Sheet'!G18,'Data Sheet'!G20:G22)-1*'Data Sheet'!G19,0)</f>
        <v>51025</v>
      </c>
      <c r="I9" s="15">
        <f>IFERROR(SUM('Data Sheet'!H18,'Data Sheet'!H20:H22)-1*'Data Sheet'!H19,0)</f>
        <v>48947</v>
      </c>
      <c r="J9" s="15">
        <f>IFERROR(SUM('Data Sheet'!I18,'Data Sheet'!I20:I22)-1*'Data Sheet'!I19,0)</f>
        <v>71449</v>
      </c>
      <c r="K9" s="15">
        <f>IFERROR(SUM('Data Sheet'!J18,'Data Sheet'!J20:J22)-1*'Data Sheet'!J19,0)</f>
        <v>95372</v>
      </c>
      <c r="L9" s="15">
        <f>IFERROR(SUM('Data Sheet'!K18,'Data Sheet'!K20:K22)-1*'Data Sheet'!K19,0)</f>
        <v>88313</v>
      </c>
      <c r="M9" s="15">
        <f>IFERROR(SUM('Data Sheet'!H43:K43),0)</f>
        <v>108530</v>
      </c>
    </row>
    <row r="10" spans="1:13" x14ac:dyDescent="0.3">
      <c r="B10" s="18" t="s">
        <v>63</v>
      </c>
      <c r="C10" s="20">
        <f>C9/C6</f>
        <v>0.55217441442419213</v>
      </c>
      <c r="D10" s="20">
        <f t="shared" ref="D10:M10" si="1">D9/D6</f>
        <v>0.60674388625521614</v>
      </c>
      <c r="E10" s="20">
        <f t="shared" si="1"/>
        <v>0.56150917272412604</v>
      </c>
      <c r="F10" s="20">
        <f t="shared" si="1"/>
        <v>0.59670607188731417</v>
      </c>
      <c r="G10" s="20">
        <f t="shared" si="1"/>
        <v>0.60619459412480448</v>
      </c>
      <c r="H10" s="20">
        <f t="shared" si="1"/>
        <v>0.60422513529195832</v>
      </c>
      <c r="I10" s="20">
        <f t="shared" si="1"/>
        <v>0.55608320741641204</v>
      </c>
      <c r="J10" s="20">
        <f t="shared" si="1"/>
        <v>0.53829521140342951</v>
      </c>
      <c r="K10" s="20">
        <f t="shared" si="1"/>
        <v>0.64743259021913269</v>
      </c>
      <c r="L10" s="20">
        <f t="shared" si="1"/>
        <v>0.61444961628643191</v>
      </c>
      <c r="M10" s="20">
        <f t="shared" si="1"/>
        <v>0.75510686852944453</v>
      </c>
    </row>
    <row r="12" spans="1:13" x14ac:dyDescent="0.3">
      <c r="B12" s="28" t="s">
        <v>64</v>
      </c>
      <c r="C12" s="29">
        <f>C6-C9</f>
        <v>33009.000000000007</v>
      </c>
      <c r="D12" s="29">
        <f t="shared" ref="D12:M12" si="2">D6-D9</f>
        <v>25271.33</v>
      </c>
      <c r="E12" s="29">
        <f t="shared" si="2"/>
        <v>31670</v>
      </c>
      <c r="F12" s="29">
        <f t="shared" si="2"/>
        <v>37049</v>
      </c>
      <c r="G12" s="29">
        <f t="shared" si="2"/>
        <v>36249</v>
      </c>
      <c r="H12" s="29">
        <f t="shared" si="2"/>
        <v>33422</v>
      </c>
      <c r="I12" s="29">
        <f t="shared" si="2"/>
        <v>39074</v>
      </c>
      <c r="J12" s="29">
        <f t="shared" si="2"/>
        <v>61283</v>
      </c>
      <c r="K12" s="29">
        <f t="shared" si="2"/>
        <v>51936</v>
      </c>
      <c r="L12" s="29">
        <f t="shared" si="2"/>
        <v>55414</v>
      </c>
      <c r="M12" s="29">
        <f t="shared" si="2"/>
        <v>35198</v>
      </c>
    </row>
    <row r="13" spans="1:13" x14ac:dyDescent="0.3">
      <c r="B13" s="18" t="s">
        <v>70</v>
      </c>
      <c r="C13" s="20">
        <f>C12/C6</f>
        <v>0.44782558557580782</v>
      </c>
      <c r="D13" s="20">
        <f t="shared" ref="D13:M13" si="3">D12/D6</f>
        <v>0.39325611374478386</v>
      </c>
      <c r="E13" s="20">
        <f t="shared" si="3"/>
        <v>0.43849082727587402</v>
      </c>
      <c r="F13" s="20">
        <f t="shared" si="3"/>
        <v>0.40329392811268588</v>
      </c>
      <c r="G13" s="20">
        <f t="shared" si="3"/>
        <v>0.39380540587519552</v>
      </c>
      <c r="H13" s="20">
        <f t="shared" si="3"/>
        <v>0.39577486470804174</v>
      </c>
      <c r="I13" s="20">
        <f t="shared" si="3"/>
        <v>0.44391679258358802</v>
      </c>
      <c r="J13" s="20">
        <f t="shared" si="3"/>
        <v>0.46170478859657055</v>
      </c>
      <c r="K13" s="20">
        <f t="shared" si="3"/>
        <v>0.35256740978086731</v>
      </c>
      <c r="L13" s="20">
        <f t="shared" si="3"/>
        <v>0.38555038371356809</v>
      </c>
      <c r="M13" s="20">
        <f t="shared" si="3"/>
        <v>0.2448931314705555</v>
      </c>
    </row>
    <row r="15" spans="1:13" x14ac:dyDescent="0.3">
      <c r="B15" t="s">
        <v>65</v>
      </c>
      <c r="C15" s="21">
        <f>IFERROR(SUM('Data Sheet'!B23:B24),0)</f>
        <v>10894.64</v>
      </c>
      <c r="D15" s="21">
        <f>IFERROR(SUM('Data Sheet'!C23:C24),0)</f>
        <v>43750.75</v>
      </c>
      <c r="E15" s="21">
        <f>IFERROR(SUM('Data Sheet'!D23:D24),0)</f>
        <v>10294</v>
      </c>
      <c r="F15" s="21">
        <f>IFERROR(SUM('Data Sheet'!E23:E24),0)</f>
        <v>12172</v>
      </c>
      <c r="G15" s="21">
        <f>IFERROR(SUM('Data Sheet'!F23:F24),0)</f>
        <v>13078</v>
      </c>
      <c r="H15" s="21">
        <f>IFERROR(SUM('Data Sheet'!G23:G24),0)</f>
        <v>12679</v>
      </c>
      <c r="I15" s="21">
        <f>IFERROR(SUM('Data Sheet'!H23:H24),0)</f>
        <v>11756</v>
      </c>
      <c r="J15" s="21">
        <f>IFERROR(SUM('Data Sheet'!I23:I24),0)</f>
        <v>16459</v>
      </c>
      <c r="K15" s="21">
        <f>IFERROR(SUM('Data Sheet'!J23:J24),0)</f>
        <v>17505</v>
      </c>
      <c r="L15" s="21">
        <f>IFERROR(SUM('Data Sheet'!K23:K24),0)</f>
        <v>20102</v>
      </c>
      <c r="M15" s="21"/>
    </row>
    <row r="16" spans="1:13" x14ac:dyDescent="0.3">
      <c r="B16" s="18" t="s">
        <v>66</v>
      </c>
      <c r="C16" s="20">
        <f>C15/C6</f>
        <v>0.14780509974969305</v>
      </c>
      <c r="D16" s="20">
        <f t="shared" ref="D16:M16" si="4">D15/D6</f>
        <v>0.68082091122309751</v>
      </c>
      <c r="E16" s="20">
        <f t="shared" si="4"/>
        <v>0.14252682589131188</v>
      </c>
      <c r="F16" s="20">
        <f t="shared" si="4"/>
        <v>0.13249733307208325</v>
      </c>
      <c r="G16" s="20">
        <f t="shared" si="4"/>
        <v>0.14207804623674605</v>
      </c>
      <c r="H16" s="20">
        <f t="shared" si="4"/>
        <v>0.1501415088753893</v>
      </c>
      <c r="I16" s="20">
        <f t="shared" si="4"/>
        <v>0.1335590370479772</v>
      </c>
      <c r="J16" s="20">
        <f t="shared" si="4"/>
        <v>0.12400174788295211</v>
      </c>
      <c r="K16" s="20">
        <f t="shared" si="4"/>
        <v>0.11883264995791132</v>
      </c>
      <c r="L16" s="20">
        <f t="shared" si="4"/>
        <v>0.13986237798047688</v>
      </c>
      <c r="M16" s="20">
        <f t="shared" si="4"/>
        <v>0</v>
      </c>
    </row>
    <row r="18" spans="2:13" x14ac:dyDescent="0.3">
      <c r="B18" s="28" t="s">
        <v>28</v>
      </c>
      <c r="C18" s="29">
        <f t="shared" ref="C18:L18" si="5">C12-C15</f>
        <v>22114.360000000008</v>
      </c>
      <c r="D18" s="29">
        <f t="shared" si="5"/>
        <v>-18479.419999999998</v>
      </c>
      <c r="E18" s="29">
        <f t="shared" si="5"/>
        <v>21376</v>
      </c>
      <c r="F18" s="29">
        <f t="shared" si="5"/>
        <v>24877</v>
      </c>
      <c r="G18" s="29">
        <f t="shared" si="5"/>
        <v>23171</v>
      </c>
      <c r="H18" s="29">
        <f t="shared" si="5"/>
        <v>20743</v>
      </c>
      <c r="I18" s="29">
        <f t="shared" si="5"/>
        <v>27318</v>
      </c>
      <c r="J18" s="29">
        <f t="shared" si="5"/>
        <v>44824</v>
      </c>
      <c r="K18" s="29">
        <f t="shared" si="5"/>
        <v>34431</v>
      </c>
      <c r="L18" s="29">
        <f t="shared" si="5"/>
        <v>35312</v>
      </c>
      <c r="M18" s="29">
        <f>IFERROR(SUM('Data Sheet'!H51:K51),0)</f>
        <v>37254</v>
      </c>
    </row>
    <row r="19" spans="2:13" x14ac:dyDescent="0.3">
      <c r="B19" s="18" t="s">
        <v>67</v>
      </c>
      <c r="C19" s="20">
        <f>C18/C6</f>
        <v>0.30002048582611479</v>
      </c>
      <c r="D19" s="20">
        <f t="shared" ref="D19:M19" si="6">D18/D6</f>
        <v>-0.28756479747831365</v>
      </c>
      <c r="E19" s="20">
        <f t="shared" si="6"/>
        <v>0.29596400138456214</v>
      </c>
      <c r="F19" s="20">
        <f t="shared" si="6"/>
        <v>0.27079659504060261</v>
      </c>
      <c r="G19" s="20">
        <f t="shared" si="6"/>
        <v>0.2517273596384495</v>
      </c>
      <c r="H19" s="20">
        <f t="shared" si="6"/>
        <v>0.24563335583265244</v>
      </c>
      <c r="I19" s="20">
        <f t="shared" si="6"/>
        <v>0.31035775553561085</v>
      </c>
      <c r="J19" s="20">
        <f t="shared" si="6"/>
        <v>0.3377030407136184</v>
      </c>
      <c r="K19" s="20">
        <f t="shared" si="6"/>
        <v>0.233734759822956</v>
      </c>
      <c r="L19" s="20">
        <f t="shared" si="6"/>
        <v>0.24568800573309121</v>
      </c>
      <c r="M19" s="20">
        <f t="shared" si="6"/>
        <v>0.25919792942224201</v>
      </c>
    </row>
    <row r="21" spans="2:13" x14ac:dyDescent="0.3">
      <c r="B21" t="s">
        <v>22</v>
      </c>
      <c r="C21" s="21">
        <f>IFERROR('Data Sheet'!B27,0)</f>
        <v>5658.78</v>
      </c>
      <c r="D21" s="21">
        <f>IFERROR('Data Sheet'!C27,0)</f>
        <v>5778.13</v>
      </c>
      <c r="E21" s="21">
        <f>IFERROR('Data Sheet'!D27,0)</f>
        <v>5855</v>
      </c>
      <c r="F21" s="21">
        <f>IFERROR('Data Sheet'!E27,0)</f>
        <v>5112</v>
      </c>
      <c r="G21" s="21">
        <f>IFERROR('Data Sheet'!F27,0)</f>
        <v>5689</v>
      </c>
      <c r="H21" s="21">
        <f>IFERROR('Data Sheet'!G27,0)</f>
        <v>4977</v>
      </c>
      <c r="I21" s="21">
        <f>IFERROR('Data Sheet'!H27,0)</f>
        <v>5210</v>
      </c>
      <c r="J21" s="21">
        <f>IFERROR('Data Sheet'!I27,0)</f>
        <v>4797</v>
      </c>
      <c r="K21" s="21">
        <f>IFERROR('Data Sheet'!J27,0)</f>
        <v>6225</v>
      </c>
      <c r="L21" s="21">
        <f>IFERROR('Data Sheet'!K27,0)</f>
        <v>9465</v>
      </c>
      <c r="M21" s="21">
        <f>IFERROR(SUM('Data Sheet'!H46:K46),0)</f>
        <v>9465</v>
      </c>
    </row>
    <row r="22" spans="2:13" x14ac:dyDescent="0.3">
      <c r="B22" s="18" t="s">
        <v>68</v>
      </c>
      <c r="C22" s="20">
        <f>C21/C6</f>
        <v>7.6771379537237394E-2</v>
      </c>
      <c r="D22" s="20">
        <f t="shared" ref="D22:M22" si="7">D21/D6</f>
        <v>8.9915526745610458E-2</v>
      </c>
      <c r="E22" s="20">
        <f t="shared" si="7"/>
        <v>8.1066112841813781E-2</v>
      </c>
      <c r="F22" s="20">
        <f t="shared" si="7"/>
        <v>5.5646267389458562E-2</v>
      </c>
      <c r="G22" s="20">
        <f t="shared" si="7"/>
        <v>6.1804710585781332E-2</v>
      </c>
      <c r="H22" s="20">
        <f t="shared" si="7"/>
        <v>5.8936374293935841E-2</v>
      </c>
      <c r="I22" s="20">
        <f t="shared" si="7"/>
        <v>5.9190420467842904E-2</v>
      </c>
      <c r="J22" s="20">
        <f t="shared" si="7"/>
        <v>3.6140493626254405E-2</v>
      </c>
      <c r="K22" s="20">
        <f t="shared" si="7"/>
        <v>4.2258397371493742E-2</v>
      </c>
      <c r="L22" s="20">
        <f t="shared" si="7"/>
        <v>6.5854014903254085E-2</v>
      </c>
      <c r="M22" s="20">
        <f t="shared" si="7"/>
        <v>6.5853556718245582E-2</v>
      </c>
    </row>
    <row r="24" spans="2:13" x14ac:dyDescent="0.3">
      <c r="B24" t="s">
        <v>21</v>
      </c>
      <c r="C24" s="21">
        <f>IFERROR('Data Sheet'!B26,0)</f>
        <v>7159.16</v>
      </c>
      <c r="D24" s="21">
        <f>IFERROR('Data Sheet'!C26,0)</f>
        <v>8572.44</v>
      </c>
      <c r="E24" s="21">
        <f>IFERROR('Data Sheet'!D26,0)</f>
        <v>6292</v>
      </c>
      <c r="F24" s="21">
        <f>IFERROR('Data Sheet'!E26,0)</f>
        <v>6283</v>
      </c>
      <c r="G24" s="21">
        <f>IFERROR('Data Sheet'!F26,0)</f>
        <v>8192</v>
      </c>
      <c r="H24" s="21">
        <f>IFERROR('Data Sheet'!G26,0)</f>
        <v>9093</v>
      </c>
      <c r="I24" s="21">
        <f>IFERROR('Data Sheet'!H26,0)</f>
        <v>7638</v>
      </c>
      <c r="J24" s="21">
        <f>IFERROR('Data Sheet'!I26,0)</f>
        <v>8895</v>
      </c>
      <c r="K24" s="21">
        <f>IFERROR('Data Sheet'!J26,0)</f>
        <v>10555</v>
      </c>
      <c r="L24" s="21">
        <f>IFERROR('Data Sheet'!K26,0)</f>
        <v>10723</v>
      </c>
      <c r="M24" s="21">
        <f>IFERROR(SUM('Data Sheet'!H45:K45),0)</f>
        <v>10723</v>
      </c>
    </row>
    <row r="25" spans="2:13" x14ac:dyDescent="0.3">
      <c r="B25" s="18" t="s">
        <v>69</v>
      </c>
      <c r="C25" s="20">
        <f>C24/C6</f>
        <v>9.712669330276287E-2</v>
      </c>
      <c r="D25" s="20">
        <f t="shared" ref="D25:M25" si="8">D24/D6</f>
        <v>0.1333987740142816</v>
      </c>
      <c r="E25" s="20">
        <f t="shared" si="8"/>
        <v>8.7116649359640017E-2</v>
      </c>
      <c r="F25" s="20">
        <f t="shared" si="8"/>
        <v>6.8393094289508627E-2</v>
      </c>
      <c r="G25" s="20">
        <f t="shared" si="8"/>
        <v>8.8997045019989576E-2</v>
      </c>
      <c r="H25" s="20">
        <f t="shared" si="8"/>
        <v>0.10767700451170557</v>
      </c>
      <c r="I25" s="20">
        <f t="shared" si="8"/>
        <v>8.6774746935390418E-2</v>
      </c>
      <c r="J25" s="20">
        <f t="shared" si="8"/>
        <v>6.7014736461441099E-2</v>
      </c>
      <c r="K25" s="20">
        <f t="shared" si="8"/>
        <v>7.1652591848372124E-2</v>
      </c>
      <c r="L25" s="20">
        <f t="shared" si="8"/>
        <v>7.4606719683845066E-2</v>
      </c>
      <c r="M25" s="20">
        <f t="shared" si="8"/>
        <v>7.4606200601135472E-2</v>
      </c>
    </row>
    <row r="27" spans="2:13" x14ac:dyDescent="0.3">
      <c r="B27" s="28" t="s">
        <v>71</v>
      </c>
      <c r="C27" s="29">
        <f>IFERROR(C18-SUM(C24,C21),0)</f>
        <v>9296.4200000000092</v>
      </c>
      <c r="D27" s="29">
        <f t="shared" ref="D27:M27" si="9">IFERROR(D18-SUM(D24,D21),0)</f>
        <v>-32829.99</v>
      </c>
      <c r="E27" s="29">
        <f t="shared" si="9"/>
        <v>9229</v>
      </c>
      <c r="F27" s="29">
        <f t="shared" si="9"/>
        <v>13482</v>
      </c>
      <c r="G27" s="29">
        <f t="shared" si="9"/>
        <v>9290</v>
      </c>
      <c r="H27" s="29">
        <f t="shared" si="9"/>
        <v>6673</v>
      </c>
      <c r="I27" s="30">
        <f t="shared" si="9"/>
        <v>14470</v>
      </c>
      <c r="J27" s="30">
        <f t="shared" si="9"/>
        <v>31132</v>
      </c>
      <c r="K27" s="30">
        <f t="shared" si="9"/>
        <v>17651</v>
      </c>
      <c r="L27" s="30">
        <f t="shared" si="9"/>
        <v>15124</v>
      </c>
      <c r="M27" s="30">
        <f t="shared" si="9"/>
        <v>17066</v>
      </c>
    </row>
    <row r="28" spans="2:13" x14ac:dyDescent="0.3">
      <c r="B28" s="18" t="s">
        <v>72</v>
      </c>
      <c r="C28" s="20">
        <f>C27/C6</f>
        <v>0.12612241298611454</v>
      </c>
      <c r="D28" s="20">
        <f t="shared" ref="D28:M28" si="10">D27/D6</f>
        <v>-0.51087909823820565</v>
      </c>
      <c r="E28" s="20">
        <f t="shared" si="10"/>
        <v>0.12778123918310835</v>
      </c>
      <c r="F28" s="20">
        <f t="shared" si="10"/>
        <v>0.14675723336163543</v>
      </c>
      <c r="G28" s="20">
        <f t="shared" si="10"/>
        <v>0.1009256040326786</v>
      </c>
      <c r="H28" s="20">
        <f t="shared" si="10"/>
        <v>7.9019977027011024E-2</v>
      </c>
      <c r="I28" s="20">
        <f t="shared" si="10"/>
        <v>0.1643925881323775</v>
      </c>
      <c r="J28" s="20">
        <f t="shared" si="10"/>
        <v>0.23454781062592292</v>
      </c>
      <c r="K28" s="20">
        <f t="shared" si="10"/>
        <v>0.11982377060309013</v>
      </c>
      <c r="L28" s="20">
        <f t="shared" si="10"/>
        <v>0.10522727114599205</v>
      </c>
      <c r="M28" s="20">
        <f t="shared" si="10"/>
        <v>0.11873817210286096</v>
      </c>
    </row>
    <row r="30" spans="2:13" x14ac:dyDescent="0.3">
      <c r="B30" t="s">
        <v>24</v>
      </c>
      <c r="C30" s="15">
        <f>IFERROR('Data Sheet'!B29,0)</f>
        <v>1448.36</v>
      </c>
      <c r="D30" s="15">
        <f>IFERROR('Data Sheet'!C29,0)</f>
        <v>-10677.55</v>
      </c>
      <c r="E30" s="15">
        <f>IFERROR('Data Sheet'!D29,0)</f>
        <v>2333</v>
      </c>
      <c r="F30" s="15">
        <f>IFERROR('Data Sheet'!E29,0)</f>
        <v>5877</v>
      </c>
      <c r="G30" s="15">
        <f>IFERROR('Data Sheet'!F29,0)</f>
        <v>3862</v>
      </c>
      <c r="H30" s="15">
        <f>IFERROR('Data Sheet'!G29,0)</f>
        <v>-3516</v>
      </c>
      <c r="I30" s="15">
        <f>IFERROR('Data Sheet'!H29,0)</f>
        <v>2180</v>
      </c>
      <c r="J30" s="15">
        <f>IFERROR('Data Sheet'!I29,0)</f>
        <v>9255</v>
      </c>
      <c r="K30" s="15">
        <f>IFERROR('Data Sheet'!J29,0)</f>
        <v>5770</v>
      </c>
      <c r="L30" s="15">
        <f>IFERROR('Data Sheet'!K29,0)</f>
        <v>12826</v>
      </c>
      <c r="M30" s="15">
        <f>IFERROR(SUM('Data Sheet'!H48:K48),0)</f>
        <v>12827</v>
      </c>
    </row>
    <row r="31" spans="2:13" x14ac:dyDescent="0.3">
      <c r="B31" s="18" t="s">
        <v>27</v>
      </c>
      <c r="C31" s="20">
        <f>C30/C27</f>
        <v>0.15579760811150942</v>
      </c>
      <c r="D31" s="20">
        <f t="shared" ref="D31:M31" si="11">D30/D27</f>
        <v>0.32523768663956337</v>
      </c>
      <c r="E31" s="20">
        <f t="shared" si="11"/>
        <v>0.2527901181059703</v>
      </c>
      <c r="F31" s="20">
        <f t="shared" si="11"/>
        <v>0.43591455273698265</v>
      </c>
      <c r="G31" s="20">
        <f t="shared" si="11"/>
        <v>0.41571582346609259</v>
      </c>
      <c r="H31" s="20">
        <f t="shared" si="11"/>
        <v>-0.52689944552674961</v>
      </c>
      <c r="I31" s="20">
        <f t="shared" si="11"/>
        <v>0.15065653075328264</v>
      </c>
      <c r="J31" s="20">
        <f t="shared" si="11"/>
        <v>0.29728253886676087</v>
      </c>
      <c r="K31" s="20">
        <f t="shared" si="11"/>
        <v>0.32689366041584045</v>
      </c>
      <c r="L31" s="20">
        <f t="shared" si="11"/>
        <v>0.84805606982279824</v>
      </c>
      <c r="M31" s="20">
        <f t="shared" si="11"/>
        <v>0.75161139106996366</v>
      </c>
    </row>
    <row r="33" spans="1:13" x14ac:dyDescent="0.3">
      <c r="B33" s="28" t="s">
        <v>73</v>
      </c>
      <c r="C33" s="30">
        <f>IFERROR(C27-C30,0)</f>
        <v>7848.0600000000095</v>
      </c>
      <c r="D33" s="30">
        <f t="shared" ref="D33:M33" si="12">IFERROR(D27-D30,0)</f>
        <v>-22152.44</v>
      </c>
      <c r="E33" s="30">
        <f t="shared" si="12"/>
        <v>6896</v>
      </c>
      <c r="F33" s="30">
        <f t="shared" si="12"/>
        <v>7605</v>
      </c>
      <c r="G33" s="30">
        <f t="shared" si="12"/>
        <v>5428</v>
      </c>
      <c r="H33" s="30">
        <f t="shared" si="12"/>
        <v>10189</v>
      </c>
      <c r="I33" s="30">
        <f t="shared" si="12"/>
        <v>12290</v>
      </c>
      <c r="J33" s="30">
        <f t="shared" si="12"/>
        <v>21877</v>
      </c>
      <c r="K33" s="30">
        <f t="shared" si="12"/>
        <v>11881</v>
      </c>
      <c r="L33" s="30">
        <f t="shared" si="12"/>
        <v>2298</v>
      </c>
      <c r="M33" s="30">
        <f t="shared" si="12"/>
        <v>4239</v>
      </c>
    </row>
    <row r="34" spans="1:13" x14ac:dyDescent="0.3">
      <c r="B34" s="18" t="s">
        <v>74</v>
      </c>
      <c r="C34" s="20">
        <f>C33/C6</f>
        <v>0.10647284271362592</v>
      </c>
      <c r="D34" s="20">
        <f t="shared" ref="D34:M34" si="13">D33/D6</f>
        <v>-0.34472196217470541</v>
      </c>
      <c r="E34" s="20">
        <f t="shared" si="13"/>
        <v>9.5479404638283139E-2</v>
      </c>
      <c r="F34" s="20">
        <f t="shared" si="13"/>
        <v>8.2783619619881135E-2</v>
      </c>
      <c r="G34" s="20">
        <f t="shared" si="13"/>
        <v>5.8969233443420824E-2</v>
      </c>
      <c r="H34" s="20">
        <f t="shared" si="13"/>
        <v>0.12065555910807962</v>
      </c>
      <c r="I34" s="20">
        <f t="shared" si="13"/>
        <v>0.13962577112280025</v>
      </c>
      <c r="J34" s="20">
        <f t="shared" si="13"/>
        <v>0.16482084199740832</v>
      </c>
      <c r="K34" s="20">
        <f t="shared" si="13"/>
        <v>8.0654139625818008E-2</v>
      </c>
      <c r="L34" s="20">
        <f t="shared" si="13"/>
        <v>1.5988645139744097E-2</v>
      </c>
      <c r="M34" s="20">
        <f t="shared" si="13"/>
        <v>2.949320939552488E-2</v>
      </c>
    </row>
    <row r="36" spans="1:13" x14ac:dyDescent="0.3">
      <c r="B36" t="s">
        <v>75</v>
      </c>
      <c r="C36">
        <f>IFERROR('Data Sheet'!B93,0)</f>
        <v>296.47000000000003</v>
      </c>
      <c r="D36">
        <f>IFERROR('Data Sheet'!C93,0)</f>
        <v>296.47000000000003</v>
      </c>
      <c r="E36">
        <f>IFERROR('Data Sheet'!D93,0)</f>
        <v>296.47000000000003</v>
      </c>
      <c r="F36">
        <f>IFERROR('Data Sheet'!E93,0)</f>
        <v>371.72</v>
      </c>
      <c r="G36">
        <f>IFERROR('Data Sheet'!F93,0)</f>
        <v>371.72</v>
      </c>
      <c r="H36">
        <f>IFERROR('Data Sheet'!G93,0)</f>
        <v>371.72</v>
      </c>
      <c r="I36">
        <f>IFERROR('Data Sheet'!H93,0)</f>
        <v>371.72</v>
      </c>
      <c r="J36">
        <f>IFERROR('Data Sheet'!I93,0)</f>
        <v>371.72</v>
      </c>
      <c r="K36">
        <f>IFERROR('Data Sheet'!J93,0)</f>
        <v>371.72</v>
      </c>
      <c r="L36">
        <f>IFERROR('Data Sheet'!K93,0)</f>
        <v>371.72</v>
      </c>
      <c r="M36">
        <f>L36</f>
        <v>371.72</v>
      </c>
    </row>
    <row r="37" spans="1:13" x14ac:dyDescent="0.3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3">
      <c r="B38" t="s">
        <v>77</v>
      </c>
      <c r="C38" s="21">
        <f>IFERROR(C33/C36,0)</f>
        <v>26.471683475562482</v>
      </c>
      <c r="D38" s="21">
        <f t="shared" ref="D38:M38" si="14">IFERROR(D33/D36,0)</f>
        <v>-74.720680001349194</v>
      </c>
      <c r="E38" s="21">
        <f t="shared" si="14"/>
        <v>23.26036361183256</v>
      </c>
      <c r="F38" s="21">
        <f t="shared" si="14"/>
        <v>20.458947594963949</v>
      </c>
      <c r="G38" s="21">
        <f t="shared" si="14"/>
        <v>14.602388894867103</v>
      </c>
      <c r="H38" s="21">
        <f t="shared" si="14"/>
        <v>27.410416442483587</v>
      </c>
      <c r="I38" s="21">
        <f t="shared" si="14"/>
        <v>33.062520176476916</v>
      </c>
      <c r="J38" s="21">
        <f t="shared" si="14"/>
        <v>58.853438071666844</v>
      </c>
      <c r="K38" s="21">
        <f t="shared" si="14"/>
        <v>31.962229635209294</v>
      </c>
      <c r="L38" s="21">
        <f t="shared" si="14"/>
        <v>6.1820725277090283</v>
      </c>
      <c r="M38" s="21">
        <f t="shared" si="14"/>
        <v>11.403744754116001</v>
      </c>
    </row>
    <row r="39" spans="1:13" x14ac:dyDescent="0.3">
      <c r="B39" s="18" t="s">
        <v>78</v>
      </c>
      <c r="C39" s="20"/>
      <c r="D39" s="20">
        <f>IFERROR(D38/C38-1,0)</f>
        <v>-3.8226644546550319</v>
      </c>
      <c r="E39" s="20">
        <f t="shared" ref="E39:M39" si="15">IFERROR(E38/D38-1,0)</f>
        <v>-1.3112975365241932</v>
      </c>
      <c r="F39" s="20">
        <f t="shared" si="15"/>
        <v>-0.12043732693170495</v>
      </c>
      <c r="G39" s="20">
        <f t="shared" si="15"/>
        <v>-0.28625904010519398</v>
      </c>
      <c r="H39" s="20">
        <f t="shared" si="15"/>
        <v>0.87711864406779672</v>
      </c>
      <c r="I39" s="20">
        <f t="shared" si="15"/>
        <v>0.20620276769064683</v>
      </c>
      <c r="J39" s="20">
        <f t="shared" si="15"/>
        <v>0.7800650935720097</v>
      </c>
      <c r="K39" s="20">
        <f t="shared" si="15"/>
        <v>-0.45691822461946341</v>
      </c>
      <c r="L39" s="20">
        <f t="shared" si="15"/>
        <v>-0.80658193754734442</v>
      </c>
      <c r="M39" s="20">
        <f t="shared" si="15"/>
        <v>0.84464751958224538</v>
      </c>
    </row>
    <row r="41" spans="1:13" x14ac:dyDescent="0.3">
      <c r="B41" t="s">
        <v>76</v>
      </c>
      <c r="C41" s="31">
        <f>IFERROR('Data Sheet'!B31/HistoricalFS!C36,0)</f>
        <v>4.100414881775559</v>
      </c>
      <c r="D41" s="31">
        <f>IFERROR('Data Sheet'!C31/HistoricalFS!D36,0)</f>
        <v>3.5003541673693794</v>
      </c>
      <c r="E41" s="15">
        <f>IFERROR('Data Sheet'!D31/HistoricalFS!E36,0)</f>
        <v>19.484770803116671</v>
      </c>
      <c r="F41" s="15">
        <f>IFERROR('Data Sheet'!E31/HistoricalFS!F36,0)</f>
        <v>21.215969008931452</v>
      </c>
      <c r="G41" s="15">
        <f>IFERROR('Data Sheet'!F31/HistoricalFS!G36,0)</f>
        <v>18.864198859356502</v>
      </c>
      <c r="H41" s="15">
        <f>IFERROR('Data Sheet'!G31/HistoricalFS!H36,0)</f>
        <v>3.9029376950392765</v>
      </c>
      <c r="I41" s="15">
        <f>IFERROR('Data Sheet'!H31/HistoricalFS!I36,0)</f>
        <v>9.5071559238136221</v>
      </c>
      <c r="J41" s="15">
        <f>IFERROR('Data Sheet'!I31/HistoricalFS!J36,0)</f>
        <v>45.033896481222421</v>
      </c>
      <c r="K41" s="15">
        <f>IFERROR('Data Sheet'!J31/HistoricalFS!K36,0)</f>
        <v>101.57645539653502</v>
      </c>
      <c r="L41" s="15">
        <f>IFERROR('Data Sheet'!K31/HistoricalFS!L36,0)</f>
        <v>29.522221026579142</v>
      </c>
      <c r="M41" s="15">
        <f>IFERROR('Data Sheet'!L31/HistoricalFS!M36,0)</f>
        <v>0</v>
      </c>
    </row>
    <row r="42" spans="1:13" x14ac:dyDescent="0.3">
      <c r="B42" s="18" t="s">
        <v>79</v>
      </c>
      <c r="C42" s="20">
        <f>IFERROR(C41/C38,0)</f>
        <v>0.15489815317416006</v>
      </c>
      <c r="D42" s="20">
        <f t="shared" ref="D42:M42" si="16">IFERROR(D41/D38,0)</f>
        <v>-4.6845855354985734E-2</v>
      </c>
      <c r="E42" s="20">
        <f t="shared" si="16"/>
        <v>0.83768126450116009</v>
      </c>
      <c r="F42" s="20">
        <f t="shared" si="16"/>
        <v>1.0370019723865878</v>
      </c>
      <c r="G42" s="20">
        <f t="shared" si="16"/>
        <v>1.2918570375829035</v>
      </c>
      <c r="H42" s="20">
        <f t="shared" si="16"/>
        <v>0.14238885072136617</v>
      </c>
      <c r="I42" s="20">
        <f t="shared" si="16"/>
        <v>0.2875508543531326</v>
      </c>
      <c r="J42" s="20">
        <f t="shared" si="16"/>
        <v>0.76518718288613607</v>
      </c>
      <c r="K42" s="20">
        <f t="shared" si="16"/>
        <v>3.1780153185758779</v>
      </c>
      <c r="L42" s="20">
        <f t="shared" si="16"/>
        <v>4.7754569190600513</v>
      </c>
      <c r="M42" s="20">
        <f t="shared" si="16"/>
        <v>0</v>
      </c>
    </row>
    <row r="44" spans="1:13" x14ac:dyDescent="0.3">
      <c r="B44" t="s">
        <v>80</v>
      </c>
      <c r="C44" s="16">
        <f>IFERROR(IF(C38&gt;C41,1-C42,0),0)</f>
        <v>0.84510184682584</v>
      </c>
      <c r="D44" s="16">
        <f t="shared" ref="D44:M44" si="17">IFERROR(IF(D38&gt;D41,1-D42,0),0)</f>
        <v>0</v>
      </c>
      <c r="E44" s="16">
        <f t="shared" si="17"/>
        <v>0.16231873549883991</v>
      </c>
      <c r="F44" s="16">
        <f t="shared" si="17"/>
        <v>0</v>
      </c>
      <c r="G44" s="16">
        <f t="shared" si="17"/>
        <v>0</v>
      </c>
      <c r="H44" s="16">
        <f t="shared" si="17"/>
        <v>0.8576111492786338</v>
      </c>
      <c r="I44" s="16">
        <f t="shared" si="17"/>
        <v>0.71244914564686734</v>
      </c>
      <c r="J44" s="16">
        <f t="shared" si="17"/>
        <v>0.23481281711386393</v>
      </c>
      <c r="K44" s="16">
        <f t="shared" si="17"/>
        <v>0</v>
      </c>
      <c r="L44" s="16">
        <f t="shared" si="17"/>
        <v>0</v>
      </c>
      <c r="M44" s="16">
        <f t="shared" si="17"/>
        <v>1</v>
      </c>
    </row>
    <row r="46" spans="1:13" x14ac:dyDescent="0.3">
      <c r="A46" t="s">
        <v>59</v>
      </c>
      <c r="B46" s="25" t="s">
        <v>81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13" x14ac:dyDescent="0.3">
      <c r="B47" t="s">
        <v>33</v>
      </c>
      <c r="C47" s="15">
        <f>IFERROR('Data Sheet'!B57,0)</f>
        <v>296.5</v>
      </c>
      <c r="D47" s="15">
        <f>IFERROR('Data Sheet'!C57,0)</f>
        <v>296.5</v>
      </c>
      <c r="E47" s="15">
        <f>IFERROR('Data Sheet'!D57,0)</f>
        <v>297</v>
      </c>
      <c r="F47" s="15">
        <f>IFERROR('Data Sheet'!E57,0)</f>
        <v>372</v>
      </c>
      <c r="G47" s="15">
        <f>IFERROR('Data Sheet'!F57,0)</f>
        <v>372</v>
      </c>
      <c r="H47" s="15">
        <f>IFERROR('Data Sheet'!G57,0)</f>
        <v>372</v>
      </c>
      <c r="I47" s="15">
        <f>IFERROR('Data Sheet'!H57,0)</f>
        <v>372</v>
      </c>
      <c r="J47" s="15">
        <f>IFERROR('Data Sheet'!I57,0)</f>
        <v>372</v>
      </c>
      <c r="K47" s="15">
        <f>IFERROR('Data Sheet'!J57,0)</f>
        <v>372</v>
      </c>
      <c r="L47" s="15">
        <f>IFERROR('Data Sheet'!K57,0)</f>
        <v>372</v>
      </c>
    </row>
    <row r="48" spans="1:13" x14ac:dyDescent="0.3">
      <c r="B48" t="s">
        <v>34</v>
      </c>
      <c r="C48" s="15">
        <f>IFERROR('Data Sheet'!B58,0)</f>
        <v>53578.77</v>
      </c>
      <c r="D48" s="15">
        <f>IFERROR('Data Sheet'!C58,0)</f>
        <v>43742.67</v>
      </c>
      <c r="E48" s="15">
        <f>IFERROR('Data Sheet'!D58,0)</f>
        <v>60128</v>
      </c>
      <c r="F48" s="15">
        <f>IFERROR('Data Sheet'!E58,0)</f>
        <v>62940</v>
      </c>
      <c r="G48" s="15">
        <f>IFERROR('Data Sheet'!F58,0)</f>
        <v>61925</v>
      </c>
      <c r="H48" s="15">
        <f>IFERROR('Data Sheet'!G58,0)</f>
        <v>54263</v>
      </c>
      <c r="I48" s="15">
        <f>IFERROR('Data Sheet'!H58,0)</f>
        <v>61906</v>
      </c>
      <c r="J48" s="15">
        <f>IFERROR('Data Sheet'!I58,0)</f>
        <v>65011</v>
      </c>
      <c r="K48" s="15">
        <f>IFERROR('Data Sheet'!J58,0)</f>
        <v>39051</v>
      </c>
      <c r="L48" s="15">
        <f>IFERROR('Data Sheet'!K58,0)</f>
        <v>30350</v>
      </c>
    </row>
    <row r="49" spans="2:13" x14ac:dyDescent="0.3">
      <c r="B49" t="s">
        <v>35</v>
      </c>
      <c r="C49" s="15">
        <f>IFERROR('Data Sheet'!B59,0)</f>
        <v>77752.3</v>
      </c>
      <c r="D49" s="15">
        <f>IFERROR('Data Sheet'!C59,0)</f>
        <v>67777.81</v>
      </c>
      <c r="E49" s="15">
        <f>IFERROR('Data Sheet'!D59,0)</f>
        <v>71569</v>
      </c>
      <c r="F49" s="15">
        <f>IFERROR('Data Sheet'!E59,0)</f>
        <v>58159</v>
      </c>
      <c r="G49" s="15">
        <f>IFERROR('Data Sheet'!F59,0)</f>
        <v>66226</v>
      </c>
      <c r="H49" s="15">
        <f>IFERROR('Data Sheet'!G59,0)</f>
        <v>59185</v>
      </c>
      <c r="I49" s="15">
        <f>IFERROR('Data Sheet'!H59,0)</f>
        <v>57667</v>
      </c>
      <c r="J49" s="15">
        <f>IFERROR('Data Sheet'!I59,0)</f>
        <v>53583</v>
      </c>
      <c r="K49" s="15">
        <f>IFERROR('Data Sheet'!J59,0)</f>
        <v>80329</v>
      </c>
      <c r="L49" s="15">
        <f>IFERROR('Data Sheet'!K59,0)</f>
        <v>87706</v>
      </c>
    </row>
    <row r="50" spans="2:13" x14ac:dyDescent="0.3">
      <c r="B50" t="s">
        <v>36</v>
      </c>
      <c r="C50" s="15">
        <f>IFERROR('Data Sheet'!B60,0)</f>
        <v>58653.61</v>
      </c>
      <c r="D50" s="15">
        <f>IFERROR('Data Sheet'!C60,0)</f>
        <v>80163.37</v>
      </c>
      <c r="E50" s="15">
        <f>IFERROR('Data Sheet'!D60,0)</f>
        <v>64952</v>
      </c>
      <c r="F50" s="15">
        <f>IFERROR('Data Sheet'!E60,0)</f>
        <v>58896</v>
      </c>
      <c r="G50" s="15">
        <f>IFERROR('Data Sheet'!F60,0)</f>
        <v>70045</v>
      </c>
      <c r="H50" s="15">
        <f>IFERROR('Data Sheet'!G60,0)</f>
        <v>66917</v>
      </c>
      <c r="I50" s="15">
        <f>IFERROR('Data Sheet'!H60,0)</f>
        <v>63551</v>
      </c>
      <c r="J50" s="15">
        <f>IFERROR('Data Sheet'!I60,0)</f>
        <v>74981</v>
      </c>
      <c r="K50" s="15">
        <f>IFERROR('Data Sheet'!J60,0)</f>
        <v>69703</v>
      </c>
      <c r="L50" s="15">
        <f>IFERROR('Data Sheet'!K60,0)</f>
        <v>69690</v>
      </c>
    </row>
    <row r="51" spans="2:13" x14ac:dyDescent="0.3">
      <c r="B51" s="28" t="s">
        <v>82</v>
      </c>
      <c r="C51" s="30">
        <f>IFERROR('Data Sheet'!B61,0)</f>
        <v>190281.18</v>
      </c>
      <c r="D51" s="30">
        <f>IFERROR('Data Sheet'!C61,0)</f>
        <v>191980.35</v>
      </c>
      <c r="E51" s="30">
        <f>IFERROR('Data Sheet'!D61,0)</f>
        <v>196946</v>
      </c>
      <c r="F51" s="30">
        <f>IFERROR('Data Sheet'!E61,0)</f>
        <v>180367</v>
      </c>
      <c r="G51" s="30">
        <f>IFERROR('Data Sheet'!F61,0)</f>
        <v>198568</v>
      </c>
      <c r="H51" s="30">
        <f>IFERROR('Data Sheet'!G61,0)</f>
        <v>180737</v>
      </c>
      <c r="I51" s="30">
        <f>IFERROR('Data Sheet'!H61,0)</f>
        <v>183496</v>
      </c>
      <c r="J51" s="30">
        <f>IFERROR('Data Sheet'!I61,0)</f>
        <v>193947</v>
      </c>
      <c r="K51" s="30">
        <f>IFERROR('Data Sheet'!J61,0)</f>
        <v>189455</v>
      </c>
      <c r="L51" s="30">
        <f>IFERROR('Data Sheet'!K61,0)</f>
        <v>188118</v>
      </c>
      <c r="M51" s="14"/>
    </row>
    <row r="53" spans="2:13" x14ac:dyDescent="0.3">
      <c r="B53" t="s">
        <v>83</v>
      </c>
      <c r="C53" s="15">
        <f>IFERROR('Data Sheet'!B62,0)</f>
        <v>70107.83</v>
      </c>
      <c r="D53" s="15">
        <f>IFERROR('Data Sheet'!C62,0)</f>
        <v>61590.85</v>
      </c>
      <c r="E53" s="15">
        <f>IFERROR('Data Sheet'!D62,0)</f>
        <v>75631</v>
      </c>
      <c r="F53" s="15">
        <f>IFERROR('Data Sheet'!E62,0)</f>
        <v>78455</v>
      </c>
      <c r="G53" s="15">
        <f>IFERROR('Data Sheet'!F62,0)</f>
        <v>86327</v>
      </c>
      <c r="H53" s="15">
        <f>IFERROR('Data Sheet'!G62,0)</f>
        <v>86127</v>
      </c>
      <c r="I53" s="15">
        <f>IFERROR('Data Sheet'!H62,0)</f>
        <v>88002</v>
      </c>
      <c r="J53" s="15">
        <f>IFERROR('Data Sheet'!I62,0)</f>
        <v>89498</v>
      </c>
      <c r="K53" s="15">
        <f>IFERROR('Data Sheet'!J62,0)</f>
        <v>90483</v>
      </c>
      <c r="L53" s="15">
        <f>IFERROR('Data Sheet'!K62,0)</f>
        <v>92551</v>
      </c>
    </row>
    <row r="54" spans="2:13" x14ac:dyDescent="0.3">
      <c r="B54" t="s">
        <v>39</v>
      </c>
      <c r="C54" s="15">
        <f>IFERROR('Data Sheet'!B63,0)</f>
        <v>38747.949999999997</v>
      </c>
      <c r="D54" s="15">
        <f>IFERROR('Data Sheet'!C63,0)</f>
        <v>38461.33</v>
      </c>
      <c r="E54" s="15">
        <f>IFERROR('Data Sheet'!D63,0)</f>
        <v>27557</v>
      </c>
      <c r="F54" s="15">
        <f>IFERROR('Data Sheet'!E63,0)</f>
        <v>32055</v>
      </c>
      <c r="G54" s="15">
        <f>IFERROR('Data Sheet'!F63,0)</f>
        <v>24959</v>
      </c>
      <c r="H54" s="15">
        <f>IFERROR('Data Sheet'!G63,0)</f>
        <v>18585</v>
      </c>
      <c r="I54" s="15">
        <f>IFERROR('Data Sheet'!H63,0)</f>
        <v>16314</v>
      </c>
      <c r="J54" s="15">
        <f>IFERROR('Data Sheet'!I63,0)</f>
        <v>15879</v>
      </c>
      <c r="K54" s="15">
        <f>IFERROR('Data Sheet'!J63,0)</f>
        <v>19529</v>
      </c>
      <c r="L54" s="15">
        <f>IFERROR('Data Sheet'!K63,0)</f>
        <v>22889</v>
      </c>
    </row>
    <row r="55" spans="2:13" x14ac:dyDescent="0.3">
      <c r="B55" t="s">
        <v>40</v>
      </c>
      <c r="C55" s="15">
        <f>IFERROR('Data Sheet'!B64,0)</f>
        <v>39606.04</v>
      </c>
      <c r="D55" s="15">
        <f>IFERROR('Data Sheet'!C64,0)</f>
        <v>53385.98</v>
      </c>
      <c r="E55" s="15">
        <f>IFERROR('Data Sheet'!D64,0)</f>
        <v>46962</v>
      </c>
      <c r="F55" s="15">
        <f>IFERROR('Data Sheet'!E64,0)</f>
        <v>28700</v>
      </c>
      <c r="G55" s="15">
        <f>IFERROR('Data Sheet'!F64,0)</f>
        <v>33065</v>
      </c>
      <c r="H55" s="15">
        <f>IFERROR('Data Sheet'!G64,0)</f>
        <v>24753</v>
      </c>
      <c r="I55" s="15">
        <f>IFERROR('Data Sheet'!H64,0)</f>
        <v>16660</v>
      </c>
      <c r="J55" s="15">
        <f>IFERROR('Data Sheet'!I64,0)</f>
        <v>17291</v>
      </c>
      <c r="K55" s="15">
        <f>IFERROR('Data Sheet'!J64,0)</f>
        <v>13150</v>
      </c>
      <c r="L55" s="15">
        <f>IFERROR('Data Sheet'!K64,0)</f>
        <v>11869</v>
      </c>
    </row>
    <row r="56" spans="2:13" x14ac:dyDescent="0.3">
      <c r="B56" t="s">
        <v>41</v>
      </c>
      <c r="C56" s="15">
        <f>IFERROR('Data Sheet'!B65-SUM('Data Sheet'!B67:B69),0)</f>
        <v>23792.93</v>
      </c>
      <c r="D56" s="15">
        <f>IFERROR('Data Sheet'!C65-SUM('Data Sheet'!C67:C69),0)</f>
        <v>24328.000000000004</v>
      </c>
      <c r="E56" s="15">
        <f>IFERROR('Data Sheet'!D65-SUM('Data Sheet'!D67:D69),0)</f>
        <v>20805</v>
      </c>
      <c r="F56" s="15">
        <f>IFERROR('Data Sheet'!E65-SUM('Data Sheet'!E67:E69),0)</f>
        <v>20005</v>
      </c>
      <c r="G56" s="15">
        <f>IFERROR('Data Sheet'!F65-SUM('Data Sheet'!F67:F69),0)</f>
        <v>28668</v>
      </c>
      <c r="H56" s="15">
        <f>IFERROR('Data Sheet'!G65-SUM('Data Sheet'!G67:G69),0)</f>
        <v>24738</v>
      </c>
      <c r="I56" s="15">
        <f>IFERROR('Data Sheet'!H65-SUM('Data Sheet'!H67:H69),0)</f>
        <v>32477</v>
      </c>
      <c r="J56" s="15">
        <f>IFERROR('Data Sheet'!I65-SUM('Data Sheet'!I67:I69),0)</f>
        <v>36665</v>
      </c>
      <c r="K56" s="15">
        <f>IFERROR('Data Sheet'!J65-SUM('Data Sheet'!J67:J69),0)</f>
        <v>38013</v>
      </c>
      <c r="L56" s="15">
        <f>IFERROR('Data Sheet'!K65-SUM('Data Sheet'!K67:K69),0)</f>
        <v>39874</v>
      </c>
    </row>
    <row r="57" spans="2:13" x14ac:dyDescent="0.3">
      <c r="B57" s="28" t="s">
        <v>84</v>
      </c>
      <c r="C57" s="30">
        <f>SUM(C53:C56)</f>
        <v>172254.75</v>
      </c>
      <c r="D57" s="30">
        <f t="shared" ref="D57:L57" si="18">SUM(D53:D56)</f>
        <v>177766.16</v>
      </c>
      <c r="E57" s="30">
        <f t="shared" si="18"/>
        <v>170955</v>
      </c>
      <c r="F57" s="30">
        <f t="shared" si="18"/>
        <v>159215</v>
      </c>
      <c r="G57" s="30">
        <f t="shared" si="18"/>
        <v>173019</v>
      </c>
      <c r="H57" s="30">
        <f t="shared" si="18"/>
        <v>154203</v>
      </c>
      <c r="I57" s="30">
        <f t="shared" si="18"/>
        <v>153453</v>
      </c>
      <c r="J57" s="30">
        <f t="shared" si="18"/>
        <v>159333</v>
      </c>
      <c r="K57" s="30">
        <f t="shared" si="18"/>
        <v>161175</v>
      </c>
      <c r="L57" s="30">
        <f t="shared" si="18"/>
        <v>167183</v>
      </c>
    </row>
    <row r="58" spans="2:13" x14ac:dyDescent="0.3">
      <c r="B58" s="14"/>
    </row>
    <row r="59" spans="2:13" x14ac:dyDescent="0.3">
      <c r="B59" t="s">
        <v>42</v>
      </c>
      <c r="C59" s="15">
        <f>IFERROR('Data Sheet'!B67,0)</f>
        <v>3605.13</v>
      </c>
      <c r="D59" s="15">
        <f>IFERROR('Data Sheet'!C67,0)</f>
        <v>2493.75</v>
      </c>
      <c r="E59" s="15">
        <f>IFERROR('Data Sheet'!D67,0)</f>
        <v>2240</v>
      </c>
      <c r="F59" s="15">
        <f>IFERROR('Data Sheet'!E67,0)</f>
        <v>3969</v>
      </c>
      <c r="G59" s="15">
        <f>IFERROR('Data Sheet'!F67,0)</f>
        <v>3982</v>
      </c>
      <c r="H59" s="15">
        <f>IFERROR('Data Sheet'!G67,0)</f>
        <v>2697</v>
      </c>
      <c r="I59" s="15">
        <f>IFERROR('Data Sheet'!H67,0)</f>
        <v>3491</v>
      </c>
      <c r="J59" s="15">
        <f>IFERROR('Data Sheet'!I67,0)</f>
        <v>4946</v>
      </c>
      <c r="K59" s="15">
        <f>IFERROR('Data Sheet'!J67,0)</f>
        <v>4014</v>
      </c>
      <c r="L59" s="15">
        <f>IFERROR('Data Sheet'!K67,0)</f>
        <v>3607</v>
      </c>
    </row>
    <row r="60" spans="2:13" x14ac:dyDescent="0.3">
      <c r="B60" t="s">
        <v>43</v>
      </c>
      <c r="C60" s="15">
        <f>IFERROR('Data Sheet'!B68,0)</f>
        <v>8725.02</v>
      </c>
      <c r="D60" s="15">
        <f>IFERROR('Data Sheet'!C68,0)</f>
        <v>8011.65</v>
      </c>
      <c r="E60" s="15">
        <f>IFERROR('Data Sheet'!D68,0)</f>
        <v>9628</v>
      </c>
      <c r="F60" s="15">
        <f>IFERROR('Data Sheet'!E68,0)</f>
        <v>11967</v>
      </c>
      <c r="G60" s="15">
        <f>IFERROR('Data Sheet'!F68,0)</f>
        <v>13198</v>
      </c>
      <c r="H60" s="15">
        <f>IFERROR('Data Sheet'!G68,0)</f>
        <v>11335</v>
      </c>
      <c r="I60" s="15">
        <f>IFERROR('Data Sheet'!H68,0)</f>
        <v>9923</v>
      </c>
      <c r="J60" s="15">
        <f>IFERROR('Data Sheet'!I68,0)</f>
        <v>14313</v>
      </c>
      <c r="K60" s="15">
        <f>IFERROR('Data Sheet'!J68,0)</f>
        <v>15012</v>
      </c>
      <c r="L60" s="15">
        <f>IFERROR('Data Sheet'!K68,0)</f>
        <v>13001</v>
      </c>
    </row>
    <row r="61" spans="2:13" x14ac:dyDescent="0.3">
      <c r="B61" t="s">
        <v>44</v>
      </c>
      <c r="C61" s="15">
        <f>IFERROR('Data Sheet'!B69,0)</f>
        <v>5696.28</v>
      </c>
      <c r="D61" s="15">
        <f>IFERROR('Data Sheet'!C69,0)</f>
        <v>3708.79</v>
      </c>
      <c r="E61" s="15">
        <f>IFERROR('Data Sheet'!D69,0)</f>
        <v>14123</v>
      </c>
      <c r="F61" s="15">
        <f>IFERROR('Data Sheet'!E69,0)</f>
        <v>5216</v>
      </c>
      <c r="G61" s="15">
        <f>IFERROR('Data Sheet'!F69,0)</f>
        <v>8369</v>
      </c>
      <c r="H61" s="15">
        <f>IFERROR('Data Sheet'!G69,0)</f>
        <v>12502</v>
      </c>
      <c r="I61" s="15">
        <f>IFERROR('Data Sheet'!H69,0)</f>
        <v>16629</v>
      </c>
      <c r="J61" s="15">
        <f>IFERROR('Data Sheet'!I69,0)</f>
        <v>15355</v>
      </c>
      <c r="K61" s="15">
        <f>IFERROR('Data Sheet'!J69,0)</f>
        <v>9254</v>
      </c>
      <c r="L61" s="15">
        <f>IFERROR('Data Sheet'!K69,0)</f>
        <v>4327</v>
      </c>
    </row>
    <row r="62" spans="2:13" x14ac:dyDescent="0.3">
      <c r="B62" s="28" t="s">
        <v>85</v>
      </c>
      <c r="C62" s="30">
        <f>IFERROR(SUM(C59:C61),0)</f>
        <v>18026.43</v>
      </c>
      <c r="D62" s="30">
        <f t="shared" ref="D62:L62" si="19">IFERROR(SUM(D59:D61),0)</f>
        <v>14214.189999999999</v>
      </c>
      <c r="E62" s="30">
        <f t="shared" si="19"/>
        <v>25991</v>
      </c>
      <c r="F62" s="30">
        <f t="shared" si="19"/>
        <v>21152</v>
      </c>
      <c r="G62" s="30">
        <f t="shared" si="19"/>
        <v>25549</v>
      </c>
      <c r="H62" s="30">
        <f t="shared" si="19"/>
        <v>26534</v>
      </c>
      <c r="I62" s="30">
        <f t="shared" si="19"/>
        <v>30043</v>
      </c>
      <c r="J62" s="30">
        <f t="shared" si="19"/>
        <v>34614</v>
      </c>
      <c r="K62" s="30">
        <f t="shared" si="19"/>
        <v>28280</v>
      </c>
      <c r="L62" s="30">
        <f t="shared" si="19"/>
        <v>20935</v>
      </c>
    </row>
    <row r="64" spans="2:13" x14ac:dyDescent="0.3">
      <c r="B64" s="28" t="s">
        <v>86</v>
      </c>
      <c r="C64" s="30">
        <f>IFERROR(C62+C57,0)</f>
        <v>190281.18</v>
      </c>
      <c r="D64" s="30">
        <f t="shared" ref="D64:L64" si="20">IFERROR(D62+D57,0)</f>
        <v>191980.35</v>
      </c>
      <c r="E64" s="30">
        <f t="shared" si="20"/>
        <v>196946</v>
      </c>
      <c r="F64" s="30">
        <f t="shared" si="20"/>
        <v>180367</v>
      </c>
      <c r="G64" s="30">
        <f t="shared" si="20"/>
        <v>198568</v>
      </c>
      <c r="H64" s="30">
        <f t="shared" si="20"/>
        <v>180737</v>
      </c>
      <c r="I64" s="30">
        <f t="shared" si="20"/>
        <v>183496</v>
      </c>
      <c r="J64" s="30">
        <f t="shared" si="20"/>
        <v>193947</v>
      </c>
      <c r="K64" s="30">
        <f t="shared" si="20"/>
        <v>189455</v>
      </c>
      <c r="L64" s="30">
        <f t="shared" si="20"/>
        <v>188118</v>
      </c>
    </row>
    <row r="66" spans="1:13" x14ac:dyDescent="0.3">
      <c r="B66" s="17" t="s">
        <v>87</v>
      </c>
      <c r="C66" s="17" t="b">
        <f>C64=C51</f>
        <v>1</v>
      </c>
      <c r="D66" s="17" t="b">
        <f t="shared" ref="D66:L66" si="21">D64=D51</f>
        <v>1</v>
      </c>
      <c r="E66" s="17" t="b">
        <f t="shared" si="21"/>
        <v>1</v>
      </c>
      <c r="F66" s="17" t="b">
        <f t="shared" si="21"/>
        <v>1</v>
      </c>
      <c r="G66" s="17" t="b">
        <f t="shared" si="21"/>
        <v>1</v>
      </c>
      <c r="H66" s="17" t="b">
        <f t="shared" si="21"/>
        <v>1</v>
      </c>
      <c r="I66" s="17" t="b">
        <f t="shared" si="21"/>
        <v>1</v>
      </c>
      <c r="J66" s="17" t="b">
        <f t="shared" si="21"/>
        <v>1</v>
      </c>
      <c r="K66" s="17" t="b">
        <f t="shared" si="21"/>
        <v>1</v>
      </c>
      <c r="L66" s="17" t="b">
        <f t="shared" si="21"/>
        <v>1</v>
      </c>
    </row>
    <row r="68" spans="1:13" x14ac:dyDescent="0.3">
      <c r="A68" t="s">
        <v>59</v>
      </c>
      <c r="B68" s="25" t="s">
        <v>88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x14ac:dyDescent="0.3">
      <c r="B69" s="14"/>
    </row>
    <row r="70" spans="1:13" x14ac:dyDescent="0.3">
      <c r="B70" t="s">
        <v>89</v>
      </c>
      <c r="C70" s="15">
        <f>'Data Sheet'!B82</f>
        <v>17805.13</v>
      </c>
      <c r="D70" s="15">
        <f>'Data Sheet'!C82</f>
        <v>20376.919999999998</v>
      </c>
      <c r="E70" s="15">
        <f>'Data Sheet'!D82</f>
        <v>18083</v>
      </c>
      <c r="F70" s="15">
        <f>'Data Sheet'!E82</f>
        <v>17366</v>
      </c>
      <c r="G70" s="15">
        <f>'Data Sheet'!F82</f>
        <v>23754</v>
      </c>
      <c r="H70" s="15">
        <f>'Data Sheet'!G82</f>
        <v>19300</v>
      </c>
      <c r="I70" s="15">
        <f>'Data Sheet'!H82</f>
        <v>23980</v>
      </c>
      <c r="J70" s="15">
        <f>'Data Sheet'!I82</f>
        <v>34963</v>
      </c>
      <c r="K70" s="15">
        <f>'Data Sheet'!J82</f>
        <v>33065</v>
      </c>
      <c r="L70" s="15">
        <f>'Data Sheet'!K82</f>
        <v>35654</v>
      </c>
    </row>
    <row r="72" spans="1:13" x14ac:dyDescent="0.3">
      <c r="B72" t="s">
        <v>90</v>
      </c>
      <c r="C72" s="15">
        <f>'Data Sheet'!B83</f>
        <v>-4133.09</v>
      </c>
      <c r="D72" s="15">
        <f>'Data Sheet'!C83</f>
        <v>-7867.89</v>
      </c>
      <c r="E72" s="15">
        <f>'Data Sheet'!D83</f>
        <v>2681</v>
      </c>
      <c r="F72" s="15">
        <f>'Data Sheet'!E83</f>
        <v>15480</v>
      </c>
      <c r="G72" s="15">
        <f>'Data Sheet'!F83</f>
        <v>-10594</v>
      </c>
      <c r="H72" s="15">
        <f>'Data Sheet'!G83</f>
        <v>-5925</v>
      </c>
      <c r="I72" s="15">
        <f>'Data Sheet'!H83</f>
        <v>-6678</v>
      </c>
      <c r="J72" s="15">
        <f>'Data Sheet'!I83</f>
        <v>-2243</v>
      </c>
      <c r="K72" s="15">
        <f>'Data Sheet'!J83</f>
        <v>-668</v>
      </c>
      <c r="L72" s="15">
        <f>'Data Sheet'!K83</f>
        <v>-13676</v>
      </c>
    </row>
    <row r="74" spans="1:13" x14ac:dyDescent="0.3">
      <c r="B74" t="s">
        <v>91</v>
      </c>
      <c r="C74" s="15">
        <f>'Data Sheet'!B84</f>
        <v>-13955.77</v>
      </c>
      <c r="D74" s="15">
        <f>'Data Sheet'!C84</f>
        <v>-11302.95</v>
      </c>
      <c r="E74" s="15">
        <f>'Data Sheet'!D84</f>
        <v>-12425</v>
      </c>
      <c r="F74" s="15">
        <f>'Data Sheet'!E84</f>
        <v>-39255</v>
      </c>
      <c r="G74" s="15">
        <f>'Data Sheet'!F84</f>
        <v>-10242</v>
      </c>
      <c r="H74" s="15">
        <f>'Data Sheet'!G84</f>
        <v>-15547</v>
      </c>
      <c r="I74" s="15">
        <f>'Data Sheet'!H84</f>
        <v>-17565</v>
      </c>
      <c r="J74" s="15">
        <f>'Data Sheet'!I84</f>
        <v>-28903</v>
      </c>
      <c r="K74" s="15">
        <f>'Data Sheet'!J84</f>
        <v>-34142</v>
      </c>
      <c r="L74" s="15">
        <f>'Data Sheet'!K84</f>
        <v>-26092</v>
      </c>
    </row>
    <row r="76" spans="1:13" x14ac:dyDescent="0.3">
      <c r="B76" s="14" t="s">
        <v>52</v>
      </c>
      <c r="C76" s="27">
        <f t="shared" ref="C76:L76" si="22">IFERROR(C70+C72+C74,0)</f>
        <v>-283.72999999999956</v>
      </c>
      <c r="D76" s="27">
        <f t="shared" si="22"/>
        <v>1206.0799999999981</v>
      </c>
      <c r="E76" s="27">
        <f t="shared" si="22"/>
        <v>8339</v>
      </c>
      <c r="F76" s="27">
        <f t="shared" si="22"/>
        <v>-6409</v>
      </c>
      <c r="G76" s="27">
        <f t="shared" si="22"/>
        <v>2918</v>
      </c>
      <c r="H76" s="27">
        <f t="shared" si="22"/>
        <v>-2172</v>
      </c>
      <c r="I76" s="27">
        <f t="shared" si="22"/>
        <v>-263</v>
      </c>
      <c r="J76" s="27">
        <f t="shared" si="22"/>
        <v>3817</v>
      </c>
      <c r="K76" s="27">
        <f t="shared" si="22"/>
        <v>-1745</v>
      </c>
      <c r="L76" s="27">
        <f t="shared" si="22"/>
        <v>-4114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M6 M9 C15:L15 M21 M24 M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261D-83CE-4C5B-8D6F-24F11CFFFE30}">
  <dimension ref="B2:O40"/>
  <sheetViews>
    <sheetView showGridLines="0" zoomScale="110" zoomScaleNormal="110" workbookViewId="0">
      <pane ySplit="3" topLeftCell="A37" activePane="bottomLeft" state="frozen"/>
      <selection pane="bottomLeft" activeCell="I42" sqref="I42"/>
    </sheetView>
  </sheetViews>
  <sheetFormatPr defaultRowHeight="14.4" x14ac:dyDescent="0.3"/>
  <cols>
    <col min="1" max="1" width="1.88671875" customWidth="1"/>
    <col min="2" max="2" width="29.33203125" bestFit="1" customWidth="1"/>
    <col min="3" max="3" width="12.6640625" bestFit="1" customWidth="1"/>
    <col min="11" max="12" width="10" bestFit="1" customWidth="1"/>
    <col min="13" max="13" width="12.88671875" customWidth="1"/>
    <col min="14" max="14" width="8.88671875" bestFit="1" customWidth="1"/>
    <col min="15" max="15" width="7.88671875" bestFit="1" customWidth="1"/>
  </cols>
  <sheetData>
    <row r="2" spans="2:15" x14ac:dyDescent="0.3">
      <c r="B2" s="45" t="str">
        <f>"Ratio Analysis of - "&amp;'Data Sheet'!B1</f>
        <v>Ratio Analysis of - VEDANTA LTD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2:15" x14ac:dyDescent="0.3">
      <c r="B3" s="11" t="s">
        <v>56</v>
      </c>
      <c r="C3" s="12">
        <f>'Data Sheet'!B16</f>
        <v>42094</v>
      </c>
      <c r="D3" s="12">
        <f>'Data Sheet'!C16</f>
        <v>42460</v>
      </c>
      <c r="E3" s="12">
        <f>'Data Sheet'!D16</f>
        <v>42825</v>
      </c>
      <c r="F3" s="12">
        <f>'Data Sheet'!E16</f>
        <v>43190</v>
      </c>
      <c r="G3" s="12">
        <f>'Data Sheet'!F16</f>
        <v>43555</v>
      </c>
      <c r="H3" s="12">
        <f>'Data Sheet'!G16</f>
        <v>43921</v>
      </c>
      <c r="I3" s="12">
        <f>'Data Sheet'!H16</f>
        <v>44286</v>
      </c>
      <c r="J3" s="12">
        <f>'Data Sheet'!I16</f>
        <v>44651</v>
      </c>
      <c r="K3" s="12">
        <f>'Data Sheet'!J16</f>
        <v>45016</v>
      </c>
      <c r="L3" s="12">
        <f>'Data Sheet'!K16</f>
        <v>45382</v>
      </c>
      <c r="M3" s="44" t="s">
        <v>123</v>
      </c>
      <c r="N3" s="13" t="s">
        <v>121</v>
      </c>
      <c r="O3" s="13" t="s">
        <v>122</v>
      </c>
    </row>
    <row r="5" spans="2:15" x14ac:dyDescent="0.3">
      <c r="B5" s="32" t="s">
        <v>96</v>
      </c>
      <c r="C5" s="32"/>
      <c r="D5" s="33">
        <f>IFERROR(HistoricalFS!D7,0)</f>
        <v>-0.12817533696470607</v>
      </c>
      <c r="E5" s="33">
        <f>IFERROR(HistoricalFS!E7,0)</f>
        <v>0.12391879711978016</v>
      </c>
      <c r="F5" s="33">
        <f>IFERROR(HistoricalFS!F7,0)</f>
        <v>0.27194184839044655</v>
      </c>
      <c r="G5" s="33">
        <f>IFERROR(HistoricalFS!G7,0)</f>
        <v>1.9811464524415179E-3</v>
      </c>
      <c r="H5" s="33">
        <f>IFERROR(HistoricalFS!H7,0)</f>
        <v>-8.2576481835564097E-2</v>
      </c>
      <c r="I5" s="33">
        <f>IFERROR(HistoricalFS!I7,0)</f>
        <v>4.2322403400949726E-2</v>
      </c>
      <c r="J5" s="33">
        <f>IFERROR(HistoricalFS!J7,0)</f>
        <v>0.50795832812624253</v>
      </c>
      <c r="K5" s="33">
        <f>IFERROR(HistoricalFS!K7,0)</f>
        <v>0.10981526685350929</v>
      </c>
      <c r="L5" s="33">
        <f>IFERROR(HistoricalFS!L7,0)</f>
        <v>-2.4309609797159681E-2</v>
      </c>
      <c r="M5" s="32"/>
      <c r="N5" s="33">
        <f>IFERROR(AVERAGE(D5:L5),0)</f>
        <v>9.1430706860659988E-2</v>
      </c>
      <c r="O5" s="33">
        <f>IFERROR(MEDIAN(C5:L5),0)</f>
        <v>4.2322403400949726E-2</v>
      </c>
    </row>
    <row r="6" spans="2:15" x14ac:dyDescent="0.3">
      <c r="B6" t="s">
        <v>102</v>
      </c>
      <c r="D6" s="34">
        <f>IFERROR(HistoricalFS!D18/HistoricalFS!C18-1,0)</f>
        <v>-1.8356298803130633</v>
      </c>
      <c r="E6" s="34">
        <f>IFERROR(HistoricalFS!E18/HistoricalFS!D18-1,0)</f>
        <v>-2.156746261516866</v>
      </c>
      <c r="F6" s="34">
        <f>IFERROR(HistoricalFS!F18/HistoricalFS!E18-1,0)</f>
        <v>0.16378181137724557</v>
      </c>
      <c r="G6" s="34">
        <f>IFERROR(HistoricalFS!G18/HistoricalFS!F18-1,0)</f>
        <v>-6.8577400811995037E-2</v>
      </c>
      <c r="H6" s="34">
        <f>IFERROR(HistoricalFS!H18/HistoricalFS!G18-1,0)</f>
        <v>-0.10478615510767775</v>
      </c>
      <c r="I6" s="34">
        <f>IFERROR(HistoricalFS!I18/HistoricalFS!H18-1,0)</f>
        <v>0.31697440100274799</v>
      </c>
      <c r="J6" s="34">
        <f>IFERROR(HistoricalFS!J18/HistoricalFS!I18-1,0)</f>
        <v>0.64082290065158509</v>
      </c>
      <c r="K6" s="34">
        <f>IFERROR(HistoricalFS!K18/HistoricalFS!J18-1,0)</f>
        <v>-0.23186239514545781</v>
      </c>
      <c r="L6" s="34">
        <f>IFERROR(HistoricalFS!L18/HistoricalFS!K18-1,0)</f>
        <v>2.5587406697452852E-2</v>
      </c>
      <c r="N6" s="34">
        <f t="shared" ref="N6:N9" si="0">IFERROR(AVERAGE(D6:L6),0)</f>
        <v>-0.36115950812955877</v>
      </c>
      <c r="O6" s="34">
        <f t="shared" ref="O6:O9" si="1">IFERROR(MEDIAN(C6:L6),0)</f>
        <v>-6.8577400811995037E-2</v>
      </c>
    </row>
    <row r="7" spans="2:15" x14ac:dyDescent="0.3">
      <c r="B7" t="s">
        <v>97</v>
      </c>
      <c r="D7" s="34">
        <f>IFERROR(HistoricalFS!D27/HistoricalFS!C27-1,0)</f>
        <v>-4.5314658761114455</v>
      </c>
      <c r="E7" s="34">
        <f>IFERROR(HistoricalFS!E27/HistoricalFS!D27-1,0)</f>
        <v>-1.2811149196207492</v>
      </c>
      <c r="F7" s="34">
        <f>IFERROR(HistoricalFS!F27/HistoricalFS!E27-1,0)</f>
        <v>0.46082999241521283</v>
      </c>
      <c r="G7" s="34">
        <f>IFERROR(HistoricalFS!G27/HistoricalFS!F27-1,0)</f>
        <v>-0.31093309597982499</v>
      </c>
      <c r="H7" s="34">
        <f>IFERROR(HistoricalFS!H27/HistoricalFS!G27-1,0)</f>
        <v>-0.28170075349838541</v>
      </c>
      <c r="I7" s="34">
        <f>IFERROR(HistoricalFS!I27/HistoricalFS!H27-1,0)</f>
        <v>1.1684399820170839</v>
      </c>
      <c r="J7" s="34">
        <f>IFERROR(HistoricalFS!J27/HistoricalFS!I27-1,0)</f>
        <v>1.1514858327574293</v>
      </c>
      <c r="K7" s="34">
        <f>IFERROR(HistoricalFS!K27/HistoricalFS!J27-1,0)</f>
        <v>-0.43302711036875241</v>
      </c>
      <c r="L7" s="34">
        <f>IFERROR(HistoricalFS!L27/HistoricalFS!K27-1,0)</f>
        <v>-0.14316469321851455</v>
      </c>
      <c r="N7" s="34">
        <f t="shared" si="0"/>
        <v>-0.46673896017866068</v>
      </c>
      <c r="O7" s="34">
        <f t="shared" si="1"/>
        <v>-0.28170075349838541</v>
      </c>
    </row>
    <row r="8" spans="2:15" x14ac:dyDescent="0.3">
      <c r="B8" t="s">
        <v>101</v>
      </c>
      <c r="D8" s="34">
        <f>IFERROR(HistoricalFS!D33/HistoricalFS!C33-1,0)</f>
        <v>-3.8226644546550324</v>
      </c>
      <c r="E8" s="34">
        <f>IFERROR(HistoricalFS!E33/HistoricalFS!D33-1,0)</f>
        <v>-1.3112975365241932</v>
      </c>
      <c r="F8" s="34">
        <f>IFERROR(HistoricalFS!F33/HistoricalFS!E33-1,0)</f>
        <v>0.10281322505800472</v>
      </c>
      <c r="G8" s="34">
        <f>IFERROR(HistoricalFS!G33/HistoricalFS!F33-1,0)</f>
        <v>-0.28625904010519398</v>
      </c>
      <c r="H8" s="34">
        <f>IFERROR(HistoricalFS!H33/HistoricalFS!G33-1,0)</f>
        <v>0.87711864406779672</v>
      </c>
      <c r="I8" s="34">
        <f>IFERROR(HistoricalFS!I33/HistoricalFS!H33-1,0)</f>
        <v>0.20620276769064683</v>
      </c>
      <c r="J8" s="34">
        <f>IFERROR(HistoricalFS!J33/HistoricalFS!I33-1,0)</f>
        <v>0.7800650935720097</v>
      </c>
      <c r="K8" s="34">
        <f>IFERROR(HistoricalFS!K33/HistoricalFS!J33-1,0)</f>
        <v>-0.45691822461946341</v>
      </c>
      <c r="L8" s="34">
        <f>IFERROR(HistoricalFS!L33/HistoricalFS!K33-1,0)</f>
        <v>-0.80658193754734453</v>
      </c>
      <c r="N8" s="34">
        <f t="shared" si="0"/>
        <v>-0.52416905145141879</v>
      </c>
      <c r="O8" s="34">
        <f t="shared" si="1"/>
        <v>-0.28625904010519398</v>
      </c>
    </row>
    <row r="9" spans="2:15" x14ac:dyDescent="0.3">
      <c r="B9" s="35" t="s">
        <v>100</v>
      </c>
      <c r="C9" s="35"/>
      <c r="D9" s="36">
        <f>IFERROR(HistoricalFS!D41/HistoricalFS!C41-1,0)</f>
        <v>-0.14634146341463417</v>
      </c>
      <c r="E9" s="36">
        <f>IFERROR(HistoricalFS!E41/HistoricalFS!D41-1,0)</f>
        <v>4.5665140929896406</v>
      </c>
      <c r="F9" s="36">
        <f>IFERROR(HistoricalFS!F41/HistoricalFS!E41-1,0)</f>
        <v>8.8848784689726346E-2</v>
      </c>
      <c r="G9" s="36">
        <f>IFERROR(HistoricalFS!G41/HistoricalFS!F41-1,0)</f>
        <v>-0.11084905660377364</v>
      </c>
      <c r="H9" s="36">
        <f>IFERROR(HistoricalFS!H41/HistoricalFS!G41-1,0)</f>
        <v>-0.7931034482758621</v>
      </c>
      <c r="I9" s="36">
        <f>IFERROR(HistoricalFS!I41/HistoricalFS!H41-1,0)</f>
        <v>1.4358974358974357</v>
      </c>
      <c r="J9" s="36">
        <f>IFERROR(HistoricalFS!J41/HistoricalFS!I41-1,0)</f>
        <v>3.7368421052631575</v>
      </c>
      <c r="K9" s="36">
        <f>IFERROR(HistoricalFS!K41/HistoricalFS!J41-1,0)</f>
        <v>1.255555555555556</v>
      </c>
      <c r="L9" s="36">
        <f>IFERROR(HistoricalFS!L41/HistoricalFS!K41-1,0)</f>
        <v>-0.70935960591133007</v>
      </c>
      <c r="M9" s="35"/>
      <c r="N9" s="36">
        <f t="shared" si="0"/>
        <v>1.0360004889099907</v>
      </c>
      <c r="O9" s="36">
        <f t="shared" si="1"/>
        <v>8.8848784689726346E-2</v>
      </c>
    </row>
    <row r="11" spans="2:15" x14ac:dyDescent="0.3">
      <c r="B11" s="32" t="s">
        <v>92</v>
      </c>
      <c r="C11" s="33">
        <f>IFERROR(HistoricalFS!C13,0)</f>
        <v>0.44782558557580782</v>
      </c>
      <c r="D11" s="33">
        <f>IFERROR(HistoricalFS!D13,0)</f>
        <v>0.39325611374478386</v>
      </c>
      <c r="E11" s="33">
        <f>IFERROR(HistoricalFS!E13,0)</f>
        <v>0.43849082727587402</v>
      </c>
      <c r="F11" s="33">
        <f>IFERROR(HistoricalFS!F13,0)</f>
        <v>0.40329392811268588</v>
      </c>
      <c r="G11" s="33">
        <f>IFERROR(HistoricalFS!G13,0)</f>
        <v>0.39380540587519552</v>
      </c>
      <c r="H11" s="33">
        <f>IFERROR(HistoricalFS!H13,0)</f>
        <v>0.39577486470804174</v>
      </c>
      <c r="I11" s="33">
        <f>IFERROR(HistoricalFS!I13,0)</f>
        <v>0.44391679258358802</v>
      </c>
      <c r="J11" s="33">
        <f>IFERROR(HistoricalFS!J13,0)</f>
        <v>0.46170478859657055</v>
      </c>
      <c r="K11" s="33">
        <f>IFERROR(HistoricalFS!K13,0)</f>
        <v>0.35256740978086731</v>
      </c>
      <c r="L11" s="33">
        <f>IFERROR(HistoricalFS!L13,0)</f>
        <v>0.38555038371356809</v>
      </c>
      <c r="M11" s="32"/>
      <c r="N11" s="33">
        <f>IFERROR(AVERAGE(C11:L11),0)</f>
        <v>0.41161860999669819</v>
      </c>
      <c r="O11" s="33">
        <f t="shared" ref="O11:O15" si="2">IFERROR(MEDIAN(C11:L11),0)</f>
        <v>0.39953439641036381</v>
      </c>
    </row>
    <row r="12" spans="2:15" x14ac:dyDescent="0.3">
      <c r="B12" t="s">
        <v>93</v>
      </c>
      <c r="C12" s="34">
        <f>IFERROR(HistoricalFS!C19,0)</f>
        <v>0.30002048582611479</v>
      </c>
      <c r="D12" s="34">
        <f>IFERROR(HistoricalFS!D19,0)</f>
        <v>-0.28756479747831365</v>
      </c>
      <c r="E12" s="34">
        <f>IFERROR(HistoricalFS!E19,0)</f>
        <v>0.29596400138456214</v>
      </c>
      <c r="F12" s="34">
        <f>IFERROR(HistoricalFS!F19,0)</f>
        <v>0.27079659504060261</v>
      </c>
      <c r="G12" s="34">
        <f>IFERROR(HistoricalFS!G19,0)</f>
        <v>0.2517273596384495</v>
      </c>
      <c r="H12" s="34">
        <f>IFERROR(HistoricalFS!H19,0)</f>
        <v>0.24563335583265244</v>
      </c>
      <c r="I12" s="34">
        <f>IFERROR(HistoricalFS!I19,0)</f>
        <v>0.31035775553561085</v>
      </c>
      <c r="J12" s="34">
        <f>IFERROR(HistoricalFS!J19,0)</f>
        <v>0.3377030407136184</v>
      </c>
      <c r="K12" s="34">
        <f>IFERROR(HistoricalFS!K19,0)</f>
        <v>0.233734759822956</v>
      </c>
      <c r="L12" s="34">
        <f>IFERROR(HistoricalFS!L19,0)</f>
        <v>0.24568800573309121</v>
      </c>
      <c r="N12" s="34">
        <f t="shared" ref="N12:N40" si="3">IFERROR(AVERAGE(C12:L12),0)</f>
        <v>0.22040605620493442</v>
      </c>
      <c r="O12" s="34">
        <f t="shared" si="2"/>
        <v>0.26126197733952605</v>
      </c>
    </row>
    <row r="13" spans="2:15" x14ac:dyDescent="0.3">
      <c r="B13" t="s">
        <v>103</v>
      </c>
      <c r="C13" s="34">
        <f>IFERROR((HistoricalFS!C18-HistoricalFS!C24)/HistoricalFS!C6,0)</f>
        <v>0.20289379252335191</v>
      </c>
      <c r="D13" s="34">
        <f>IFERROR((HistoricalFS!D18-HistoricalFS!D24)/HistoricalFS!D6,0)</f>
        <v>-0.42096357149259528</v>
      </c>
      <c r="E13" s="34">
        <f>IFERROR((HistoricalFS!E18-HistoricalFS!E24)/HistoricalFS!E6,0)</f>
        <v>0.20884735202492211</v>
      </c>
      <c r="F13" s="34">
        <f>IFERROR((HistoricalFS!F18-HistoricalFS!F24)/HistoricalFS!F6,0)</f>
        <v>0.20240350075109398</v>
      </c>
      <c r="G13" s="34">
        <f>IFERROR((HistoricalFS!G18-HistoricalFS!G24)/HistoricalFS!G6,0)</f>
        <v>0.16273031461845994</v>
      </c>
      <c r="H13" s="34">
        <f>IFERROR((HistoricalFS!H18-HistoricalFS!H24)/HistoricalFS!H6,0)</f>
        <v>0.13795635132094686</v>
      </c>
      <c r="I13" s="34">
        <f>IFERROR((HistoricalFS!I18-HistoricalFS!I24)/HistoricalFS!I6,0)</f>
        <v>0.2235830086002204</v>
      </c>
      <c r="J13" s="34">
        <f>IFERROR((HistoricalFS!J18-HistoricalFS!J24)/HistoricalFS!J6,0)</f>
        <v>0.27068830425217733</v>
      </c>
      <c r="K13" s="34">
        <f>IFERROR((HistoricalFS!K18-HistoricalFS!K24)/HistoricalFS!K6,0)</f>
        <v>0.16208216797458386</v>
      </c>
      <c r="L13" s="34">
        <f>IFERROR((HistoricalFS!L18-HistoricalFS!L24)/HistoricalFS!L6,0)</f>
        <v>0.17108128604924613</v>
      </c>
      <c r="N13" s="34">
        <f t="shared" si="3"/>
        <v>0.13213025066224071</v>
      </c>
      <c r="O13" s="34">
        <f t="shared" si="2"/>
        <v>0.18674239340017007</v>
      </c>
    </row>
    <row r="14" spans="2:15" x14ac:dyDescent="0.3">
      <c r="B14" t="s">
        <v>104</v>
      </c>
      <c r="C14" s="34">
        <f>IFERROR(HistoricalFS!C28,0)</f>
        <v>0.12612241298611454</v>
      </c>
      <c r="D14" s="34">
        <f>IFERROR(HistoricalFS!D28,0)</f>
        <v>-0.51087909823820565</v>
      </c>
      <c r="E14" s="34">
        <f>IFERROR(HistoricalFS!E28,0)</f>
        <v>0.12778123918310835</v>
      </c>
      <c r="F14" s="34">
        <f>IFERROR(HistoricalFS!F28,0)</f>
        <v>0.14675723336163543</v>
      </c>
      <c r="G14" s="34">
        <f>IFERROR(HistoricalFS!G28,0)</f>
        <v>0.1009256040326786</v>
      </c>
      <c r="H14" s="34">
        <f>IFERROR(HistoricalFS!H28,0)</f>
        <v>7.9019977027011024E-2</v>
      </c>
      <c r="I14" s="34">
        <f>IFERROR(HistoricalFS!I28,0)</f>
        <v>0.1643925881323775</v>
      </c>
      <c r="J14" s="34">
        <f>IFERROR(HistoricalFS!J28,0)</f>
        <v>0.23454781062592292</v>
      </c>
      <c r="K14" s="34">
        <f>IFERROR(HistoricalFS!K28,0)</f>
        <v>0.11982377060309013</v>
      </c>
      <c r="L14" s="34">
        <f>IFERROR(HistoricalFS!L28,0)</f>
        <v>0.10522727114599205</v>
      </c>
      <c r="N14" s="34">
        <f t="shared" si="3"/>
        <v>6.9371880885972487E-2</v>
      </c>
      <c r="O14" s="34">
        <f t="shared" si="2"/>
        <v>0.12297309179460233</v>
      </c>
    </row>
    <row r="15" spans="2:15" x14ac:dyDescent="0.3">
      <c r="B15" s="35" t="s">
        <v>105</v>
      </c>
      <c r="C15" s="36">
        <f>IFERROR(HistoricalFS!C34,0)</f>
        <v>0.10647284271362592</v>
      </c>
      <c r="D15" s="36">
        <f>IFERROR(HistoricalFS!D34,0)</f>
        <v>-0.34472196217470541</v>
      </c>
      <c r="E15" s="36">
        <f>IFERROR(HistoricalFS!E34,0)</f>
        <v>9.5479404638283139E-2</v>
      </c>
      <c r="F15" s="36">
        <f>IFERROR(HistoricalFS!F34,0)</f>
        <v>8.2783619619881135E-2</v>
      </c>
      <c r="G15" s="36">
        <f>IFERROR(HistoricalFS!G34,0)</f>
        <v>5.8969233443420824E-2</v>
      </c>
      <c r="H15" s="36">
        <f>IFERROR(HistoricalFS!H34,0)</f>
        <v>0.12065555910807962</v>
      </c>
      <c r="I15" s="36">
        <f>IFERROR(HistoricalFS!I34,0)</f>
        <v>0.13962577112280025</v>
      </c>
      <c r="J15" s="36">
        <f>IFERROR(HistoricalFS!J34,0)</f>
        <v>0.16482084199740832</v>
      </c>
      <c r="K15" s="36">
        <f>IFERROR(HistoricalFS!K34,0)</f>
        <v>8.0654139625818008E-2</v>
      </c>
      <c r="L15" s="36">
        <f>IFERROR(HistoricalFS!L34,0)</f>
        <v>1.5988645139744097E-2</v>
      </c>
      <c r="M15" s="35"/>
      <c r="N15" s="36">
        <f t="shared" si="3"/>
        <v>5.2072809523435591E-2</v>
      </c>
      <c r="O15" s="36">
        <f t="shared" si="2"/>
        <v>8.913151212908213E-2</v>
      </c>
    </row>
    <row r="17" spans="2:15" x14ac:dyDescent="0.3">
      <c r="B17" s="32" t="s">
        <v>95</v>
      </c>
      <c r="C17" s="33">
        <f>IFERROR(HistoricalFS!C16,0)</f>
        <v>0.14780509974969305</v>
      </c>
      <c r="D17" s="33">
        <f>IFERROR(HistoricalFS!D16,0)</f>
        <v>0.68082091122309751</v>
      </c>
      <c r="E17" s="33">
        <f>IFERROR(HistoricalFS!E16,0)</f>
        <v>0.14252682589131188</v>
      </c>
      <c r="F17" s="33">
        <f>IFERROR(HistoricalFS!F16,0)</f>
        <v>0.13249733307208325</v>
      </c>
      <c r="G17" s="33">
        <f>IFERROR(HistoricalFS!G16,0)</f>
        <v>0.14207804623674605</v>
      </c>
      <c r="H17" s="33">
        <f>IFERROR(HistoricalFS!H16,0)</f>
        <v>0.1501415088753893</v>
      </c>
      <c r="I17" s="33">
        <f>IFERROR(HistoricalFS!I16,0)</f>
        <v>0.1335590370479772</v>
      </c>
      <c r="J17" s="33">
        <f>IFERROR(HistoricalFS!J16,0)</f>
        <v>0.12400174788295211</v>
      </c>
      <c r="K17" s="33">
        <f>IFERROR(HistoricalFS!K16,0)</f>
        <v>0.11883264995791132</v>
      </c>
      <c r="L17" s="33">
        <f>IFERROR(HistoricalFS!L16,0)</f>
        <v>0.13986237798047688</v>
      </c>
      <c r="M17" s="32"/>
      <c r="N17" s="33">
        <f t="shared" si="3"/>
        <v>0.19121255379176386</v>
      </c>
      <c r="O17" s="33">
        <f t="shared" ref="O17:O19" si="4">IFERROR(MEDIAN(C17:L17),0)</f>
        <v>0.14097021210861146</v>
      </c>
    </row>
    <row r="18" spans="2:15" x14ac:dyDescent="0.3">
      <c r="B18" t="s">
        <v>69</v>
      </c>
      <c r="C18" s="34">
        <f>IFERROR(HistoricalFS!C25,0)</f>
        <v>9.712669330276287E-2</v>
      </c>
      <c r="D18" s="34">
        <f>IFERROR(HistoricalFS!D25,0)</f>
        <v>0.1333987740142816</v>
      </c>
      <c r="E18" s="34">
        <f>IFERROR(HistoricalFS!E25,0)</f>
        <v>8.7116649359640017E-2</v>
      </c>
      <c r="F18" s="34">
        <f>IFERROR(HistoricalFS!F25,0)</f>
        <v>6.8393094289508627E-2</v>
      </c>
      <c r="G18" s="34">
        <f>IFERROR(HistoricalFS!G25,0)</f>
        <v>8.8997045019989576E-2</v>
      </c>
      <c r="H18" s="34">
        <f>IFERROR(HistoricalFS!H25,0)</f>
        <v>0.10767700451170557</v>
      </c>
      <c r="I18" s="34">
        <f>IFERROR(HistoricalFS!I25,0)</f>
        <v>8.6774746935390418E-2</v>
      </c>
      <c r="J18" s="34">
        <f>IFERROR(HistoricalFS!J25,0)</f>
        <v>6.7014736461441099E-2</v>
      </c>
      <c r="K18" s="34">
        <f>IFERROR(HistoricalFS!K25,0)</f>
        <v>7.1652591848372124E-2</v>
      </c>
      <c r="L18" s="34">
        <f>IFERROR(HistoricalFS!L25,0)</f>
        <v>7.4606719683845066E-2</v>
      </c>
      <c r="N18" s="34">
        <f t="shared" si="3"/>
        <v>8.8275805542693694E-2</v>
      </c>
      <c r="O18" s="34">
        <f t="shared" si="4"/>
        <v>8.694569814751521E-2</v>
      </c>
    </row>
    <row r="19" spans="2:15" x14ac:dyDescent="0.3">
      <c r="B19" s="35" t="s">
        <v>94</v>
      </c>
      <c r="C19" s="37">
        <f>C13</f>
        <v>0.20289379252335191</v>
      </c>
      <c r="D19" s="37">
        <f t="shared" ref="D19:L19" si="5">D13</f>
        <v>-0.42096357149259528</v>
      </c>
      <c r="E19" s="37">
        <f t="shared" si="5"/>
        <v>0.20884735202492211</v>
      </c>
      <c r="F19" s="37">
        <f t="shared" si="5"/>
        <v>0.20240350075109398</v>
      </c>
      <c r="G19" s="37">
        <f t="shared" si="5"/>
        <v>0.16273031461845994</v>
      </c>
      <c r="H19" s="37">
        <f t="shared" si="5"/>
        <v>0.13795635132094686</v>
      </c>
      <c r="I19" s="37">
        <f t="shared" si="5"/>
        <v>0.2235830086002204</v>
      </c>
      <c r="J19" s="37">
        <f t="shared" si="5"/>
        <v>0.27068830425217733</v>
      </c>
      <c r="K19" s="37">
        <f t="shared" si="5"/>
        <v>0.16208216797458386</v>
      </c>
      <c r="L19" s="37">
        <f t="shared" si="5"/>
        <v>0.17108128604924613</v>
      </c>
      <c r="M19" s="35"/>
      <c r="N19" s="36">
        <f t="shared" si="3"/>
        <v>0.13213025066224071</v>
      </c>
      <c r="O19" s="36">
        <f t="shared" si="4"/>
        <v>0.18674239340017007</v>
      </c>
    </row>
    <row r="21" spans="2:15" x14ac:dyDescent="0.3">
      <c r="B21" s="32" t="s">
        <v>116</v>
      </c>
      <c r="C21" s="33">
        <f>IFERROR((HistoricalFS!C18-HistoricalFS!C24)/(SUM(HistoricalFS!C47:C49)),0)</f>
        <v>0.11361753468517277</v>
      </c>
      <c r="D21" s="33">
        <f>IFERROR((HistoricalFS!D18-HistoricalFS!D24)/(SUM(HistoricalFS!D47:D49)),0)</f>
        <v>-0.24192980350569299</v>
      </c>
      <c r="E21" s="33">
        <f>IFERROR((HistoricalFS!E18-HistoricalFS!E24)/(SUM(HistoricalFS!E47:E49)),0)</f>
        <v>0.11427792172371472</v>
      </c>
      <c r="F21" s="33">
        <f>IFERROR((HistoricalFS!F18-HistoricalFS!F24)/(SUM(HistoricalFS!F47:F49)),0)</f>
        <v>0.15307357311621703</v>
      </c>
      <c r="G21" s="33">
        <f>IFERROR((HistoricalFS!G18-HistoricalFS!G24)/(SUM(HistoricalFS!G47:G49)),0)</f>
        <v>0.11654723279101795</v>
      </c>
      <c r="H21" s="33">
        <f>IFERROR((HistoricalFS!H18-HistoricalFS!H24)/(SUM(HistoricalFS!H47:H49)),0)</f>
        <v>0.10235459497452118</v>
      </c>
      <c r="I21" s="33">
        <f>IFERROR((HistoricalFS!I18-HistoricalFS!I24)/(SUM(HistoricalFS!I47:I49)),0)</f>
        <v>0.16407520113385302</v>
      </c>
      <c r="J21" s="33">
        <f>IFERROR((HistoricalFS!J18-HistoricalFS!J24)/(SUM(HistoricalFS!J47:J49)),0)</f>
        <v>0.30201065850747272</v>
      </c>
      <c r="K21" s="33">
        <f>IFERROR((HistoricalFS!K18-HistoricalFS!K24)/(SUM(HistoricalFS!K47:K49)),0)</f>
        <v>0.19937871601309373</v>
      </c>
      <c r="L21" s="33">
        <f>IFERROR((HistoricalFS!L18-HistoricalFS!L24)/(SUM(HistoricalFS!L47:L49)),0)</f>
        <v>0.20762826358631406</v>
      </c>
      <c r="M21" s="32"/>
      <c r="N21" s="33">
        <f t="shared" si="3"/>
        <v>0.12310338930256841</v>
      </c>
      <c r="O21" s="33">
        <f t="shared" ref="O21:O25" si="6">IFERROR(MEDIAN(C21:L21),0)</f>
        <v>0.13481040295361749</v>
      </c>
    </row>
    <row r="22" spans="2:15" x14ac:dyDescent="0.3">
      <c r="B22" t="s">
        <v>99</v>
      </c>
      <c r="C22" s="34">
        <f>IFERROR(HistoricalFS!C44,0)</f>
        <v>0.84510184682584</v>
      </c>
      <c r="D22" s="34">
        <f>IFERROR(HistoricalFS!D44,0)</f>
        <v>0</v>
      </c>
      <c r="E22" s="34">
        <f>IFERROR(HistoricalFS!E44,0)</f>
        <v>0.16231873549883991</v>
      </c>
      <c r="F22" s="34">
        <f>IFERROR(HistoricalFS!F44,0)</f>
        <v>0</v>
      </c>
      <c r="G22" s="34">
        <f>IFERROR(HistoricalFS!G44,0)</f>
        <v>0</v>
      </c>
      <c r="H22" s="34">
        <f>IFERROR(HistoricalFS!H44,0)</f>
        <v>0.8576111492786338</v>
      </c>
      <c r="I22" s="34">
        <f>IFERROR(HistoricalFS!I44,0)</f>
        <v>0.71244914564686734</v>
      </c>
      <c r="J22" s="34">
        <f>IFERROR(HistoricalFS!J44,0)</f>
        <v>0.23481281711386393</v>
      </c>
      <c r="K22" s="34">
        <f>IFERROR(HistoricalFS!K44,0)</f>
        <v>0</v>
      </c>
      <c r="L22" s="34">
        <f>IFERROR(HistoricalFS!L44,0)</f>
        <v>0</v>
      </c>
      <c r="N22" s="34">
        <f t="shared" si="3"/>
        <v>0.28122936943640447</v>
      </c>
      <c r="O22" s="34">
        <f t="shared" si="6"/>
        <v>8.1159367749419953E-2</v>
      </c>
    </row>
    <row r="23" spans="2:15" x14ac:dyDescent="0.3">
      <c r="B23" t="s">
        <v>115</v>
      </c>
      <c r="C23" s="34">
        <f>IFERROR(HistoricalFS!C33/SUM(HistoricalFS!C47:C48),0)</f>
        <v>0.14567091728728246</v>
      </c>
      <c r="D23" s="34">
        <f>IFERROR(HistoricalFS!D33/SUM(HistoricalFS!D47:D48),0)</f>
        <v>-0.50301674622841441</v>
      </c>
      <c r="E23" s="34">
        <f>IFERROR(HistoricalFS!E33/SUM(HistoricalFS!E47:E48),0)</f>
        <v>0.11412494828299545</v>
      </c>
      <c r="F23" s="34">
        <f>IFERROR(HistoricalFS!F33/SUM(HistoricalFS!F47:F48),0)</f>
        <v>0.12011940864291129</v>
      </c>
      <c r="G23" s="34">
        <f>IFERROR(HistoricalFS!G33/SUM(HistoricalFS!G47:G48),0)</f>
        <v>8.7131001492848775E-2</v>
      </c>
      <c r="H23" s="34">
        <f>IFERROR(HistoricalFS!H33/SUM(HistoricalFS!H47:H48),0)</f>
        <v>0.18649217534547452</v>
      </c>
      <c r="I23" s="34">
        <f>IFERROR(HistoricalFS!I33/SUM(HistoricalFS!I47:I48),0)</f>
        <v>0.19734095507241722</v>
      </c>
      <c r="J23" s="34">
        <f>IFERROR(HistoricalFS!J33/SUM(HistoricalFS!J47:J48),0)</f>
        <v>0.3345976782955814</v>
      </c>
      <c r="K23" s="34">
        <f>IFERROR(HistoricalFS!K33/SUM(HistoricalFS!K47:K48),0)</f>
        <v>0.3013722953605763</v>
      </c>
      <c r="L23" s="34">
        <f>IFERROR(HistoricalFS!L33/SUM(HistoricalFS!L47:L48),0)</f>
        <v>7.4799817720200501E-2</v>
      </c>
      <c r="N23" s="34">
        <f t="shared" si="3"/>
        <v>0.10586324512718734</v>
      </c>
      <c r="O23" s="34">
        <f t="shared" si="6"/>
        <v>0.13289516296509687</v>
      </c>
    </row>
    <row r="24" spans="2:15" x14ac:dyDescent="0.3">
      <c r="B24" t="s">
        <v>98</v>
      </c>
      <c r="C24" s="34">
        <f>IFERROR(C22*C23,0)</f>
        <v>0.12310676122829659</v>
      </c>
      <c r="D24" s="34">
        <f t="shared" ref="D24:L24" si="7">IFERROR(D22*D23,0)</f>
        <v>0</v>
      </c>
      <c r="E24" s="34">
        <f t="shared" si="7"/>
        <v>1.8524617294166323E-2</v>
      </c>
      <c r="F24" s="34">
        <f t="shared" si="7"/>
        <v>0</v>
      </c>
      <c r="G24" s="34">
        <f t="shared" si="7"/>
        <v>0</v>
      </c>
      <c r="H24" s="34">
        <f t="shared" si="7"/>
        <v>0.15993776882950489</v>
      </c>
      <c r="I24" s="34">
        <f>IFERROR(I22*I23,0)</f>
        <v>0.14059539484248049</v>
      </c>
      <c r="J24" s="34">
        <f t="shared" si="7"/>
        <v>7.8567823440343826E-2</v>
      </c>
      <c r="K24" s="34">
        <f t="shared" si="7"/>
        <v>0</v>
      </c>
      <c r="L24" s="34">
        <f t="shared" si="7"/>
        <v>0</v>
      </c>
      <c r="N24" s="34">
        <f t="shared" si="3"/>
        <v>5.2073236563479217E-2</v>
      </c>
      <c r="O24" s="34">
        <f t="shared" si="6"/>
        <v>9.2623086470831617E-3</v>
      </c>
    </row>
    <row r="25" spans="2:15" x14ac:dyDescent="0.3">
      <c r="B25" s="35" t="s">
        <v>106</v>
      </c>
      <c r="C25" s="38">
        <f>((HistoricalFS!C18-HistoricalFS!C24)/HistoricalFS!C21)</f>
        <v>2.642831140281122</v>
      </c>
      <c r="D25" s="38">
        <f>((HistoricalFS!D18-HistoricalFS!D24)/HistoricalFS!D21)</f>
        <v>-4.6817672845713059</v>
      </c>
      <c r="E25" s="38">
        <f>((HistoricalFS!E18-HistoricalFS!E24)/HistoricalFS!E21)</f>
        <v>2.5762596071733559</v>
      </c>
      <c r="F25" s="38">
        <f>((HistoricalFS!F18-HistoricalFS!F24)/HistoricalFS!F21)</f>
        <v>3.637323943661972</v>
      </c>
      <c r="G25" s="38">
        <f>((HistoricalFS!G18-HistoricalFS!G24)/HistoricalFS!G21)</f>
        <v>2.6329759184390928</v>
      </c>
      <c r="H25" s="38">
        <f>((HistoricalFS!H18-HistoricalFS!H24)/HistoricalFS!H21)</f>
        <v>2.3407675306409486</v>
      </c>
      <c r="I25" s="38">
        <f>((HistoricalFS!I18-HistoricalFS!I24)/HistoricalFS!I21)</f>
        <v>3.7773512476007678</v>
      </c>
      <c r="J25" s="38">
        <f>((HistoricalFS!J18-HistoricalFS!J24)/HistoricalFS!J21)</f>
        <v>7.4898895142797581</v>
      </c>
      <c r="K25" s="38">
        <f>((HistoricalFS!K18-HistoricalFS!K24)/HistoricalFS!K21)</f>
        <v>3.8355020080321287</v>
      </c>
      <c r="L25" s="38">
        <f>((HistoricalFS!L18-HistoricalFS!L24)/HistoricalFS!L21)</f>
        <v>2.5978869519281562</v>
      </c>
      <c r="M25" s="35"/>
      <c r="N25" s="38">
        <f t="shared" si="3"/>
        <v>2.6849020577465996</v>
      </c>
      <c r="O25" s="38">
        <f t="shared" si="6"/>
        <v>2.6379035293601074</v>
      </c>
    </row>
    <row r="27" spans="2:15" x14ac:dyDescent="0.3">
      <c r="B27" s="32" t="s">
        <v>107</v>
      </c>
      <c r="C27" s="39">
        <f>HistoricalFS!C6/HistoricalFS!C59</f>
        <v>20.445725951630038</v>
      </c>
      <c r="D27" s="39">
        <f>HistoricalFS!D6/HistoricalFS!D59</f>
        <v>25.769126817042608</v>
      </c>
      <c r="E27" s="39">
        <f>HistoricalFS!E6/HistoricalFS!E59</f>
        <v>32.243303571428569</v>
      </c>
      <c r="F27" s="39">
        <f>HistoricalFS!F6/HistoricalFS!F59</f>
        <v>23.145880574452004</v>
      </c>
      <c r="G27" s="39">
        <f>HistoricalFS!G6/HistoricalFS!G59</f>
        <v>23.116022099447513</v>
      </c>
      <c r="H27" s="39">
        <f>HistoricalFS!H6/HistoricalFS!H59</f>
        <v>31.311457174638488</v>
      </c>
      <c r="I27" s="39">
        <f>HistoricalFS!I6/HistoricalFS!I59</f>
        <v>25.213692351761672</v>
      </c>
      <c r="J27" s="39">
        <f>HistoricalFS!J6/HistoricalFS!J59</f>
        <v>26.8362312980186</v>
      </c>
      <c r="K27" s="39">
        <f>HistoricalFS!K6/HistoricalFS!K59</f>
        <v>36.698555057299451</v>
      </c>
      <c r="L27" s="39">
        <f>HistoricalFS!L6/HistoricalFS!L59</f>
        <v>39.846686997504854</v>
      </c>
      <c r="M27" s="32"/>
      <c r="N27" s="39">
        <f t="shared" si="3"/>
        <v>28.462668189322375</v>
      </c>
      <c r="O27" s="39">
        <f t="shared" ref="O27:O31" si="8">IFERROR(MEDIAN(C27:L27),0)</f>
        <v>26.302679057530604</v>
      </c>
    </row>
    <row r="28" spans="2:15" x14ac:dyDescent="0.3">
      <c r="B28" t="s">
        <v>111</v>
      </c>
      <c r="C28" s="40">
        <f>IFERROR(HistoricalFS!C6/HistoricalFS!C50,0)</f>
        <v>1.2566916171059206</v>
      </c>
      <c r="D28" s="40">
        <f>IFERROR(HistoricalFS!D6/HistoricalFS!D50,0)</f>
        <v>0.80163496120484967</v>
      </c>
      <c r="E28" s="40">
        <f>IFERROR(HistoricalFS!E6/HistoricalFS!E50,0)</f>
        <v>1.111974996920803</v>
      </c>
      <c r="F28" s="40">
        <f>IFERROR(HistoricalFS!F6/HistoricalFS!F50,0)</f>
        <v>1.5598003259983699</v>
      </c>
      <c r="G28" s="40">
        <f>IFERROR(HistoricalFS!G6/HistoricalFS!G50,0)</f>
        <v>1.3141266328788637</v>
      </c>
      <c r="H28" s="40">
        <f>IFERROR(HistoricalFS!H6/HistoricalFS!H50,0)</f>
        <v>1.2619663164816115</v>
      </c>
      <c r="I28" s="40">
        <f>IFERROR(HistoricalFS!I6/HistoricalFS!I50,0)</f>
        <v>1.3850450819027238</v>
      </c>
      <c r="J28" s="40">
        <f>IFERROR(HistoricalFS!J6/HistoricalFS!J50,0)</f>
        <v>1.7702084528080446</v>
      </c>
      <c r="K28" s="40">
        <f>IFERROR(HistoricalFS!K6/HistoricalFS!K50,0)</f>
        <v>2.1133667130539573</v>
      </c>
      <c r="L28" s="40">
        <f>IFERROR(HistoricalFS!L6/HistoricalFS!L50,0)</f>
        <v>2.0623762376237624</v>
      </c>
      <c r="N28" s="40">
        <f t="shared" si="3"/>
        <v>1.4637191335978905</v>
      </c>
      <c r="O28" s="40">
        <f t="shared" si="8"/>
        <v>1.3495858573907937</v>
      </c>
    </row>
    <row r="29" spans="2:15" x14ac:dyDescent="0.3">
      <c r="B29" t="s">
        <v>108</v>
      </c>
      <c r="C29" s="40">
        <f>IFERROR(HistoricalFS!C6/HistoricalFS!C60,0)</f>
        <v>8.4480608640438639</v>
      </c>
      <c r="D29" s="40">
        <f>IFERROR(HistoricalFS!D6/HistoricalFS!D60,0)</f>
        <v>8.0210393614299189</v>
      </c>
      <c r="E29" s="40">
        <f>IFERROR(HistoricalFS!E6/HistoricalFS!E60,0)</f>
        <v>7.5015579559617782</v>
      </c>
      <c r="F29" s="40">
        <f>IFERROR(HistoricalFS!F6/HistoricalFS!F60,0)</f>
        <v>7.6766106793682631</v>
      </c>
      <c r="G29" s="40">
        <f>IFERROR(HistoricalFS!G6/HistoricalFS!G60,0)</f>
        <v>6.9743900590998633</v>
      </c>
      <c r="H29" s="40">
        <f>IFERROR(HistoricalFS!H6/HistoricalFS!H60,0)</f>
        <v>7.4501102779003086</v>
      </c>
      <c r="I29" s="40">
        <f>IFERROR(HistoricalFS!I6/HistoricalFS!I60,0)</f>
        <v>8.8704020961402801</v>
      </c>
      <c r="J29" s="40">
        <f>IFERROR(HistoricalFS!J6/HistoricalFS!J60,0)</f>
        <v>9.2735275623559001</v>
      </c>
      <c r="K29" s="40">
        <f>IFERROR(HistoricalFS!K6/HistoricalFS!K60,0)</f>
        <v>9.8126831867839055</v>
      </c>
      <c r="L29" s="40">
        <f>IFERROR(HistoricalFS!L6/HistoricalFS!L60,0)</f>
        <v>11.055072686716407</v>
      </c>
      <c r="N29" s="40">
        <f t="shared" si="3"/>
        <v>8.5083454729800483</v>
      </c>
      <c r="O29" s="40">
        <f t="shared" si="8"/>
        <v>8.2345501127368905</v>
      </c>
    </row>
    <row r="30" spans="2:15" x14ac:dyDescent="0.3">
      <c r="B30" t="s">
        <v>109</v>
      </c>
      <c r="C30" s="40">
        <f>IFERROR(HistoricalFS!C6/HistoricalFS!C53,0)</f>
        <v>1.0513732916851084</v>
      </c>
      <c r="D30" s="40">
        <f>IFERROR(HistoricalFS!D6/HistoricalFS!D53,0)</f>
        <v>1.0433653700184362</v>
      </c>
      <c r="E30" s="40">
        <f>IFERROR(HistoricalFS!E6/HistoricalFS!E53,0)</f>
        <v>0.95496555645171954</v>
      </c>
      <c r="F30" s="40">
        <f>IFERROR(HistoricalFS!F6/HistoricalFS!F53,0)</f>
        <v>1.1709387547001466</v>
      </c>
      <c r="G30" s="40">
        <f>IFERROR(HistoricalFS!G6/HistoricalFS!G53,0)</f>
        <v>1.0662712708654303</v>
      </c>
      <c r="H30" s="40">
        <f>IFERROR(HistoricalFS!H6/HistoricalFS!H53,0)</f>
        <v>0.98049392176669337</v>
      </c>
      <c r="I30" s="40">
        <f>IFERROR(HistoricalFS!I6/HistoricalFS!I53,0)</f>
        <v>1.0002159041839958</v>
      </c>
      <c r="J30" s="40">
        <f>IFERROR(HistoricalFS!J6/HistoricalFS!J53,0)</f>
        <v>1.4830722474245235</v>
      </c>
      <c r="K30" s="40">
        <f>IFERROR(HistoricalFS!K6/HistoricalFS!K53,0)</f>
        <v>1.6280185228164405</v>
      </c>
      <c r="L30" s="40">
        <f>IFERROR(HistoricalFS!L6/HistoricalFS!L53,0)</f>
        <v>1.5529491847738004</v>
      </c>
      <c r="N30" s="40">
        <f t="shared" si="3"/>
        <v>1.1931664024686293</v>
      </c>
      <c r="O30" s="40">
        <f t="shared" si="8"/>
        <v>1.0588222812752695</v>
      </c>
    </row>
    <row r="31" spans="2:15" x14ac:dyDescent="0.3">
      <c r="B31" s="35" t="s">
        <v>113</v>
      </c>
      <c r="C31" s="38">
        <f>IFERROR(HistoricalFS!C6/SUM(HistoricalFS!C47:C48),0)</f>
        <v>1.3681509159954095</v>
      </c>
      <c r="D31" s="38">
        <f>IFERROR(HistoricalFS!D6/SUM(HistoricalFS!D47:D48),0)</f>
        <v>1.459195529797678</v>
      </c>
      <c r="E31" s="38">
        <f>IFERROR(HistoricalFS!E6/SUM(HistoricalFS!E47:E48),0)</f>
        <v>1.19528340918494</v>
      </c>
      <c r="F31" s="38">
        <f>IFERROR(HistoricalFS!F6/SUM(HistoricalFS!F47:F48),0)</f>
        <v>1.4510045489006824</v>
      </c>
      <c r="G31" s="38">
        <f>IFERROR(HistoricalFS!G6/SUM(HistoricalFS!G47:G48),0)</f>
        <v>1.4775671380644333</v>
      </c>
      <c r="H31" s="38">
        <f>IFERROR(HistoricalFS!H6/SUM(HistoricalFS!H47:H48),0)</f>
        <v>1.5456575455294226</v>
      </c>
      <c r="I31" s="38">
        <f>IFERROR(HistoricalFS!I6/SUM(HistoricalFS!I47:I48),0)</f>
        <v>1.4133562413693439</v>
      </c>
      <c r="J31" s="38">
        <f>IFERROR(HistoricalFS!J6/SUM(HistoricalFS!J47:J48),0)</f>
        <v>2.030068978174755</v>
      </c>
      <c r="K31" s="38">
        <f>IFERROR(HistoricalFS!K6/SUM(HistoricalFS!K47:K48),0)</f>
        <v>3.7366004616594375</v>
      </c>
      <c r="L31" s="38">
        <f>IFERROR(HistoricalFS!L6/SUM(HistoricalFS!L47:L48),0)</f>
        <v>4.6783087038604254</v>
      </c>
      <c r="M31" s="35"/>
      <c r="N31" s="38">
        <f t="shared" si="3"/>
        <v>2.0355193472536528</v>
      </c>
      <c r="O31" s="38">
        <f t="shared" si="8"/>
        <v>1.4683813339310556</v>
      </c>
    </row>
    <row r="33" spans="2:15" x14ac:dyDescent="0.3">
      <c r="B33" s="32" t="s">
        <v>110</v>
      </c>
      <c r="C33" s="41">
        <f>IFERROR(365/C27,0)</f>
        <v>17.852141854170764</v>
      </c>
      <c r="D33" s="41">
        <f t="shared" ref="D33:L33" si="9">IFERROR(365/D27,0)</f>
        <v>14.164236242518101</v>
      </c>
      <c r="E33" s="41">
        <f t="shared" si="9"/>
        <v>11.32017999307719</v>
      </c>
      <c r="F33" s="41">
        <f t="shared" si="9"/>
        <v>15.76954477173274</v>
      </c>
      <c r="G33" s="41">
        <f t="shared" si="9"/>
        <v>15.789913957934992</v>
      </c>
      <c r="H33" s="41">
        <f t="shared" si="9"/>
        <v>11.65707485168212</v>
      </c>
      <c r="I33" s="41">
        <f t="shared" si="9"/>
        <v>14.476261346724078</v>
      </c>
      <c r="J33" s="41">
        <f t="shared" si="9"/>
        <v>13.601015580267005</v>
      </c>
      <c r="K33" s="41">
        <f t="shared" si="9"/>
        <v>9.9458956743693481</v>
      </c>
      <c r="L33" s="41">
        <f t="shared" si="9"/>
        <v>9.1601090957161837</v>
      </c>
      <c r="M33" s="32"/>
      <c r="N33" s="41">
        <f t="shared" si="3"/>
        <v>13.373637336819252</v>
      </c>
      <c r="O33" s="41">
        <f t="shared" ref="O33:O40" si="10">IFERROR(MEDIAN(C33:L33),0)</f>
        <v>13.882625911392552</v>
      </c>
    </row>
    <row r="34" spans="2:15" x14ac:dyDescent="0.3">
      <c r="B34" t="s">
        <v>112</v>
      </c>
      <c r="C34" s="42">
        <f>IFERROR(365/C28,0)</f>
        <v>290.44516174984233</v>
      </c>
      <c r="D34" s="42">
        <f t="shared" ref="D34:L34" si="11">IFERROR(365/D28,0)</f>
        <v>455.31946292787489</v>
      </c>
      <c r="E34" s="42">
        <f t="shared" si="11"/>
        <v>328.24479058497752</v>
      </c>
      <c r="F34" s="42">
        <f t="shared" si="11"/>
        <v>234.00431062634709</v>
      </c>
      <c r="G34" s="42">
        <f t="shared" si="11"/>
        <v>277.75101034242999</v>
      </c>
      <c r="H34" s="42">
        <f t="shared" si="11"/>
        <v>289.23117458287447</v>
      </c>
      <c r="I34" s="42">
        <f t="shared" si="11"/>
        <v>263.52932822849095</v>
      </c>
      <c r="J34" s="42">
        <f t="shared" si="11"/>
        <v>206.19040623210682</v>
      </c>
      <c r="K34" s="42">
        <f t="shared" si="11"/>
        <v>172.71020582724634</v>
      </c>
      <c r="L34" s="42">
        <f t="shared" si="11"/>
        <v>176.98031685069611</v>
      </c>
      <c r="N34" s="42">
        <f t="shared" si="3"/>
        <v>269.44061679528863</v>
      </c>
      <c r="O34" s="42">
        <f t="shared" si="10"/>
        <v>270.6401692854605</v>
      </c>
    </row>
    <row r="35" spans="2:15" x14ac:dyDescent="0.3">
      <c r="B35" t="s">
        <v>114</v>
      </c>
      <c r="C35" s="42">
        <f>IFERROR(365/C29,0)</f>
        <v>43.205181150326624</v>
      </c>
      <c r="D35" s="42">
        <f t="shared" ref="D35:L35" si="12">IFERROR(365/D29,0)</f>
        <v>45.505324628519347</v>
      </c>
      <c r="E35" s="42">
        <f t="shared" si="12"/>
        <v>48.656559363101415</v>
      </c>
      <c r="F35" s="42">
        <f t="shared" si="12"/>
        <v>47.547025014695315</v>
      </c>
      <c r="G35" s="42">
        <f t="shared" si="12"/>
        <v>52.334325569268209</v>
      </c>
      <c r="H35" s="42">
        <f t="shared" si="12"/>
        <v>48.992563382950252</v>
      </c>
      <c r="I35" s="42">
        <f t="shared" si="12"/>
        <v>41.14807829949671</v>
      </c>
      <c r="J35" s="42">
        <f t="shared" si="12"/>
        <v>39.359348160202515</v>
      </c>
      <c r="K35" s="42">
        <f t="shared" si="12"/>
        <v>37.196757813560708</v>
      </c>
      <c r="L35" s="42">
        <f t="shared" si="12"/>
        <v>33.016517425396756</v>
      </c>
      <c r="N35" s="42">
        <f t="shared" si="3"/>
        <v>43.696168080751782</v>
      </c>
      <c r="O35" s="42">
        <f t="shared" si="10"/>
        <v>44.355252889422985</v>
      </c>
    </row>
    <row r="36" spans="2:15" x14ac:dyDescent="0.3">
      <c r="B36" s="35" t="s">
        <v>120</v>
      </c>
      <c r="C36" s="43">
        <f>SUM(C33,C35)-C34</f>
        <v>-229.38783874534494</v>
      </c>
      <c r="D36" s="43">
        <f t="shared" ref="D36:L36" si="13">SUM(D33,D35)-D34</f>
        <v>-395.64990205683745</v>
      </c>
      <c r="E36" s="43">
        <f t="shared" si="13"/>
        <v>-268.26805122879892</v>
      </c>
      <c r="F36" s="43">
        <f t="shared" si="13"/>
        <v>-170.68774083991903</v>
      </c>
      <c r="G36" s="43">
        <f t="shared" si="13"/>
        <v>-209.62677081522679</v>
      </c>
      <c r="H36" s="43">
        <f t="shared" si="13"/>
        <v>-228.58153634824211</v>
      </c>
      <c r="I36" s="43">
        <f t="shared" si="13"/>
        <v>-207.90498858227016</v>
      </c>
      <c r="J36" s="43">
        <f t="shared" si="13"/>
        <v>-153.23004249163731</v>
      </c>
      <c r="K36" s="43">
        <f t="shared" si="13"/>
        <v>-125.56755233931628</v>
      </c>
      <c r="L36" s="43">
        <f t="shared" si="13"/>
        <v>-134.80369032958316</v>
      </c>
      <c r="M36" s="35"/>
      <c r="N36" s="43">
        <f t="shared" si="3"/>
        <v>-212.37081137771762</v>
      </c>
      <c r="O36" s="43">
        <f t="shared" si="10"/>
        <v>-208.76587969874848</v>
      </c>
    </row>
    <row r="38" spans="2:15" x14ac:dyDescent="0.3">
      <c r="B38" s="32" t="s">
        <v>117</v>
      </c>
      <c r="C38" s="33">
        <f>IFERROR(HistoricalFS!C70/HistoricalFS!C6,0)</f>
        <v>0.24155814379421922</v>
      </c>
      <c r="D38" s="33">
        <f>IFERROR(HistoricalFS!D70/HistoricalFS!D6,0)</f>
        <v>0.31709246681074404</v>
      </c>
      <c r="E38" s="33">
        <f>IFERROR(HistoricalFS!E70/HistoricalFS!E6,0)</f>
        <v>0.25037037037037035</v>
      </c>
      <c r="F38" s="33">
        <f>IFERROR(HistoricalFS!F70/HistoricalFS!F6,0)</f>
        <v>0.18903620490714737</v>
      </c>
      <c r="G38" s="33">
        <f>IFERROR(HistoricalFS!G70/HistoricalFS!G6,0)</f>
        <v>0.25806101164609768</v>
      </c>
      <c r="H38" s="33">
        <f>IFERROR(HistoricalFS!H70/HistoricalFS!H6,0)</f>
        <v>0.22854571506388621</v>
      </c>
      <c r="I38" s="33">
        <f>IFERROR(HistoricalFS!I70/HistoricalFS!I6,0)</f>
        <v>0.27243498710534986</v>
      </c>
      <c r="J38" s="33">
        <f>IFERROR(HistoricalFS!J70/HistoricalFS!J6,0)</f>
        <v>0.26341048127053007</v>
      </c>
      <c r="K38" s="33">
        <f>IFERROR(HistoricalFS!K70/HistoricalFS!K6,0)</f>
        <v>0.22446167214272136</v>
      </c>
      <c r="L38" s="33">
        <f>IFERROR(HistoricalFS!L70/HistoricalFS!L6,0)</f>
        <v>0.24806751688965886</v>
      </c>
      <c r="M38" s="32"/>
      <c r="N38" s="33">
        <f t="shared" si="3"/>
        <v>0.24930385700007252</v>
      </c>
      <c r="O38" s="33">
        <f t="shared" si="10"/>
        <v>0.24921894363001462</v>
      </c>
    </row>
    <row r="39" spans="2:15" x14ac:dyDescent="0.3">
      <c r="B39" t="s">
        <v>118</v>
      </c>
      <c r="C39" s="34">
        <f>IFERROR(HistoricalFS!C70/HistoricalFS!C64,HistoricalFS!B52)</f>
        <v>9.3572732731634314E-2</v>
      </c>
      <c r="D39" s="34">
        <f>IFERROR(HistoricalFS!D70/HistoricalFS!D64,HistoricalFS!C52)</f>
        <v>0.10614065449927557</v>
      </c>
      <c r="E39" s="34">
        <f>IFERROR(HistoricalFS!E70/HistoricalFS!E64,HistoricalFS!D52)</f>
        <v>9.1817046296954502E-2</v>
      </c>
      <c r="F39" s="34">
        <f>IFERROR(HistoricalFS!F70/HistoricalFS!F64,HistoricalFS!E52)</f>
        <v>9.628147055725271E-2</v>
      </c>
      <c r="G39" s="34">
        <f>IFERROR(HistoricalFS!G70/HistoricalFS!G64,HistoricalFS!F52)</f>
        <v>0.11962652592562749</v>
      </c>
      <c r="H39" s="34">
        <f>IFERROR(HistoricalFS!H70/HistoricalFS!H64,HistoricalFS!G52)</f>
        <v>0.10678499698456874</v>
      </c>
      <c r="I39" s="34">
        <f>IFERROR(HistoricalFS!I70/HistoricalFS!I64,HistoricalFS!H52)</f>
        <v>0.13068404760866723</v>
      </c>
      <c r="J39" s="34">
        <f>IFERROR(HistoricalFS!J70/HistoricalFS!J64,HistoricalFS!I52)</f>
        <v>0.18027089875068963</v>
      </c>
      <c r="K39" s="34">
        <f>IFERROR(HistoricalFS!K70/HistoricalFS!K64,HistoricalFS!J52)</f>
        <v>0.17452693251695653</v>
      </c>
      <c r="L39" s="34">
        <f>IFERROR(HistoricalFS!L70/HistoricalFS!L64,HistoricalFS!K52)</f>
        <v>0.18952997586621162</v>
      </c>
      <c r="N39" s="34">
        <f t="shared" si="3"/>
        <v>0.12892352817378383</v>
      </c>
      <c r="O39" s="34">
        <f t="shared" si="10"/>
        <v>0.11320576145509811</v>
      </c>
    </row>
    <row r="40" spans="2:15" x14ac:dyDescent="0.3">
      <c r="B40" s="35" t="s">
        <v>119</v>
      </c>
      <c r="C40" s="36">
        <f>IFERROR(HistoricalFS!C70/HistoricalFS!C49,0)</f>
        <v>0.22899811323909389</v>
      </c>
      <c r="D40" s="36">
        <f>IFERROR(HistoricalFS!D70/HistoricalFS!D49,0)</f>
        <v>0.30064293903860273</v>
      </c>
      <c r="E40" s="36">
        <f>IFERROR(HistoricalFS!E70/HistoricalFS!E49,0)</f>
        <v>0.25266526009864604</v>
      </c>
      <c r="F40" s="36">
        <f>IFERROR(HistoricalFS!F70/HistoricalFS!F49,0)</f>
        <v>0.29859523031688989</v>
      </c>
      <c r="G40" s="36">
        <f>IFERROR(HistoricalFS!G70/HistoricalFS!G49,0)</f>
        <v>0.3586808806209042</v>
      </c>
      <c r="H40" s="36">
        <f>IFERROR(HistoricalFS!H70/HistoricalFS!H49,0)</f>
        <v>0.32609613922446568</v>
      </c>
      <c r="I40" s="36">
        <f>IFERROR(HistoricalFS!I70/HistoricalFS!I49,0)</f>
        <v>0.41583574661418143</v>
      </c>
      <c r="J40" s="36">
        <f>IFERROR(HistoricalFS!J70/HistoricalFS!J49,0)</f>
        <v>0.65250172629378722</v>
      </c>
      <c r="K40" s="36">
        <f>IFERROR(HistoricalFS!K70/HistoricalFS!K49,0)</f>
        <v>0.41161971392647734</v>
      </c>
      <c r="L40" s="36">
        <f>IFERROR(HistoricalFS!L70/HistoricalFS!L49,0)</f>
        <v>0.4065172280117666</v>
      </c>
      <c r="M40" s="35"/>
      <c r="N40" s="36">
        <f t="shared" si="3"/>
        <v>0.36521529773848149</v>
      </c>
      <c r="O40" s="36">
        <f t="shared" si="10"/>
        <v>0.34238850992268494</v>
      </c>
    </row>
  </sheetData>
  <mergeCells count="1">
    <mergeCell ref="B2:O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EFDF8D94-77CE-4F06-9AC2-82F982CD923E}">
          <x14:colorSeries theme="4" tint="0.59999389629810485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Analysis'!C11:L11</xm:f>
              <xm:sqref>M11</xm:sqref>
            </x14:sparkline>
            <x14:sparkline>
              <xm:f>'Ratio Analysis'!C12:L12</xm:f>
              <xm:sqref>M12</xm:sqref>
            </x14:sparkline>
            <x14:sparkline>
              <xm:f>'Ratio Analysis'!C13:L13</xm:f>
              <xm:sqref>M13</xm:sqref>
            </x14:sparkline>
            <x14:sparkline>
              <xm:f>'Ratio Analysis'!C14:L14</xm:f>
              <xm:sqref>M14</xm:sqref>
            </x14:sparkline>
            <x14:sparkline>
              <xm:f>'Ratio Analysis'!C15:L15</xm:f>
              <xm:sqref>M15</xm:sqref>
            </x14:sparkline>
            <x14:sparkline>
              <xm:f>'Ratio Analysis'!C16:L16</xm:f>
              <xm:sqref>M16</xm:sqref>
            </x14:sparkline>
            <x14:sparkline>
              <xm:f>'Ratio Analysis'!C17:L17</xm:f>
              <xm:sqref>M17</xm:sqref>
            </x14:sparkline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  <x14:sparkline>
              <xm:f>'Ratio Analysis'!C20:L20</xm:f>
              <xm:sqref>M20</xm:sqref>
            </x14:sparkline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  <x14:sparkline>
              <xm:f>'Ratio Analysis'!C26:L26</xm:f>
              <xm:sqref>M26</xm:sqref>
            </x14:sparkline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  <x14:sparkline>
              <xm:f>'Ratio Analysis'!C32:L32</xm:f>
              <xm:sqref>M32</xm:sqref>
            </x14:sparkline>
            <x14:sparkline>
              <xm:f>'Ratio Analysis'!C33:L33</xm:f>
              <xm:sqref>M33</xm:sqref>
            </x14:sparkline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  <x14:sparkline>
              <xm:f>'Ratio Analysis'!C38:L38</xm:f>
              <xm:sqref>M38</xm:sqref>
            </x14:sparkline>
            <x14:sparkline>
              <xm:f>'Ratio Analysis'!C39:L39</xm:f>
              <xm:sqref>M39</xm:sqref>
            </x14:sparkline>
            <x14:sparkline>
              <xm:f>'Ratio Analysis'!C40:L40</xm:f>
              <xm:sqref>M40</xm:sqref>
            </x14:sparkline>
          </x14:sparklines>
        </x14:sparklineGroup>
        <x14:sparklineGroup displayEmptyCellsAs="gap" markers="1" xr2:uid="{9C5CC07B-4CC3-4A4B-BDE8-15B6C284CC38}">
          <x14:colorSeries theme="4" tint="0.59999389629810485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Analysis'!D5:L5</xm:f>
              <xm:sqref>M5</xm:sqref>
            </x14:sparkline>
            <x14:sparkline>
              <xm:f>'Ratio Analysis'!D6:L6</xm:f>
              <xm:sqref>M6</xm:sqref>
            </x14:sparkline>
            <x14:sparkline>
              <xm:f>'Ratio Analysis'!D7:L7</xm:f>
              <xm:sqref>M7</xm:sqref>
            </x14:sparkline>
            <x14:sparkline>
              <xm:f>'Ratio Analysis'!D8:L8</xm:f>
              <xm:sqref>M8</xm:sqref>
            </x14:sparkline>
            <x14:sparkline>
              <xm:f>'Ratio Analysis'!D9:L9</xm:f>
              <xm:sqref>M9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EAB5-1258-49C9-9C0B-A8027D874526}">
  <sheetPr>
    <tabColor theme="8" tint="-0.499984740745262"/>
  </sheetPr>
  <dimension ref="A1"/>
  <sheetViews>
    <sheetView workbookViewId="0">
      <selection activeCell="F26" sqref="F26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B414-43EE-4FFE-B14C-A002C9EDC0A7}">
  <sheetPr>
    <tabColor rgb="FFFF0000"/>
  </sheetPr>
  <dimension ref="A1:L93"/>
  <sheetViews>
    <sheetView tabSelected="1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L77" sqref="L77"/>
    </sheetView>
  </sheetViews>
  <sheetFormatPr defaultColWidth="10.44140625" defaultRowHeight="13.2" x14ac:dyDescent="0.25"/>
  <cols>
    <col min="1" max="1" width="26.6640625" style="2" bestFit="1" customWidth="1"/>
    <col min="2" max="11" width="11.44140625" style="2" bestFit="1" customWidth="1"/>
    <col min="12" max="16384" width="10.44140625" style="2"/>
  </cols>
  <sheetData>
    <row r="1" spans="1:11" s="1" customFormat="1" x14ac:dyDescent="0.25">
      <c r="A1" s="1" t="s">
        <v>0</v>
      </c>
      <c r="B1" s="1" t="s">
        <v>1</v>
      </c>
      <c r="E1" s="46" t="str">
        <f>IF(B2&lt;&gt;B3, "A NEW VERSION OF THE WORKSHEET IS AVAILABLE", "")</f>
        <v/>
      </c>
      <c r="F1" s="46"/>
      <c r="G1" s="46"/>
      <c r="H1" s="46"/>
      <c r="I1" s="46"/>
      <c r="J1" s="46"/>
      <c r="K1" s="46"/>
    </row>
    <row r="2" spans="1:11" x14ac:dyDescent="0.25">
      <c r="A2" s="1" t="s">
        <v>2</v>
      </c>
      <c r="B2" s="2">
        <v>2.1</v>
      </c>
      <c r="E2" s="47" t="s">
        <v>3</v>
      </c>
      <c r="F2" s="47"/>
      <c r="G2" s="47"/>
      <c r="H2" s="47"/>
      <c r="I2" s="47"/>
      <c r="J2" s="47"/>
      <c r="K2" s="47"/>
    </row>
    <row r="3" spans="1:11" x14ac:dyDescent="0.25">
      <c r="A3" s="1" t="s">
        <v>4</v>
      </c>
      <c r="B3" s="2">
        <v>2.1</v>
      </c>
    </row>
    <row r="4" spans="1:11" x14ac:dyDescent="0.25">
      <c r="A4" s="1"/>
    </row>
    <row r="5" spans="1:11" x14ac:dyDescent="0.25">
      <c r="A5" s="1" t="s">
        <v>5</v>
      </c>
    </row>
    <row r="6" spans="1:11" x14ac:dyDescent="0.25">
      <c r="A6" s="2" t="s">
        <v>6</v>
      </c>
      <c r="B6" s="2">
        <f>IF(B9&gt;0, B9/B8, 0)</f>
        <v>371.72060857538037</v>
      </c>
    </row>
    <row r="7" spans="1:11" x14ac:dyDescent="0.25">
      <c r="A7" s="2" t="s">
        <v>7</v>
      </c>
      <c r="B7" s="3">
        <v>1</v>
      </c>
    </row>
    <row r="8" spans="1:11" x14ac:dyDescent="0.25">
      <c r="A8" s="2" t="s">
        <v>8</v>
      </c>
      <c r="B8" s="3">
        <v>469.95</v>
      </c>
    </row>
    <row r="9" spans="1:11" x14ac:dyDescent="0.25">
      <c r="A9" s="2" t="s">
        <v>9</v>
      </c>
      <c r="B9" s="3">
        <v>174690.1</v>
      </c>
    </row>
    <row r="15" spans="1:11" x14ac:dyDescent="0.25">
      <c r="A15" s="1" t="s">
        <v>10</v>
      </c>
      <c r="B15" s="2">
        <f>B26+B34</f>
        <v>5779.6899999999987</v>
      </c>
      <c r="K15" s="2">
        <f>K17-K18-K20-K21-K22-K23-K19</f>
        <v>45271</v>
      </c>
    </row>
    <row r="16" spans="1:11" s="6" customFormat="1" x14ac:dyDescent="0.25">
      <c r="A16" s="4" t="s">
        <v>11</v>
      </c>
      <c r="B16" s="5">
        <v>42094</v>
      </c>
      <c r="C16" s="5">
        <v>42460</v>
      </c>
      <c r="D16" s="5">
        <v>42825</v>
      </c>
      <c r="E16" s="5">
        <v>43190</v>
      </c>
      <c r="F16" s="5">
        <v>43555</v>
      </c>
      <c r="G16" s="5">
        <v>43921</v>
      </c>
      <c r="H16" s="5">
        <v>44286</v>
      </c>
      <c r="I16" s="5">
        <v>44651</v>
      </c>
      <c r="J16" s="5">
        <v>45016</v>
      </c>
      <c r="K16" s="5">
        <v>45382</v>
      </c>
    </row>
    <row r="17" spans="1:11" x14ac:dyDescent="0.25">
      <c r="A17" s="2" t="s">
        <v>12</v>
      </c>
      <c r="B17" s="3">
        <v>73709.5</v>
      </c>
      <c r="C17" s="3">
        <v>64261.760000000002</v>
      </c>
      <c r="D17" s="3">
        <v>72225</v>
      </c>
      <c r="E17" s="3">
        <v>91866</v>
      </c>
      <c r="F17" s="3">
        <v>92048</v>
      </c>
      <c r="G17" s="3">
        <v>84447</v>
      </c>
      <c r="H17" s="3">
        <v>88021</v>
      </c>
      <c r="I17" s="3">
        <v>132732</v>
      </c>
      <c r="J17" s="3">
        <v>147308</v>
      </c>
      <c r="K17" s="3">
        <v>143727</v>
      </c>
    </row>
    <row r="18" spans="1:11" ht="14.4" x14ac:dyDescent="0.3">
      <c r="A18" s="2" t="s">
        <v>13</v>
      </c>
      <c r="B18" s="7">
        <v>24613.759999999998</v>
      </c>
      <c r="C18" s="7">
        <v>21793.05</v>
      </c>
      <c r="D18" s="7">
        <v>23109</v>
      </c>
      <c r="E18" s="7">
        <v>31802</v>
      </c>
      <c r="F18" s="7">
        <v>26078</v>
      </c>
      <c r="G18" s="7">
        <v>21486</v>
      </c>
      <c r="H18" s="7">
        <v>22890</v>
      </c>
      <c r="I18" s="7">
        <v>37530</v>
      </c>
      <c r="J18" s="7">
        <v>44527</v>
      </c>
      <c r="K18" s="7">
        <v>44231</v>
      </c>
    </row>
    <row r="19" spans="1:11" ht="14.4" x14ac:dyDescent="0.3">
      <c r="A19" s="2" t="s">
        <v>14</v>
      </c>
      <c r="B19" s="7">
        <v>-55.45</v>
      </c>
      <c r="C19" s="7">
        <v>-318.89999999999998</v>
      </c>
      <c r="D19" s="7">
        <v>1229</v>
      </c>
      <c r="E19" s="7">
        <v>-450</v>
      </c>
      <c r="F19" s="7">
        <v>-72</v>
      </c>
      <c r="G19" s="7">
        <v>-1017</v>
      </c>
      <c r="H19" s="7">
        <v>-792</v>
      </c>
      <c r="I19" s="7">
        <v>2049</v>
      </c>
      <c r="J19" s="7">
        <v>377</v>
      </c>
      <c r="K19" s="7">
        <v>-176</v>
      </c>
    </row>
    <row r="20" spans="1:11" x14ac:dyDescent="0.25">
      <c r="A20" s="2" t="s">
        <v>15</v>
      </c>
      <c r="B20" s="3">
        <v>8273.69</v>
      </c>
      <c r="C20" s="3">
        <v>9301.5400000000009</v>
      </c>
      <c r="D20" s="3">
        <v>10402</v>
      </c>
      <c r="E20" s="3">
        <v>14026</v>
      </c>
      <c r="F20" s="3">
        <v>18144</v>
      </c>
      <c r="G20" s="3">
        <v>16606</v>
      </c>
      <c r="H20" s="3">
        <v>13674</v>
      </c>
      <c r="I20" s="3">
        <v>20939</v>
      </c>
      <c r="J20" s="3">
        <v>34543</v>
      </c>
      <c r="K20" s="3">
        <v>27033</v>
      </c>
    </row>
    <row r="21" spans="1:11" x14ac:dyDescent="0.25">
      <c r="A21" s="2" t="s">
        <v>16</v>
      </c>
      <c r="B21" s="3">
        <v>4835.5600000000004</v>
      </c>
      <c r="C21" s="3">
        <v>4963.16</v>
      </c>
      <c r="D21" s="3">
        <v>5928</v>
      </c>
      <c r="E21" s="3">
        <v>6038</v>
      </c>
      <c r="F21" s="3">
        <v>8482</v>
      </c>
      <c r="G21" s="3">
        <v>9244</v>
      </c>
      <c r="H21" s="3">
        <v>8730</v>
      </c>
      <c r="I21" s="3">
        <v>12218</v>
      </c>
      <c r="J21" s="3">
        <v>13581</v>
      </c>
      <c r="K21" s="3">
        <v>13573</v>
      </c>
    </row>
    <row r="22" spans="1:11" x14ac:dyDescent="0.25">
      <c r="A22" s="2" t="s">
        <v>17</v>
      </c>
      <c r="B22" s="3">
        <v>2922.04</v>
      </c>
      <c r="C22" s="3">
        <v>2613.7800000000002</v>
      </c>
      <c r="D22" s="3">
        <v>2345</v>
      </c>
      <c r="E22" s="3">
        <v>2501</v>
      </c>
      <c r="F22" s="3">
        <v>3023</v>
      </c>
      <c r="G22" s="3">
        <v>2672</v>
      </c>
      <c r="H22" s="3">
        <v>2861</v>
      </c>
      <c r="I22" s="3">
        <v>2811</v>
      </c>
      <c r="J22" s="3">
        <v>3098</v>
      </c>
      <c r="K22" s="3">
        <v>3300</v>
      </c>
    </row>
    <row r="23" spans="1:11" x14ac:dyDescent="0.25">
      <c r="A23" s="2" t="s">
        <v>18</v>
      </c>
      <c r="B23" s="3">
        <v>5583.66</v>
      </c>
      <c r="C23" s="3">
        <v>5583.55</v>
      </c>
      <c r="D23" s="3">
        <v>6341</v>
      </c>
      <c r="E23" s="3">
        <v>7156</v>
      </c>
      <c r="F23" s="3">
        <v>6229</v>
      </c>
      <c r="G23" s="3">
        <v>5316</v>
      </c>
      <c r="H23" s="3">
        <v>5175</v>
      </c>
      <c r="I23" s="3">
        <v>7823</v>
      </c>
      <c r="J23" s="3">
        <v>9519</v>
      </c>
      <c r="K23" s="3">
        <v>10495</v>
      </c>
    </row>
    <row r="24" spans="1:11" x14ac:dyDescent="0.25">
      <c r="A24" s="2" t="s">
        <v>19</v>
      </c>
      <c r="B24" s="3">
        <v>5310.98</v>
      </c>
      <c r="C24" s="3">
        <v>38167.199999999997</v>
      </c>
      <c r="D24" s="3">
        <v>3953</v>
      </c>
      <c r="E24" s="3">
        <v>5016</v>
      </c>
      <c r="F24" s="3">
        <v>6849</v>
      </c>
      <c r="G24" s="3">
        <v>7363</v>
      </c>
      <c r="H24" s="3">
        <v>6581</v>
      </c>
      <c r="I24" s="3">
        <v>8636</v>
      </c>
      <c r="J24" s="3">
        <v>7986</v>
      </c>
      <c r="K24" s="3">
        <v>9607</v>
      </c>
    </row>
    <row r="25" spans="1:11" x14ac:dyDescent="0.25">
      <c r="A25" s="2" t="s">
        <v>20</v>
      </c>
      <c r="B25" s="3">
        <v>-19221.54</v>
      </c>
      <c r="C25" s="3">
        <v>4289.82</v>
      </c>
      <c r="D25" s="3">
        <v>4423</v>
      </c>
      <c r="E25" s="3">
        <v>6087</v>
      </c>
      <c r="F25" s="3">
        <v>4270</v>
      </c>
      <c r="G25" s="3">
        <v>-14932</v>
      </c>
      <c r="H25" s="3">
        <v>2743</v>
      </c>
      <c r="I25" s="3">
        <v>1832</v>
      </c>
      <c r="J25" s="3">
        <v>2625</v>
      </c>
      <c r="K25" s="3">
        <v>5239</v>
      </c>
    </row>
    <row r="26" spans="1:11" x14ac:dyDescent="0.25">
      <c r="A26" s="2" t="s">
        <v>21</v>
      </c>
      <c r="B26" s="3">
        <v>7159.16</v>
      </c>
      <c r="C26" s="3">
        <v>8572.44</v>
      </c>
      <c r="D26" s="3">
        <v>6292</v>
      </c>
      <c r="E26" s="3">
        <v>6283</v>
      </c>
      <c r="F26" s="3">
        <v>8192</v>
      </c>
      <c r="G26" s="3">
        <v>9093</v>
      </c>
      <c r="H26" s="3">
        <v>7638</v>
      </c>
      <c r="I26" s="3">
        <v>8895</v>
      </c>
      <c r="J26" s="3">
        <v>10555</v>
      </c>
      <c r="K26" s="3">
        <v>10723</v>
      </c>
    </row>
    <row r="27" spans="1:11" ht="14.4" x14ac:dyDescent="0.3">
      <c r="A27" s="2" t="s">
        <v>22</v>
      </c>
      <c r="B27" s="3">
        <v>5658.78</v>
      </c>
      <c r="C27" s="3">
        <v>5778.13</v>
      </c>
      <c r="D27" s="3">
        <v>5855</v>
      </c>
      <c r="E27" s="3">
        <v>5112</v>
      </c>
      <c r="F27" s="3">
        <v>5689</v>
      </c>
      <c r="G27" s="3">
        <v>4977</v>
      </c>
      <c r="H27" s="3">
        <v>5210</v>
      </c>
      <c r="I27" s="3">
        <v>4797</v>
      </c>
      <c r="J27" s="7">
        <v>6225</v>
      </c>
      <c r="K27" s="7">
        <v>9465</v>
      </c>
    </row>
    <row r="28" spans="1:11" x14ac:dyDescent="0.25">
      <c r="A28" s="2" t="s">
        <v>23</v>
      </c>
      <c r="B28" s="3">
        <v>-9925.1200000000008</v>
      </c>
      <c r="C28" s="3">
        <v>-28540.17</v>
      </c>
      <c r="D28" s="3">
        <v>13652</v>
      </c>
      <c r="E28" s="3">
        <v>19569</v>
      </c>
      <c r="F28" s="3">
        <v>13560</v>
      </c>
      <c r="G28" s="3">
        <v>-8259</v>
      </c>
      <c r="H28" s="3">
        <v>17213</v>
      </c>
      <c r="I28" s="3">
        <v>32964</v>
      </c>
      <c r="J28" s="3">
        <v>20276</v>
      </c>
      <c r="K28" s="3">
        <v>20363</v>
      </c>
    </row>
    <row r="29" spans="1:11" x14ac:dyDescent="0.25">
      <c r="A29" s="2" t="s">
        <v>24</v>
      </c>
      <c r="B29" s="3">
        <v>1448.36</v>
      </c>
      <c r="C29" s="3">
        <v>-10677.55</v>
      </c>
      <c r="D29" s="3">
        <v>2333</v>
      </c>
      <c r="E29" s="3">
        <v>5877</v>
      </c>
      <c r="F29" s="3">
        <v>3862</v>
      </c>
      <c r="G29" s="3">
        <v>-3516</v>
      </c>
      <c r="H29" s="3">
        <v>2180</v>
      </c>
      <c r="I29" s="3">
        <v>9255</v>
      </c>
      <c r="J29" s="3">
        <v>5770</v>
      </c>
      <c r="K29" s="3">
        <v>12826</v>
      </c>
    </row>
    <row r="30" spans="1:11" x14ac:dyDescent="0.25">
      <c r="A30" s="2" t="s">
        <v>25</v>
      </c>
      <c r="B30" s="3">
        <v>-15645.77</v>
      </c>
      <c r="C30" s="3">
        <v>-12270.47</v>
      </c>
      <c r="D30" s="3">
        <v>6958</v>
      </c>
      <c r="E30" s="3">
        <v>10342</v>
      </c>
      <c r="F30" s="3">
        <v>7065</v>
      </c>
      <c r="G30" s="3">
        <v>-6664</v>
      </c>
      <c r="H30" s="3">
        <v>11602</v>
      </c>
      <c r="I30" s="3">
        <v>18802</v>
      </c>
      <c r="J30" s="3">
        <v>10574</v>
      </c>
      <c r="K30" s="3">
        <v>4239</v>
      </c>
    </row>
    <row r="31" spans="1:11" x14ac:dyDescent="0.25">
      <c r="A31" s="2" t="s">
        <v>26</v>
      </c>
      <c r="B31" s="3">
        <v>1215.6500000000001</v>
      </c>
      <c r="C31" s="3">
        <v>1037.75</v>
      </c>
      <c r="D31" s="3">
        <v>5776.65</v>
      </c>
      <c r="E31" s="3">
        <v>7886.4</v>
      </c>
      <c r="F31" s="3">
        <v>7012.2</v>
      </c>
      <c r="G31" s="3">
        <v>1450.8</v>
      </c>
      <c r="H31" s="3">
        <v>3534</v>
      </c>
      <c r="I31" s="3">
        <v>16740</v>
      </c>
      <c r="J31" s="3">
        <v>37758</v>
      </c>
      <c r="K31" s="3">
        <v>10974</v>
      </c>
    </row>
    <row r="32" spans="1:11" x14ac:dyDescent="0.25">
      <c r="A32" s="2" t="s">
        <v>27</v>
      </c>
      <c r="B32" s="8">
        <f>B29/B28</f>
        <v>-0.14592871421201958</v>
      </c>
      <c r="C32" s="8">
        <f t="shared" ref="C32:K32" si="0">C29/C28</f>
        <v>0.37412355988068746</v>
      </c>
      <c r="D32" s="8">
        <f t="shared" si="0"/>
        <v>0.17089071198359215</v>
      </c>
      <c r="E32" s="8">
        <f t="shared" si="0"/>
        <v>0.30032193775869997</v>
      </c>
      <c r="F32" s="8">
        <f t="shared" si="0"/>
        <v>0.28480825958702066</v>
      </c>
      <c r="G32" s="8">
        <f t="shared" si="0"/>
        <v>0.42571739920087176</v>
      </c>
      <c r="H32" s="8">
        <f t="shared" si="0"/>
        <v>0.12664846337070818</v>
      </c>
      <c r="I32" s="8">
        <f t="shared" si="0"/>
        <v>0.28076082999635965</v>
      </c>
      <c r="J32" s="8">
        <f t="shared" si="0"/>
        <v>0.28457289406194514</v>
      </c>
      <c r="K32" s="8">
        <f t="shared" si="0"/>
        <v>0.62986789765751605</v>
      </c>
    </row>
    <row r="34" spans="1:11" x14ac:dyDescent="0.25">
      <c r="A34" s="2" t="s">
        <v>28</v>
      </c>
      <c r="B34" s="2">
        <f>+B30+B29+B27+B26</f>
        <v>-1379.4700000000012</v>
      </c>
      <c r="C34" s="2">
        <f t="shared" ref="C34:K34" si="1">+C30+C29+C27+C26</f>
        <v>-8597.4499999999953</v>
      </c>
      <c r="D34" s="2">
        <f t="shared" si="1"/>
        <v>21438</v>
      </c>
      <c r="E34" s="2">
        <f t="shared" si="1"/>
        <v>27614</v>
      </c>
      <c r="F34" s="2">
        <f t="shared" si="1"/>
        <v>24808</v>
      </c>
      <c r="G34" s="2">
        <f t="shared" si="1"/>
        <v>3890</v>
      </c>
      <c r="H34" s="2">
        <f t="shared" si="1"/>
        <v>26630</v>
      </c>
      <c r="I34" s="2">
        <f t="shared" si="1"/>
        <v>41749</v>
      </c>
      <c r="J34" s="2">
        <f t="shared" si="1"/>
        <v>33124</v>
      </c>
      <c r="K34" s="2">
        <f t="shared" si="1"/>
        <v>37253</v>
      </c>
    </row>
    <row r="40" spans="1:11" x14ac:dyDescent="0.25">
      <c r="A40" s="1" t="s">
        <v>29</v>
      </c>
    </row>
    <row r="41" spans="1:11" s="6" customFormat="1" x14ac:dyDescent="0.25">
      <c r="A41" s="4" t="s">
        <v>11</v>
      </c>
      <c r="B41" s="5">
        <v>44561</v>
      </c>
      <c r="C41" s="5">
        <v>44651</v>
      </c>
      <c r="D41" s="5">
        <v>44742</v>
      </c>
      <c r="E41" s="5">
        <v>44834</v>
      </c>
      <c r="F41" s="5">
        <v>44926</v>
      </c>
      <c r="G41" s="5">
        <v>45016</v>
      </c>
      <c r="H41" s="5">
        <v>45107</v>
      </c>
      <c r="I41" s="5">
        <v>45199</v>
      </c>
      <c r="J41" s="5">
        <v>45291</v>
      </c>
      <c r="K41" s="5">
        <v>45382</v>
      </c>
    </row>
    <row r="42" spans="1:11" x14ac:dyDescent="0.25">
      <c r="A42" s="2" t="s">
        <v>12</v>
      </c>
      <c r="B42" s="3">
        <v>34097</v>
      </c>
      <c r="C42" s="3">
        <v>39822</v>
      </c>
      <c r="D42" s="3">
        <v>38622</v>
      </c>
      <c r="E42" s="3">
        <v>36654</v>
      </c>
      <c r="F42" s="3">
        <v>34102</v>
      </c>
      <c r="G42" s="3">
        <v>37930</v>
      </c>
      <c r="H42" s="3">
        <v>33733</v>
      </c>
      <c r="I42" s="3">
        <v>38945</v>
      </c>
      <c r="J42" s="3">
        <v>35541</v>
      </c>
      <c r="K42" s="3">
        <v>35509</v>
      </c>
    </row>
    <row r="43" spans="1:11" x14ac:dyDescent="0.25">
      <c r="A43" s="2" t="s">
        <v>30</v>
      </c>
      <c r="B43" s="3">
        <v>23287</v>
      </c>
      <c r="C43" s="3">
        <v>26189</v>
      </c>
      <c r="D43" s="3">
        <v>28425</v>
      </c>
      <c r="E43" s="3">
        <v>28955</v>
      </c>
      <c r="F43" s="3">
        <v>27035</v>
      </c>
      <c r="G43" s="3">
        <v>28471</v>
      </c>
      <c r="H43" s="3">
        <v>27313</v>
      </c>
      <c r="I43" s="3">
        <v>27466</v>
      </c>
      <c r="J43" s="3">
        <v>27010</v>
      </c>
      <c r="K43" s="3">
        <v>26741</v>
      </c>
    </row>
    <row r="44" spans="1:11" x14ac:dyDescent="0.25">
      <c r="A44" s="2" t="s">
        <v>20</v>
      </c>
      <c r="B44" s="3">
        <v>472</v>
      </c>
      <c r="C44" s="3">
        <v>275</v>
      </c>
      <c r="D44" s="3">
        <v>733</v>
      </c>
      <c r="E44" s="3">
        <v>931</v>
      </c>
      <c r="F44" s="3">
        <v>1619</v>
      </c>
      <c r="G44" s="3">
        <v>-631</v>
      </c>
      <c r="H44" s="3">
        <v>2326</v>
      </c>
      <c r="I44" s="3">
        <v>1863</v>
      </c>
      <c r="J44" s="3">
        <v>779</v>
      </c>
      <c r="K44" s="3">
        <v>383</v>
      </c>
    </row>
    <row r="45" spans="1:11" x14ac:dyDescent="0.25">
      <c r="A45" s="2" t="s">
        <v>21</v>
      </c>
      <c r="B45" s="3">
        <v>2274</v>
      </c>
      <c r="C45" s="3">
        <v>2379</v>
      </c>
      <c r="D45" s="3">
        <v>2464</v>
      </c>
      <c r="E45" s="3">
        <v>2624</v>
      </c>
      <c r="F45" s="3">
        <v>2720</v>
      </c>
      <c r="G45" s="3">
        <v>2765</v>
      </c>
      <c r="H45" s="3">
        <v>2550</v>
      </c>
      <c r="I45" s="3">
        <v>2642</v>
      </c>
      <c r="J45" s="3">
        <v>2788</v>
      </c>
      <c r="K45" s="3">
        <v>2743</v>
      </c>
    </row>
    <row r="46" spans="1:11" ht="14.4" x14ac:dyDescent="0.3">
      <c r="A46" s="2" t="s">
        <v>22</v>
      </c>
      <c r="B46" s="7">
        <v>1216</v>
      </c>
      <c r="C46" s="7">
        <v>1333</v>
      </c>
      <c r="D46" s="7">
        <v>1206</v>
      </c>
      <c r="E46" s="7">
        <v>1642</v>
      </c>
      <c r="F46" s="7">
        <v>1572</v>
      </c>
      <c r="G46" s="7">
        <v>1805</v>
      </c>
      <c r="H46" s="7">
        <v>2110</v>
      </c>
      <c r="I46" s="7">
        <v>2523</v>
      </c>
      <c r="J46" s="7">
        <v>2417</v>
      </c>
      <c r="K46" s="7">
        <v>2415</v>
      </c>
    </row>
    <row r="47" spans="1:11" x14ac:dyDescent="0.25">
      <c r="A47" s="2" t="s">
        <v>23</v>
      </c>
      <c r="B47" s="3">
        <v>7792</v>
      </c>
      <c r="C47" s="3">
        <v>10196</v>
      </c>
      <c r="D47" s="3">
        <v>7260</v>
      </c>
      <c r="E47" s="3">
        <v>4364</v>
      </c>
      <c r="F47" s="3">
        <v>4394</v>
      </c>
      <c r="G47" s="3">
        <v>4258</v>
      </c>
      <c r="H47" s="3">
        <v>4086</v>
      </c>
      <c r="I47" s="3">
        <v>8177</v>
      </c>
      <c r="J47" s="3">
        <v>4105</v>
      </c>
      <c r="K47" s="3">
        <v>3993</v>
      </c>
    </row>
    <row r="48" spans="1:11" x14ac:dyDescent="0.25">
      <c r="A48" s="2" t="s">
        <v>24</v>
      </c>
      <c r="B48" s="3">
        <v>2438</v>
      </c>
      <c r="C48" s="3">
        <v>2935</v>
      </c>
      <c r="D48" s="3">
        <v>1668</v>
      </c>
      <c r="E48" s="3">
        <v>1674</v>
      </c>
      <c r="F48" s="3">
        <v>1302</v>
      </c>
      <c r="G48" s="3">
        <v>1126</v>
      </c>
      <c r="H48" s="3">
        <v>778</v>
      </c>
      <c r="I48" s="3">
        <v>9092</v>
      </c>
      <c r="J48" s="3">
        <v>1237</v>
      </c>
      <c r="K48" s="3">
        <v>1720</v>
      </c>
    </row>
    <row r="49" spans="1:11" x14ac:dyDescent="0.25">
      <c r="A49" s="2" t="s">
        <v>25</v>
      </c>
      <c r="B49" s="3">
        <v>4164</v>
      </c>
      <c r="C49" s="3">
        <v>5799</v>
      </c>
      <c r="D49" s="3">
        <v>4421</v>
      </c>
      <c r="E49" s="3">
        <v>1808</v>
      </c>
      <c r="F49" s="3">
        <v>2464</v>
      </c>
      <c r="G49" s="3">
        <v>1881</v>
      </c>
      <c r="H49" s="3">
        <v>2640</v>
      </c>
      <c r="I49" s="3">
        <v>-1783</v>
      </c>
      <c r="J49" s="3">
        <v>2013</v>
      </c>
      <c r="K49" s="3">
        <v>1369</v>
      </c>
    </row>
    <row r="50" spans="1:11" x14ac:dyDescent="0.25">
      <c r="A50" s="2" t="s">
        <v>31</v>
      </c>
      <c r="B50" s="3">
        <v>10810</v>
      </c>
      <c r="C50" s="3">
        <v>13633</v>
      </c>
      <c r="D50" s="3">
        <v>10197</v>
      </c>
      <c r="E50" s="3">
        <v>7699</v>
      </c>
      <c r="F50" s="3">
        <v>7067</v>
      </c>
      <c r="G50" s="3">
        <v>9459</v>
      </c>
      <c r="H50" s="3">
        <v>6420</v>
      </c>
      <c r="I50" s="3">
        <v>11479</v>
      </c>
      <c r="J50" s="3">
        <v>8531</v>
      </c>
      <c r="K50" s="3">
        <v>8768</v>
      </c>
    </row>
    <row r="51" spans="1:11" x14ac:dyDescent="0.25">
      <c r="A51" s="2" t="s">
        <v>28</v>
      </c>
      <c r="B51" s="2">
        <f>B49+B48+B46+B45</f>
        <v>10092</v>
      </c>
      <c r="C51" s="2">
        <f t="shared" ref="C51:K51" si="2">C49+C48+C46+C45</f>
        <v>12446</v>
      </c>
      <c r="D51" s="2">
        <f t="shared" si="2"/>
        <v>9759</v>
      </c>
      <c r="E51" s="2">
        <f t="shared" si="2"/>
        <v>7748</v>
      </c>
      <c r="F51" s="2">
        <f t="shared" si="2"/>
        <v>8058</v>
      </c>
      <c r="G51" s="2">
        <f t="shared" si="2"/>
        <v>7577</v>
      </c>
      <c r="H51" s="2">
        <f t="shared" si="2"/>
        <v>8078</v>
      </c>
      <c r="I51" s="2">
        <f t="shared" si="2"/>
        <v>12474</v>
      </c>
      <c r="J51" s="2">
        <f t="shared" si="2"/>
        <v>8455</v>
      </c>
      <c r="K51" s="2">
        <f t="shared" si="2"/>
        <v>8247</v>
      </c>
    </row>
    <row r="55" spans="1:11" x14ac:dyDescent="0.25">
      <c r="A55" s="1" t="s">
        <v>32</v>
      </c>
    </row>
    <row r="56" spans="1:11" s="6" customFormat="1" x14ac:dyDescent="0.25">
      <c r="A56" s="4" t="s">
        <v>11</v>
      </c>
      <c r="B56" s="5">
        <v>42094</v>
      </c>
      <c r="C56" s="5">
        <v>42460</v>
      </c>
      <c r="D56" s="5">
        <v>42825</v>
      </c>
      <c r="E56" s="5">
        <v>43190</v>
      </c>
      <c r="F56" s="5">
        <v>43555</v>
      </c>
      <c r="G56" s="5">
        <v>43921</v>
      </c>
      <c r="H56" s="5">
        <v>44286</v>
      </c>
      <c r="I56" s="5">
        <v>44651</v>
      </c>
      <c r="J56" s="5">
        <v>45016</v>
      </c>
      <c r="K56" s="5">
        <v>45382</v>
      </c>
    </row>
    <row r="57" spans="1:11" x14ac:dyDescent="0.25">
      <c r="A57" s="2" t="s">
        <v>33</v>
      </c>
      <c r="B57" s="3">
        <v>296.5</v>
      </c>
      <c r="C57" s="3">
        <v>296.5</v>
      </c>
      <c r="D57" s="3">
        <v>297</v>
      </c>
      <c r="E57" s="3">
        <v>372</v>
      </c>
      <c r="F57" s="3">
        <v>372</v>
      </c>
      <c r="G57" s="3">
        <v>372</v>
      </c>
      <c r="H57" s="3">
        <v>372</v>
      </c>
      <c r="I57" s="3">
        <v>372</v>
      </c>
      <c r="J57" s="3">
        <v>372</v>
      </c>
      <c r="K57" s="3">
        <v>372</v>
      </c>
    </row>
    <row r="58" spans="1:11" x14ac:dyDescent="0.25">
      <c r="A58" s="2" t="s">
        <v>34</v>
      </c>
      <c r="B58" s="3">
        <v>53578.77</v>
      </c>
      <c r="C58" s="3">
        <v>43742.67</v>
      </c>
      <c r="D58" s="3">
        <v>60128</v>
      </c>
      <c r="E58" s="3">
        <v>62940</v>
      </c>
      <c r="F58" s="3">
        <v>61925</v>
      </c>
      <c r="G58" s="3">
        <v>54263</v>
      </c>
      <c r="H58" s="3">
        <v>61906</v>
      </c>
      <c r="I58" s="3">
        <v>65011</v>
      </c>
      <c r="J58" s="3">
        <v>39051</v>
      </c>
      <c r="K58" s="3">
        <v>30350</v>
      </c>
    </row>
    <row r="59" spans="1:11" ht="14.4" x14ac:dyDescent="0.3">
      <c r="A59" s="2" t="s">
        <v>35</v>
      </c>
      <c r="B59" s="7">
        <v>77752.3</v>
      </c>
      <c r="C59" s="7">
        <v>67777.81</v>
      </c>
      <c r="D59" s="7">
        <v>71569</v>
      </c>
      <c r="E59" s="7">
        <v>58159</v>
      </c>
      <c r="F59" s="7">
        <v>66226</v>
      </c>
      <c r="G59" s="7">
        <v>59185</v>
      </c>
      <c r="H59" s="7">
        <v>57667</v>
      </c>
      <c r="I59" s="7">
        <v>53583</v>
      </c>
      <c r="J59" s="7">
        <v>80329</v>
      </c>
      <c r="K59" s="7">
        <v>87706</v>
      </c>
    </row>
    <row r="60" spans="1:11" x14ac:dyDescent="0.25">
      <c r="A60" s="2" t="s">
        <v>36</v>
      </c>
      <c r="B60" s="3">
        <v>58653.61</v>
      </c>
      <c r="C60" s="3">
        <v>80163.37</v>
      </c>
      <c r="D60" s="3">
        <v>64952</v>
      </c>
      <c r="E60" s="3">
        <v>58896</v>
      </c>
      <c r="F60" s="3">
        <v>70045</v>
      </c>
      <c r="G60" s="3">
        <v>66917</v>
      </c>
      <c r="H60" s="3">
        <v>63551</v>
      </c>
      <c r="I60" s="3">
        <v>74981</v>
      </c>
      <c r="J60" s="3">
        <v>69703</v>
      </c>
      <c r="K60" s="3">
        <v>69690</v>
      </c>
    </row>
    <row r="61" spans="1:11" s="1" customFormat="1" x14ac:dyDescent="0.25">
      <c r="A61" s="1" t="s">
        <v>37</v>
      </c>
      <c r="B61" s="3">
        <v>190281.18</v>
      </c>
      <c r="C61" s="3">
        <v>191980.35</v>
      </c>
      <c r="D61" s="3">
        <v>196946</v>
      </c>
      <c r="E61" s="3">
        <v>180367</v>
      </c>
      <c r="F61" s="3">
        <v>198568</v>
      </c>
      <c r="G61" s="3">
        <v>180737</v>
      </c>
      <c r="H61" s="3">
        <v>183496</v>
      </c>
      <c r="I61" s="3">
        <v>193947</v>
      </c>
      <c r="J61" s="3">
        <v>189455</v>
      </c>
      <c r="K61" s="3">
        <v>188118</v>
      </c>
    </row>
    <row r="62" spans="1:11" x14ac:dyDescent="0.25">
      <c r="A62" s="2" t="s">
        <v>38</v>
      </c>
      <c r="B62" s="3">
        <v>70107.83</v>
      </c>
      <c r="C62" s="3">
        <v>61590.85</v>
      </c>
      <c r="D62" s="3">
        <v>75631</v>
      </c>
      <c r="E62" s="3">
        <v>78455</v>
      </c>
      <c r="F62" s="3">
        <v>86327</v>
      </c>
      <c r="G62" s="3">
        <v>86127</v>
      </c>
      <c r="H62" s="3">
        <v>88002</v>
      </c>
      <c r="I62" s="3">
        <v>89498</v>
      </c>
      <c r="J62" s="3">
        <v>90483</v>
      </c>
      <c r="K62" s="3">
        <v>92551</v>
      </c>
    </row>
    <row r="63" spans="1:11" x14ac:dyDescent="0.25">
      <c r="A63" s="2" t="s">
        <v>39</v>
      </c>
      <c r="B63" s="3">
        <v>38747.949999999997</v>
      </c>
      <c r="C63" s="3">
        <v>38461.33</v>
      </c>
      <c r="D63" s="3">
        <v>27557</v>
      </c>
      <c r="E63" s="3">
        <v>32055</v>
      </c>
      <c r="F63" s="3">
        <v>24959</v>
      </c>
      <c r="G63" s="3">
        <v>18585</v>
      </c>
      <c r="H63" s="3">
        <v>16314</v>
      </c>
      <c r="I63" s="3">
        <v>15879</v>
      </c>
      <c r="J63" s="3">
        <v>19529</v>
      </c>
      <c r="K63" s="3">
        <v>22889</v>
      </c>
    </row>
    <row r="64" spans="1:11" ht="14.4" x14ac:dyDescent="0.3">
      <c r="A64" s="2" t="s">
        <v>40</v>
      </c>
      <c r="B64" s="3">
        <v>39606.04</v>
      </c>
      <c r="C64" s="7">
        <v>53385.98</v>
      </c>
      <c r="D64" s="3">
        <v>46962</v>
      </c>
      <c r="E64" s="3">
        <v>28700</v>
      </c>
      <c r="F64" s="3">
        <v>33065</v>
      </c>
      <c r="G64" s="3">
        <v>24753</v>
      </c>
      <c r="H64" s="3">
        <v>16660</v>
      </c>
      <c r="I64" s="3">
        <v>17291</v>
      </c>
      <c r="J64" s="3">
        <v>13150</v>
      </c>
      <c r="K64" s="3">
        <v>11869</v>
      </c>
    </row>
    <row r="65" spans="1:11" x14ac:dyDescent="0.25">
      <c r="A65" s="2" t="s">
        <v>41</v>
      </c>
      <c r="B65" s="3">
        <v>41819.360000000001</v>
      </c>
      <c r="C65" s="3">
        <v>38542.19</v>
      </c>
      <c r="D65" s="3">
        <v>46796</v>
      </c>
      <c r="E65" s="3">
        <v>41157</v>
      </c>
      <c r="F65" s="3">
        <v>54217</v>
      </c>
      <c r="G65" s="3">
        <v>51272</v>
      </c>
      <c r="H65" s="3">
        <v>62520</v>
      </c>
      <c r="I65" s="3">
        <v>71279</v>
      </c>
      <c r="J65" s="3">
        <v>66293</v>
      </c>
      <c r="K65" s="3">
        <v>60809</v>
      </c>
    </row>
    <row r="66" spans="1:11" s="1" customFormat="1" x14ac:dyDescent="0.25">
      <c r="A66" s="1" t="s">
        <v>37</v>
      </c>
      <c r="B66" s="3">
        <v>190281.18</v>
      </c>
      <c r="C66" s="3">
        <v>191980.35</v>
      </c>
      <c r="D66" s="3">
        <v>196946</v>
      </c>
      <c r="E66" s="3">
        <v>180367</v>
      </c>
      <c r="F66" s="3">
        <v>198568</v>
      </c>
      <c r="G66" s="3">
        <v>180737</v>
      </c>
      <c r="H66" s="3">
        <v>183496</v>
      </c>
      <c r="I66" s="3">
        <v>193947</v>
      </c>
      <c r="J66" s="3">
        <v>189455</v>
      </c>
      <c r="K66" s="3">
        <v>188118</v>
      </c>
    </row>
    <row r="67" spans="1:11" x14ac:dyDescent="0.25">
      <c r="A67" s="2" t="s">
        <v>42</v>
      </c>
      <c r="B67" s="3">
        <v>3605.13</v>
      </c>
      <c r="C67" s="3">
        <v>2493.75</v>
      </c>
      <c r="D67" s="3">
        <v>2240</v>
      </c>
      <c r="E67" s="3">
        <v>3969</v>
      </c>
      <c r="F67" s="3">
        <v>3982</v>
      </c>
      <c r="G67" s="3">
        <v>2697</v>
      </c>
      <c r="H67" s="3">
        <v>3491</v>
      </c>
      <c r="I67" s="3">
        <v>4946</v>
      </c>
      <c r="J67" s="3">
        <v>4014</v>
      </c>
      <c r="K67" s="3">
        <v>3607</v>
      </c>
    </row>
    <row r="68" spans="1:11" ht="14.4" x14ac:dyDescent="0.3">
      <c r="A68" s="2" t="s">
        <v>43</v>
      </c>
      <c r="B68" s="7">
        <v>8725.02</v>
      </c>
      <c r="C68" s="7">
        <v>8011.65</v>
      </c>
      <c r="D68" s="7">
        <v>9628</v>
      </c>
      <c r="E68" s="7">
        <v>11967</v>
      </c>
      <c r="F68" s="7">
        <v>13198</v>
      </c>
      <c r="G68" s="7">
        <v>11335</v>
      </c>
      <c r="H68" s="7">
        <v>9923</v>
      </c>
      <c r="I68" s="7">
        <v>14313</v>
      </c>
      <c r="J68" s="7">
        <v>15012</v>
      </c>
      <c r="K68" s="7">
        <v>13001</v>
      </c>
    </row>
    <row r="69" spans="1:11" x14ac:dyDescent="0.25">
      <c r="A69" s="2" t="s">
        <v>44</v>
      </c>
      <c r="B69" s="3">
        <v>5696.28</v>
      </c>
      <c r="C69" s="3">
        <v>3708.79</v>
      </c>
      <c r="D69" s="3">
        <v>14123</v>
      </c>
      <c r="E69" s="3">
        <v>5216</v>
      </c>
      <c r="F69" s="3">
        <v>8369</v>
      </c>
      <c r="G69" s="3">
        <v>12502</v>
      </c>
      <c r="H69" s="3">
        <v>16629</v>
      </c>
      <c r="I69" s="3">
        <v>15355</v>
      </c>
      <c r="J69" s="3">
        <v>9254</v>
      </c>
      <c r="K69" s="3">
        <v>4327</v>
      </c>
    </row>
    <row r="70" spans="1:11" x14ac:dyDescent="0.25">
      <c r="A70" s="2" t="s">
        <v>45</v>
      </c>
      <c r="B70" s="3">
        <v>2965004871</v>
      </c>
      <c r="C70" s="3">
        <v>2965004871</v>
      </c>
      <c r="D70" s="3">
        <v>2970000000</v>
      </c>
      <c r="E70" s="3">
        <v>3720000000</v>
      </c>
      <c r="F70" s="3">
        <v>3720000000</v>
      </c>
      <c r="G70" s="3">
        <v>3720000000</v>
      </c>
      <c r="H70" s="3">
        <v>3720000000</v>
      </c>
      <c r="I70" s="3">
        <v>3720000000</v>
      </c>
      <c r="J70" s="3">
        <v>3720000000</v>
      </c>
      <c r="K70" s="3">
        <v>3720000000</v>
      </c>
    </row>
    <row r="71" spans="1:11" ht="13.8" x14ac:dyDescent="0.25">
      <c r="A71" s="2" t="s">
        <v>46</v>
      </c>
      <c r="B71" s="9"/>
      <c r="C71" s="9"/>
      <c r="G71" s="9"/>
      <c r="H71" s="9"/>
    </row>
    <row r="72" spans="1:11" x14ac:dyDescent="0.25">
      <c r="A72" s="2" t="s">
        <v>47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</row>
    <row r="73" spans="1:11" x14ac:dyDescent="0.25">
      <c r="H73" s="2">
        <f>H62-G62+H45</f>
        <v>4425</v>
      </c>
      <c r="I73" s="2">
        <f t="shared" ref="I73:K73" si="3">I62-H62+I45</f>
        <v>4138</v>
      </c>
      <c r="J73" s="2">
        <f t="shared" si="3"/>
        <v>3773</v>
      </c>
      <c r="K73" s="2">
        <f t="shared" si="3"/>
        <v>4811</v>
      </c>
    </row>
    <row r="80" spans="1:11" x14ac:dyDescent="0.25">
      <c r="A80" s="1" t="s">
        <v>48</v>
      </c>
    </row>
    <row r="81" spans="1:12" s="6" customFormat="1" x14ac:dyDescent="0.25">
      <c r="A81" s="4" t="s">
        <v>11</v>
      </c>
      <c r="B81" s="5">
        <v>42094</v>
      </c>
      <c r="C81" s="5">
        <v>42460</v>
      </c>
      <c r="D81" s="5">
        <v>42825</v>
      </c>
      <c r="E81" s="5">
        <v>43190</v>
      </c>
      <c r="F81" s="5">
        <v>43555</v>
      </c>
      <c r="G81" s="5">
        <v>43921</v>
      </c>
      <c r="H81" s="5">
        <v>44286</v>
      </c>
      <c r="I81" s="5">
        <v>44651</v>
      </c>
      <c r="J81" s="5">
        <v>45016</v>
      </c>
      <c r="K81" s="5">
        <v>45382</v>
      </c>
      <c r="L81" s="5"/>
    </row>
    <row r="82" spans="1:12" s="1" customFormat="1" x14ac:dyDescent="0.25">
      <c r="A82" s="2" t="s">
        <v>49</v>
      </c>
      <c r="B82" s="3">
        <v>17805.13</v>
      </c>
      <c r="C82" s="3">
        <v>20376.919999999998</v>
      </c>
      <c r="D82" s="3">
        <v>18083</v>
      </c>
      <c r="E82" s="3">
        <v>17366</v>
      </c>
      <c r="F82" s="3">
        <v>23754</v>
      </c>
      <c r="G82" s="3">
        <v>19300</v>
      </c>
      <c r="H82" s="3">
        <v>23980</v>
      </c>
      <c r="I82" s="3">
        <v>34963</v>
      </c>
      <c r="J82" s="3">
        <v>33065</v>
      </c>
      <c r="K82" s="3">
        <v>35654</v>
      </c>
    </row>
    <row r="83" spans="1:12" x14ac:dyDescent="0.25">
      <c r="A83" s="2" t="s">
        <v>50</v>
      </c>
      <c r="B83" s="3">
        <v>-4133.09</v>
      </c>
      <c r="C83" s="3">
        <v>-7867.89</v>
      </c>
      <c r="D83" s="3">
        <v>2681</v>
      </c>
      <c r="E83" s="3">
        <v>15480</v>
      </c>
      <c r="F83" s="3">
        <v>-10594</v>
      </c>
      <c r="G83" s="3">
        <v>-5925</v>
      </c>
      <c r="H83" s="3">
        <v>-6678</v>
      </c>
      <c r="I83" s="3">
        <v>-2243</v>
      </c>
      <c r="J83" s="3">
        <v>-668</v>
      </c>
      <c r="K83" s="3">
        <v>-13676</v>
      </c>
    </row>
    <row r="84" spans="1:12" x14ac:dyDescent="0.25">
      <c r="A84" s="2" t="s">
        <v>51</v>
      </c>
      <c r="B84" s="3">
        <v>-13955.77</v>
      </c>
      <c r="C84" s="3">
        <v>-11302.95</v>
      </c>
      <c r="D84" s="3">
        <v>-12425</v>
      </c>
      <c r="E84" s="3">
        <v>-39255</v>
      </c>
      <c r="F84" s="3">
        <v>-10242</v>
      </c>
      <c r="G84" s="3">
        <v>-15547</v>
      </c>
      <c r="H84" s="3">
        <v>-17565</v>
      </c>
      <c r="I84" s="3">
        <v>-28903</v>
      </c>
      <c r="J84" s="3">
        <v>-34142</v>
      </c>
      <c r="K84" s="3">
        <v>-26092</v>
      </c>
    </row>
    <row r="85" spans="1:12" s="1" customFormat="1" x14ac:dyDescent="0.25">
      <c r="A85" s="2" t="s">
        <v>52</v>
      </c>
      <c r="B85" s="3">
        <v>-283.73</v>
      </c>
      <c r="C85" s="3">
        <v>1206.08</v>
      </c>
      <c r="D85" s="3">
        <v>8339</v>
      </c>
      <c r="E85" s="3">
        <v>-6409</v>
      </c>
      <c r="F85" s="3">
        <v>2918</v>
      </c>
      <c r="G85" s="3">
        <v>-2172</v>
      </c>
      <c r="H85" s="3">
        <v>-263</v>
      </c>
      <c r="I85" s="3">
        <v>3817</v>
      </c>
      <c r="J85" s="3">
        <v>-1745</v>
      </c>
      <c r="K85" s="3">
        <v>-4114</v>
      </c>
    </row>
    <row r="90" spans="1:12" s="1" customFormat="1" x14ac:dyDescent="0.25">
      <c r="A90" s="1" t="s">
        <v>53</v>
      </c>
      <c r="B90" s="3">
        <v>189.5</v>
      </c>
      <c r="C90" s="3">
        <v>89.85</v>
      </c>
      <c r="D90" s="3">
        <v>274.95</v>
      </c>
      <c r="E90" s="3">
        <v>277.85000000000002</v>
      </c>
      <c r="F90" s="3">
        <v>184.45</v>
      </c>
      <c r="G90" s="3">
        <v>64.7</v>
      </c>
      <c r="H90" s="3">
        <v>228.75</v>
      </c>
      <c r="I90" s="3">
        <v>403.35</v>
      </c>
      <c r="J90" s="3">
        <v>274.45</v>
      </c>
      <c r="K90" s="3">
        <v>271.64999999999998</v>
      </c>
    </row>
    <row r="92" spans="1:12" s="1" customFormat="1" x14ac:dyDescent="0.25">
      <c r="A92" s="1" t="s">
        <v>54</v>
      </c>
    </row>
    <row r="93" spans="1:12" x14ac:dyDescent="0.25">
      <c r="A93" s="2" t="s">
        <v>55</v>
      </c>
      <c r="B93" s="10">
        <v>296.47000000000003</v>
      </c>
      <c r="C93" s="10">
        <v>296.47000000000003</v>
      </c>
      <c r="D93" s="10">
        <v>296.47000000000003</v>
      </c>
      <c r="E93" s="10">
        <v>371.72</v>
      </c>
      <c r="F93" s="10">
        <v>371.72</v>
      </c>
      <c r="G93" s="10">
        <v>371.72</v>
      </c>
      <c r="H93" s="10">
        <v>371.72</v>
      </c>
      <c r="I93" s="10">
        <v>371.72</v>
      </c>
      <c r="J93" s="10">
        <v>371.72</v>
      </c>
      <c r="K93" s="10">
        <v>371.72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3704CA6-975E-49B1-B117-50092339EC0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Financials&gt;</vt:lpstr>
      <vt:lpstr>HistoricalFS</vt:lpstr>
      <vt:lpstr>Ratio Analysis</vt:lpstr>
      <vt:lpstr>Data&gt;</vt:lpstr>
      <vt:lpstr>Data Sheet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Vansh Agrawal</cp:lastModifiedBy>
  <dcterms:created xsi:type="dcterms:W3CDTF">2023-01-14T08:22:33Z</dcterms:created>
  <dcterms:modified xsi:type="dcterms:W3CDTF">2024-06-21T02:11:14Z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