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160" windowWidth="11295" windowHeight="2775" tabRatio="895" firstSheet="19" activeTab="28"/>
  </bookViews>
  <sheets>
    <sheet name="توحیدی تحصیلات عالی 4-1 " sheetId="9" r:id="rId1"/>
    <sheet name="محصلان پوهنتون ها-4-2" sheetId="3" r:id="rId2"/>
    <sheet name="محصلان پوهنحی ها4-3" sheetId="2" r:id="rId3"/>
    <sheet name="جدیدالشمولان پوهنتون ها4-4" sheetId="1" r:id="rId4"/>
    <sheet name="جدیدالشمولان پوهنحی ها4-5" sheetId="4" r:id="rId5"/>
    <sheet name="فارغان پوهنتونها4-6" sheetId="5" r:id="rId6"/>
    <sheet name="فارغان پوهنحی ها4-7" sheetId="6" r:id="rId7"/>
    <sheet name="استادان پوهنتون 4-8" sheetId="30" r:id="rId8"/>
    <sheet name="لیلیه 4-9" sheetId="7" r:id="rId9"/>
    <sheet name="پوهنتون های خصوصی4-10" sheetId="8" r:id="rId10"/>
    <sheet name="توحیدی4-11" sheetId="23" r:id="rId11"/>
    <sheet name="انستیتوت های دولتی 4--12" sheetId="34" r:id="rId12"/>
    <sheet name="انستیتوت علوم صحی 4-13" sheetId="11" r:id="rId13"/>
    <sheet name="توجیدی انستیتوت ها 4-14" sheetId="31" r:id="rId14"/>
    <sheet name="انستیتوت خصوصی4-15" sheetId="49" r:id="rId15"/>
    <sheet name="تربیه معلم 4-16" sheetId="48" r:id="rId16"/>
    <sheet name="لیسه های مسلکی 4-17" sheetId="47" r:id="rId17"/>
    <sheet name="تعلیمات 4-18" sheetId="46" r:id="rId18"/>
    <sheet name="معلمین 4-19 " sheetId="45" r:id="rId19"/>
    <sheet name="نسبت شاگردان4-20" sheetId="44" r:id="rId20"/>
    <sheet name="تعلیمات عمومی4-23-21" sheetId="43" r:id="rId21"/>
    <sheet name="لیلیه های معارف4-24 " sheetId="42" r:id="rId22"/>
    <sheet name="تعلیمات خصوصی4-25 " sheetId="41" r:id="rId23"/>
    <sheet name="دینی4-26 " sheetId="40" r:id="rId24"/>
    <sheet name="مدارس خصوصی4-27" sheetId="39" r:id="rId25"/>
    <sheet name="سواداموزی4-28" sheetId="24" r:id="rId26"/>
    <sheet name="کودکستان 4-29 " sheetId="38" r:id="rId27"/>
    <sheet name="سره میاشت و ضد حوادث 4-31-30" sheetId="26" r:id="rId28"/>
    <sheet name="توحیدی کل" sheetId="37" r:id="rId29"/>
  </sheets>
  <definedNames>
    <definedName name="_xlnm._FilterDatabase" localSheetId="10" hidden="1">'توحیدی4-11'!$F$1:$F$50</definedName>
    <definedName name="_xlnm.Print_Area" localSheetId="7">'استادان پوهنتون 4-8'!$A$1:$M$52</definedName>
    <definedName name="_xlnm.Print_Area" localSheetId="14">'انستیتوت خصوصی4-15'!$A$1:$L$40</definedName>
    <definedName name="_xlnm.Print_Area" localSheetId="12">'انستیتوت علوم صحی 4-13'!$A$1:$K$37</definedName>
    <definedName name="_xlnm.Print_Area" localSheetId="11">'انستیتوت های دولتی 4--12'!$A$1:$P$300</definedName>
    <definedName name="_xlnm.Print_Area" localSheetId="9">'پوهنتون های خصوصی4-10'!$A$1:$M$160</definedName>
    <definedName name="_xlnm.Print_Area" localSheetId="15">'تربیه معلم 4-16'!$A$1:$P$198</definedName>
    <definedName name="_xlnm.Print_Area" localSheetId="17">'تعلیمات 4-18'!$A$1:$AG$68</definedName>
    <definedName name="_xlnm.Print_Area" localSheetId="22">'تعلیمات خصوصی4-25 '!$A$1:$O$149</definedName>
    <definedName name="_xlnm.Print_Area" localSheetId="20">'تعلیمات عمومی4-23-21'!$A$1:$K$135</definedName>
    <definedName name="_xlnm.Print_Area" localSheetId="13">'توجیدی انستیتوت ها 4-14'!$A$1:$I$26</definedName>
    <definedName name="_xlnm.Print_Area" localSheetId="0">'توحیدی تحصیلات عالی 4-1 '!$A$1:$G$30</definedName>
    <definedName name="_xlnm.Print_Area" localSheetId="28">'توحیدی کل'!$A$63:$H$101</definedName>
    <definedName name="_xlnm.Print_Area" localSheetId="10">'توحیدی4-11'!$A$1:$G$48</definedName>
    <definedName name="_xlnm.Print_Area" localSheetId="3">'جدیدالشمولان پوهنتون ها4-4'!$A$1:$M$63</definedName>
    <definedName name="_xlnm.Print_Area" localSheetId="4">'جدیدالشمولان پوهنحی ها4-5'!$A$1:$M$48</definedName>
    <definedName name="_xlnm.Print_Area" localSheetId="23">'دینی4-26 '!$A$1:$I$54</definedName>
    <definedName name="_xlnm.Print_Area" localSheetId="27">'سره میاشت و ضد حوادث 4-31-30'!$A$1:$G$24</definedName>
    <definedName name="_xlnm.Print_Area" localSheetId="25">'سواداموزی4-28'!$A$1:$I$39</definedName>
    <definedName name="_xlnm.Print_Area" localSheetId="5">'فارغان پوهنتونها4-6'!$A$1:$M$58</definedName>
    <definedName name="_xlnm.Print_Area" localSheetId="6">'فارغان پوهنحی ها4-7'!$A$1:$M$48</definedName>
    <definedName name="_xlnm.Print_Area" localSheetId="26">'کودکستان 4-29 '!$A$1:$I$24</definedName>
    <definedName name="_xlnm.Print_Area" localSheetId="16">'لیسه های مسلکی 4-17'!$A$1:$G$44</definedName>
    <definedName name="_xlnm.Print_Area" localSheetId="8">'لیلیه 4-9'!$A$1:$M$71</definedName>
    <definedName name="_xlnm.Print_Area" localSheetId="21">'لیلیه های معارف4-24 '!$A$1:$H$43</definedName>
    <definedName name="_xlnm.Print_Area" localSheetId="1">'محصلان پوهنتون ها-4-2'!$A$1:$M$66</definedName>
    <definedName name="_xlnm.Print_Area" localSheetId="2">'محصلان پوهنحی ها4-3'!$A$1:$M$48</definedName>
    <definedName name="_xlnm.Print_Area" localSheetId="24">'مدارس خصوصی4-27'!$A$1:$M$49</definedName>
    <definedName name="_xlnm.Print_Area" localSheetId="18">'معلمین 4-19 '!$A$1:$P$72</definedName>
    <definedName name="_xlnm.Print_Area" localSheetId="19">'نسبت شاگردان4-20'!$A$1:$M$65</definedName>
  </definedNames>
  <calcPr calcId="144525"/>
</workbook>
</file>

<file path=xl/calcChain.xml><?xml version="1.0" encoding="utf-8"?>
<calcChain xmlns="http://schemas.openxmlformats.org/spreadsheetml/2006/main">
  <c r="I39" i="49" l="1"/>
  <c r="F39" i="49"/>
  <c r="I38" i="49"/>
  <c r="F38" i="49"/>
  <c r="I37" i="49"/>
  <c r="F37" i="49"/>
  <c r="I36" i="49"/>
  <c r="F36" i="49"/>
  <c r="I35" i="49"/>
  <c r="F35" i="49"/>
  <c r="I34" i="49"/>
  <c r="F34" i="49"/>
  <c r="P33" i="49"/>
  <c r="O33" i="49"/>
  <c r="I33" i="49"/>
  <c r="F33" i="49"/>
  <c r="I32" i="49"/>
  <c r="F32" i="49"/>
  <c r="I31" i="49"/>
  <c r="F31" i="49"/>
  <c r="I30" i="49"/>
  <c r="F30" i="49"/>
  <c r="I29" i="49"/>
  <c r="F29" i="49"/>
  <c r="I28" i="49"/>
  <c r="F28" i="49"/>
  <c r="I27" i="49"/>
  <c r="F27" i="49"/>
  <c r="I26" i="49"/>
  <c r="F26" i="49"/>
  <c r="I25" i="49"/>
  <c r="F25" i="49"/>
  <c r="I24" i="49"/>
  <c r="F24" i="49"/>
  <c r="I23" i="49"/>
  <c r="F23" i="49"/>
  <c r="I22" i="49"/>
  <c r="F22" i="49"/>
  <c r="I21" i="49"/>
  <c r="F21" i="49"/>
  <c r="I20" i="49"/>
  <c r="F20" i="49"/>
  <c r="I19" i="49"/>
  <c r="F19" i="49"/>
  <c r="I18" i="49"/>
  <c r="F18" i="49"/>
  <c r="I17" i="49"/>
  <c r="F17" i="49"/>
  <c r="I16" i="49"/>
  <c r="F16" i="49"/>
  <c r="I15" i="49"/>
  <c r="F15" i="49"/>
  <c r="I14" i="49"/>
  <c r="F14" i="49"/>
  <c r="I13" i="49"/>
  <c r="F13" i="49"/>
  <c r="I12" i="49"/>
  <c r="F12" i="49"/>
  <c r="I11" i="49"/>
  <c r="F11" i="49"/>
  <c r="H10" i="49"/>
  <c r="I10" i="49" s="1"/>
  <c r="I8" i="49" s="1"/>
  <c r="G10" i="49"/>
  <c r="G8" i="49" s="1"/>
  <c r="F10" i="49"/>
  <c r="F8" i="49" s="1"/>
  <c r="I9" i="49"/>
  <c r="F9" i="49"/>
  <c r="H8" i="49"/>
  <c r="E8" i="49"/>
  <c r="D8" i="49"/>
  <c r="N7" i="49"/>
  <c r="N194" i="48"/>
  <c r="E194" i="48"/>
  <c r="N192" i="48"/>
  <c r="K192" i="48"/>
  <c r="E192" i="48"/>
  <c r="N190" i="48"/>
  <c r="K190" i="48"/>
  <c r="G190" i="48"/>
  <c r="F190" i="48"/>
  <c r="H190" i="48" s="1"/>
  <c r="E190" i="48"/>
  <c r="K188" i="48"/>
  <c r="H188" i="48"/>
  <c r="E188" i="48"/>
  <c r="N186" i="48"/>
  <c r="K186" i="48"/>
  <c r="H186" i="48"/>
  <c r="E186" i="48"/>
  <c r="N184" i="48"/>
  <c r="K184" i="48"/>
  <c r="G184" i="48"/>
  <c r="H184" i="48" s="1"/>
  <c r="F184" i="48"/>
  <c r="E184" i="48"/>
  <c r="N182" i="48"/>
  <c r="K182" i="48"/>
  <c r="E182" i="48"/>
  <c r="N180" i="48"/>
  <c r="K180" i="48"/>
  <c r="H180" i="48"/>
  <c r="E180" i="48"/>
  <c r="N178" i="48"/>
  <c r="K178" i="48"/>
  <c r="G178" i="48"/>
  <c r="H178" i="48" s="1"/>
  <c r="F178" i="48"/>
  <c r="E178" i="48"/>
  <c r="N176" i="48"/>
  <c r="K176" i="48"/>
  <c r="G176" i="48"/>
  <c r="F176" i="48"/>
  <c r="H176" i="48" s="1"/>
  <c r="E176" i="48"/>
  <c r="N174" i="48"/>
  <c r="K174" i="48"/>
  <c r="G174" i="48"/>
  <c r="H174" i="48" s="1"/>
  <c r="F174" i="48"/>
  <c r="E174" i="48"/>
  <c r="N172" i="48"/>
  <c r="K172" i="48"/>
  <c r="G172" i="48"/>
  <c r="F172" i="48"/>
  <c r="H172" i="48" s="1"/>
  <c r="E172" i="48"/>
  <c r="N170" i="48"/>
  <c r="K170" i="48"/>
  <c r="G170" i="48"/>
  <c r="H170" i="48" s="1"/>
  <c r="F170" i="48"/>
  <c r="E170" i="48"/>
  <c r="N168" i="48"/>
  <c r="K168" i="48"/>
  <c r="G168" i="48"/>
  <c r="F168" i="48"/>
  <c r="H168" i="48" s="1"/>
  <c r="E168" i="48"/>
  <c r="D168" i="48"/>
  <c r="N166" i="48"/>
  <c r="K166" i="48"/>
  <c r="H166" i="48"/>
  <c r="G166" i="48"/>
  <c r="E166" i="48"/>
  <c r="N164" i="48"/>
  <c r="K164" i="48"/>
  <c r="G164" i="48"/>
  <c r="F164" i="48"/>
  <c r="H164" i="48" s="1"/>
  <c r="E164" i="48"/>
  <c r="N162" i="48"/>
  <c r="K162" i="48"/>
  <c r="G162" i="48"/>
  <c r="H162" i="48" s="1"/>
  <c r="F162" i="48"/>
  <c r="E162" i="48"/>
  <c r="N160" i="48"/>
  <c r="K160" i="48"/>
  <c r="G160" i="48"/>
  <c r="F160" i="48"/>
  <c r="H160" i="48" s="1"/>
  <c r="E160" i="48"/>
  <c r="N158" i="48"/>
  <c r="K158" i="48"/>
  <c r="H158" i="48"/>
  <c r="E158" i="48"/>
  <c r="N156" i="48"/>
  <c r="K156" i="48"/>
  <c r="G156" i="48"/>
  <c r="H156" i="48" s="1"/>
  <c r="E156" i="48"/>
  <c r="N154" i="48"/>
  <c r="K154" i="48"/>
  <c r="H154" i="48"/>
  <c r="G154" i="48"/>
  <c r="E154" i="48"/>
  <c r="N144" i="48"/>
  <c r="K144" i="48"/>
  <c r="H144" i="48"/>
  <c r="G144" i="48"/>
  <c r="E144" i="48"/>
  <c r="N142" i="48"/>
  <c r="K142" i="48"/>
  <c r="H142" i="48"/>
  <c r="E142" i="48"/>
  <c r="N140" i="48"/>
  <c r="K140" i="48"/>
  <c r="G140" i="48"/>
  <c r="H140" i="48" s="1"/>
  <c r="F140" i="48"/>
  <c r="E140" i="48"/>
  <c r="D140" i="48"/>
  <c r="N138" i="48"/>
  <c r="K138" i="48"/>
  <c r="G138" i="48"/>
  <c r="F138" i="48"/>
  <c r="H138" i="48" s="1"/>
  <c r="E138" i="48"/>
  <c r="N136" i="48"/>
  <c r="K136" i="48"/>
  <c r="G136" i="48"/>
  <c r="H136" i="48" s="1"/>
  <c r="F136" i="48"/>
  <c r="E136" i="48"/>
  <c r="N134" i="48"/>
  <c r="K134" i="48"/>
  <c r="H134" i="48"/>
  <c r="E134" i="48"/>
  <c r="N132" i="48"/>
  <c r="K132" i="48"/>
  <c r="G132" i="48"/>
  <c r="F132" i="48"/>
  <c r="H132" i="48" s="1"/>
  <c r="E132" i="48"/>
  <c r="N130" i="48"/>
  <c r="K130" i="48"/>
  <c r="G130" i="48"/>
  <c r="H130" i="48" s="1"/>
  <c r="F130" i="48"/>
  <c r="E130" i="48"/>
  <c r="N128" i="48"/>
  <c r="K128" i="48"/>
  <c r="H128" i="48"/>
  <c r="G128" i="48"/>
  <c r="E128" i="48"/>
  <c r="N126" i="48"/>
  <c r="K126" i="48"/>
  <c r="G126" i="48"/>
  <c r="H126" i="48" s="1"/>
  <c r="E126" i="48"/>
  <c r="N124" i="48"/>
  <c r="K124" i="48"/>
  <c r="G124" i="48"/>
  <c r="H124" i="48" s="1"/>
  <c r="F124" i="48"/>
  <c r="E124" i="48"/>
  <c r="N122" i="48"/>
  <c r="K122" i="48"/>
  <c r="G122" i="48"/>
  <c r="F122" i="48"/>
  <c r="H122" i="48" s="1"/>
  <c r="E122" i="48"/>
  <c r="N120" i="48"/>
  <c r="K120" i="48"/>
  <c r="H120" i="48"/>
  <c r="E120" i="48"/>
  <c r="D120" i="48"/>
  <c r="N118" i="48"/>
  <c r="K118" i="48"/>
  <c r="H118" i="48"/>
  <c r="E118" i="48"/>
  <c r="N116" i="48"/>
  <c r="K116" i="48"/>
  <c r="H116" i="48"/>
  <c r="E116" i="48"/>
  <c r="H114" i="48"/>
  <c r="E114" i="48"/>
  <c r="N112" i="48"/>
  <c r="K112" i="48"/>
  <c r="F112" i="48"/>
  <c r="H112" i="48" s="1"/>
  <c r="E112" i="48"/>
  <c r="N110" i="48"/>
  <c r="K110" i="48"/>
  <c r="H110" i="48"/>
  <c r="E110" i="48"/>
  <c r="N108" i="48"/>
  <c r="K108" i="48"/>
  <c r="H108" i="48"/>
  <c r="E108" i="48"/>
  <c r="N106" i="48"/>
  <c r="K106" i="48"/>
  <c r="H106" i="48"/>
  <c r="E106" i="48"/>
  <c r="V104" i="48"/>
  <c r="U104" i="48"/>
  <c r="N96" i="48"/>
  <c r="K96" i="48"/>
  <c r="H96" i="48"/>
  <c r="E96" i="48"/>
  <c r="N94" i="48"/>
  <c r="K94" i="48"/>
  <c r="G94" i="48"/>
  <c r="H94" i="48" s="1"/>
  <c r="F94" i="48"/>
  <c r="E94" i="48"/>
  <c r="N92" i="48"/>
  <c r="K92" i="48"/>
  <c r="H92" i="48"/>
  <c r="E92" i="48"/>
  <c r="N90" i="48"/>
  <c r="K90" i="48"/>
  <c r="H90" i="48"/>
  <c r="E90" i="48"/>
  <c r="N88" i="48"/>
  <c r="K88" i="48"/>
  <c r="H88" i="48"/>
  <c r="E88" i="48"/>
  <c r="N86" i="48"/>
  <c r="K86" i="48"/>
  <c r="H86" i="48"/>
  <c r="E86" i="48"/>
  <c r="N84" i="48"/>
  <c r="K84" i="48"/>
  <c r="H84" i="48"/>
  <c r="E84" i="48"/>
  <c r="N82" i="48"/>
  <c r="K82" i="48"/>
  <c r="H82" i="48"/>
  <c r="E82" i="48"/>
  <c r="N80" i="48"/>
  <c r="K80" i="48"/>
  <c r="G80" i="48"/>
  <c r="H80" i="48" s="1"/>
  <c r="F80" i="48"/>
  <c r="E80" i="48"/>
  <c r="N78" i="48"/>
  <c r="K78" i="48"/>
  <c r="H78" i="48"/>
  <c r="E78" i="48"/>
  <c r="N76" i="48"/>
  <c r="K76" i="48"/>
  <c r="G76" i="48"/>
  <c r="H76" i="48" s="1"/>
  <c r="F76" i="48"/>
  <c r="E76" i="48"/>
  <c r="N74" i="48"/>
  <c r="K74" i="48"/>
  <c r="F74" i="48"/>
  <c r="H74" i="48" s="1"/>
  <c r="E74" i="48"/>
  <c r="N72" i="48"/>
  <c r="K72" i="48"/>
  <c r="H72" i="48"/>
  <c r="E72" i="48"/>
  <c r="N70" i="48"/>
  <c r="K70" i="48"/>
  <c r="H70" i="48"/>
  <c r="E70" i="48"/>
  <c r="N68" i="48"/>
  <c r="K68" i="48"/>
  <c r="H68" i="48"/>
  <c r="E68" i="48"/>
  <c r="N66" i="48"/>
  <c r="K66" i="48"/>
  <c r="H66" i="48"/>
  <c r="E66" i="48"/>
  <c r="N64" i="48"/>
  <c r="K64" i="48"/>
  <c r="H64" i="48"/>
  <c r="E64" i="48"/>
  <c r="N62" i="48"/>
  <c r="K62" i="48"/>
  <c r="H62" i="48"/>
  <c r="G62" i="48"/>
  <c r="E62" i="48"/>
  <c r="N60" i="48"/>
  <c r="K60" i="48"/>
  <c r="G60" i="48"/>
  <c r="H60" i="48" s="1"/>
  <c r="E60" i="48"/>
  <c r="N50" i="48"/>
  <c r="K50" i="48"/>
  <c r="G50" i="48"/>
  <c r="H50" i="48" s="1"/>
  <c r="F50" i="48"/>
  <c r="E50" i="48"/>
  <c r="N48" i="48"/>
  <c r="K48" i="48"/>
  <c r="H48" i="48"/>
  <c r="G48" i="48"/>
  <c r="E48" i="48"/>
  <c r="N46" i="48"/>
  <c r="K46" i="48"/>
  <c r="H46" i="48"/>
  <c r="E46" i="48"/>
  <c r="N44" i="48"/>
  <c r="K44" i="48"/>
  <c r="G44" i="48"/>
  <c r="H44" i="48" s="1"/>
  <c r="F44" i="48"/>
  <c r="E44" i="48"/>
  <c r="N42" i="48"/>
  <c r="K42" i="48"/>
  <c r="G42" i="48"/>
  <c r="H42" i="48" s="1"/>
  <c r="F42" i="48"/>
  <c r="E42" i="48"/>
  <c r="N40" i="48"/>
  <c r="K40" i="48"/>
  <c r="G40" i="48"/>
  <c r="H40" i="48" s="1"/>
  <c r="F40" i="48"/>
  <c r="E40" i="48"/>
  <c r="N38" i="48"/>
  <c r="K38" i="48"/>
  <c r="H38" i="48"/>
  <c r="E38" i="48"/>
  <c r="N36" i="48"/>
  <c r="K36" i="48"/>
  <c r="H36" i="48"/>
  <c r="E36" i="48"/>
  <c r="N34" i="48"/>
  <c r="K34" i="48"/>
  <c r="G34" i="48"/>
  <c r="H34" i="48" s="1"/>
  <c r="F34" i="48"/>
  <c r="E34" i="48"/>
  <c r="N32" i="48"/>
  <c r="K32" i="48"/>
  <c r="G32" i="48"/>
  <c r="H32" i="48" s="1"/>
  <c r="E32" i="48"/>
  <c r="N30" i="48"/>
  <c r="K30" i="48"/>
  <c r="H30" i="48"/>
  <c r="E30" i="48"/>
  <c r="V28" i="48"/>
  <c r="N28" i="48"/>
  <c r="K28" i="48"/>
  <c r="G28" i="48"/>
  <c r="G10" i="48" s="1"/>
  <c r="F28" i="48"/>
  <c r="E28" i="48"/>
  <c r="N26" i="48"/>
  <c r="K26" i="48"/>
  <c r="H26" i="48"/>
  <c r="E26" i="48"/>
  <c r="N24" i="48"/>
  <c r="K24" i="48"/>
  <c r="H24" i="48"/>
  <c r="E24" i="48"/>
  <c r="T22" i="48"/>
  <c r="N22" i="48"/>
  <c r="K22" i="48"/>
  <c r="H22" i="48"/>
  <c r="E22" i="48"/>
  <c r="N20" i="48"/>
  <c r="K20" i="48"/>
  <c r="H20" i="48"/>
  <c r="E20" i="48"/>
  <c r="N18" i="48"/>
  <c r="K18" i="48"/>
  <c r="H18" i="48"/>
  <c r="G18" i="48"/>
  <c r="F18" i="48"/>
  <c r="E18" i="48"/>
  <c r="AA17" i="48"/>
  <c r="N16" i="48"/>
  <c r="K16" i="48"/>
  <c r="K10" i="48" s="1"/>
  <c r="G16" i="48"/>
  <c r="H16" i="48" s="1"/>
  <c r="F16" i="48"/>
  <c r="E16" i="48"/>
  <c r="R15" i="48"/>
  <c r="Q15" i="48"/>
  <c r="U14" i="48"/>
  <c r="T14" i="48"/>
  <c r="R14" i="48"/>
  <c r="Q14" i="48"/>
  <c r="N14" i="48"/>
  <c r="K14" i="48"/>
  <c r="H14" i="48"/>
  <c r="E14" i="48"/>
  <c r="W13" i="48"/>
  <c r="AA12" i="48"/>
  <c r="Z12" i="48"/>
  <c r="Y12" i="48"/>
  <c r="Z14" i="48" s="1"/>
  <c r="X12" i="48"/>
  <c r="N12" i="48"/>
  <c r="K12" i="48"/>
  <c r="F12" i="48"/>
  <c r="H12" i="48" s="1"/>
  <c r="E12" i="48"/>
  <c r="N10" i="48"/>
  <c r="R18" i="48" s="1"/>
  <c r="M10" i="48"/>
  <c r="S7" i="48" s="1"/>
  <c r="S8" i="48" s="1"/>
  <c r="L10" i="48"/>
  <c r="Q10" i="48" s="1"/>
  <c r="J10" i="48"/>
  <c r="I10" i="48"/>
  <c r="F10" i="48"/>
  <c r="R8" i="48" s="1"/>
  <c r="E10" i="48"/>
  <c r="Q3" i="48" s="1"/>
  <c r="D10" i="48"/>
  <c r="Q17" i="48" s="1"/>
  <c r="C10" i="48"/>
  <c r="R17" i="48" s="1"/>
  <c r="Q9" i="48"/>
  <c r="Q7" i="48"/>
  <c r="Q6" i="48"/>
  <c r="S5" i="48"/>
  <c r="R5" i="48"/>
  <c r="S4" i="48"/>
  <c r="R4" i="48"/>
  <c r="S3" i="48"/>
  <c r="N54" i="47"/>
  <c r="M54" i="47"/>
  <c r="K54" i="47"/>
  <c r="K56" i="47" s="1"/>
  <c r="J54" i="47"/>
  <c r="I54" i="47"/>
  <c r="I55" i="47" s="1"/>
  <c r="H54" i="47"/>
  <c r="I28" i="47"/>
  <c r="I25" i="47"/>
  <c r="H25" i="47"/>
  <c r="I26" i="47" s="1"/>
  <c r="T19" i="47"/>
  <c r="I19" i="47"/>
  <c r="H19" i="47"/>
  <c r="E19" i="47"/>
  <c r="O18" i="47" s="1"/>
  <c r="D19" i="47"/>
  <c r="C19" i="47"/>
  <c r="J18" i="47"/>
  <c r="O17" i="47"/>
  <c r="J17" i="47"/>
  <c r="T16" i="47"/>
  <c r="O16" i="47"/>
  <c r="E16" i="47"/>
  <c r="D16" i="47"/>
  <c r="C16" i="47"/>
  <c r="L14" i="47"/>
  <c r="K14" i="47"/>
  <c r="E13" i="47"/>
  <c r="D13" i="47"/>
  <c r="C13" i="47"/>
  <c r="W11" i="47"/>
  <c r="E10" i="47"/>
  <c r="D10" i="47"/>
  <c r="C10" i="47"/>
  <c r="K9" i="47"/>
  <c r="J9" i="47"/>
  <c r="K8" i="47"/>
  <c r="J8" i="47"/>
  <c r="E6" i="47"/>
  <c r="D6" i="47"/>
  <c r="C6" i="47"/>
  <c r="N50" i="46"/>
  <c r="K50" i="46" s="1"/>
  <c r="J50" i="46"/>
  <c r="G50" i="46"/>
  <c r="F50" i="46"/>
  <c r="C50" i="46" s="1"/>
  <c r="N49" i="46"/>
  <c r="K49" i="46"/>
  <c r="J49" i="46"/>
  <c r="G49" i="46" s="1"/>
  <c r="F49" i="46"/>
  <c r="C49" i="46"/>
  <c r="N48" i="46"/>
  <c r="K48" i="46" s="1"/>
  <c r="J48" i="46"/>
  <c r="G48" i="46"/>
  <c r="F48" i="46"/>
  <c r="C48" i="46" s="1"/>
  <c r="N47" i="46"/>
  <c r="K47" i="46"/>
  <c r="J47" i="46"/>
  <c r="G47" i="46" s="1"/>
  <c r="F47" i="46"/>
  <c r="C47" i="46"/>
  <c r="N46" i="46"/>
  <c r="K46" i="46" s="1"/>
  <c r="J46" i="46"/>
  <c r="G46" i="46"/>
  <c r="F46" i="46"/>
  <c r="C46" i="46" s="1"/>
  <c r="N45" i="46"/>
  <c r="K45" i="46"/>
  <c r="J45" i="46"/>
  <c r="G45" i="46" s="1"/>
  <c r="F45" i="46"/>
  <c r="C45" i="46"/>
  <c r="N44" i="46"/>
  <c r="K44" i="46" s="1"/>
  <c r="J44" i="46"/>
  <c r="G44" i="46"/>
  <c r="F44" i="46"/>
  <c r="C44" i="46" s="1"/>
  <c r="N43" i="46"/>
  <c r="K43" i="46"/>
  <c r="J43" i="46"/>
  <c r="G43" i="46" s="1"/>
  <c r="F43" i="46"/>
  <c r="C43" i="46"/>
  <c r="AE42" i="46"/>
  <c r="AD42" i="46"/>
  <c r="AG42" i="46" s="1"/>
  <c r="AC42" i="46"/>
  <c r="AF42" i="46" s="1"/>
  <c r="Z42" i="46"/>
  <c r="W42" i="46"/>
  <c r="N42" i="46"/>
  <c r="K42" i="46" s="1"/>
  <c r="J42" i="46"/>
  <c r="G42" i="46" s="1"/>
  <c r="F42" i="46"/>
  <c r="C42" i="46" s="1"/>
  <c r="AE41" i="46"/>
  <c r="AG41" i="46" s="1"/>
  <c r="AB41" i="46"/>
  <c r="AA41" i="46"/>
  <c r="AD41" i="46" s="1"/>
  <c r="Z41" i="46"/>
  <c r="W41" i="46"/>
  <c r="N41" i="46"/>
  <c r="K41" i="46"/>
  <c r="J41" i="46"/>
  <c r="G41" i="46" s="1"/>
  <c r="F41" i="46"/>
  <c r="C41" i="46"/>
  <c r="AD40" i="46"/>
  <c r="AB40" i="46"/>
  <c r="AC40" i="46" s="1"/>
  <c r="AF40" i="46" s="1"/>
  <c r="AA40" i="46"/>
  <c r="Z40" i="46"/>
  <c r="W40" i="46"/>
  <c r="N40" i="46"/>
  <c r="K40" i="46" s="1"/>
  <c r="J40" i="46"/>
  <c r="G40" i="46" s="1"/>
  <c r="F40" i="46"/>
  <c r="C40" i="46" s="1"/>
  <c r="AG39" i="46"/>
  <c r="AE39" i="46"/>
  <c r="AD39" i="46"/>
  <c r="AC39" i="46"/>
  <c r="AF39" i="46" s="1"/>
  <c r="Z39" i="46"/>
  <c r="W39" i="46"/>
  <c r="N39" i="46"/>
  <c r="K39" i="46"/>
  <c r="J39" i="46"/>
  <c r="G39" i="46"/>
  <c r="F39" i="46"/>
  <c r="C39" i="46"/>
  <c r="AD38" i="46"/>
  <c r="AB38" i="46"/>
  <c r="AC38" i="46" s="1"/>
  <c r="AF38" i="46" s="1"/>
  <c r="AA38" i="46"/>
  <c r="Z38" i="46"/>
  <c r="W38" i="46"/>
  <c r="N38" i="46"/>
  <c r="K38" i="46" s="1"/>
  <c r="J38" i="46"/>
  <c r="G38" i="46" s="1"/>
  <c r="F38" i="46"/>
  <c r="C38" i="46" s="1"/>
  <c r="AG37" i="46"/>
  <c r="AE37" i="46"/>
  <c r="AD37" i="46"/>
  <c r="AC37" i="46"/>
  <c r="AF37" i="46" s="1"/>
  <c r="Z37" i="46"/>
  <c r="W37" i="46"/>
  <c r="N37" i="46"/>
  <c r="K37" i="46"/>
  <c r="J37" i="46"/>
  <c r="G37" i="46"/>
  <c r="F37" i="46"/>
  <c r="C37" i="46"/>
  <c r="AE36" i="46"/>
  <c r="AD36" i="46"/>
  <c r="AG36" i="46" s="1"/>
  <c r="AC36" i="46"/>
  <c r="Z36" i="46"/>
  <c r="AF36" i="46" s="1"/>
  <c r="W36" i="46"/>
  <c r="N36" i="46"/>
  <c r="K36" i="46" s="1"/>
  <c r="J36" i="46"/>
  <c r="G36" i="46" s="1"/>
  <c r="F36" i="46"/>
  <c r="C36" i="46" s="1"/>
  <c r="AE35" i="46"/>
  <c r="AB35" i="46"/>
  <c r="AA35" i="46"/>
  <c r="AD35" i="46" s="1"/>
  <c r="Z35" i="46"/>
  <c r="W35" i="46"/>
  <c r="AD34" i="46"/>
  <c r="AB34" i="46"/>
  <c r="AE34" i="46" s="1"/>
  <c r="AG34" i="46" s="1"/>
  <c r="AA34" i="46"/>
  <c r="Z34" i="46"/>
  <c r="W34" i="46"/>
  <c r="AG33" i="46"/>
  <c r="AE33" i="46"/>
  <c r="AD33" i="46"/>
  <c r="AC33" i="46"/>
  <c r="AF33" i="46" s="1"/>
  <c r="AB33" i="46"/>
  <c r="Z33" i="46"/>
  <c r="W33" i="46"/>
  <c r="AG32" i="46"/>
  <c r="AE32" i="46"/>
  <c r="AD32" i="46"/>
  <c r="AC32" i="46"/>
  <c r="AF32" i="46" s="1"/>
  <c r="Z32" i="46"/>
  <c r="W32" i="46"/>
  <c r="AE31" i="46"/>
  <c r="AG31" i="46" s="1"/>
  <c r="AD31" i="46"/>
  <c r="AC31" i="46"/>
  <c r="Z31" i="46"/>
  <c r="AF31" i="46" s="1"/>
  <c r="W31" i="46"/>
  <c r="AE30" i="46"/>
  <c r="AG30" i="46" s="1"/>
  <c r="AD30" i="46"/>
  <c r="AC30" i="46"/>
  <c r="AF30" i="46" s="1"/>
  <c r="Z30" i="46"/>
  <c r="W30" i="46"/>
  <c r="N30" i="46"/>
  <c r="K30" i="46"/>
  <c r="J30" i="46"/>
  <c r="G30" i="46"/>
  <c r="F30" i="46"/>
  <c r="C30" i="46"/>
  <c r="AD29" i="46"/>
  <c r="AB29" i="46"/>
  <c r="AE29" i="46" s="1"/>
  <c r="AG29" i="46" s="1"/>
  <c r="AA29" i="46"/>
  <c r="Z29" i="46"/>
  <c r="W29" i="46"/>
  <c r="N29" i="46"/>
  <c r="K29" i="46" s="1"/>
  <c r="J29" i="46"/>
  <c r="G29" i="46" s="1"/>
  <c r="F29" i="46"/>
  <c r="C29" i="46" s="1"/>
  <c r="AE28" i="46"/>
  <c r="AB28" i="46"/>
  <c r="AA28" i="46"/>
  <c r="AD28" i="46" s="1"/>
  <c r="Z28" i="46"/>
  <c r="W28" i="46"/>
  <c r="N28" i="46"/>
  <c r="K28" i="46"/>
  <c r="J28" i="46"/>
  <c r="G28" i="46"/>
  <c r="F28" i="46"/>
  <c r="C28" i="46"/>
  <c r="AE27" i="46"/>
  <c r="AD27" i="46"/>
  <c r="AG27" i="46" s="1"/>
  <c r="AC27" i="46"/>
  <c r="Z27" i="46"/>
  <c r="AF27" i="46" s="1"/>
  <c r="W27" i="46"/>
  <c r="N27" i="46"/>
  <c r="K27" i="46" s="1"/>
  <c r="J27" i="46"/>
  <c r="G27" i="46" s="1"/>
  <c r="F27" i="46"/>
  <c r="C27" i="46" s="1"/>
  <c r="AE26" i="46"/>
  <c r="AG26" i="46" s="1"/>
  <c r="AB26" i="46"/>
  <c r="AA26" i="46"/>
  <c r="AD26" i="46" s="1"/>
  <c r="Z26" i="46"/>
  <c r="W26" i="46"/>
  <c r="N26" i="46"/>
  <c r="K26" i="46"/>
  <c r="J26" i="46"/>
  <c r="G26" i="46"/>
  <c r="F26" i="46"/>
  <c r="C26" i="46"/>
  <c r="AE25" i="46"/>
  <c r="AD25" i="46"/>
  <c r="AG25" i="46" s="1"/>
  <c r="AC25" i="46"/>
  <c r="Z25" i="46"/>
  <c r="AF25" i="46" s="1"/>
  <c r="W25" i="46"/>
  <c r="N25" i="46"/>
  <c r="K25" i="46" s="1"/>
  <c r="J25" i="46"/>
  <c r="G25" i="46" s="1"/>
  <c r="F25" i="46"/>
  <c r="C25" i="46" s="1"/>
  <c r="AE24" i="46"/>
  <c r="AG24" i="46" s="1"/>
  <c r="AD24" i="46"/>
  <c r="AC24" i="46"/>
  <c r="AF24" i="46" s="1"/>
  <c r="Z24" i="46"/>
  <c r="W24" i="46"/>
  <c r="N24" i="46"/>
  <c r="K24" i="46"/>
  <c r="J24" i="46"/>
  <c r="G24" i="46"/>
  <c r="F24" i="46"/>
  <c r="C24" i="46"/>
  <c r="AE23" i="46"/>
  <c r="AG23" i="46" s="1"/>
  <c r="AD23" i="46"/>
  <c r="AC23" i="46"/>
  <c r="Z23" i="46"/>
  <c r="AF23" i="46" s="1"/>
  <c r="W23" i="46"/>
  <c r="N23" i="46"/>
  <c r="K23" i="46" s="1"/>
  <c r="J23" i="46"/>
  <c r="G23" i="46" s="1"/>
  <c r="F23" i="46"/>
  <c r="C23" i="46" s="1"/>
  <c r="AE22" i="46"/>
  <c r="AC22" i="46"/>
  <c r="AF22" i="46" s="1"/>
  <c r="AB22" i="46"/>
  <c r="AA22" i="46"/>
  <c r="AD22" i="46" s="1"/>
  <c r="AG22" i="46" s="1"/>
  <c r="Z22" i="46"/>
  <c r="W22" i="46"/>
  <c r="N22" i="46"/>
  <c r="K22" i="46"/>
  <c r="J22" i="46"/>
  <c r="G22" i="46"/>
  <c r="F22" i="46"/>
  <c r="C22" i="46"/>
  <c r="AE21" i="46"/>
  <c r="AG21" i="46" s="1"/>
  <c r="AD21" i="46"/>
  <c r="AC21" i="46"/>
  <c r="Z21" i="46"/>
  <c r="AF21" i="46" s="1"/>
  <c r="W21" i="46"/>
  <c r="N21" i="46"/>
  <c r="K21" i="46" s="1"/>
  <c r="J21" i="46"/>
  <c r="G21" i="46" s="1"/>
  <c r="F21" i="46"/>
  <c r="C21" i="46" s="1"/>
  <c r="AG20" i="46"/>
  <c r="AE20" i="46"/>
  <c r="AD20" i="46"/>
  <c r="AC20" i="46"/>
  <c r="AF20" i="46" s="1"/>
  <c r="AB20" i="46"/>
  <c r="Z20" i="46"/>
  <c r="W20" i="46"/>
  <c r="N20" i="46"/>
  <c r="K20" i="46"/>
  <c r="J20" i="46"/>
  <c r="G20" i="46"/>
  <c r="F20" i="46"/>
  <c r="C20" i="46"/>
  <c r="AD19" i="46"/>
  <c r="AB19" i="46"/>
  <c r="AC19" i="46" s="1"/>
  <c r="AF19" i="46" s="1"/>
  <c r="AA19" i="46"/>
  <c r="Z19" i="46"/>
  <c r="W19" i="46"/>
  <c r="S19" i="46"/>
  <c r="R19" i="46"/>
  <c r="Q19" i="46"/>
  <c r="N19" i="46"/>
  <c r="K19" i="46"/>
  <c r="J19" i="46"/>
  <c r="G19" i="46"/>
  <c r="F19" i="46"/>
  <c r="C19" i="46"/>
  <c r="AE18" i="46"/>
  <c r="AG18" i="46" s="1"/>
  <c r="AD18" i="46"/>
  <c r="AC18" i="46"/>
  <c r="Z18" i="46"/>
  <c r="AF18" i="46" s="1"/>
  <c r="W18" i="46"/>
  <c r="S18" i="46"/>
  <c r="R18" i="46"/>
  <c r="Q18" i="46"/>
  <c r="N18" i="46"/>
  <c r="K18" i="46"/>
  <c r="J18" i="46"/>
  <c r="G18" i="46"/>
  <c r="F18" i="46"/>
  <c r="C18" i="46"/>
  <c r="AD17" i="46"/>
  <c r="AB17" i="46"/>
  <c r="AE17" i="46" s="1"/>
  <c r="AG17" i="46" s="1"/>
  <c r="AA17" i="46"/>
  <c r="Z17" i="46"/>
  <c r="W17" i="46"/>
  <c r="N17" i="46"/>
  <c r="K17" i="46" s="1"/>
  <c r="J17" i="46"/>
  <c r="G17" i="46" s="1"/>
  <c r="F17" i="46"/>
  <c r="C17" i="46" s="1"/>
  <c r="AE16" i="46"/>
  <c r="AG16" i="46" s="1"/>
  <c r="AD16" i="46"/>
  <c r="AC16" i="46"/>
  <c r="AF16" i="46" s="1"/>
  <c r="Z16" i="46"/>
  <c r="W16" i="46"/>
  <c r="N16" i="46"/>
  <c r="K16" i="46"/>
  <c r="J16" i="46"/>
  <c r="G16" i="46"/>
  <c r="F16" i="46"/>
  <c r="C16" i="46"/>
  <c r="AE15" i="46"/>
  <c r="AG15" i="46" s="1"/>
  <c r="AD15" i="46"/>
  <c r="AC15" i="46"/>
  <c r="Z15" i="46"/>
  <c r="AF15" i="46" s="1"/>
  <c r="W15" i="46"/>
  <c r="N15" i="46"/>
  <c r="K15" i="46"/>
  <c r="J15" i="46"/>
  <c r="G15" i="46"/>
  <c r="F15" i="46"/>
  <c r="C15" i="46"/>
  <c r="AD14" i="46"/>
  <c r="AB14" i="46"/>
  <c r="AC14" i="46" s="1"/>
  <c r="AF14" i="46" s="1"/>
  <c r="AA14" i="46"/>
  <c r="Z14" i="46"/>
  <c r="W14" i="46"/>
  <c r="N14" i="46"/>
  <c r="K14" i="46" s="1"/>
  <c r="J14" i="46"/>
  <c r="G14" i="46" s="1"/>
  <c r="F14" i="46"/>
  <c r="C14" i="46" s="1"/>
  <c r="AG13" i="46"/>
  <c r="AE13" i="46"/>
  <c r="AD13" i="46"/>
  <c r="AC13" i="46"/>
  <c r="AF13" i="46" s="1"/>
  <c r="Z13" i="46"/>
  <c r="W13" i="46"/>
  <c r="R13" i="46"/>
  <c r="Q15" i="46" s="1"/>
  <c r="Q13" i="46"/>
  <c r="N13" i="46"/>
  <c r="K13" i="46" s="1"/>
  <c r="J13" i="46"/>
  <c r="G13" i="46" s="1"/>
  <c r="F13" i="46"/>
  <c r="C13" i="46" s="1"/>
  <c r="AG12" i="46"/>
  <c r="AE12" i="46"/>
  <c r="AD12" i="46"/>
  <c r="AC12" i="46"/>
  <c r="AF12" i="46" s="1"/>
  <c r="Z12" i="46"/>
  <c r="W12" i="46"/>
  <c r="R12" i="46"/>
  <c r="Q12" i="46"/>
  <c r="AE11" i="46"/>
  <c r="AG11" i="46" s="1"/>
  <c r="AD11" i="46"/>
  <c r="AC11" i="46"/>
  <c r="AF11" i="46" s="1"/>
  <c r="Z11" i="46"/>
  <c r="W11" i="46"/>
  <c r="AE10" i="46"/>
  <c r="AG10" i="46" s="1"/>
  <c r="AD10" i="46"/>
  <c r="AC10" i="46"/>
  <c r="AF10" i="46" s="1"/>
  <c r="Z10" i="46"/>
  <c r="W10" i="46"/>
  <c r="N10" i="46"/>
  <c r="K10" i="46" s="1"/>
  <c r="J10" i="46"/>
  <c r="I10" i="46"/>
  <c r="H10" i="46"/>
  <c r="G10" i="46" s="1"/>
  <c r="F10" i="46"/>
  <c r="C10" i="46" s="1"/>
  <c r="AF9" i="46"/>
  <c r="AE9" i="46"/>
  <c r="AG9" i="46" s="1"/>
  <c r="AD9" i="46"/>
  <c r="R9" i="46"/>
  <c r="R10" i="46" s="1"/>
  <c r="Q9" i="46"/>
  <c r="N9" i="46"/>
  <c r="K9" i="46"/>
  <c r="I9" i="46"/>
  <c r="I8" i="46" s="1"/>
  <c r="H9" i="46"/>
  <c r="E9" i="46"/>
  <c r="E8" i="46" s="1"/>
  <c r="R7" i="46" s="1"/>
  <c r="D9" i="46"/>
  <c r="AD8" i="46"/>
  <c r="AB8" i="46"/>
  <c r="AE8" i="46" s="1"/>
  <c r="AG8" i="46" s="1"/>
  <c r="AA8" i="46"/>
  <c r="Z8" i="46"/>
  <c r="W8" i="46"/>
  <c r="N8" i="46"/>
  <c r="M8" i="46"/>
  <c r="L8" i="46"/>
  <c r="Q20" i="46" s="1"/>
  <c r="H8" i="46"/>
  <c r="D8" i="46"/>
  <c r="AE7" i="46"/>
  <c r="AB7" i="46"/>
  <c r="AA7" i="46"/>
  <c r="AA6" i="46" s="1"/>
  <c r="Y7" i="46"/>
  <c r="Z7" i="46" s="1"/>
  <c r="Z6" i="46" s="1"/>
  <c r="X7" i="46"/>
  <c r="W7" i="46"/>
  <c r="W6" i="46" s="1"/>
  <c r="V7" i="46"/>
  <c r="U7" i="46"/>
  <c r="U6" i="46" s="1"/>
  <c r="S7" i="46"/>
  <c r="AB6" i="46"/>
  <c r="X6" i="46"/>
  <c r="V6" i="46"/>
  <c r="S6" i="46"/>
  <c r="R5" i="46"/>
  <c r="S3" i="46"/>
  <c r="N50" i="45"/>
  <c r="K50" i="45"/>
  <c r="J50" i="45"/>
  <c r="G50" i="45" s="1"/>
  <c r="F50" i="45"/>
  <c r="C50" i="45"/>
  <c r="N49" i="45"/>
  <c r="K49" i="45"/>
  <c r="J49" i="45"/>
  <c r="G49" i="45"/>
  <c r="F49" i="45"/>
  <c r="C49" i="45"/>
  <c r="N48" i="45"/>
  <c r="K48" i="45"/>
  <c r="J48" i="45"/>
  <c r="G48" i="45"/>
  <c r="F48" i="45"/>
  <c r="C48" i="45"/>
  <c r="N47" i="45"/>
  <c r="K47" i="45"/>
  <c r="J47" i="45"/>
  <c r="G47" i="45"/>
  <c r="F47" i="45"/>
  <c r="C47" i="45"/>
  <c r="N46" i="45"/>
  <c r="K46" i="45"/>
  <c r="J46" i="45"/>
  <c r="G46" i="45"/>
  <c r="F46" i="45"/>
  <c r="C46" i="45"/>
  <c r="N45" i="45"/>
  <c r="K45" i="45"/>
  <c r="J45" i="45"/>
  <c r="G45" i="45"/>
  <c r="F45" i="45"/>
  <c r="C45" i="45"/>
  <c r="N44" i="45"/>
  <c r="K44" i="45"/>
  <c r="J44" i="45"/>
  <c r="G44" i="45"/>
  <c r="F44" i="45"/>
  <c r="C44" i="45"/>
  <c r="N43" i="45"/>
  <c r="K43" i="45"/>
  <c r="J43" i="45"/>
  <c r="G43" i="45"/>
  <c r="F43" i="45"/>
  <c r="C43" i="45"/>
  <c r="N42" i="45"/>
  <c r="K42" i="45"/>
  <c r="J42" i="45"/>
  <c r="G42" i="45"/>
  <c r="F42" i="45"/>
  <c r="C42" i="45"/>
  <c r="N41" i="45"/>
  <c r="K41" i="45"/>
  <c r="J41" i="45"/>
  <c r="G41" i="45"/>
  <c r="F41" i="45"/>
  <c r="C41" i="45"/>
  <c r="N40" i="45"/>
  <c r="K40" i="45"/>
  <c r="J40" i="45"/>
  <c r="G40" i="45"/>
  <c r="F40" i="45"/>
  <c r="C40" i="45"/>
  <c r="N39" i="45"/>
  <c r="K39" i="45"/>
  <c r="J39" i="45"/>
  <c r="G39" i="45"/>
  <c r="F39" i="45"/>
  <c r="C39" i="45"/>
  <c r="N38" i="45"/>
  <c r="K38" i="45"/>
  <c r="J38" i="45"/>
  <c r="G38" i="45"/>
  <c r="F38" i="45"/>
  <c r="C38" i="45"/>
  <c r="N37" i="45"/>
  <c r="K37" i="45"/>
  <c r="J37" i="45"/>
  <c r="G37" i="45"/>
  <c r="F37" i="45"/>
  <c r="C37" i="45"/>
  <c r="N36" i="45"/>
  <c r="K36" i="45"/>
  <c r="J36" i="45"/>
  <c r="G36" i="45"/>
  <c r="F36" i="45"/>
  <c r="C36" i="45"/>
  <c r="N30" i="45"/>
  <c r="K30" i="45"/>
  <c r="J30" i="45"/>
  <c r="G30" i="45"/>
  <c r="F30" i="45"/>
  <c r="C30" i="45"/>
  <c r="N29" i="45"/>
  <c r="K29" i="45"/>
  <c r="J29" i="45"/>
  <c r="G29" i="45"/>
  <c r="F29" i="45"/>
  <c r="C29" i="45"/>
  <c r="N28" i="45"/>
  <c r="K28" i="45"/>
  <c r="J28" i="45"/>
  <c r="G28" i="45"/>
  <c r="F28" i="45"/>
  <c r="C28" i="45"/>
  <c r="N27" i="45"/>
  <c r="K27" i="45"/>
  <c r="J27" i="45"/>
  <c r="G27" i="45"/>
  <c r="F27" i="45"/>
  <c r="C27" i="45"/>
  <c r="N26" i="45"/>
  <c r="K26" i="45"/>
  <c r="J26" i="45"/>
  <c r="G26" i="45"/>
  <c r="F26" i="45"/>
  <c r="C26" i="45"/>
  <c r="N25" i="45"/>
  <c r="K25" i="45"/>
  <c r="J25" i="45"/>
  <c r="G25" i="45"/>
  <c r="F25" i="45"/>
  <c r="C25" i="45"/>
  <c r="N24" i="45"/>
  <c r="K24" i="45"/>
  <c r="J24" i="45"/>
  <c r="G24" i="45"/>
  <c r="F24" i="45"/>
  <c r="C24" i="45"/>
  <c r="N23" i="45"/>
  <c r="K23" i="45"/>
  <c r="J23" i="45"/>
  <c r="G23" i="45"/>
  <c r="F23" i="45"/>
  <c r="C23" i="45"/>
  <c r="N22" i="45"/>
  <c r="K22" i="45"/>
  <c r="J22" i="45"/>
  <c r="G22" i="45"/>
  <c r="F22" i="45"/>
  <c r="C22" i="45"/>
  <c r="N21" i="45"/>
  <c r="K21" i="45"/>
  <c r="J21" i="45"/>
  <c r="G21" i="45"/>
  <c r="F21" i="45"/>
  <c r="C21" i="45"/>
  <c r="N20" i="45"/>
  <c r="K20" i="45"/>
  <c r="J20" i="45"/>
  <c r="G20" i="45"/>
  <c r="F20" i="45"/>
  <c r="C20" i="45"/>
  <c r="N19" i="45"/>
  <c r="K19" i="45"/>
  <c r="J19" i="45"/>
  <c r="G19" i="45"/>
  <c r="F19" i="45"/>
  <c r="C19" i="45"/>
  <c r="N18" i="45"/>
  <c r="K18" i="45"/>
  <c r="J18" i="45"/>
  <c r="G18" i="45"/>
  <c r="F18" i="45"/>
  <c r="C18" i="45"/>
  <c r="N17" i="45"/>
  <c r="K17" i="45"/>
  <c r="J17" i="45"/>
  <c r="G17" i="45"/>
  <c r="F17" i="45"/>
  <c r="C17" i="45"/>
  <c r="S16" i="45"/>
  <c r="N16" i="45"/>
  <c r="K16" i="45" s="1"/>
  <c r="J16" i="45"/>
  <c r="G16" i="45" s="1"/>
  <c r="F16" i="45"/>
  <c r="C16" i="45" s="1"/>
  <c r="N15" i="45"/>
  <c r="K15" i="45" s="1"/>
  <c r="J15" i="45"/>
  <c r="G15" i="45" s="1"/>
  <c r="F15" i="45"/>
  <c r="C15" i="45" s="1"/>
  <c r="N14" i="45"/>
  <c r="K14" i="45" s="1"/>
  <c r="J14" i="45"/>
  <c r="G14" i="45" s="1"/>
  <c r="F14" i="45"/>
  <c r="C14" i="45" s="1"/>
  <c r="N13" i="45"/>
  <c r="K13" i="45" s="1"/>
  <c r="J13" i="45"/>
  <c r="G13" i="45" s="1"/>
  <c r="F13" i="45"/>
  <c r="C13" i="45" s="1"/>
  <c r="R12" i="45"/>
  <c r="N10" i="45"/>
  <c r="K10" i="45" s="1"/>
  <c r="J10" i="45"/>
  <c r="G10" i="45"/>
  <c r="F10" i="45"/>
  <c r="C10" i="45" s="1"/>
  <c r="V9" i="45"/>
  <c r="S9" i="45"/>
  <c r="R9" i="45"/>
  <c r="M9" i="45"/>
  <c r="L9" i="45"/>
  <c r="I9" i="45"/>
  <c r="H9" i="45"/>
  <c r="E9" i="45"/>
  <c r="D9" i="45"/>
  <c r="M8" i="45"/>
  <c r="L8" i="45"/>
  <c r="I8" i="45"/>
  <c r="H8" i="45"/>
  <c r="E8" i="45"/>
  <c r="D8" i="45"/>
  <c r="R4" i="45"/>
  <c r="I46" i="44"/>
  <c r="F46" i="44"/>
  <c r="C46" i="44"/>
  <c r="I45" i="44"/>
  <c r="F45" i="44"/>
  <c r="C45" i="44"/>
  <c r="I44" i="44"/>
  <c r="F44" i="44"/>
  <c r="C44" i="44"/>
  <c r="I43" i="44"/>
  <c r="F43" i="44"/>
  <c r="C43" i="44"/>
  <c r="I42" i="44"/>
  <c r="F42" i="44"/>
  <c r="C42" i="44"/>
  <c r="I41" i="44"/>
  <c r="F41" i="44"/>
  <c r="C41" i="44"/>
  <c r="I40" i="44"/>
  <c r="F40" i="44"/>
  <c r="C40" i="44"/>
  <c r="I39" i="44"/>
  <c r="F39" i="44"/>
  <c r="C39" i="44"/>
  <c r="I38" i="44"/>
  <c r="F38" i="44"/>
  <c r="C38" i="44"/>
  <c r="I37" i="44"/>
  <c r="F37" i="44"/>
  <c r="C37" i="44"/>
  <c r="I36" i="44"/>
  <c r="F36" i="44"/>
  <c r="C36" i="44"/>
  <c r="I35" i="44"/>
  <c r="F35" i="44"/>
  <c r="C35" i="44"/>
  <c r="I34" i="44"/>
  <c r="F34" i="44"/>
  <c r="C34" i="44"/>
  <c r="I33" i="44"/>
  <c r="F33" i="44"/>
  <c r="C33" i="44"/>
  <c r="I32" i="44"/>
  <c r="F32" i="44"/>
  <c r="C32" i="44"/>
  <c r="I31" i="44"/>
  <c r="F31" i="44"/>
  <c r="C31" i="44"/>
  <c r="I30" i="44"/>
  <c r="F30" i="44"/>
  <c r="C30" i="44"/>
  <c r="I29" i="44"/>
  <c r="F29" i="44"/>
  <c r="C29" i="44"/>
  <c r="I28" i="44"/>
  <c r="F28" i="44"/>
  <c r="C28" i="44"/>
  <c r="I27" i="44"/>
  <c r="F27" i="44"/>
  <c r="C27" i="44"/>
  <c r="I26" i="44"/>
  <c r="F26" i="44"/>
  <c r="C26" i="44"/>
  <c r="I25" i="44"/>
  <c r="F25" i="44"/>
  <c r="C25" i="44"/>
  <c r="I24" i="44"/>
  <c r="F24" i="44"/>
  <c r="C24" i="44"/>
  <c r="I23" i="44"/>
  <c r="F23" i="44"/>
  <c r="C23" i="44"/>
  <c r="I22" i="44"/>
  <c r="F22" i="44"/>
  <c r="C22" i="44"/>
  <c r="I21" i="44"/>
  <c r="F21" i="44"/>
  <c r="C21" i="44"/>
  <c r="I20" i="44"/>
  <c r="F20" i="44"/>
  <c r="C20" i="44"/>
  <c r="I19" i="44"/>
  <c r="F19" i="44"/>
  <c r="C19" i="44"/>
  <c r="I18" i="44"/>
  <c r="F18" i="44"/>
  <c r="C18" i="44"/>
  <c r="O17" i="44"/>
  <c r="I17" i="44"/>
  <c r="F17" i="44"/>
  <c r="C17" i="44"/>
  <c r="I16" i="44"/>
  <c r="F16" i="44"/>
  <c r="C16" i="44"/>
  <c r="R15" i="44"/>
  <c r="I15" i="44"/>
  <c r="F15" i="44"/>
  <c r="C15" i="44"/>
  <c r="O14" i="44"/>
  <c r="I14" i="44"/>
  <c r="F14" i="44"/>
  <c r="C14" i="44"/>
  <c r="O11" i="44"/>
  <c r="I10" i="44"/>
  <c r="F10" i="44"/>
  <c r="C10" i="44"/>
  <c r="K9" i="44"/>
  <c r="I9" i="44" s="1"/>
  <c r="H9" i="44"/>
  <c r="F9" i="44"/>
  <c r="C9" i="44"/>
  <c r="J8" i="44"/>
  <c r="H8" i="44"/>
  <c r="F8" i="44" s="1"/>
  <c r="G8" i="44"/>
  <c r="E8" i="44"/>
  <c r="P4" i="44" s="1"/>
  <c r="D8" i="44"/>
  <c r="R30" i="44" s="1"/>
  <c r="Q7" i="44"/>
  <c r="P3" i="44"/>
  <c r="I134" i="43"/>
  <c r="E134" i="43"/>
  <c r="I133" i="43"/>
  <c r="E133" i="43"/>
  <c r="I132" i="43"/>
  <c r="E132" i="43"/>
  <c r="I131" i="43"/>
  <c r="E131" i="43"/>
  <c r="I130" i="43"/>
  <c r="E130" i="43"/>
  <c r="I129" i="43"/>
  <c r="E129" i="43"/>
  <c r="I128" i="43"/>
  <c r="E128" i="43"/>
  <c r="I127" i="43"/>
  <c r="E127" i="43"/>
  <c r="I126" i="43"/>
  <c r="E126" i="43"/>
  <c r="I125" i="43"/>
  <c r="E125" i="43"/>
  <c r="I124" i="43"/>
  <c r="E124" i="43"/>
  <c r="I123" i="43"/>
  <c r="E123" i="43"/>
  <c r="I122" i="43"/>
  <c r="E122" i="43"/>
  <c r="I121" i="43"/>
  <c r="E121" i="43"/>
  <c r="M120" i="43"/>
  <c r="I120" i="43"/>
  <c r="E120" i="43"/>
  <c r="I119" i="43"/>
  <c r="E119" i="43"/>
  <c r="I118" i="43"/>
  <c r="E118" i="43"/>
  <c r="I117" i="43"/>
  <c r="E117" i="43"/>
  <c r="I116" i="43"/>
  <c r="E116" i="43"/>
  <c r="I115" i="43"/>
  <c r="E115" i="43"/>
  <c r="I114" i="43"/>
  <c r="E114" i="43"/>
  <c r="I113" i="43"/>
  <c r="E113" i="43"/>
  <c r="I112" i="43"/>
  <c r="E112" i="43"/>
  <c r="I111" i="43"/>
  <c r="E111" i="43"/>
  <c r="I110" i="43"/>
  <c r="E110" i="43"/>
  <c r="I109" i="43"/>
  <c r="E109" i="43"/>
  <c r="I108" i="43"/>
  <c r="E108" i="43"/>
  <c r="I107" i="43"/>
  <c r="E107" i="43"/>
  <c r="I106" i="43"/>
  <c r="E106" i="43"/>
  <c r="M105" i="43"/>
  <c r="I105" i="43"/>
  <c r="E105" i="43"/>
  <c r="N104" i="43"/>
  <c r="M104" i="43"/>
  <c r="L104" i="43"/>
  <c r="I104" i="43"/>
  <c r="E104" i="43"/>
  <c r="M103" i="43"/>
  <c r="N103" i="43" s="1"/>
  <c r="N105" i="43" s="1"/>
  <c r="L103" i="43"/>
  <c r="L105" i="43" s="1"/>
  <c r="I103" i="43"/>
  <c r="I98" i="43" s="1"/>
  <c r="E103" i="43"/>
  <c r="I102" i="43"/>
  <c r="E102" i="43"/>
  <c r="I100" i="43"/>
  <c r="E100" i="43"/>
  <c r="N99" i="43"/>
  <c r="N100" i="43" s="1"/>
  <c r="M99" i="43"/>
  <c r="I99" i="43"/>
  <c r="D99" i="43"/>
  <c r="E99" i="43" s="1"/>
  <c r="E98" i="43" s="1"/>
  <c r="I138" i="43" s="1"/>
  <c r="C99" i="43"/>
  <c r="H98" i="43"/>
  <c r="G98" i="43"/>
  <c r="F98" i="43"/>
  <c r="D98" i="43"/>
  <c r="C98" i="43"/>
  <c r="M96" i="43"/>
  <c r="N96" i="43" s="1"/>
  <c r="L96" i="43"/>
  <c r="L100" i="43" s="1"/>
  <c r="I89" i="43"/>
  <c r="E89" i="43"/>
  <c r="I88" i="43"/>
  <c r="E88" i="43"/>
  <c r="I87" i="43"/>
  <c r="E87" i="43"/>
  <c r="I86" i="43"/>
  <c r="E86" i="43"/>
  <c r="I85" i="43"/>
  <c r="E85" i="43"/>
  <c r="I84" i="43"/>
  <c r="E84" i="43"/>
  <c r="I83" i="43"/>
  <c r="E83" i="43"/>
  <c r="I82" i="43"/>
  <c r="E82" i="43"/>
  <c r="I81" i="43"/>
  <c r="E81" i="43"/>
  <c r="I80" i="43"/>
  <c r="E80" i="43"/>
  <c r="I79" i="43"/>
  <c r="E79" i="43"/>
  <c r="I78" i="43"/>
  <c r="E78" i="43"/>
  <c r="I77" i="43"/>
  <c r="E77" i="43"/>
  <c r="I76" i="43"/>
  <c r="E76" i="43"/>
  <c r="I75" i="43"/>
  <c r="E75" i="43"/>
  <c r="I74" i="43"/>
  <c r="E74" i="43"/>
  <c r="I73" i="43"/>
  <c r="E73" i="43"/>
  <c r="I72" i="43"/>
  <c r="E72" i="43"/>
  <c r="I71" i="43"/>
  <c r="E71" i="43"/>
  <c r="I70" i="43"/>
  <c r="E70" i="43"/>
  <c r="I69" i="43"/>
  <c r="E69" i="43"/>
  <c r="I68" i="43"/>
  <c r="E68" i="43"/>
  <c r="I67" i="43"/>
  <c r="E67" i="43"/>
  <c r="I66" i="43"/>
  <c r="E66" i="43"/>
  <c r="I65" i="43"/>
  <c r="E65" i="43"/>
  <c r="I64" i="43"/>
  <c r="E64" i="43"/>
  <c r="I63" i="43"/>
  <c r="E63" i="43"/>
  <c r="I62" i="43"/>
  <c r="E62" i="43"/>
  <c r="I61" i="43"/>
  <c r="E61" i="43"/>
  <c r="I60" i="43"/>
  <c r="E60" i="43"/>
  <c r="I59" i="43"/>
  <c r="E59" i="43"/>
  <c r="I58" i="43"/>
  <c r="E58" i="43"/>
  <c r="I57" i="43"/>
  <c r="E57" i="43"/>
  <c r="I55" i="43"/>
  <c r="E55" i="43"/>
  <c r="I54" i="43"/>
  <c r="D54" i="43"/>
  <c r="E54" i="43" s="1"/>
  <c r="E53" i="43" s="1"/>
  <c r="C54" i="43"/>
  <c r="C53" i="43" s="1"/>
  <c r="I53" i="43"/>
  <c r="H53" i="43"/>
  <c r="G53" i="43"/>
  <c r="F53" i="43"/>
  <c r="I44" i="43"/>
  <c r="E44" i="43"/>
  <c r="I43" i="43"/>
  <c r="E43" i="43"/>
  <c r="I42" i="43"/>
  <c r="E42" i="43"/>
  <c r="I41" i="43"/>
  <c r="E41" i="43"/>
  <c r="I40" i="43"/>
  <c r="E40" i="43"/>
  <c r="I39" i="43"/>
  <c r="E39" i="43"/>
  <c r="I38" i="43"/>
  <c r="E38" i="43"/>
  <c r="I37" i="43"/>
  <c r="E37" i="43"/>
  <c r="I36" i="43"/>
  <c r="E36" i="43"/>
  <c r="I35" i="43"/>
  <c r="E35" i="43"/>
  <c r="I34" i="43"/>
  <c r="E34" i="43"/>
  <c r="I33" i="43"/>
  <c r="E33" i="43"/>
  <c r="I32" i="43"/>
  <c r="E32" i="43"/>
  <c r="I31" i="43"/>
  <c r="E31" i="43"/>
  <c r="I30" i="43"/>
  <c r="E30" i="43"/>
  <c r="I29" i="43"/>
  <c r="E29" i="43"/>
  <c r="I28" i="43"/>
  <c r="E28" i="43"/>
  <c r="I27" i="43"/>
  <c r="E27" i="43"/>
  <c r="I26" i="43"/>
  <c r="E26" i="43"/>
  <c r="I25" i="43"/>
  <c r="E25" i="43"/>
  <c r="I24" i="43"/>
  <c r="E24" i="43"/>
  <c r="I23" i="43"/>
  <c r="E23" i="43"/>
  <c r="I22" i="43"/>
  <c r="E22" i="43"/>
  <c r="I21" i="43"/>
  <c r="E21" i="43"/>
  <c r="I20" i="43"/>
  <c r="E20" i="43"/>
  <c r="I19" i="43"/>
  <c r="E19" i="43"/>
  <c r="I18" i="43"/>
  <c r="E18" i="43"/>
  <c r="I17" i="43"/>
  <c r="E17" i="43"/>
  <c r="I16" i="43"/>
  <c r="E16" i="43"/>
  <c r="I15" i="43"/>
  <c r="E15" i="43"/>
  <c r="I14" i="43"/>
  <c r="E14" i="43"/>
  <c r="I13" i="43"/>
  <c r="E13" i="43"/>
  <c r="I12" i="43"/>
  <c r="E12" i="43"/>
  <c r="I10" i="43"/>
  <c r="E10" i="43"/>
  <c r="F9" i="43"/>
  <c r="F8" i="43" s="1"/>
  <c r="D9" i="43"/>
  <c r="E9" i="43" s="1"/>
  <c r="E8" i="43" s="1"/>
  <c r="C9" i="43"/>
  <c r="H8" i="43"/>
  <c r="G8" i="43"/>
  <c r="D8" i="43"/>
  <c r="C8" i="43"/>
  <c r="E42" i="42"/>
  <c r="D41" i="42"/>
  <c r="E41" i="42" s="1"/>
  <c r="E40" i="42"/>
  <c r="C40" i="42"/>
  <c r="D39" i="42"/>
  <c r="E39" i="42" s="1"/>
  <c r="E38" i="42"/>
  <c r="D38" i="42"/>
  <c r="D37" i="42"/>
  <c r="E37" i="42" s="1"/>
  <c r="E36" i="42"/>
  <c r="D36" i="42"/>
  <c r="E35" i="42"/>
  <c r="E34" i="42"/>
  <c r="E33" i="42"/>
  <c r="D33" i="42"/>
  <c r="D32" i="42"/>
  <c r="E32" i="42" s="1"/>
  <c r="C32" i="42"/>
  <c r="D31" i="42"/>
  <c r="E31" i="42" s="1"/>
  <c r="E30" i="42"/>
  <c r="E29" i="42"/>
  <c r="D29" i="42"/>
  <c r="C29" i="42"/>
  <c r="D28" i="42"/>
  <c r="E28" i="42" s="1"/>
  <c r="C28" i="42"/>
  <c r="D27" i="42"/>
  <c r="E27" i="42" s="1"/>
  <c r="C27" i="42"/>
  <c r="D26" i="42"/>
  <c r="E26" i="42" s="1"/>
  <c r="D25" i="42"/>
  <c r="E25" i="42" s="1"/>
  <c r="E24" i="42"/>
  <c r="D23" i="42"/>
  <c r="E23" i="42" s="1"/>
  <c r="E22" i="42"/>
  <c r="D22" i="42"/>
  <c r="E21" i="42"/>
  <c r="D20" i="42"/>
  <c r="E20" i="42" s="1"/>
  <c r="D19" i="42"/>
  <c r="E19" i="42" s="1"/>
  <c r="C19" i="42"/>
  <c r="E18" i="42"/>
  <c r="D18" i="42"/>
  <c r="C18" i="42"/>
  <c r="D17" i="42"/>
  <c r="E17" i="42" s="1"/>
  <c r="D16" i="42"/>
  <c r="E16" i="42" s="1"/>
  <c r="D15" i="42"/>
  <c r="E15" i="42" s="1"/>
  <c r="D14" i="42"/>
  <c r="E14" i="42" s="1"/>
  <c r="E13" i="42"/>
  <c r="E12" i="42"/>
  <c r="D12" i="42"/>
  <c r="D11" i="42"/>
  <c r="E11" i="42" s="1"/>
  <c r="C11" i="42"/>
  <c r="D10" i="42"/>
  <c r="E10" i="42" s="1"/>
  <c r="C10" i="42"/>
  <c r="E9" i="42"/>
  <c r="D9" i="42"/>
  <c r="C9" i="42"/>
  <c r="K8" i="42"/>
  <c r="J8" i="42"/>
  <c r="F8" i="42"/>
  <c r="C8" i="42"/>
  <c r="L145" i="41"/>
  <c r="K145" i="41"/>
  <c r="I145" i="41"/>
  <c r="H145" i="41"/>
  <c r="F145" i="41"/>
  <c r="E145" i="41"/>
  <c r="D145" i="41"/>
  <c r="L141" i="41"/>
  <c r="K141" i="41"/>
  <c r="I141" i="41"/>
  <c r="H141" i="41"/>
  <c r="F141" i="41"/>
  <c r="E141" i="41"/>
  <c r="D141" i="41"/>
  <c r="L137" i="41"/>
  <c r="K137" i="41"/>
  <c r="I137" i="41"/>
  <c r="H137" i="41"/>
  <c r="F137" i="41"/>
  <c r="E137" i="41"/>
  <c r="D137" i="41"/>
  <c r="L133" i="41"/>
  <c r="K133" i="41"/>
  <c r="I133" i="41"/>
  <c r="H133" i="41"/>
  <c r="E133" i="41"/>
  <c r="L129" i="41"/>
  <c r="K129" i="41"/>
  <c r="I129" i="41"/>
  <c r="H129" i="41"/>
  <c r="F129" i="41"/>
  <c r="E129" i="41"/>
  <c r="D129" i="41"/>
  <c r="L125" i="41"/>
  <c r="K125" i="41"/>
  <c r="I125" i="41"/>
  <c r="H125" i="41"/>
  <c r="F125" i="41"/>
  <c r="E125" i="41"/>
  <c r="D125" i="41"/>
  <c r="L121" i="41"/>
  <c r="K121" i="41"/>
  <c r="I121" i="41"/>
  <c r="H121" i="41"/>
  <c r="F121" i="41"/>
  <c r="E121" i="41"/>
  <c r="D121" i="41"/>
  <c r="L117" i="41"/>
  <c r="K117" i="41"/>
  <c r="I117" i="41"/>
  <c r="H117" i="41"/>
  <c r="F117" i="41"/>
  <c r="E117" i="41"/>
  <c r="D117" i="41"/>
  <c r="L113" i="41"/>
  <c r="K113" i="41"/>
  <c r="I113" i="41"/>
  <c r="H113" i="41"/>
  <c r="F113" i="41"/>
  <c r="E113" i="41"/>
  <c r="D113" i="41"/>
  <c r="L109" i="41"/>
  <c r="K109" i="41"/>
  <c r="I109" i="41"/>
  <c r="H109" i="41"/>
  <c r="E109" i="41"/>
  <c r="L105" i="41"/>
  <c r="I105" i="41"/>
  <c r="L101" i="41"/>
  <c r="K101" i="41"/>
  <c r="I101" i="41"/>
  <c r="H101" i="41"/>
  <c r="E101" i="41"/>
  <c r="L97" i="41"/>
  <c r="K97" i="41"/>
  <c r="I97" i="41"/>
  <c r="H97" i="41"/>
  <c r="F97" i="41"/>
  <c r="E97" i="41"/>
  <c r="D97" i="41"/>
  <c r="L93" i="41"/>
  <c r="K93" i="41"/>
  <c r="I93" i="41"/>
  <c r="H93" i="41"/>
  <c r="L89" i="41"/>
  <c r="K89" i="41"/>
  <c r="I89" i="41"/>
  <c r="H89" i="41"/>
  <c r="F89" i="41"/>
  <c r="E89" i="41"/>
  <c r="D89" i="41"/>
  <c r="L85" i="41"/>
  <c r="K85" i="41"/>
  <c r="I85" i="41"/>
  <c r="H85" i="41"/>
  <c r="F85" i="41"/>
  <c r="E85" i="41"/>
  <c r="D85" i="41"/>
  <c r="D8" i="41" s="1"/>
  <c r="L81" i="41"/>
  <c r="K81" i="41"/>
  <c r="I81" i="41"/>
  <c r="H81" i="41"/>
  <c r="F81" i="41"/>
  <c r="E81" i="41"/>
  <c r="D81" i="41"/>
  <c r="L72" i="41"/>
  <c r="K72" i="41"/>
  <c r="I72" i="41"/>
  <c r="H72" i="41"/>
  <c r="E72" i="41"/>
  <c r="L68" i="41"/>
  <c r="K68" i="41"/>
  <c r="I68" i="41"/>
  <c r="H68" i="41"/>
  <c r="E68" i="41"/>
  <c r="L64" i="41"/>
  <c r="I64" i="41"/>
  <c r="F64" i="41"/>
  <c r="E64" i="41"/>
  <c r="D64" i="41"/>
  <c r="L60" i="41"/>
  <c r="K60" i="41"/>
  <c r="I60" i="41"/>
  <c r="H60" i="41"/>
  <c r="E60" i="41"/>
  <c r="L56" i="41"/>
  <c r="K56" i="41"/>
  <c r="I56" i="41"/>
  <c r="H56" i="41"/>
  <c r="E56" i="41"/>
  <c r="L52" i="41"/>
  <c r="K52" i="41"/>
  <c r="I52" i="41"/>
  <c r="H52" i="41"/>
  <c r="E52" i="41"/>
  <c r="L48" i="41"/>
  <c r="K48" i="41"/>
  <c r="I48" i="41"/>
  <c r="H48" i="41"/>
  <c r="L44" i="41"/>
  <c r="K44" i="41"/>
  <c r="I44" i="41"/>
  <c r="H44" i="41"/>
  <c r="E44" i="41"/>
  <c r="L40" i="41"/>
  <c r="K40" i="41"/>
  <c r="I40" i="41"/>
  <c r="H40" i="41"/>
  <c r="K39" i="41"/>
  <c r="L36" i="41"/>
  <c r="K36" i="41"/>
  <c r="I36" i="41"/>
  <c r="H36" i="41"/>
  <c r="E36" i="41"/>
  <c r="E8" i="41" s="1"/>
  <c r="K33" i="41"/>
  <c r="K32" i="41" s="1"/>
  <c r="L32" i="41"/>
  <c r="I32" i="41"/>
  <c r="H32" i="41"/>
  <c r="E32" i="41"/>
  <c r="L28" i="41"/>
  <c r="K28" i="41"/>
  <c r="I28" i="41"/>
  <c r="H28" i="41"/>
  <c r="E28" i="41"/>
  <c r="L24" i="41"/>
  <c r="K24" i="41"/>
  <c r="I24" i="41"/>
  <c r="E24" i="41"/>
  <c r="S20" i="41"/>
  <c r="L20" i="41"/>
  <c r="K20" i="41"/>
  <c r="I20" i="41"/>
  <c r="H20" i="41"/>
  <c r="H8" i="41" s="1"/>
  <c r="E20" i="41"/>
  <c r="S19" i="41"/>
  <c r="S18" i="41"/>
  <c r="I16" i="41"/>
  <c r="I8" i="41" s="1"/>
  <c r="H16" i="41"/>
  <c r="E16" i="41"/>
  <c r="I15" i="41"/>
  <c r="F15" i="41"/>
  <c r="F11" i="41" s="1"/>
  <c r="E15" i="41"/>
  <c r="E11" i="41" s="1"/>
  <c r="S7" i="41" s="1"/>
  <c r="T14" i="41"/>
  <c r="I14" i="41"/>
  <c r="F14" i="41"/>
  <c r="E14" i="41"/>
  <c r="I13" i="41"/>
  <c r="E13" i="41"/>
  <c r="L12" i="41"/>
  <c r="L8" i="41" s="1"/>
  <c r="K12" i="41"/>
  <c r="K8" i="41" s="1"/>
  <c r="I12" i="41"/>
  <c r="H12" i="41"/>
  <c r="F12" i="41"/>
  <c r="E12" i="41"/>
  <c r="L11" i="41"/>
  <c r="K11" i="41"/>
  <c r="I11" i="41"/>
  <c r="H11" i="41"/>
  <c r="L10" i="41"/>
  <c r="K10" i="41"/>
  <c r="I10" i="41"/>
  <c r="H10" i="41"/>
  <c r="F10" i="41"/>
  <c r="E10" i="41"/>
  <c r="Q9" i="41"/>
  <c r="L9" i="41"/>
  <c r="K9" i="41"/>
  <c r="I9" i="41"/>
  <c r="H9" i="41"/>
  <c r="F9" i="41"/>
  <c r="E9" i="41"/>
  <c r="D9" i="41"/>
  <c r="J8" i="41"/>
  <c r="G8" i="41"/>
  <c r="F8" i="41"/>
  <c r="Q7" i="41"/>
  <c r="S6" i="41"/>
  <c r="Q2" i="41"/>
  <c r="L30" i="40"/>
  <c r="F28" i="40"/>
  <c r="E28" i="40"/>
  <c r="D28" i="40"/>
  <c r="S25" i="40"/>
  <c r="R25" i="40"/>
  <c r="Q25" i="40"/>
  <c r="J25" i="40"/>
  <c r="N24" i="40"/>
  <c r="E24" i="40"/>
  <c r="D24" i="40"/>
  <c r="D22" i="40" s="1"/>
  <c r="J23" i="40"/>
  <c r="L22" i="40"/>
  <c r="F22" i="40"/>
  <c r="E22" i="40"/>
  <c r="E18" i="40"/>
  <c r="D18" i="40"/>
  <c r="D16" i="40" s="1"/>
  <c r="F16" i="40"/>
  <c r="E16" i="40"/>
  <c r="R15" i="40"/>
  <c r="Q15" i="40"/>
  <c r="P15" i="40"/>
  <c r="Q13" i="40"/>
  <c r="R13" i="40" s="1"/>
  <c r="P13" i="40"/>
  <c r="O13" i="40"/>
  <c r="M13" i="40" s="1"/>
  <c r="N13" i="40"/>
  <c r="R12" i="40"/>
  <c r="M12" i="40"/>
  <c r="K12" i="40"/>
  <c r="E12" i="40"/>
  <c r="E10" i="40" s="1"/>
  <c r="D12" i="40"/>
  <c r="D10" i="40" s="1"/>
  <c r="R11" i="40"/>
  <c r="M11" i="40"/>
  <c r="R10" i="40"/>
  <c r="M10" i="40"/>
  <c r="F10" i="40"/>
  <c r="R9" i="40"/>
  <c r="M9" i="40"/>
  <c r="R8" i="40"/>
  <c r="M8" i="40"/>
  <c r="E8" i="40"/>
  <c r="E6" i="40" s="1"/>
  <c r="D8" i="40"/>
  <c r="D6" i="40" s="1"/>
  <c r="R7" i="40"/>
  <c r="M7" i="40"/>
  <c r="J7" i="40"/>
  <c r="F6" i="40"/>
  <c r="AA32" i="39"/>
  <c r="X32" i="39"/>
  <c r="Z28" i="39"/>
  <c r="Z34" i="39" s="1"/>
  <c r="W28" i="39"/>
  <c r="W34" i="39" s="1"/>
  <c r="D23" i="39"/>
  <c r="D21" i="39"/>
  <c r="Q20" i="39"/>
  <c r="G20" i="39"/>
  <c r="D20" i="39"/>
  <c r="D19" i="39"/>
  <c r="C19" i="39"/>
  <c r="O18" i="39"/>
  <c r="O21" i="39" s="1"/>
  <c r="V14" i="39"/>
  <c r="F14" i="39"/>
  <c r="D14" i="39"/>
  <c r="D12" i="39"/>
  <c r="D8" i="39" s="1"/>
  <c r="D9" i="39"/>
  <c r="C9" i="39"/>
  <c r="K8" i="39"/>
  <c r="J8" i="39"/>
  <c r="I8" i="39"/>
  <c r="H8" i="39"/>
  <c r="G8" i="39"/>
  <c r="F8" i="39"/>
  <c r="E8" i="39"/>
  <c r="C8" i="39"/>
  <c r="D21" i="38"/>
  <c r="F18" i="38"/>
  <c r="E18" i="38"/>
  <c r="D18" i="38"/>
  <c r="F15" i="38"/>
  <c r="E15" i="38"/>
  <c r="D15" i="38"/>
  <c r="F12" i="38"/>
  <c r="E12" i="38"/>
  <c r="D12" i="38"/>
  <c r="F11" i="38"/>
  <c r="E11" i="38"/>
  <c r="D11" i="38"/>
  <c r="F10" i="38"/>
  <c r="E10" i="38"/>
  <c r="E9" i="38" s="1"/>
  <c r="D10" i="38"/>
  <c r="D9" i="38" s="1"/>
  <c r="P9" i="38"/>
  <c r="O9" i="38"/>
  <c r="N9" i="38"/>
  <c r="F9" i="38"/>
  <c r="F6" i="38"/>
  <c r="E6" i="38"/>
  <c r="D6" i="38"/>
  <c r="Q18" i="48" l="1"/>
  <c r="H28" i="48"/>
  <c r="H10" i="48" s="1"/>
  <c r="AD6" i="46"/>
  <c r="R2" i="46"/>
  <c r="AG35" i="46"/>
  <c r="AE6" i="46"/>
  <c r="AG6" i="46" s="1"/>
  <c r="AG28" i="46"/>
  <c r="AG7" i="46"/>
  <c r="AC7" i="46"/>
  <c r="Y6" i="46"/>
  <c r="AD7" i="46"/>
  <c r="K8" i="46"/>
  <c r="AC8" i="46"/>
  <c r="AF8" i="46" s="1"/>
  <c r="F9" i="46"/>
  <c r="J9" i="46"/>
  <c r="S13" i="46"/>
  <c r="AE14" i="46"/>
  <c r="AG14" i="46" s="1"/>
  <c r="AC17" i="46"/>
  <c r="AF17" i="46" s="1"/>
  <c r="AE19" i="46"/>
  <c r="AG19" i="46" s="1"/>
  <c r="AC29" i="46"/>
  <c r="AF29" i="46" s="1"/>
  <c r="AC34" i="46"/>
  <c r="AF34" i="46" s="1"/>
  <c r="AE38" i="46"/>
  <c r="AG38" i="46" s="1"/>
  <c r="AE40" i="46"/>
  <c r="AG40" i="46" s="1"/>
  <c r="S9" i="46"/>
  <c r="AC26" i="46"/>
  <c r="AF26" i="46" s="1"/>
  <c r="AC28" i="46"/>
  <c r="AF28" i="46" s="1"/>
  <c r="AC35" i="46"/>
  <c r="AF35" i="46" s="1"/>
  <c r="AC41" i="46"/>
  <c r="AF41" i="46" s="1"/>
  <c r="Q2" i="46"/>
  <c r="R6" i="46"/>
  <c r="Q12" i="45"/>
  <c r="G9" i="45"/>
  <c r="Q6" i="45"/>
  <c r="Q7" i="45"/>
  <c r="F9" i="45"/>
  <c r="F8" i="45" s="1"/>
  <c r="J9" i="45"/>
  <c r="J8" i="45" s="1"/>
  <c r="G8" i="45" s="1"/>
  <c r="N9" i="45"/>
  <c r="N8" i="45" s="1"/>
  <c r="Q5" i="45" s="1"/>
  <c r="C8" i="45"/>
  <c r="Q11" i="45"/>
  <c r="C8" i="44"/>
  <c r="K8" i="44"/>
  <c r="I8" i="44" s="1"/>
  <c r="M108" i="43"/>
  <c r="L8" i="43"/>
  <c r="L108" i="43"/>
  <c r="I9" i="43"/>
  <c r="I8" i="43" s="1"/>
  <c r="M8" i="43" s="1"/>
  <c r="D53" i="43"/>
  <c r="E8" i="42"/>
  <c r="D8" i="42"/>
  <c r="Q5" i="41"/>
  <c r="S5" i="41"/>
  <c r="G9" i="46" l="1"/>
  <c r="J8" i="46"/>
  <c r="C9" i="46"/>
  <c r="F8" i="46"/>
  <c r="AF7" i="46"/>
  <c r="AC6" i="46"/>
  <c r="AF6" i="46" s="1"/>
  <c r="K8" i="45"/>
  <c r="K9" i="45"/>
  <c r="Q3" i="45"/>
  <c r="C9" i="45"/>
  <c r="R3" i="46" l="1"/>
  <c r="S11" i="46"/>
  <c r="S20" i="46"/>
  <c r="C8" i="46"/>
  <c r="Q6" i="46"/>
  <c r="S12" i="46"/>
  <c r="R20" i="46"/>
  <c r="Q5" i="46"/>
  <c r="Q3" i="46"/>
  <c r="G8" i="46"/>
  <c r="D7" i="31" l="1"/>
  <c r="K19" i="9" l="1"/>
  <c r="K18" i="9"/>
  <c r="D19" i="31" l="1"/>
  <c r="D18" i="31"/>
  <c r="D6" i="31"/>
  <c r="H101" i="34"/>
  <c r="H10" i="34" s="1"/>
  <c r="H11" i="34"/>
  <c r="Q2" i="34"/>
  <c r="G10" i="34"/>
  <c r="F10" i="34"/>
  <c r="H295" i="34"/>
  <c r="H293" i="34"/>
  <c r="H291" i="34"/>
  <c r="H285" i="34"/>
  <c r="H287" i="34"/>
  <c r="H289" i="34"/>
  <c r="H283" i="34"/>
  <c r="H281" i="34"/>
  <c r="H279" i="34"/>
  <c r="H277" i="34"/>
  <c r="H275" i="34"/>
  <c r="H273" i="34"/>
  <c r="H265" i="34"/>
  <c r="H267" i="34"/>
  <c r="H269" i="34"/>
  <c r="H263" i="34"/>
  <c r="H261" i="34"/>
  <c r="H259" i="34"/>
  <c r="H257" i="34"/>
  <c r="H255" i="34"/>
  <c r="H253" i="34"/>
  <c r="H251" i="34"/>
  <c r="H241" i="34"/>
  <c r="H239" i="34"/>
  <c r="H237" i="34"/>
  <c r="H233" i="34"/>
  <c r="H235" i="34"/>
  <c r="H231" i="34"/>
  <c r="H225" i="34"/>
  <c r="H227" i="34"/>
  <c r="H229" i="34"/>
  <c r="H217" i="34"/>
  <c r="H219" i="34"/>
  <c r="H221" i="34"/>
  <c r="H223" i="34"/>
  <c r="H213" i="34"/>
  <c r="H215" i="34"/>
  <c r="H211" i="34"/>
  <c r="H209" i="34"/>
  <c r="H207" i="34"/>
  <c r="H205" i="34"/>
  <c r="H201" i="34"/>
  <c r="H203" i="34"/>
  <c r="H199" i="34"/>
  <c r="H193" i="34"/>
  <c r="H195" i="34"/>
  <c r="H197" i="34"/>
  <c r="H191" i="34"/>
  <c r="H187" i="34"/>
  <c r="H177" i="34"/>
  <c r="H175" i="34"/>
  <c r="H171" i="34"/>
  <c r="H173" i="34"/>
  <c r="H169" i="34"/>
  <c r="H167" i="34"/>
  <c r="H163" i="34"/>
  <c r="H165" i="34"/>
  <c r="H161" i="34"/>
  <c r="H153" i="34"/>
  <c r="H155" i="34"/>
  <c r="H157" i="34"/>
  <c r="H159" i="34"/>
  <c r="H151" i="34"/>
  <c r="H149" i="34"/>
  <c r="H147" i="34"/>
  <c r="H145" i="34"/>
  <c r="H139" i="34"/>
  <c r="H141" i="34"/>
  <c r="H143" i="34"/>
  <c r="H137" i="34"/>
  <c r="H135" i="34"/>
  <c r="H129" i="34"/>
  <c r="H131" i="34"/>
  <c r="H133" i="34"/>
  <c r="H127" i="34"/>
  <c r="H125" i="34"/>
  <c r="H115" i="34"/>
  <c r="H113" i="34"/>
  <c r="H107" i="34"/>
  <c r="H109" i="34"/>
  <c r="H111" i="34"/>
  <c r="H105" i="34"/>
  <c r="H95" i="34"/>
  <c r="H97" i="34"/>
  <c r="H99" i="34"/>
  <c r="H93" i="34"/>
  <c r="H91" i="34"/>
  <c r="H89" i="34"/>
  <c r="H87" i="34"/>
  <c r="H83" i="34"/>
  <c r="H85" i="34"/>
  <c r="H81" i="34"/>
  <c r="H79" i="34"/>
  <c r="H77" i="34"/>
  <c r="H71" i="34"/>
  <c r="H73" i="34"/>
  <c r="H75" i="34"/>
  <c r="H69" i="34"/>
  <c r="H67" i="34"/>
  <c r="H57" i="34"/>
  <c r="H53" i="34"/>
  <c r="H55" i="34"/>
  <c r="H51" i="34"/>
  <c r="H49" i="34"/>
  <c r="H47" i="34"/>
  <c r="H43" i="34"/>
  <c r="H45" i="34"/>
  <c r="H35" i="34"/>
  <c r="H37" i="34"/>
  <c r="H39" i="34"/>
  <c r="H41" i="34"/>
  <c r="H33" i="34"/>
  <c r="H31" i="34"/>
  <c r="H27" i="34"/>
  <c r="H17" i="34"/>
  <c r="H19" i="34"/>
  <c r="H21" i="34"/>
  <c r="H23" i="34"/>
  <c r="H15" i="34"/>
  <c r="H13" i="34"/>
  <c r="S10" i="8" l="1"/>
  <c r="S9" i="8"/>
  <c r="S8" i="8"/>
  <c r="N6" i="3" l="1"/>
  <c r="N5" i="3"/>
  <c r="C114" i="37" l="1"/>
  <c r="C112" i="37"/>
  <c r="B112" i="37"/>
  <c r="B118" i="37"/>
  <c r="F121" i="37"/>
  <c r="M2" i="9"/>
  <c r="J18" i="23" l="1"/>
  <c r="K18" i="23"/>
  <c r="K19" i="23"/>
  <c r="C15" i="23"/>
  <c r="I20" i="23"/>
  <c r="J21" i="23" l="1"/>
  <c r="I21" i="23"/>
  <c r="L28" i="23" l="1"/>
  <c r="K121" i="37" l="1"/>
  <c r="E110" i="37" l="1"/>
  <c r="D110" i="37"/>
  <c r="D112" i="37" s="1"/>
  <c r="C8" i="26" l="1"/>
  <c r="C7" i="26" s="1"/>
  <c r="M6" i="26"/>
  <c r="C9" i="26"/>
  <c r="L6" i="26"/>
  <c r="I133" i="37"/>
  <c r="H133" i="37"/>
  <c r="F133" i="37"/>
  <c r="E133" i="37"/>
  <c r="D121" i="37"/>
  <c r="C121" i="37"/>
  <c r="C133" i="37"/>
  <c r="I135" i="37"/>
  <c r="H135" i="37"/>
  <c r="F135" i="37"/>
  <c r="E135" i="37"/>
  <c r="K133" i="37"/>
  <c r="K139" i="37" s="1"/>
  <c r="D133" i="37"/>
  <c r="G132" i="37"/>
  <c r="B132" i="37"/>
  <c r="G131" i="37"/>
  <c r="G133" i="37" s="1"/>
  <c r="B131" i="37"/>
  <c r="G130" i="37"/>
  <c r="B130" i="37"/>
  <c r="I123" i="37"/>
  <c r="H123" i="37"/>
  <c r="F123" i="37"/>
  <c r="E123" i="37"/>
  <c r="I121" i="37"/>
  <c r="H121" i="37"/>
  <c r="E121" i="37"/>
  <c r="G120" i="37"/>
  <c r="B120" i="37"/>
  <c r="G119" i="37"/>
  <c r="B119" i="37"/>
  <c r="G118" i="37"/>
  <c r="G123" i="37" s="1"/>
  <c r="B121" i="37"/>
  <c r="B123" i="37" l="1"/>
  <c r="B133" i="37"/>
  <c r="B136" i="37" s="1"/>
  <c r="B135" i="37"/>
  <c r="G135" i="37"/>
  <c r="G121" i="37"/>
  <c r="B109" i="37"/>
  <c r="H112" i="37"/>
  <c r="G112" i="37"/>
  <c r="E112" i="37"/>
  <c r="F111" i="37"/>
  <c r="B111" i="37"/>
  <c r="B124" i="37" s="1"/>
  <c r="F110" i="37"/>
  <c r="B110" i="37"/>
  <c r="C115" i="37" s="1"/>
  <c r="F109" i="37"/>
  <c r="F108" i="37"/>
  <c r="B108" i="37"/>
  <c r="F107" i="37"/>
  <c r="B107" i="37"/>
  <c r="F106" i="37"/>
  <c r="B106" i="37"/>
  <c r="F112" i="37" l="1"/>
  <c r="D23" i="31" l="1"/>
  <c r="E295" i="34"/>
  <c r="E293" i="34"/>
  <c r="E291" i="34"/>
  <c r="E285" i="34"/>
  <c r="E287" i="34"/>
  <c r="E289" i="34"/>
  <c r="E283" i="34"/>
  <c r="E281" i="34"/>
  <c r="E279" i="34"/>
  <c r="E277" i="34"/>
  <c r="E275" i="34"/>
  <c r="E265" i="34"/>
  <c r="E267" i="34"/>
  <c r="E269" i="34"/>
  <c r="E271" i="34"/>
  <c r="E273" i="34"/>
  <c r="E263" i="34"/>
  <c r="E261" i="34"/>
  <c r="E255" i="34"/>
  <c r="E257" i="34"/>
  <c r="E259" i="34"/>
  <c r="E253" i="34"/>
  <c r="E251" i="34"/>
  <c r="E241" i="34"/>
  <c r="E239" i="34"/>
  <c r="E237" i="34"/>
  <c r="E231" i="34"/>
  <c r="E233" i="34"/>
  <c r="E235" i="34"/>
  <c r="E229" i="34"/>
  <c r="E227" i="34"/>
  <c r="E225" i="34"/>
  <c r="E223" i="34"/>
  <c r="E215" i="34"/>
  <c r="E217" i="34"/>
  <c r="E219" i="34"/>
  <c r="E221" i="34"/>
  <c r="E213" i="34"/>
  <c r="E211" i="34"/>
  <c r="E209" i="34"/>
  <c r="E207" i="34"/>
  <c r="E203" i="34"/>
  <c r="E205" i="34"/>
  <c r="E201" i="34"/>
  <c r="E199" i="34"/>
  <c r="E191" i="34"/>
  <c r="E193" i="34"/>
  <c r="E195" i="34"/>
  <c r="E197" i="34"/>
  <c r="E189" i="34"/>
  <c r="E187" i="34"/>
  <c r="E177" i="34"/>
  <c r="E171" i="34"/>
  <c r="E173" i="34"/>
  <c r="E175" i="34"/>
  <c r="E169" i="34"/>
  <c r="E167" i="34"/>
  <c r="E163" i="34"/>
  <c r="E165" i="34"/>
  <c r="E161" i="34"/>
  <c r="E159" i="34"/>
  <c r="E157" i="34"/>
  <c r="E155" i="34"/>
  <c r="E153" i="34"/>
  <c r="E149" i="34"/>
  <c r="E151" i="34"/>
  <c r="E147" i="34"/>
  <c r="E145" i="34"/>
  <c r="E143" i="34"/>
  <c r="E141" i="34"/>
  <c r="E129" i="34"/>
  <c r="E131" i="34"/>
  <c r="E133" i="34"/>
  <c r="E135" i="34"/>
  <c r="E137" i="34"/>
  <c r="E139" i="34"/>
  <c r="E127" i="34"/>
  <c r="E125" i="34"/>
  <c r="E115" i="34"/>
  <c r="E111" i="34"/>
  <c r="E113" i="34"/>
  <c r="E101" i="34"/>
  <c r="E103" i="34"/>
  <c r="E105" i="34"/>
  <c r="E107" i="34"/>
  <c r="E109" i="34"/>
  <c r="E93" i="34"/>
  <c r="E95" i="34"/>
  <c r="E97" i="34"/>
  <c r="E99" i="34"/>
  <c r="E91" i="34"/>
  <c r="E89" i="34"/>
  <c r="E87" i="34"/>
  <c r="E85" i="34"/>
  <c r="E81" i="34"/>
  <c r="E83" i="34"/>
  <c r="E79" i="34"/>
  <c r="E77" i="34"/>
  <c r="E71" i="34"/>
  <c r="E73" i="34"/>
  <c r="E75" i="34"/>
  <c r="E69" i="34"/>
  <c r="E67" i="34"/>
  <c r="E57" i="34"/>
  <c r="E51" i="34"/>
  <c r="E53" i="34"/>
  <c r="E49" i="34"/>
  <c r="E47" i="34"/>
  <c r="E45" i="34"/>
  <c r="E43" i="34"/>
  <c r="E35" i="34"/>
  <c r="E37" i="34"/>
  <c r="E39" i="34"/>
  <c r="E27" i="34"/>
  <c r="E29" i="34"/>
  <c r="E31" i="34"/>
  <c r="E33" i="34"/>
  <c r="E13" i="34"/>
  <c r="E15" i="34"/>
  <c r="E19" i="34"/>
  <c r="E23" i="34"/>
  <c r="E11" i="34"/>
  <c r="D55" i="34" l="1"/>
  <c r="E55" i="34" s="1"/>
  <c r="D25" i="34"/>
  <c r="E25" i="34" s="1"/>
  <c r="C21" i="34"/>
  <c r="E21" i="34" s="1"/>
  <c r="C17" i="34"/>
  <c r="C10" i="34" s="1"/>
  <c r="D17" i="34"/>
  <c r="E23" i="31"/>
  <c r="E22" i="31" s="1"/>
  <c r="D15" i="31"/>
  <c r="D11" i="31"/>
  <c r="L10" i="34"/>
  <c r="I10" i="34"/>
  <c r="K149" i="34"/>
  <c r="K295" i="34"/>
  <c r="K293" i="34"/>
  <c r="K285" i="34"/>
  <c r="K287" i="34"/>
  <c r="K289" i="34"/>
  <c r="K291" i="34"/>
  <c r="K283" i="34"/>
  <c r="K275" i="34"/>
  <c r="K277" i="34"/>
  <c r="K279" i="34"/>
  <c r="K281" i="34"/>
  <c r="K273" i="34"/>
  <c r="K265" i="34"/>
  <c r="K267" i="34"/>
  <c r="K269" i="34"/>
  <c r="K271" i="34"/>
  <c r="K263" i="34"/>
  <c r="K261" i="34"/>
  <c r="K259" i="34"/>
  <c r="K257" i="34"/>
  <c r="K255" i="34"/>
  <c r="K253" i="34"/>
  <c r="K251" i="34"/>
  <c r="K241" i="34"/>
  <c r="K237" i="34"/>
  <c r="K239" i="34"/>
  <c r="K235" i="34"/>
  <c r="K233" i="34"/>
  <c r="K229" i="34"/>
  <c r="K231" i="34"/>
  <c r="K217" i="34"/>
  <c r="K219" i="34"/>
  <c r="K221" i="34"/>
  <c r="K223" i="34"/>
  <c r="K225" i="34"/>
  <c r="K227" i="34"/>
  <c r="K207" i="34"/>
  <c r="K209" i="34"/>
  <c r="K211" i="34"/>
  <c r="K213" i="34"/>
  <c r="K215" i="34"/>
  <c r="K205" i="34"/>
  <c r="K203" i="34"/>
  <c r="K199" i="34"/>
  <c r="K201" i="34"/>
  <c r="K197" i="34"/>
  <c r="K191" i="34"/>
  <c r="K193" i="34"/>
  <c r="K195" i="34"/>
  <c r="K189" i="34"/>
  <c r="K187" i="34"/>
  <c r="K177" i="34"/>
  <c r="K175" i="34"/>
  <c r="K171" i="34"/>
  <c r="K173" i="34"/>
  <c r="K167" i="34"/>
  <c r="K163" i="34"/>
  <c r="K165" i="34"/>
  <c r="K161" i="34"/>
  <c r="K159" i="34"/>
  <c r="K151" i="34"/>
  <c r="K153" i="34"/>
  <c r="K155" i="34"/>
  <c r="K157" i="34"/>
  <c r="K147" i="34"/>
  <c r="K145" i="34"/>
  <c r="K143" i="34"/>
  <c r="K139" i="34"/>
  <c r="K141" i="34"/>
  <c r="K137" i="34"/>
  <c r="K129" i="34"/>
  <c r="K131" i="34"/>
  <c r="K133" i="34"/>
  <c r="K135" i="34"/>
  <c r="K127" i="34"/>
  <c r="K125" i="34"/>
  <c r="K115" i="34"/>
  <c r="K111" i="34"/>
  <c r="K113" i="34"/>
  <c r="K105" i="34"/>
  <c r="K107" i="34"/>
  <c r="K109" i="34"/>
  <c r="K103" i="34"/>
  <c r="K101" i="34"/>
  <c r="K97" i="34"/>
  <c r="K99" i="34"/>
  <c r="K95" i="34"/>
  <c r="K93" i="34"/>
  <c r="K91" i="34"/>
  <c r="K89" i="34"/>
  <c r="K87" i="34"/>
  <c r="K85" i="34"/>
  <c r="K83" i="34"/>
  <c r="K81" i="34"/>
  <c r="K79" i="34"/>
  <c r="K77" i="34"/>
  <c r="K75" i="34"/>
  <c r="K73" i="34"/>
  <c r="K71" i="34"/>
  <c r="K69" i="34"/>
  <c r="K67" i="34"/>
  <c r="K57" i="34"/>
  <c r="K55" i="34"/>
  <c r="K53" i="34"/>
  <c r="K51" i="34"/>
  <c r="K49" i="34"/>
  <c r="K47" i="34"/>
  <c r="K45" i="34"/>
  <c r="K43" i="34"/>
  <c r="K39" i="34"/>
  <c r="K37" i="34"/>
  <c r="K35" i="34"/>
  <c r="K25" i="34"/>
  <c r="K27" i="34"/>
  <c r="K29" i="34"/>
  <c r="K31" i="34"/>
  <c r="K33" i="34"/>
  <c r="K13" i="34"/>
  <c r="K15" i="34"/>
  <c r="K17" i="34"/>
  <c r="K19" i="34"/>
  <c r="K21" i="34"/>
  <c r="K23" i="34"/>
  <c r="K11" i="34"/>
  <c r="N295" i="34"/>
  <c r="N293" i="34"/>
  <c r="N291" i="34"/>
  <c r="N281" i="34"/>
  <c r="N283" i="34"/>
  <c r="N285" i="34"/>
  <c r="N287" i="34"/>
  <c r="N289" i="34"/>
  <c r="N279" i="34"/>
  <c r="N277" i="34"/>
  <c r="N275" i="34"/>
  <c r="N265" i="34"/>
  <c r="N267" i="34"/>
  <c r="N269" i="34"/>
  <c r="N271" i="34"/>
  <c r="N273" i="34"/>
  <c r="N263" i="34"/>
  <c r="N261" i="34"/>
  <c r="N259" i="34"/>
  <c r="N257" i="34"/>
  <c r="N255" i="34"/>
  <c r="N253" i="34"/>
  <c r="N251" i="34"/>
  <c r="N241" i="34"/>
  <c r="N237" i="34"/>
  <c r="N239" i="34"/>
  <c r="N235" i="34"/>
  <c r="N233" i="34"/>
  <c r="N231" i="34"/>
  <c r="N221" i="34"/>
  <c r="N223" i="34"/>
  <c r="N225" i="34"/>
  <c r="N227" i="34"/>
  <c r="N229" i="34"/>
  <c r="N209" i="34"/>
  <c r="N211" i="34"/>
  <c r="N213" i="34"/>
  <c r="N215" i="34"/>
  <c r="N217" i="34"/>
  <c r="N219" i="34"/>
  <c r="N207" i="34"/>
  <c r="N199" i="34"/>
  <c r="N201" i="34"/>
  <c r="N203" i="34"/>
  <c r="N205" i="34"/>
  <c r="N197" i="34"/>
  <c r="N191" i="34"/>
  <c r="N193" i="34"/>
  <c r="N195" i="34"/>
  <c r="N189" i="34"/>
  <c r="N187" i="34"/>
  <c r="N177" i="34"/>
  <c r="N175" i="34"/>
  <c r="N173" i="34"/>
  <c r="N171" i="34"/>
  <c r="N163" i="34"/>
  <c r="N165" i="34"/>
  <c r="N161" i="34"/>
  <c r="N153" i="34"/>
  <c r="N155" i="34"/>
  <c r="N157" i="34"/>
  <c r="N159" i="34"/>
  <c r="N151" i="34"/>
  <c r="N149" i="34"/>
  <c r="N147" i="34"/>
  <c r="N145" i="34"/>
  <c r="N139" i="34"/>
  <c r="N141" i="34"/>
  <c r="N143" i="34"/>
  <c r="N137" i="34"/>
  <c r="N129" i="34"/>
  <c r="N131" i="34"/>
  <c r="N133" i="34"/>
  <c r="N135" i="34"/>
  <c r="N127" i="34"/>
  <c r="N125" i="34"/>
  <c r="N115" i="34"/>
  <c r="N105" i="34"/>
  <c r="N107" i="34"/>
  <c r="N109" i="34"/>
  <c r="N111" i="34"/>
  <c r="N113" i="34"/>
  <c r="N103" i="34"/>
  <c r="N101" i="34"/>
  <c r="N99" i="34"/>
  <c r="N97" i="34"/>
  <c r="N95" i="34"/>
  <c r="N93" i="34"/>
  <c r="N91" i="34"/>
  <c r="N89" i="34"/>
  <c r="N87" i="34"/>
  <c r="N85" i="34"/>
  <c r="N83" i="34"/>
  <c r="N81" i="34"/>
  <c r="N79" i="34"/>
  <c r="N77" i="34"/>
  <c r="N75" i="34"/>
  <c r="N73" i="34"/>
  <c r="N71" i="34"/>
  <c r="N69" i="34"/>
  <c r="N67" i="34"/>
  <c r="N57" i="34"/>
  <c r="N53" i="34"/>
  <c r="N55" i="34"/>
  <c r="N51" i="34"/>
  <c r="N49" i="34"/>
  <c r="N47" i="34"/>
  <c r="N45" i="34"/>
  <c r="N43" i="34"/>
  <c r="N21" i="34"/>
  <c r="N23" i="34"/>
  <c r="N25" i="34"/>
  <c r="N27" i="34"/>
  <c r="N29" i="34"/>
  <c r="N31" i="34"/>
  <c r="N33" i="34"/>
  <c r="N35" i="34"/>
  <c r="N37" i="34"/>
  <c r="N39" i="34"/>
  <c r="N19" i="34"/>
  <c r="N17" i="34"/>
  <c r="N15" i="34"/>
  <c r="N13" i="34"/>
  <c r="N11" i="34"/>
  <c r="E11" i="31"/>
  <c r="E10" i="31"/>
  <c r="F6" i="31"/>
  <c r="E7" i="31"/>
  <c r="E6" i="31" s="1"/>
  <c r="E17" i="34" l="1"/>
  <c r="E10" i="34" s="1"/>
  <c r="D10" i="34"/>
  <c r="J169" i="34"/>
  <c r="M169" i="34"/>
  <c r="M10" i="34" l="1"/>
  <c r="N169" i="34"/>
  <c r="J10" i="34"/>
  <c r="K169" i="34"/>
  <c r="K10" i="34" s="1"/>
  <c r="C38" i="23"/>
  <c r="D38" i="23"/>
  <c r="F23" i="31" l="1"/>
  <c r="F22" i="31"/>
  <c r="F19" i="31"/>
  <c r="F18" i="31" s="1"/>
  <c r="E19" i="31"/>
  <c r="E18" i="31" s="1"/>
  <c r="E15" i="31"/>
  <c r="F14" i="31"/>
  <c r="E14" i="31"/>
  <c r="F10" i="31"/>
  <c r="E6" i="24" l="1"/>
  <c r="F6" i="24"/>
  <c r="E10" i="24"/>
  <c r="F10" i="24"/>
  <c r="E13" i="24"/>
  <c r="F13" i="24"/>
  <c r="E16" i="24"/>
  <c r="F16" i="24"/>
  <c r="E19" i="24"/>
  <c r="F19" i="24"/>
  <c r="D29" i="23" l="1"/>
  <c r="E29" i="23"/>
  <c r="E38" i="23"/>
  <c r="D7" i="23"/>
  <c r="E7" i="23"/>
  <c r="D11" i="23"/>
  <c r="E11" i="23"/>
  <c r="D16" i="23"/>
  <c r="E16" i="23"/>
  <c r="D20" i="23"/>
  <c r="D21" i="23"/>
  <c r="E21" i="23"/>
  <c r="D6" i="23" l="1"/>
  <c r="E6" i="23"/>
  <c r="D15" i="23"/>
  <c r="E15" i="23"/>
  <c r="O3" i="2" l="1"/>
  <c r="D24" i="2"/>
  <c r="D10" i="2"/>
  <c r="C12" i="2"/>
  <c r="C10" i="2"/>
  <c r="C24" i="2"/>
  <c r="C22" i="2"/>
  <c r="C13" i="2"/>
  <c r="E47" i="2"/>
  <c r="E46" i="2"/>
  <c r="E44" i="2"/>
  <c r="E33" i="2"/>
  <c r="E34" i="2"/>
  <c r="E35" i="2"/>
  <c r="E36" i="2"/>
  <c r="E37" i="2"/>
  <c r="E38" i="2"/>
  <c r="E39" i="2"/>
  <c r="E40" i="2"/>
  <c r="E41" i="2"/>
  <c r="E43" i="2"/>
  <c r="E32" i="2"/>
  <c r="E15" i="2"/>
  <c r="E16" i="2"/>
  <c r="E18" i="2"/>
  <c r="E19" i="2"/>
  <c r="E20" i="2"/>
  <c r="E21" i="2"/>
  <c r="E23" i="2"/>
  <c r="E10" i="2"/>
  <c r="U35" i="2"/>
  <c r="V35" i="2"/>
  <c r="D22" i="2"/>
  <c r="E22" i="2" s="1"/>
  <c r="D11" i="2"/>
  <c r="C11" i="2"/>
  <c r="D13" i="2"/>
  <c r="E13" i="2" s="1"/>
  <c r="D12" i="2"/>
  <c r="E12" i="2" s="1"/>
  <c r="C31" i="2"/>
  <c r="D31" i="2"/>
  <c r="E31" i="2" s="1"/>
  <c r="C14" i="2"/>
  <c r="D14" i="2"/>
  <c r="C42" i="2"/>
  <c r="D42" i="2"/>
  <c r="E42" i="2" s="1"/>
  <c r="E11" i="2" l="1"/>
  <c r="E14" i="2"/>
  <c r="C9" i="2"/>
  <c r="R7" i="2" s="1"/>
  <c r="E24" i="2"/>
  <c r="C17" i="2"/>
  <c r="D17" i="2"/>
  <c r="E17" i="2" s="1"/>
  <c r="E9" i="2" l="1"/>
  <c r="D9" i="2"/>
  <c r="S7" i="2" s="1"/>
  <c r="E40" i="7"/>
  <c r="E43" i="7"/>
  <c r="E46" i="7"/>
  <c r="E50" i="7"/>
  <c r="E36" i="7"/>
  <c r="E37" i="7"/>
  <c r="E38" i="7"/>
  <c r="E39" i="7"/>
  <c r="E41" i="7"/>
  <c r="E42" i="7"/>
  <c r="E44" i="7"/>
  <c r="E45" i="7"/>
  <c r="E47" i="7"/>
  <c r="E48" i="7"/>
  <c r="E49" i="7"/>
  <c r="E35" i="7"/>
  <c r="E34" i="7"/>
  <c r="E2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9" i="7"/>
  <c r="D8" i="7"/>
  <c r="C8" i="7"/>
  <c r="Q7" i="7" s="1"/>
  <c r="E8" i="7" l="1"/>
  <c r="H34" i="7" l="1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F8" i="7"/>
  <c r="G8" i="7"/>
  <c r="I8" i="7"/>
  <c r="J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E7" i="26"/>
  <c r="D8" i="26"/>
  <c r="D7" i="26" s="1"/>
  <c r="C19" i="26"/>
  <c r="C18" i="26"/>
  <c r="C17" i="26" s="1"/>
  <c r="D17" i="26"/>
  <c r="E18" i="26"/>
  <c r="E19" i="26"/>
  <c r="H8" i="7" l="1"/>
  <c r="E17" i="26"/>
  <c r="K8" i="7"/>
  <c r="F13" i="8"/>
  <c r="N3" i="8"/>
  <c r="F10" i="8"/>
  <c r="I10" i="8"/>
  <c r="J10" i="8"/>
  <c r="D18" i="8"/>
  <c r="E18" i="8" s="1"/>
  <c r="D13" i="8"/>
  <c r="E13" i="8" s="1"/>
  <c r="D24" i="8"/>
  <c r="O43" i="8"/>
  <c r="O42" i="8"/>
  <c r="O41" i="8"/>
  <c r="Q5" i="8"/>
  <c r="E159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42" i="8"/>
  <c r="E141" i="8"/>
  <c r="E139" i="8"/>
  <c r="E140" i="8"/>
  <c r="E138" i="8"/>
  <c r="E137" i="8"/>
  <c r="E136" i="8"/>
  <c r="E128" i="8"/>
  <c r="E127" i="8"/>
  <c r="E124" i="8"/>
  <c r="E125" i="8"/>
  <c r="E126" i="8"/>
  <c r="E122" i="8"/>
  <c r="E121" i="8"/>
  <c r="E120" i="8"/>
  <c r="E119" i="8"/>
  <c r="E118" i="8"/>
  <c r="E117" i="8"/>
  <c r="E116" i="8"/>
  <c r="E111" i="8"/>
  <c r="E112" i="8"/>
  <c r="E113" i="8"/>
  <c r="E114" i="8"/>
  <c r="E115" i="8"/>
  <c r="E110" i="8"/>
  <c r="E109" i="8"/>
  <c r="E102" i="8"/>
  <c r="E103" i="8"/>
  <c r="E104" i="8"/>
  <c r="E105" i="8"/>
  <c r="E106" i="8"/>
  <c r="E107" i="8"/>
  <c r="E108" i="8"/>
  <c r="E101" i="8"/>
  <c r="E93" i="8"/>
  <c r="E92" i="8"/>
  <c r="E85" i="8"/>
  <c r="E86" i="8"/>
  <c r="E87" i="8"/>
  <c r="E88" i="8"/>
  <c r="E89" i="8"/>
  <c r="E91" i="8"/>
  <c r="E84" i="8"/>
  <c r="E83" i="8"/>
  <c r="E78" i="8"/>
  <c r="E79" i="8"/>
  <c r="E80" i="8"/>
  <c r="E81" i="8"/>
  <c r="Q81" i="8"/>
  <c r="E82" i="8"/>
  <c r="E77" i="8"/>
  <c r="E76" i="8"/>
  <c r="E75" i="8"/>
  <c r="E74" i="8"/>
  <c r="E73" i="8"/>
  <c r="E72" i="8"/>
  <c r="E64" i="8"/>
  <c r="E60" i="8"/>
  <c r="E61" i="8"/>
  <c r="E62" i="8"/>
  <c r="E63" i="8"/>
  <c r="E59" i="8"/>
  <c r="E58" i="8"/>
  <c r="E56" i="8"/>
  <c r="E55" i="8"/>
  <c r="E54" i="8"/>
  <c r="E51" i="8"/>
  <c r="E52" i="8"/>
  <c r="E53" i="8"/>
  <c r="E50" i="8"/>
  <c r="E49" i="8"/>
  <c r="E47" i="8"/>
  <c r="E48" i="8"/>
  <c r="E37" i="8"/>
  <c r="E32" i="8"/>
  <c r="E35" i="8"/>
  <c r="E36" i="8"/>
  <c r="E31" i="8"/>
  <c r="E30" i="8"/>
  <c r="E29" i="8"/>
  <c r="E19" i="8"/>
  <c r="E20" i="8"/>
  <c r="E21" i="8"/>
  <c r="E22" i="8"/>
  <c r="E23" i="8"/>
  <c r="E26" i="8"/>
  <c r="E27" i="8"/>
  <c r="E28" i="8"/>
  <c r="E17" i="8"/>
  <c r="E11" i="8"/>
  <c r="E12" i="8"/>
  <c r="E15" i="8"/>
  <c r="E16" i="8"/>
  <c r="E10" i="8"/>
  <c r="Q3" i="8"/>
  <c r="Q2" i="8"/>
  <c r="R2" i="8" s="1"/>
  <c r="O30" i="8"/>
  <c r="C90" i="8"/>
  <c r="D90" i="8"/>
  <c r="C57" i="8"/>
  <c r="D57" i="8"/>
  <c r="D25" i="8"/>
  <c r="E25" i="8" s="1"/>
  <c r="D46" i="8"/>
  <c r="C46" i="8"/>
  <c r="D45" i="8"/>
  <c r="E45" i="8" s="1"/>
  <c r="C24" i="8"/>
  <c r="D34" i="8"/>
  <c r="E34" i="8" s="1"/>
  <c r="D14" i="8"/>
  <c r="E14" i="8" s="1"/>
  <c r="C33" i="8"/>
  <c r="D33" i="8"/>
  <c r="E33" i="8" s="1"/>
  <c r="H51" i="8"/>
  <c r="H159" i="8"/>
  <c r="H158" i="8"/>
  <c r="H157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36" i="8"/>
  <c r="H128" i="8"/>
  <c r="H92" i="8"/>
  <c r="H74" i="8"/>
  <c r="H75" i="8"/>
  <c r="H76" i="8"/>
  <c r="H77" i="8"/>
  <c r="H78" i="8"/>
  <c r="H79" i="8"/>
  <c r="H80" i="8"/>
  <c r="H81" i="8"/>
  <c r="T81" i="8"/>
  <c r="H82" i="8"/>
  <c r="H83" i="8"/>
  <c r="H84" i="8"/>
  <c r="H85" i="8"/>
  <c r="H86" i="8"/>
  <c r="H87" i="8"/>
  <c r="H88" i="8"/>
  <c r="H89" i="8"/>
  <c r="H90" i="8"/>
  <c r="H91" i="8"/>
  <c r="H73" i="8"/>
  <c r="H72" i="8"/>
  <c r="H64" i="8"/>
  <c r="H47" i="8"/>
  <c r="H48" i="8"/>
  <c r="H49" i="8"/>
  <c r="H50" i="8"/>
  <c r="H52" i="8"/>
  <c r="H53" i="8"/>
  <c r="H54" i="8"/>
  <c r="H55" i="8"/>
  <c r="H56" i="8"/>
  <c r="H58" i="8"/>
  <c r="H59" i="8"/>
  <c r="H60" i="8"/>
  <c r="H61" i="8"/>
  <c r="H62" i="8"/>
  <c r="H63" i="8"/>
  <c r="H37" i="8"/>
  <c r="H11" i="8"/>
  <c r="H15" i="8"/>
  <c r="H16" i="8"/>
  <c r="H17" i="8"/>
  <c r="H19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K159" i="8"/>
  <c r="K157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36" i="8"/>
  <c r="K128" i="8"/>
  <c r="K127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01" i="8"/>
  <c r="K93" i="8"/>
  <c r="K92" i="8"/>
  <c r="K74" i="8"/>
  <c r="K75" i="8"/>
  <c r="K76" i="8"/>
  <c r="K77" i="8"/>
  <c r="K78" i="8"/>
  <c r="K79" i="8"/>
  <c r="K80" i="8"/>
  <c r="K81" i="8"/>
  <c r="W81" i="8"/>
  <c r="K82" i="8"/>
  <c r="K83" i="8"/>
  <c r="K84" i="8"/>
  <c r="K85" i="8"/>
  <c r="K86" i="8"/>
  <c r="K87" i="8"/>
  <c r="K88" i="8"/>
  <c r="K89" i="8"/>
  <c r="K90" i="8"/>
  <c r="K91" i="8"/>
  <c r="K73" i="8"/>
  <c r="K72" i="8"/>
  <c r="K64" i="8"/>
  <c r="K47" i="8"/>
  <c r="K48" i="8"/>
  <c r="K49" i="8"/>
  <c r="K50" i="8"/>
  <c r="K51" i="8"/>
  <c r="K52" i="8"/>
  <c r="K53" i="8"/>
  <c r="K54" i="8"/>
  <c r="K55" i="8"/>
  <c r="K56" i="8"/>
  <c r="K58" i="8"/>
  <c r="K59" i="8"/>
  <c r="K60" i="8"/>
  <c r="K61" i="8"/>
  <c r="K62" i="8"/>
  <c r="K63" i="8"/>
  <c r="K37" i="8"/>
  <c r="K11" i="8"/>
  <c r="K12" i="8"/>
  <c r="K15" i="8"/>
  <c r="K16" i="8"/>
  <c r="K17" i="8"/>
  <c r="K19" i="8"/>
  <c r="K20" i="8"/>
  <c r="K21" i="8"/>
  <c r="K22" i="8"/>
  <c r="K23" i="8"/>
  <c r="K26" i="8"/>
  <c r="K27" i="8"/>
  <c r="K28" i="8"/>
  <c r="K29" i="8"/>
  <c r="K30" i="8"/>
  <c r="K31" i="8"/>
  <c r="K35" i="8"/>
  <c r="K36" i="8"/>
  <c r="O1" i="8"/>
  <c r="I158" i="8"/>
  <c r="K158" i="8" s="1"/>
  <c r="I13" i="8"/>
  <c r="J13" i="8"/>
  <c r="I57" i="8"/>
  <c r="J57" i="8"/>
  <c r="K57" i="8" s="1"/>
  <c r="I25" i="8"/>
  <c r="J25" i="8"/>
  <c r="I46" i="8"/>
  <c r="J46" i="8"/>
  <c r="K46" i="8" s="1"/>
  <c r="I45" i="8"/>
  <c r="J45" i="8"/>
  <c r="I24" i="8"/>
  <c r="J24" i="8"/>
  <c r="K24" i="8" s="1"/>
  <c r="I34" i="8"/>
  <c r="J34" i="8"/>
  <c r="I14" i="8"/>
  <c r="J14" i="8"/>
  <c r="K14" i="8" s="1"/>
  <c r="I33" i="8"/>
  <c r="J33" i="8"/>
  <c r="I18" i="8"/>
  <c r="J18" i="8"/>
  <c r="K18" i="8" s="1"/>
  <c r="I32" i="8"/>
  <c r="J32" i="8"/>
  <c r="G13" i="8"/>
  <c r="H13" i="8" s="1"/>
  <c r="H119" i="8"/>
  <c r="F57" i="8"/>
  <c r="G57" i="8"/>
  <c r="F25" i="8"/>
  <c r="G25" i="8"/>
  <c r="H25" i="8" s="1"/>
  <c r="F46" i="8"/>
  <c r="G46" i="8"/>
  <c r="F45" i="8"/>
  <c r="G45" i="8"/>
  <c r="H45" i="8" s="1"/>
  <c r="F24" i="8"/>
  <c r="G24" i="8"/>
  <c r="G34" i="8"/>
  <c r="H34" i="8" s="1"/>
  <c r="F14" i="8"/>
  <c r="G14" i="8"/>
  <c r="F33" i="8"/>
  <c r="G33" i="8"/>
  <c r="F18" i="8"/>
  <c r="G18" i="8"/>
  <c r="G10" i="8"/>
  <c r="H33" i="8" l="1"/>
  <c r="K10" i="8"/>
  <c r="H18" i="8"/>
  <c r="H14" i="8"/>
  <c r="H24" i="8"/>
  <c r="H57" i="8"/>
  <c r="K32" i="8"/>
  <c r="K33" i="8"/>
  <c r="K45" i="8"/>
  <c r="K25" i="8"/>
  <c r="I9" i="8"/>
  <c r="E46" i="8"/>
  <c r="E90" i="8"/>
  <c r="Q4" i="8"/>
  <c r="F9" i="8"/>
  <c r="N12" i="8" s="1"/>
  <c r="G9" i="8"/>
  <c r="N11" i="8" s="1"/>
  <c r="H46" i="8"/>
  <c r="K34" i="8"/>
  <c r="E57" i="8"/>
  <c r="C9" i="8"/>
  <c r="K13" i="8"/>
  <c r="K9" i="8" s="1"/>
  <c r="N4" i="8" s="1"/>
  <c r="H10" i="8"/>
  <c r="E24" i="8"/>
  <c r="D9" i="8"/>
  <c r="R3" i="8" s="1"/>
  <c r="J9" i="8"/>
  <c r="E47" i="6"/>
  <c r="E44" i="6"/>
  <c r="E34" i="6"/>
  <c r="E35" i="6"/>
  <c r="E36" i="6"/>
  <c r="E37" i="6"/>
  <c r="E38" i="6"/>
  <c r="E39" i="6"/>
  <c r="E40" i="6"/>
  <c r="E41" i="6"/>
  <c r="E43" i="6"/>
  <c r="E33" i="6"/>
  <c r="E32" i="6"/>
  <c r="E31" i="6"/>
  <c r="E13" i="6"/>
  <c r="E14" i="6"/>
  <c r="E15" i="6"/>
  <c r="E17" i="6"/>
  <c r="E18" i="6"/>
  <c r="E19" i="6"/>
  <c r="E20" i="6"/>
  <c r="E21" i="6"/>
  <c r="E10" i="6"/>
  <c r="D24" i="6"/>
  <c r="E24" i="6" s="1"/>
  <c r="C24" i="6"/>
  <c r="D16" i="6"/>
  <c r="E16" i="6" s="1"/>
  <c r="C22" i="6"/>
  <c r="D22" i="6"/>
  <c r="E22" i="6" s="1"/>
  <c r="C11" i="6"/>
  <c r="C9" i="6" s="1"/>
  <c r="D11" i="6"/>
  <c r="E11" i="6" s="1"/>
  <c r="C46" i="6"/>
  <c r="D46" i="6"/>
  <c r="E46" i="6" s="1"/>
  <c r="C12" i="6"/>
  <c r="D12" i="6"/>
  <c r="E12" i="6" s="1"/>
  <c r="C23" i="6"/>
  <c r="D23" i="6"/>
  <c r="E23" i="6" s="1"/>
  <c r="D13" i="6"/>
  <c r="H32" i="6"/>
  <c r="D42" i="6"/>
  <c r="C42" i="6"/>
  <c r="E42" i="6" s="1"/>
  <c r="D9" i="6" l="1"/>
  <c r="D14" i="31"/>
  <c r="G7" i="11"/>
  <c r="F8" i="11"/>
  <c r="F7" i="11" s="1"/>
  <c r="F9" i="11"/>
  <c r="G10" i="11"/>
  <c r="F11" i="11"/>
  <c r="F12" i="11"/>
  <c r="G13" i="11"/>
  <c r="F14" i="11"/>
  <c r="F15" i="11"/>
  <c r="G16" i="11"/>
  <c r="F17" i="11"/>
  <c r="F16" i="11" s="1"/>
  <c r="F18" i="11"/>
  <c r="F13" i="11" l="1"/>
  <c r="F10" i="11"/>
  <c r="D11" i="4"/>
  <c r="C11" i="4"/>
  <c r="C13" i="4"/>
  <c r="E10" i="4"/>
  <c r="D23" i="4"/>
  <c r="E23" i="4" s="1"/>
  <c r="D43" i="4"/>
  <c r="D16" i="4"/>
  <c r="D18" i="4"/>
  <c r="E18" i="4" s="1"/>
  <c r="D13" i="4"/>
  <c r="D9" i="4" s="1"/>
  <c r="P5" i="4" s="1"/>
  <c r="E47" i="4"/>
  <c r="E34" i="4"/>
  <c r="E35" i="4"/>
  <c r="E36" i="4"/>
  <c r="E37" i="4"/>
  <c r="E38" i="4"/>
  <c r="E39" i="4"/>
  <c r="E42" i="4"/>
  <c r="E43" i="4"/>
  <c r="E44" i="4"/>
  <c r="E45" i="4"/>
  <c r="E33" i="4"/>
  <c r="E32" i="4"/>
  <c r="E12" i="4"/>
  <c r="E14" i="4"/>
  <c r="E15" i="4"/>
  <c r="E16" i="4"/>
  <c r="E19" i="4"/>
  <c r="E20" i="4"/>
  <c r="E21" i="4"/>
  <c r="E22" i="4"/>
  <c r="E24" i="4"/>
  <c r="C25" i="4"/>
  <c r="D25" i="4"/>
  <c r="E25" i="4" s="1"/>
  <c r="C41" i="4"/>
  <c r="D41" i="4"/>
  <c r="E41" i="4" s="1"/>
  <c r="C40" i="4"/>
  <c r="D40" i="4"/>
  <c r="E40" i="4" s="1"/>
  <c r="C46" i="4"/>
  <c r="D46" i="4"/>
  <c r="E46" i="4" s="1"/>
  <c r="C17" i="4"/>
  <c r="D17" i="4"/>
  <c r="E17" i="4" s="1"/>
  <c r="C9" i="4" l="1"/>
  <c r="O5" i="4" s="1"/>
  <c r="E11" i="4"/>
  <c r="E13" i="4"/>
  <c r="G31" i="2" l="1"/>
  <c r="D6" i="9"/>
  <c r="E6" i="9"/>
  <c r="D9" i="9"/>
  <c r="E9" i="9"/>
  <c r="D13" i="9"/>
  <c r="E13" i="9"/>
  <c r="D14" i="9"/>
  <c r="E14" i="9"/>
  <c r="D15" i="9"/>
  <c r="E15" i="9"/>
  <c r="D18" i="9"/>
  <c r="E18" i="9"/>
  <c r="D22" i="9"/>
  <c r="E22" i="9"/>
  <c r="D23" i="9"/>
  <c r="E23" i="9"/>
  <c r="D24" i="9"/>
  <c r="E24" i="9"/>
  <c r="D27" i="9"/>
  <c r="E27" i="9"/>
  <c r="E52" i="1"/>
  <c r="E50" i="1"/>
  <c r="E51" i="1"/>
  <c r="E49" i="1"/>
  <c r="E48" i="1"/>
  <c r="E45" i="1"/>
  <c r="E46" i="1"/>
  <c r="E47" i="1"/>
  <c r="E44" i="1"/>
  <c r="E43" i="1"/>
  <c r="E42" i="1"/>
  <c r="E37" i="1"/>
  <c r="E38" i="1"/>
  <c r="E39" i="1"/>
  <c r="E40" i="1"/>
  <c r="E41" i="1"/>
  <c r="E36" i="1"/>
  <c r="E29" i="1"/>
  <c r="E2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C9" i="1"/>
  <c r="E47" i="30"/>
  <c r="E46" i="30"/>
  <c r="E45" i="30"/>
  <c r="E43" i="30"/>
  <c r="E44" i="30"/>
  <c r="E42" i="30"/>
  <c r="E41" i="30"/>
  <c r="E40" i="30"/>
  <c r="E39" i="30"/>
  <c r="E38" i="30"/>
  <c r="E37" i="30"/>
  <c r="E36" i="30"/>
  <c r="E35" i="30"/>
  <c r="E33" i="30"/>
  <c r="E34" i="30"/>
  <c r="E32" i="30"/>
  <c r="E31" i="30"/>
  <c r="E25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9" i="30"/>
  <c r="D9" i="3"/>
  <c r="C9" i="3"/>
  <c r="D9" i="1"/>
  <c r="E44" i="5"/>
  <c r="D9" i="5"/>
  <c r="C9" i="5"/>
  <c r="D8" i="30"/>
  <c r="C8" i="30"/>
  <c r="E51" i="30"/>
  <c r="E50" i="30"/>
  <c r="E52" i="3"/>
  <c r="E51" i="3"/>
  <c r="E48" i="3"/>
  <c r="E40" i="5"/>
  <c r="H31" i="30"/>
  <c r="K31" i="30"/>
  <c r="H32" i="30"/>
  <c r="K32" i="30"/>
  <c r="H33" i="30"/>
  <c r="K33" i="30"/>
  <c r="H34" i="30"/>
  <c r="K34" i="30"/>
  <c r="H35" i="30"/>
  <c r="K35" i="30"/>
  <c r="H36" i="30"/>
  <c r="K36" i="30"/>
  <c r="H37" i="30"/>
  <c r="K37" i="30"/>
  <c r="H38" i="30"/>
  <c r="K38" i="30"/>
  <c r="H39" i="30"/>
  <c r="K39" i="30"/>
  <c r="H40" i="30"/>
  <c r="K40" i="30"/>
  <c r="H41" i="30"/>
  <c r="K41" i="30"/>
  <c r="H42" i="30"/>
  <c r="K42" i="30"/>
  <c r="H43" i="30"/>
  <c r="K43" i="30"/>
  <c r="H44" i="30"/>
  <c r="K44" i="30"/>
  <c r="H45" i="30"/>
  <c r="K45" i="30"/>
  <c r="H46" i="30"/>
  <c r="K46" i="30"/>
  <c r="H47" i="30"/>
  <c r="K47" i="30"/>
  <c r="H48" i="30"/>
  <c r="K48" i="30"/>
  <c r="H49" i="30"/>
  <c r="K49" i="30"/>
  <c r="F8" i="30"/>
  <c r="G8" i="30"/>
  <c r="I8" i="30"/>
  <c r="J8" i="30"/>
  <c r="H9" i="30"/>
  <c r="K9" i="30"/>
  <c r="H10" i="30"/>
  <c r="K10" i="30"/>
  <c r="H11" i="30"/>
  <c r="K11" i="30"/>
  <c r="H12" i="30"/>
  <c r="K12" i="30"/>
  <c r="H13" i="30"/>
  <c r="K13" i="30"/>
  <c r="H14" i="30"/>
  <c r="K14" i="30"/>
  <c r="H15" i="30"/>
  <c r="K15" i="30"/>
  <c r="H16" i="30"/>
  <c r="K16" i="30"/>
  <c r="H17" i="30"/>
  <c r="K17" i="30"/>
  <c r="H18" i="30"/>
  <c r="K18" i="30"/>
  <c r="H19" i="30"/>
  <c r="K19" i="30"/>
  <c r="H20" i="30"/>
  <c r="K20" i="30"/>
  <c r="H21" i="30"/>
  <c r="K21" i="30"/>
  <c r="H22" i="30"/>
  <c r="K22" i="30"/>
  <c r="H23" i="30"/>
  <c r="K23" i="30"/>
  <c r="H24" i="30"/>
  <c r="K24" i="30"/>
  <c r="H25" i="30"/>
  <c r="K25" i="30"/>
  <c r="H31" i="6"/>
  <c r="K31" i="6"/>
  <c r="K32" i="6"/>
  <c r="H33" i="6"/>
  <c r="K33" i="6"/>
  <c r="H34" i="6"/>
  <c r="K34" i="6"/>
  <c r="H35" i="6"/>
  <c r="K35" i="6"/>
  <c r="F36" i="6"/>
  <c r="G36" i="6"/>
  <c r="H36" i="6" s="1"/>
  <c r="K36" i="6"/>
  <c r="F37" i="6"/>
  <c r="H37" i="6" s="1"/>
  <c r="G37" i="6"/>
  <c r="K37" i="6"/>
  <c r="H38" i="6"/>
  <c r="K38" i="6"/>
  <c r="H39" i="6"/>
  <c r="F40" i="6"/>
  <c r="G40" i="6"/>
  <c r="K40" i="6"/>
  <c r="F41" i="6"/>
  <c r="H41" i="6" s="1"/>
  <c r="G41" i="6"/>
  <c r="K41" i="6"/>
  <c r="H42" i="6"/>
  <c r="K42" i="6"/>
  <c r="H43" i="6"/>
  <c r="K43" i="6"/>
  <c r="H44" i="6"/>
  <c r="K44" i="6"/>
  <c r="F46" i="6"/>
  <c r="G46" i="6"/>
  <c r="H46" i="6" s="1"/>
  <c r="K46" i="6"/>
  <c r="F47" i="6"/>
  <c r="G47" i="6"/>
  <c r="H47" i="6" s="1"/>
  <c r="K47" i="6"/>
  <c r="H10" i="6"/>
  <c r="K10" i="6"/>
  <c r="F11" i="6"/>
  <c r="G11" i="6"/>
  <c r="K11" i="6"/>
  <c r="F12" i="6"/>
  <c r="H12" i="6" s="1"/>
  <c r="K12" i="6"/>
  <c r="H13" i="6"/>
  <c r="K13" i="6"/>
  <c r="H14" i="6"/>
  <c r="K14" i="6"/>
  <c r="H15" i="6"/>
  <c r="K15" i="6"/>
  <c r="H16" i="6"/>
  <c r="K16" i="6"/>
  <c r="F17" i="6"/>
  <c r="G17" i="6"/>
  <c r="K17" i="6"/>
  <c r="H18" i="6"/>
  <c r="K18" i="6"/>
  <c r="H19" i="6"/>
  <c r="K19" i="6"/>
  <c r="H20" i="6"/>
  <c r="K20" i="6"/>
  <c r="H21" i="6"/>
  <c r="K21" i="6"/>
  <c r="H22" i="6"/>
  <c r="K22" i="6"/>
  <c r="H23" i="6"/>
  <c r="K23" i="6"/>
  <c r="H24" i="6"/>
  <c r="K24" i="6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5" i="5"/>
  <c r="K45" i="5"/>
  <c r="H46" i="5"/>
  <c r="K46" i="5"/>
  <c r="H47" i="5"/>
  <c r="F9" i="5"/>
  <c r="G9" i="5"/>
  <c r="I9" i="5"/>
  <c r="J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32" i="4"/>
  <c r="K32" i="4"/>
  <c r="H33" i="4"/>
  <c r="K33" i="4"/>
  <c r="H34" i="4"/>
  <c r="K34" i="4"/>
  <c r="H35" i="4"/>
  <c r="K35" i="4"/>
  <c r="H36" i="4"/>
  <c r="K36" i="4"/>
  <c r="H37" i="4"/>
  <c r="K37" i="4"/>
  <c r="H38" i="4"/>
  <c r="K38" i="4"/>
  <c r="H39" i="4"/>
  <c r="K39" i="4"/>
  <c r="H40" i="4"/>
  <c r="K40" i="4"/>
  <c r="H41" i="4"/>
  <c r="K41" i="4"/>
  <c r="H42" i="4"/>
  <c r="K42" i="4"/>
  <c r="H43" i="4"/>
  <c r="K43" i="4"/>
  <c r="H44" i="4"/>
  <c r="K44" i="4"/>
  <c r="H45" i="4"/>
  <c r="K45" i="4"/>
  <c r="H46" i="4"/>
  <c r="K46" i="4"/>
  <c r="H47" i="4"/>
  <c r="K47" i="4"/>
  <c r="F9" i="4"/>
  <c r="G9" i="4"/>
  <c r="I9" i="4"/>
  <c r="J9" i="4"/>
  <c r="H10" i="4"/>
  <c r="K10" i="4"/>
  <c r="H11" i="4"/>
  <c r="K11" i="4"/>
  <c r="H12" i="4"/>
  <c r="K12" i="4"/>
  <c r="H13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H20" i="4"/>
  <c r="K20" i="4"/>
  <c r="H21" i="4"/>
  <c r="K21" i="4"/>
  <c r="H22" i="4"/>
  <c r="K22" i="4"/>
  <c r="H23" i="4"/>
  <c r="K23" i="4"/>
  <c r="H24" i="4"/>
  <c r="K24" i="4"/>
  <c r="H25" i="4"/>
  <c r="K25" i="4"/>
  <c r="H29" i="1"/>
  <c r="K29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F9" i="1"/>
  <c r="G9" i="1"/>
  <c r="I9" i="1"/>
  <c r="J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F31" i="2"/>
  <c r="H31" i="2" s="1"/>
  <c r="I31" i="2"/>
  <c r="J31" i="2"/>
  <c r="H32" i="2"/>
  <c r="I32" i="2"/>
  <c r="J32" i="2"/>
  <c r="K32" i="2" s="1"/>
  <c r="H33" i="2"/>
  <c r="K33" i="2"/>
  <c r="H34" i="2"/>
  <c r="I34" i="2"/>
  <c r="J34" i="2"/>
  <c r="H35" i="2"/>
  <c r="K35" i="2"/>
  <c r="F36" i="2"/>
  <c r="H36" i="2" s="1"/>
  <c r="G36" i="2"/>
  <c r="K36" i="2"/>
  <c r="F37" i="2"/>
  <c r="G37" i="2"/>
  <c r="K37" i="2"/>
  <c r="H38" i="2"/>
  <c r="K38" i="2"/>
  <c r="H39" i="2"/>
  <c r="K39" i="2"/>
  <c r="F40" i="2"/>
  <c r="G40" i="2"/>
  <c r="I40" i="2"/>
  <c r="J40" i="2"/>
  <c r="F41" i="2"/>
  <c r="G41" i="2"/>
  <c r="H41" i="2"/>
  <c r="I41" i="2"/>
  <c r="J41" i="2"/>
  <c r="K41" i="2" s="1"/>
  <c r="H42" i="2"/>
  <c r="I42" i="2"/>
  <c r="J42" i="2"/>
  <c r="H43" i="2"/>
  <c r="K43" i="2"/>
  <c r="H44" i="2"/>
  <c r="K44" i="2"/>
  <c r="F46" i="2"/>
  <c r="G46" i="2"/>
  <c r="I46" i="2"/>
  <c r="J46" i="2"/>
  <c r="F47" i="2"/>
  <c r="G47" i="2"/>
  <c r="K47" i="2"/>
  <c r="H10" i="2"/>
  <c r="I10" i="2"/>
  <c r="J10" i="2"/>
  <c r="K10" i="2" s="1"/>
  <c r="F11" i="2"/>
  <c r="G11" i="2"/>
  <c r="I11" i="2"/>
  <c r="J11" i="2"/>
  <c r="G12" i="2"/>
  <c r="H12" i="2" s="1"/>
  <c r="I12" i="2"/>
  <c r="J12" i="2"/>
  <c r="F13" i="2"/>
  <c r="G13" i="2"/>
  <c r="I13" i="2"/>
  <c r="J13" i="2"/>
  <c r="K13" i="2" s="1"/>
  <c r="H14" i="2"/>
  <c r="I14" i="2"/>
  <c r="J14" i="2"/>
  <c r="K14" i="2" s="1"/>
  <c r="G15" i="2"/>
  <c r="H15" i="2" s="1"/>
  <c r="I15" i="2"/>
  <c r="J15" i="2"/>
  <c r="H16" i="2"/>
  <c r="I16" i="2"/>
  <c r="J16" i="2"/>
  <c r="F17" i="2"/>
  <c r="G17" i="2"/>
  <c r="H17" i="2" s="1"/>
  <c r="I17" i="2"/>
  <c r="J17" i="2"/>
  <c r="H18" i="2"/>
  <c r="I18" i="2"/>
  <c r="K18" i="2" s="1"/>
  <c r="J18" i="2"/>
  <c r="H19" i="2"/>
  <c r="I19" i="2"/>
  <c r="K19" i="2" s="1"/>
  <c r="J19" i="2"/>
  <c r="H20" i="2"/>
  <c r="I20" i="2"/>
  <c r="K20" i="2" s="1"/>
  <c r="J20" i="2"/>
  <c r="G21" i="2"/>
  <c r="H21" i="2" s="1"/>
  <c r="I21" i="2"/>
  <c r="J21" i="2"/>
  <c r="G22" i="2"/>
  <c r="H22" i="2" s="1"/>
  <c r="I22" i="2"/>
  <c r="J22" i="2"/>
  <c r="K22" i="2" s="1"/>
  <c r="H23" i="2"/>
  <c r="I23" i="2"/>
  <c r="J23" i="2"/>
  <c r="H24" i="2"/>
  <c r="I24" i="2"/>
  <c r="J24" i="2"/>
  <c r="K24" i="2" s="1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F9" i="3"/>
  <c r="G9" i="3"/>
  <c r="I9" i="3"/>
  <c r="J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K31" i="2" l="1"/>
  <c r="K12" i="2"/>
  <c r="H47" i="2"/>
  <c r="H46" i="2"/>
  <c r="H40" i="2"/>
  <c r="K21" i="2"/>
  <c r="K17" i="2"/>
  <c r="K16" i="2"/>
  <c r="H13" i="2"/>
  <c r="K42" i="2"/>
  <c r="E21" i="9"/>
  <c r="E12" i="9"/>
  <c r="D12" i="9"/>
  <c r="K11" i="2"/>
  <c r="K46" i="2"/>
  <c r="H37" i="2"/>
  <c r="F9" i="6"/>
  <c r="J9" i="2"/>
  <c r="D21" i="9"/>
  <c r="I9" i="2"/>
  <c r="K40" i="2"/>
  <c r="K34" i="2"/>
  <c r="H40" i="6"/>
  <c r="K23" i="2"/>
  <c r="K15" i="2"/>
  <c r="K8" i="30"/>
  <c r="K9" i="1"/>
  <c r="H8" i="30"/>
  <c r="G9" i="6"/>
  <c r="H11" i="6"/>
  <c r="H17" i="6"/>
  <c r="H9" i="5"/>
  <c r="K9" i="5"/>
  <c r="K9" i="4"/>
  <c r="H9" i="4"/>
  <c r="H9" i="1"/>
  <c r="F9" i="2"/>
  <c r="G9" i="2"/>
  <c r="H11" i="2"/>
  <c r="H9" i="2" s="1"/>
  <c r="K9" i="3"/>
  <c r="K9" i="2" l="1"/>
  <c r="K12" i="24" l="1"/>
  <c r="J13" i="24"/>
  <c r="J12" i="24"/>
  <c r="J26" i="9" l="1"/>
  <c r="J25" i="9"/>
  <c r="S7" i="30"/>
  <c r="S6" i="30"/>
  <c r="C16" i="23" l="1"/>
  <c r="I16" i="23" s="1"/>
  <c r="D100" i="37" l="1"/>
  <c r="E100" i="37"/>
  <c r="C7" i="23"/>
  <c r="O7" i="11"/>
  <c r="H4" i="23" l="1"/>
  <c r="H14" i="23"/>
  <c r="I17" i="23"/>
  <c r="H6" i="23"/>
  <c r="T60" i="34" l="1"/>
  <c r="T62" i="34"/>
  <c r="T64" i="34"/>
  <c r="T66" i="34"/>
  <c r="T68" i="34"/>
  <c r="T70" i="34"/>
  <c r="T72" i="34"/>
  <c r="T74" i="34"/>
  <c r="T76" i="34"/>
  <c r="T78" i="34"/>
  <c r="T80" i="34"/>
  <c r="T82" i="34"/>
  <c r="T84" i="34"/>
  <c r="T86" i="34"/>
  <c r="T88" i="34"/>
  <c r="T90" i="34"/>
  <c r="T92" i="34"/>
  <c r="T94" i="34"/>
  <c r="T96" i="34"/>
  <c r="T98" i="34"/>
  <c r="T100" i="34"/>
  <c r="T102" i="34"/>
  <c r="T104" i="34"/>
  <c r="T106" i="34"/>
  <c r="T108" i="34"/>
  <c r="T110" i="34"/>
  <c r="T112" i="34"/>
  <c r="T114" i="34"/>
  <c r="T116" i="34"/>
  <c r="T124" i="34"/>
  <c r="T121" i="34"/>
  <c r="T119" i="34"/>
  <c r="R118" i="34"/>
  <c r="R123" i="34" s="1"/>
  <c r="R125" i="34" s="1"/>
  <c r="S118" i="34"/>
  <c r="S123" i="34" s="1"/>
  <c r="S125" i="34" s="1"/>
  <c r="N16" i="3"/>
  <c r="O17" i="3" s="1"/>
  <c r="O16" i="3"/>
  <c r="P14" i="3"/>
  <c r="P13" i="3"/>
  <c r="P12" i="3"/>
  <c r="P11" i="3"/>
  <c r="P16" i="3" s="1"/>
  <c r="T118" i="34" l="1"/>
  <c r="T123" i="34" s="1"/>
  <c r="T125" i="34" s="1"/>
  <c r="S127" i="34"/>
  <c r="K7" i="23" l="1"/>
  <c r="J7" i="23"/>
  <c r="N74" i="8" l="1"/>
  <c r="N32" i="8"/>
  <c r="O20" i="3"/>
  <c r="N83" i="8"/>
  <c r="K8" i="23" l="1"/>
  <c r="J8" i="23"/>
  <c r="I14" i="23" l="1"/>
  <c r="C15" i="9" l="1"/>
  <c r="E7" i="11" l="1"/>
  <c r="O16" i="11"/>
  <c r="O13" i="11"/>
  <c r="O10" i="11"/>
  <c r="H99" i="37" l="1"/>
  <c r="G99" i="37"/>
  <c r="E99" i="37"/>
  <c r="D99" i="37"/>
  <c r="J92" i="37" s="1"/>
  <c r="C99" i="37"/>
  <c r="F98" i="37"/>
  <c r="B98" i="37"/>
  <c r="F97" i="37"/>
  <c r="B97" i="37"/>
  <c r="F96" i="37"/>
  <c r="B96" i="37"/>
  <c r="F95" i="37"/>
  <c r="B95" i="37"/>
  <c r="F94" i="37"/>
  <c r="B94" i="37"/>
  <c r="F93" i="37"/>
  <c r="F99" i="37" s="1"/>
  <c r="B93" i="37"/>
  <c r="H88" i="37"/>
  <c r="G88" i="37"/>
  <c r="E88" i="37"/>
  <c r="D88" i="37"/>
  <c r="C88" i="37"/>
  <c r="F87" i="37"/>
  <c r="B87" i="37"/>
  <c r="F86" i="37"/>
  <c r="B86" i="37"/>
  <c r="F85" i="37"/>
  <c r="B85" i="37"/>
  <c r="F84" i="37"/>
  <c r="B84" i="37"/>
  <c r="F83" i="37"/>
  <c r="B83" i="37"/>
  <c r="F82" i="37"/>
  <c r="B82" i="37"/>
  <c r="E101" i="37" l="1"/>
  <c r="E114" i="37"/>
  <c r="B88" i="37"/>
  <c r="B99" i="37"/>
  <c r="K97" i="37"/>
  <c r="F88" i="37"/>
  <c r="N18" i="8" l="1"/>
  <c r="O18" i="8"/>
  <c r="N16" i="8"/>
  <c r="O16" i="8"/>
  <c r="N110" i="8" l="1"/>
  <c r="N111" i="8"/>
  <c r="N108" i="8"/>
  <c r="U19" i="34" l="1"/>
  <c r="V19" i="34"/>
  <c r="Q19" i="34"/>
  <c r="R19" i="34"/>
  <c r="S12" i="34"/>
  <c r="U14" i="34"/>
  <c r="V14" i="34"/>
  <c r="Q14" i="34"/>
  <c r="R14" i="34"/>
  <c r="N109" i="8"/>
  <c r="U16" i="34" l="1"/>
  <c r="S14" i="34"/>
  <c r="V20" i="34"/>
  <c r="S18" i="34"/>
  <c r="C18" i="9" l="1"/>
  <c r="C12" i="9" s="1"/>
  <c r="C6" i="9" l="1"/>
  <c r="C75" i="37" l="1"/>
  <c r="D75" i="37"/>
  <c r="G75" i="37"/>
  <c r="H75" i="37"/>
  <c r="J75" i="37"/>
  <c r="E74" i="37"/>
  <c r="E75" i="37" s="1"/>
  <c r="J29" i="23"/>
  <c r="B66" i="37"/>
  <c r="B74" i="37" l="1"/>
  <c r="F66" i="37"/>
  <c r="B69" i="37"/>
  <c r="B78" i="37" s="1"/>
  <c r="F69" i="37"/>
  <c r="F72" i="37"/>
  <c r="B72" i="37"/>
  <c r="F73" i="37"/>
  <c r="B73" i="37"/>
  <c r="F71" i="37"/>
  <c r="B71" i="37"/>
  <c r="F70" i="37"/>
  <c r="B70" i="37"/>
  <c r="F68" i="37"/>
  <c r="B68" i="37"/>
  <c r="F67" i="37"/>
  <c r="B67" i="37"/>
  <c r="F65" i="37"/>
  <c r="B65" i="37"/>
  <c r="F78" i="37" l="1"/>
  <c r="F77" i="37"/>
  <c r="F75" i="37"/>
  <c r="B77" i="37"/>
  <c r="B76" i="37"/>
  <c r="B79" i="37" s="1"/>
  <c r="B75" i="37"/>
  <c r="L12" i="9"/>
  <c r="M12" i="9"/>
  <c r="C9" i="9"/>
  <c r="M14" i="9" l="1"/>
  <c r="N19" i="11"/>
  <c r="M19" i="11"/>
  <c r="J45" i="26" l="1"/>
  <c r="I39" i="26"/>
  <c r="J30" i="26" l="1"/>
  <c r="L31" i="26" s="1"/>
  <c r="I17" i="26"/>
  <c r="L17" i="26"/>
  <c r="L20" i="26"/>
  <c r="K10" i="26" l="1"/>
  <c r="O3" i="8" l="1"/>
  <c r="N7" i="8"/>
  <c r="N10" i="8"/>
  <c r="O10" i="8"/>
  <c r="Q21" i="8"/>
  <c r="Q23" i="8"/>
  <c r="D10" i="31"/>
  <c r="H29" i="34" l="1"/>
  <c r="H25" i="34"/>
  <c r="N167" i="34" l="1"/>
  <c r="N10" i="34" s="1"/>
  <c r="C29" i="23"/>
  <c r="C21" i="23"/>
  <c r="C11" i="23"/>
  <c r="C6" i="23" s="1"/>
  <c r="C23" i="9"/>
  <c r="C22" i="9"/>
  <c r="C14" i="9"/>
  <c r="C13" i="9"/>
  <c r="U47" i="1"/>
  <c r="R47" i="1"/>
  <c r="T50" i="3"/>
  <c r="Q50" i="3"/>
  <c r="H189" i="34" l="1"/>
  <c r="I29" i="23" l="1"/>
  <c r="H127" i="8"/>
  <c r="H121" i="8"/>
  <c r="H122" i="8"/>
  <c r="H123" i="8"/>
  <c r="H124" i="8"/>
  <c r="H125" i="8"/>
  <c r="H126" i="8"/>
  <c r="H120" i="8"/>
  <c r="H118" i="8"/>
  <c r="H113" i="8"/>
  <c r="H114" i="8"/>
  <c r="H115" i="8"/>
  <c r="H116" i="8"/>
  <c r="H117" i="8"/>
  <c r="H108" i="8"/>
  <c r="H109" i="8"/>
  <c r="H110" i="8"/>
  <c r="H111" i="8"/>
  <c r="H112" i="8"/>
  <c r="H102" i="8"/>
  <c r="H103" i="8"/>
  <c r="H104" i="8"/>
  <c r="H105" i="8"/>
  <c r="H106" i="8"/>
  <c r="H107" i="8"/>
  <c r="H101" i="8"/>
  <c r="H93" i="8"/>
  <c r="H9" i="8" s="1"/>
  <c r="P9" i="4" l="1"/>
  <c r="P7" i="4"/>
  <c r="O9" i="4"/>
  <c r="N48" i="4"/>
  <c r="O48" i="4"/>
  <c r="P3" i="2" l="1"/>
  <c r="O5" i="6"/>
  <c r="N5" i="6"/>
  <c r="O1" i="4"/>
  <c r="N1" i="4"/>
  <c r="R3" i="2"/>
  <c r="Y48" i="6" l="1"/>
  <c r="X48" i="6"/>
  <c r="K18" i="31" l="1"/>
  <c r="N11" i="31"/>
  <c r="E47" i="5" l="1"/>
  <c r="S6" i="34" l="1"/>
  <c r="R295" i="34"/>
  <c r="J11" i="24" l="1"/>
  <c r="J10" i="24"/>
  <c r="D22" i="31" l="1"/>
  <c r="I15" i="23"/>
  <c r="T40" i="6"/>
  <c r="W40" i="6"/>
  <c r="U51" i="6"/>
  <c r="X51" i="6"/>
  <c r="E10" i="3"/>
  <c r="J16" i="9"/>
  <c r="J23" i="9"/>
  <c r="H9" i="6" l="1"/>
  <c r="H9" i="3"/>
  <c r="J22" i="9"/>
  <c r="O5" i="30"/>
  <c r="N5" i="30"/>
  <c r="O9" i="5"/>
  <c r="L9" i="24" l="1"/>
  <c r="L10" i="24"/>
  <c r="L8" i="24" l="1"/>
  <c r="M9" i="24" s="1"/>
  <c r="M10" i="24" l="1"/>
  <c r="M8" i="24" s="1"/>
  <c r="I5" i="26" l="1"/>
  <c r="O10" i="30" l="1"/>
  <c r="I6" i="26" l="1"/>
  <c r="I8" i="26" s="1"/>
  <c r="J39" i="23" l="1"/>
  <c r="L40" i="23"/>
  <c r="M41" i="23" s="1"/>
  <c r="P8" i="23" l="1"/>
  <c r="Q8" i="23"/>
  <c r="N10" i="23" s="1"/>
  <c r="R8" i="23"/>
  <c r="S8" i="23"/>
  <c r="N4" i="31" l="1"/>
  <c r="R5" i="3" l="1"/>
  <c r="Q7" i="1"/>
  <c r="P11" i="1"/>
  <c r="Q11" i="1"/>
  <c r="R11" i="1"/>
  <c r="Q12" i="1" l="1"/>
  <c r="R6" i="3"/>
  <c r="T18" i="11"/>
  <c r="W8" i="11"/>
  <c r="N26" i="31" l="1"/>
  <c r="S284" i="34" l="1"/>
  <c r="K21" i="31" l="1"/>
  <c r="T6" i="11"/>
  <c r="W23" i="8" l="1"/>
  <c r="T23" i="8"/>
  <c r="W21" i="8"/>
  <c r="O157" i="8"/>
  <c r="T21" i="8"/>
  <c r="E123" i="8"/>
  <c r="E9" i="8" s="1"/>
  <c r="R4" i="8" s="1"/>
  <c r="O27" i="8" l="1"/>
  <c r="N13" i="8" l="1"/>
  <c r="O12" i="8" l="1"/>
  <c r="N2" i="8" l="1"/>
  <c r="N5" i="8"/>
  <c r="N9" i="8"/>
  <c r="H16" i="9"/>
  <c r="O15" i="8"/>
  <c r="N15" i="8"/>
  <c r="Q40" i="6" l="1"/>
  <c r="R51" i="6" l="1"/>
  <c r="E9" i="6" s="1"/>
  <c r="P12" i="6" l="1"/>
  <c r="E9" i="4"/>
  <c r="E49" i="30"/>
  <c r="E48" i="30"/>
  <c r="E8" i="30" s="1"/>
  <c r="E43" i="5"/>
  <c r="E42" i="5"/>
  <c r="E46" i="5"/>
  <c r="E35" i="5"/>
  <c r="E36" i="5"/>
  <c r="E37" i="5"/>
  <c r="E38" i="5"/>
  <c r="E39" i="5"/>
  <c r="E41" i="5"/>
  <c r="E45" i="5"/>
  <c r="E34" i="5"/>
  <c r="E33" i="5"/>
  <c r="E26" i="5"/>
  <c r="E21" i="5"/>
  <c r="E22" i="5"/>
  <c r="E23" i="5"/>
  <c r="E24" i="5"/>
  <c r="E25" i="5"/>
  <c r="E16" i="5"/>
  <c r="E17" i="5"/>
  <c r="E18" i="5"/>
  <c r="E19" i="5"/>
  <c r="E20" i="5"/>
  <c r="E11" i="5"/>
  <c r="E12" i="5"/>
  <c r="E13" i="5"/>
  <c r="E14" i="5"/>
  <c r="E15" i="5"/>
  <c r="E10" i="5"/>
  <c r="E10" i="1"/>
  <c r="E9" i="1" s="1"/>
  <c r="E9" i="5" l="1"/>
  <c r="O8" i="30"/>
  <c r="E43" i="3"/>
  <c r="E42" i="3"/>
  <c r="E50" i="3"/>
  <c r="E37" i="3"/>
  <c r="E38" i="3"/>
  <c r="E39" i="3"/>
  <c r="E40" i="3"/>
  <c r="E41" i="3"/>
  <c r="E44" i="3"/>
  <c r="E45" i="3"/>
  <c r="E46" i="3"/>
  <c r="E47" i="3"/>
  <c r="E49" i="3"/>
  <c r="E36" i="3"/>
  <c r="E35" i="3"/>
  <c r="E28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N35" i="3" s="1"/>
  <c r="E25" i="3"/>
  <c r="E26" i="3"/>
  <c r="E27" i="3"/>
  <c r="E9" i="3" l="1"/>
  <c r="O6" i="30"/>
  <c r="R10" i="30"/>
  <c r="S8" i="30"/>
  <c r="N6" i="30"/>
  <c r="D10" i="24"/>
  <c r="J14" i="24" s="1"/>
  <c r="D6" i="24"/>
  <c r="N9" i="3" l="1"/>
  <c r="N7" i="3"/>
  <c r="C58" i="37"/>
  <c r="C59" i="37" s="1"/>
  <c r="C50" i="37"/>
  <c r="C51" i="37" s="1"/>
  <c r="C6" i="37" l="1"/>
  <c r="B3" i="37"/>
  <c r="G41" i="37"/>
  <c r="F41" i="37"/>
  <c r="D41" i="37"/>
  <c r="C41" i="37"/>
  <c r="H41" i="37"/>
  <c r="E40" i="37"/>
  <c r="B40" i="37"/>
  <c r="E39" i="37"/>
  <c r="B39" i="37"/>
  <c r="B38" i="37"/>
  <c r="E37" i="37"/>
  <c r="B37" i="37"/>
  <c r="E36" i="37"/>
  <c r="B36" i="37"/>
  <c r="E35" i="37"/>
  <c r="B35" i="37"/>
  <c r="G31" i="37"/>
  <c r="F31" i="37"/>
  <c r="D31" i="37"/>
  <c r="D43" i="37" s="1"/>
  <c r="C31" i="37"/>
  <c r="H31" i="37"/>
  <c r="B31" i="37"/>
  <c r="E30" i="37"/>
  <c r="E29" i="37"/>
  <c r="E27" i="37"/>
  <c r="E26" i="37"/>
  <c r="E25" i="37"/>
  <c r="G14" i="37"/>
  <c r="F14" i="37"/>
  <c r="D14" i="37"/>
  <c r="C14" i="37"/>
  <c r="I14" i="37"/>
  <c r="H14" i="37"/>
  <c r="E13" i="37"/>
  <c r="B13" i="37"/>
  <c r="E12" i="37"/>
  <c r="B12" i="37"/>
  <c r="E11" i="37"/>
  <c r="B11" i="37"/>
  <c r="G6" i="37"/>
  <c r="F6" i="37"/>
  <c r="D6" i="37"/>
  <c r="I6" i="37"/>
  <c r="H6" i="37"/>
  <c r="E5" i="37"/>
  <c r="B5" i="37"/>
  <c r="E4" i="37"/>
  <c r="B4" i="37"/>
  <c r="E3" i="37"/>
  <c r="D16" i="37" l="1"/>
  <c r="B41" i="37"/>
  <c r="B6" i="37"/>
  <c r="E31" i="37"/>
  <c r="E6" i="37"/>
  <c r="E41" i="37"/>
  <c r="E14" i="37"/>
  <c r="B14" i="37"/>
  <c r="J12" i="31"/>
  <c r="J10" i="31"/>
  <c r="I32" i="26" l="1"/>
  <c r="P10" i="11" l="1"/>
  <c r="R10" i="11"/>
  <c r="T10" i="11"/>
  <c r="T17" i="7" l="1"/>
  <c r="S17" i="7"/>
  <c r="I19" i="23" l="1"/>
  <c r="O7" i="30"/>
  <c r="K26" i="31" l="1"/>
  <c r="C27" i="9" l="1"/>
  <c r="C24" i="9"/>
  <c r="C21" i="9" l="1"/>
  <c r="L29" i="9"/>
  <c r="J27" i="9"/>
  <c r="Q9" i="30" l="1"/>
  <c r="O17" i="8" l="1"/>
  <c r="N17" i="8"/>
  <c r="P11" i="24"/>
  <c r="J14" i="31" l="1"/>
  <c r="J7" i="31" l="1"/>
  <c r="M17" i="31" l="1"/>
  <c r="Q12" i="31"/>
  <c r="P18" i="31" l="1"/>
  <c r="N13" i="31" l="1"/>
  <c r="N12" i="31"/>
  <c r="D13" i="24" l="1"/>
  <c r="L12" i="31" l="1"/>
  <c r="E13" i="11" l="1"/>
  <c r="E10" i="11"/>
  <c r="S495" i="34" l="1"/>
  <c r="S480" i="34"/>
  <c r="U482" i="34"/>
  <c r="S486" i="34" l="1"/>
  <c r="S483" i="34"/>
  <c r="E16" i="11" l="1"/>
  <c r="D19" i="24" l="1"/>
  <c r="D16" i="24"/>
</calcChain>
</file>

<file path=xl/sharedStrings.xml><?xml version="1.0" encoding="utf-8"?>
<sst xmlns="http://schemas.openxmlformats.org/spreadsheetml/2006/main" count="6450" uniqueCount="2034">
  <si>
    <t>اناث</t>
  </si>
  <si>
    <t>ذکور</t>
  </si>
  <si>
    <t>مجموع</t>
  </si>
  <si>
    <t xml:space="preserve"> Female</t>
  </si>
  <si>
    <t xml:space="preserve"> Male</t>
  </si>
  <si>
    <t xml:space="preserve"> Total</t>
  </si>
  <si>
    <t>Total New Students</t>
  </si>
  <si>
    <t xml:space="preserve">Kabul University  </t>
  </si>
  <si>
    <t>Kabul Polytechnic University</t>
  </si>
  <si>
    <t xml:space="preserve">Herat University </t>
  </si>
  <si>
    <t xml:space="preserve">Nangarhar University </t>
  </si>
  <si>
    <t xml:space="preserve">Kandahar University   </t>
  </si>
  <si>
    <t xml:space="preserve">Balkh  University </t>
  </si>
  <si>
    <t>Badakhshan University</t>
  </si>
  <si>
    <t>-</t>
  </si>
  <si>
    <t>Kundoz University</t>
  </si>
  <si>
    <t>Parwan  University</t>
  </si>
  <si>
    <t>Jawzjan University</t>
  </si>
  <si>
    <t>Faryab University</t>
  </si>
  <si>
    <t>Baghlan  University</t>
  </si>
  <si>
    <t xml:space="preserve">Bamyan  University </t>
  </si>
  <si>
    <t>Paktia  University</t>
  </si>
  <si>
    <t>Ghazni  University</t>
  </si>
  <si>
    <t>Source:Ministry of  Higher Education</t>
  </si>
  <si>
    <t>منبع: وزارت تحصیلات عالی</t>
  </si>
  <si>
    <t>Universities Teachers</t>
  </si>
  <si>
    <t>Total Students</t>
  </si>
  <si>
    <t>Source:Ministry of Higher Education</t>
  </si>
  <si>
    <t>Total</t>
  </si>
  <si>
    <t xml:space="preserve">Faculty of Law   </t>
  </si>
  <si>
    <t>Faculty of Science</t>
  </si>
  <si>
    <t>Faculty of Literature</t>
  </si>
  <si>
    <t>Faculty of Engineering</t>
  </si>
  <si>
    <t xml:space="preserve">Faculty of Agriculture </t>
  </si>
  <si>
    <t xml:space="preserve">Faculty of Economy </t>
  </si>
  <si>
    <t>Faculty of  Pharmacy</t>
  </si>
  <si>
    <t>Faculty of  Veterinary</t>
  </si>
  <si>
    <t xml:space="preserve">Faculty of Geology </t>
  </si>
  <si>
    <t xml:space="preserve">Faculty of Arts  </t>
  </si>
  <si>
    <t xml:space="preserve">Faculty of Journalism </t>
  </si>
  <si>
    <t>Faculty of Social Science</t>
  </si>
  <si>
    <t>Faculty of  Theology</t>
  </si>
  <si>
    <t xml:space="preserve">Faculty of  Education </t>
  </si>
  <si>
    <t>Faculty of Construction</t>
  </si>
  <si>
    <t xml:space="preserve">Faculty of Electromechanic </t>
  </si>
  <si>
    <t xml:space="preserve">Faculty of Sport </t>
  </si>
  <si>
    <t xml:space="preserve">Faculty of Geology &amp; Mine </t>
  </si>
  <si>
    <t>Faculty of Chemical Technology</t>
  </si>
  <si>
    <t>Faculty of Trade and Management</t>
  </si>
  <si>
    <t>Faculty of Computer Science</t>
  </si>
  <si>
    <t>Faculty of Communication &amp; Information Technology</t>
  </si>
  <si>
    <t>Total Graduates</t>
  </si>
  <si>
    <t>Female</t>
  </si>
  <si>
    <t>Male</t>
  </si>
  <si>
    <t>Baghlan University</t>
  </si>
  <si>
    <t>Balkh University</t>
  </si>
  <si>
    <t xml:space="preserve">Bamyan University </t>
  </si>
  <si>
    <t xml:space="preserve">Kandahar University </t>
  </si>
  <si>
    <t>Parwan University</t>
  </si>
  <si>
    <t>Kundoz  University</t>
  </si>
  <si>
    <t>Ghazni University</t>
  </si>
  <si>
    <t xml:space="preserve">منبع: وزارت تحصیلات عالی  </t>
  </si>
  <si>
    <t>Students</t>
  </si>
  <si>
    <t xml:space="preserve">– Government     </t>
  </si>
  <si>
    <t>ــ دولتی</t>
  </si>
  <si>
    <t>– Private</t>
  </si>
  <si>
    <t>ــ خصوصی</t>
  </si>
  <si>
    <t>Number of Faculties</t>
  </si>
  <si>
    <t>Number of Students</t>
  </si>
  <si>
    <t xml:space="preserve">– Male     </t>
  </si>
  <si>
    <t>– Female</t>
  </si>
  <si>
    <t>Government Students</t>
  </si>
  <si>
    <t>Private Students</t>
  </si>
  <si>
    <t>Teachers</t>
  </si>
  <si>
    <t>Government Teachers</t>
  </si>
  <si>
    <t>Private Teachers</t>
  </si>
  <si>
    <t>Kabul  Mechanic  Institute</t>
  </si>
  <si>
    <t>Kabul Automechanic  Institute</t>
  </si>
  <si>
    <t>Kabul Agriculture &amp; Veterinary  Institute</t>
  </si>
  <si>
    <t>Balkh Petroleum and Gas  Institute</t>
  </si>
  <si>
    <t xml:space="preserve">Kabul Electric Institute </t>
  </si>
  <si>
    <t>انستیتوت تعلیمات عالی برق کابل</t>
  </si>
  <si>
    <t>Communication and Information Technology  Institute</t>
  </si>
  <si>
    <t>Civil Aviation Institute</t>
  </si>
  <si>
    <t xml:space="preserve">انستیتوت هوانوردی ملکی </t>
  </si>
  <si>
    <t xml:space="preserve">National Music Institute  </t>
  </si>
  <si>
    <t xml:space="preserve">Farah Agriculture Institute  </t>
  </si>
  <si>
    <t xml:space="preserve">National Institute of Management and Administration (NIMA)  </t>
  </si>
  <si>
    <t>انستیتوت ملی اداره و مدیریت (نیما)</t>
  </si>
  <si>
    <t xml:space="preserve">Badakhshan Agriculture Institute  </t>
  </si>
  <si>
    <t>انستیتوت زراعت بدخشان</t>
  </si>
  <si>
    <t xml:space="preserve">Balkh Agriculture Institute  </t>
  </si>
  <si>
    <t>انستیتوت زراعت بلخ</t>
  </si>
  <si>
    <t>Total Teachers</t>
  </si>
  <si>
    <t>Sex</t>
  </si>
  <si>
    <t>Unit</t>
  </si>
  <si>
    <t>واحد مقیاس</t>
  </si>
  <si>
    <t>جنس</t>
  </si>
  <si>
    <t xml:space="preserve">Number of Institutions </t>
  </si>
  <si>
    <t>Number</t>
  </si>
  <si>
    <t>باب</t>
  </si>
  <si>
    <t>Student</t>
  </si>
  <si>
    <t>محصل</t>
  </si>
  <si>
    <t xml:space="preserve">ذکور </t>
  </si>
  <si>
    <t xml:space="preserve">New Students </t>
  </si>
  <si>
    <t>جدیدالشمولان</t>
  </si>
  <si>
    <t>Graduates</t>
  </si>
  <si>
    <t>Teacher</t>
  </si>
  <si>
    <t>استاد</t>
  </si>
  <si>
    <t>Source:Ministry of Public Health</t>
  </si>
  <si>
    <t>منبع: وزارت صحت عامه</t>
  </si>
  <si>
    <t>Provinces</t>
  </si>
  <si>
    <t xml:space="preserve">Total </t>
  </si>
  <si>
    <t>Kabul</t>
  </si>
  <si>
    <t>کابل</t>
  </si>
  <si>
    <t>Balkh</t>
  </si>
  <si>
    <t>بلخ</t>
  </si>
  <si>
    <t>Source: Ministry of  Education</t>
  </si>
  <si>
    <t xml:space="preserve">منبع : وزارت معارف </t>
  </si>
  <si>
    <t>Herat</t>
  </si>
  <si>
    <t>هرات</t>
  </si>
  <si>
    <t>Baghlan</t>
  </si>
  <si>
    <t>بغلان</t>
  </si>
  <si>
    <t xml:space="preserve"> استادان</t>
  </si>
  <si>
    <t>فارغ التحصیلان</t>
  </si>
  <si>
    <t xml:space="preserve">محصلان </t>
  </si>
  <si>
    <t xml:space="preserve">Graduates </t>
  </si>
  <si>
    <t>New Students</t>
  </si>
  <si>
    <t xml:space="preserve"> Students</t>
  </si>
  <si>
    <t>Sayd Jamal-u-Din Teacher Training</t>
  </si>
  <si>
    <t>تربیۀ معلم سیدجمال الدین</t>
  </si>
  <si>
    <t>Kapisa Teacher Training</t>
  </si>
  <si>
    <t>تربیۀ معلم کاپیسا</t>
  </si>
  <si>
    <t>Parwan Teacher Training</t>
  </si>
  <si>
    <t>تربیۀ معلم پروان</t>
  </si>
  <si>
    <t>Wardak Teacher Training</t>
  </si>
  <si>
    <t>تربیۀ معلم وردک</t>
  </si>
  <si>
    <t>Logar Teacher Training</t>
  </si>
  <si>
    <t>تربیۀ معلم لوگر</t>
  </si>
  <si>
    <t>Nangarhar Teacher Training</t>
  </si>
  <si>
    <t>تربیۀ معلم ننگرهار</t>
  </si>
  <si>
    <t xml:space="preserve">Laghman Teacher Training </t>
  </si>
  <si>
    <t>تربیۀ معلم لغمان</t>
  </si>
  <si>
    <t>Panjshir Teacher Training</t>
  </si>
  <si>
    <t>تربیۀ معلم پنجشیر</t>
  </si>
  <si>
    <t>BaghlanTeacher Training</t>
  </si>
  <si>
    <t>تربیۀ معلم بغلان</t>
  </si>
  <si>
    <t>Bamyan Teacher Training</t>
  </si>
  <si>
    <t>تربیۀ معلم بامیان</t>
  </si>
  <si>
    <t>Ghazni Teacher Training</t>
  </si>
  <si>
    <t>تربیۀ معلم غزنی</t>
  </si>
  <si>
    <t>Jaghory Ghazni Teacher Training</t>
  </si>
  <si>
    <t>تربیۀ معلم جاغوری غزنی</t>
  </si>
  <si>
    <t>Paktika Teacher Training</t>
  </si>
  <si>
    <t>تربیۀ معلم پکتیکا</t>
  </si>
  <si>
    <t xml:space="preserve">Paktia Teacher Training </t>
  </si>
  <si>
    <t>تربیۀ معلم پکتیا</t>
  </si>
  <si>
    <t>Khost Teacher Training</t>
  </si>
  <si>
    <t>تربیۀ معلم خوست</t>
  </si>
  <si>
    <t>Kunarha Teacher Training</t>
  </si>
  <si>
    <t>تربیۀ معلم کنرها</t>
  </si>
  <si>
    <t>Nooristan Teacher Training</t>
  </si>
  <si>
    <t>تربیۀ معلم نورستان</t>
  </si>
  <si>
    <t>Badakhshan Teacher Training</t>
  </si>
  <si>
    <t>تربیۀ معلم بدخشان</t>
  </si>
  <si>
    <t>Sheghnan Badakhshan Teacher Training</t>
  </si>
  <si>
    <t>تربیۀ معلم شغنان بدخشان</t>
  </si>
  <si>
    <t>Darwaz Badakhshan Teacher Training</t>
  </si>
  <si>
    <t>تربیۀ معلم درواز بدخشان</t>
  </si>
  <si>
    <t>Takhar Teacher Training</t>
  </si>
  <si>
    <t>تربیۀ معلم تخار</t>
  </si>
  <si>
    <t>Kundoz Teacher Training</t>
  </si>
  <si>
    <t>تربیۀ معلم کندز</t>
  </si>
  <si>
    <t>Samangan Teacher Training</t>
  </si>
  <si>
    <t>تربیۀ معلم سمنگان</t>
  </si>
  <si>
    <t>Balkh Teacher Training</t>
  </si>
  <si>
    <t>تربیۀ معلم بلخ</t>
  </si>
  <si>
    <t>Sar-e -Pul Teacher Training</t>
  </si>
  <si>
    <t>تربیۀ معلم سرپل</t>
  </si>
  <si>
    <t>Ghor Teacher Training</t>
  </si>
  <si>
    <t>تربیۀ معلم غور</t>
  </si>
  <si>
    <t>Daykundi Teacher Training</t>
  </si>
  <si>
    <t>تربیۀ معلم دایکندی</t>
  </si>
  <si>
    <t>Urozgan Teacher Training</t>
  </si>
  <si>
    <t>تربیۀ معلم ارزگان</t>
  </si>
  <si>
    <t>Zabul Teacher Training</t>
  </si>
  <si>
    <t>تربیۀ معلم زابل</t>
  </si>
  <si>
    <t xml:space="preserve">Kandahar Teacher Training </t>
  </si>
  <si>
    <t>تربیۀ معلم کندهار</t>
  </si>
  <si>
    <t>Jawzjan Teacher Training</t>
  </si>
  <si>
    <t>تربیۀ معلم جوزجان</t>
  </si>
  <si>
    <t>Faryab Teacher Training</t>
  </si>
  <si>
    <t>تربیۀ معلم فاریاب</t>
  </si>
  <si>
    <t xml:space="preserve">Andkhoy Faryab Teacher Training </t>
  </si>
  <si>
    <t>تربیۀ معلم اندخوي  فارياب</t>
  </si>
  <si>
    <t xml:space="preserve">Helmand Teacher Training </t>
  </si>
  <si>
    <t>تربیۀ معلم هلمند</t>
  </si>
  <si>
    <t>Badghis Teacher Training</t>
  </si>
  <si>
    <t>تربیۀ معلم بادغیس</t>
  </si>
  <si>
    <t>Herat Teacher Training</t>
  </si>
  <si>
    <t>تربیۀ معلم هرات</t>
  </si>
  <si>
    <t>Farah Teacher Training</t>
  </si>
  <si>
    <t>تربیۀ معلم فراه</t>
  </si>
  <si>
    <t>Nimroz Teacher Training</t>
  </si>
  <si>
    <t>تربیۀ معلم نیمروز</t>
  </si>
  <si>
    <t>حوزۀ های داخل خدمت کابل</t>
  </si>
  <si>
    <t>حوزۀ های داخل خدمت کاپیسا</t>
  </si>
  <si>
    <t>حوزۀ های داخل خدمت پروان</t>
  </si>
  <si>
    <t>حوزۀ های داخل خدمت وردک</t>
  </si>
  <si>
    <t>حوزۀ های داخل خدمت لوگر</t>
  </si>
  <si>
    <t>حوزۀ های داخل خدمت ننگرهار</t>
  </si>
  <si>
    <t>حوزۀ های داخل خدمت لغمان</t>
  </si>
  <si>
    <t>حوزۀ های داخل خدمت پنجشیر</t>
  </si>
  <si>
    <t>حوزۀ های داخل خدمت بغلان</t>
  </si>
  <si>
    <t>حوزۀ های داخل خدمت خوست</t>
  </si>
  <si>
    <t>حوزۀ های داخل خدمت کنرها</t>
  </si>
  <si>
    <t>حوزۀ های داخل خدمت بدخشان</t>
  </si>
  <si>
    <t>حوزۀ های داخل خدمت تخار</t>
  </si>
  <si>
    <t>حوزۀ های داخل خدمت کندز</t>
  </si>
  <si>
    <t>حوزۀ های داخل خدمت بلخ</t>
  </si>
  <si>
    <t>حوزۀ های داخل خدمت سرپل</t>
  </si>
  <si>
    <t>حوزۀ های داخل خدمت غور</t>
  </si>
  <si>
    <t>حوزۀ های داخل خدمت دایکندی</t>
  </si>
  <si>
    <t>حوزۀ های داخل خدمت فاریاب</t>
  </si>
  <si>
    <t>Number of Vocational Schools</t>
  </si>
  <si>
    <t>شاگردان</t>
  </si>
  <si>
    <t xml:space="preserve">Source: Ministry of  Education   </t>
  </si>
  <si>
    <t>Total مجموع</t>
  </si>
  <si>
    <t>فیصدی دختران</t>
  </si>
  <si>
    <t>دختر</t>
  </si>
  <si>
    <t>پسر</t>
  </si>
  <si>
    <t>Girls %</t>
  </si>
  <si>
    <t>Girl</t>
  </si>
  <si>
    <t>Boy</t>
  </si>
  <si>
    <t>Out of which:</t>
  </si>
  <si>
    <t>از جمله :</t>
  </si>
  <si>
    <t>Kabul City</t>
  </si>
  <si>
    <t>شهر کابل</t>
  </si>
  <si>
    <t>Kapisa</t>
  </si>
  <si>
    <t>کا پیسـا</t>
  </si>
  <si>
    <t>Parwan</t>
  </si>
  <si>
    <t>پروان</t>
  </si>
  <si>
    <t>Logar</t>
  </si>
  <si>
    <t>لوگر</t>
  </si>
  <si>
    <t xml:space="preserve">Nangarhar </t>
  </si>
  <si>
    <t>ننگرهار</t>
  </si>
  <si>
    <t xml:space="preserve">Laghman </t>
  </si>
  <si>
    <t>لغمان</t>
  </si>
  <si>
    <t>Panjsher</t>
  </si>
  <si>
    <t>پنجشیر</t>
  </si>
  <si>
    <t xml:space="preserve">Baghlan </t>
  </si>
  <si>
    <t>Bamyan</t>
  </si>
  <si>
    <t>بامیان</t>
  </si>
  <si>
    <t>Ghazni</t>
  </si>
  <si>
    <t>غز نی</t>
  </si>
  <si>
    <t>Paktika</t>
  </si>
  <si>
    <t>پکتیکا</t>
  </si>
  <si>
    <t>Paktya</t>
  </si>
  <si>
    <t>پکتیا</t>
  </si>
  <si>
    <t>Khost</t>
  </si>
  <si>
    <t>خوست</t>
  </si>
  <si>
    <t>Kunarha</t>
  </si>
  <si>
    <t xml:space="preserve">Nooristan </t>
  </si>
  <si>
    <t>نورستان</t>
  </si>
  <si>
    <t xml:space="preserve">Badakhshan </t>
  </si>
  <si>
    <t>بد خشان</t>
  </si>
  <si>
    <t xml:space="preserve">Takhar </t>
  </si>
  <si>
    <t>تخا ر</t>
  </si>
  <si>
    <t>کندز</t>
  </si>
  <si>
    <t xml:space="preserve">Samangan </t>
  </si>
  <si>
    <t>سمنگا ن</t>
  </si>
  <si>
    <t xml:space="preserve">Balkh </t>
  </si>
  <si>
    <t xml:space="preserve">Sar-e-pul </t>
  </si>
  <si>
    <t>سر پل</t>
  </si>
  <si>
    <t>Ghor</t>
  </si>
  <si>
    <t>غور</t>
  </si>
  <si>
    <t>Daykundi</t>
  </si>
  <si>
    <t>دایکندی</t>
  </si>
  <si>
    <t>Urozgan</t>
  </si>
  <si>
    <t>ارزگان</t>
  </si>
  <si>
    <t xml:space="preserve">Zabul </t>
  </si>
  <si>
    <t>زابل</t>
  </si>
  <si>
    <t xml:space="preserve">Kandahar </t>
  </si>
  <si>
    <t>کندهار</t>
  </si>
  <si>
    <t xml:space="preserve">Jawzjan </t>
  </si>
  <si>
    <t>جوزجا ن</t>
  </si>
  <si>
    <t xml:space="preserve">Faryab </t>
  </si>
  <si>
    <t>فاریا ب</t>
  </si>
  <si>
    <t xml:space="preserve">Helmand </t>
  </si>
  <si>
    <t>هلمند</t>
  </si>
  <si>
    <t>Badghis</t>
  </si>
  <si>
    <t>بادغیس</t>
  </si>
  <si>
    <t>Farah</t>
  </si>
  <si>
    <t>فراه</t>
  </si>
  <si>
    <t xml:space="preserve">Nimroz </t>
  </si>
  <si>
    <t>نیمروز</t>
  </si>
  <si>
    <t xml:space="preserve">Kundoz </t>
  </si>
  <si>
    <t>فیصدی اناث</t>
  </si>
  <si>
    <t>Female %</t>
  </si>
  <si>
    <t>نسبت</t>
  </si>
  <si>
    <t xml:space="preserve"> معلمان</t>
  </si>
  <si>
    <t>Ratio</t>
  </si>
  <si>
    <t xml:space="preserve">Source: Ministry of Education     </t>
  </si>
  <si>
    <t>نسبت شاگردان ومعلمینStudents&amp;Teachers ratio</t>
  </si>
  <si>
    <t>مختلط</t>
  </si>
  <si>
    <t>دخترانه</t>
  </si>
  <si>
    <t>پسرانه</t>
  </si>
  <si>
    <t>Girls</t>
  </si>
  <si>
    <t>Boys</t>
  </si>
  <si>
    <t>Mixed</t>
  </si>
  <si>
    <t>کاپیسا</t>
  </si>
  <si>
    <t>Nangarhar</t>
  </si>
  <si>
    <t>Laghman</t>
  </si>
  <si>
    <t xml:space="preserve">Bamyan  </t>
  </si>
  <si>
    <t>غزنی</t>
  </si>
  <si>
    <t>Nooristan</t>
  </si>
  <si>
    <t>Badakhshan</t>
  </si>
  <si>
    <t>بدخشان</t>
  </si>
  <si>
    <t>Takhar</t>
  </si>
  <si>
    <t>تخار</t>
  </si>
  <si>
    <t>Samangan</t>
  </si>
  <si>
    <t>سمنگان</t>
  </si>
  <si>
    <t>Sar-e-Pul</t>
  </si>
  <si>
    <t>سرپل</t>
  </si>
  <si>
    <t>Zabul</t>
  </si>
  <si>
    <t>Kandahar</t>
  </si>
  <si>
    <t>Jawzjan</t>
  </si>
  <si>
    <t>جوزجان</t>
  </si>
  <si>
    <t>Faryab</t>
  </si>
  <si>
    <t>فاریاب</t>
  </si>
  <si>
    <t>Helmand</t>
  </si>
  <si>
    <t>Nimroz</t>
  </si>
  <si>
    <t>Source:Ministry of Education</t>
  </si>
  <si>
    <t>Kundoz</t>
  </si>
  <si>
    <t>تعداد لیلیه ها</t>
  </si>
  <si>
    <t xml:space="preserve">kabul </t>
  </si>
  <si>
    <t>logar</t>
  </si>
  <si>
    <t>Sar- e- pul</t>
  </si>
  <si>
    <t>jawzjan</t>
  </si>
  <si>
    <t>منبع : وزارت معارف</t>
  </si>
  <si>
    <t>معلمان</t>
  </si>
  <si>
    <t>مکاتب</t>
  </si>
  <si>
    <t xml:space="preserve">Students </t>
  </si>
  <si>
    <t xml:space="preserve">Schools </t>
  </si>
  <si>
    <t xml:space="preserve">Primary  </t>
  </si>
  <si>
    <t xml:space="preserve">Kabul </t>
  </si>
  <si>
    <t xml:space="preserve">  کابل </t>
  </si>
  <si>
    <t xml:space="preserve">پروان   </t>
  </si>
  <si>
    <t xml:space="preserve">لوگر   </t>
  </si>
  <si>
    <t>واحدمقیاس</t>
  </si>
  <si>
    <t>ــ Islamic Schools</t>
  </si>
  <si>
    <t>شاگرد</t>
  </si>
  <si>
    <t>ــ Islamic Education Schools Students</t>
  </si>
  <si>
    <t>ــ Islamic Education Schools  New Students</t>
  </si>
  <si>
    <t xml:space="preserve">ــ Islamic Education Schools Graduates  </t>
  </si>
  <si>
    <t>معلم</t>
  </si>
  <si>
    <t>Person</t>
  </si>
  <si>
    <t>نفر</t>
  </si>
  <si>
    <t>Administration Personal</t>
  </si>
  <si>
    <t xml:space="preserve">  استادان</t>
  </si>
  <si>
    <t>Government and Private Schools</t>
  </si>
  <si>
    <t>Government Schools</t>
  </si>
  <si>
    <t>– Primary</t>
  </si>
  <si>
    <t>Private Schools</t>
  </si>
  <si>
    <t xml:space="preserve">– Primary Students </t>
  </si>
  <si>
    <t>Government Education Graduates</t>
  </si>
  <si>
    <t>Public Education Graduates</t>
  </si>
  <si>
    <t>– Government Education Teachers</t>
  </si>
  <si>
    <t>– Private Education Teachers</t>
  </si>
  <si>
    <t>New Students in Class One</t>
  </si>
  <si>
    <t>Vocational Schools Students</t>
  </si>
  <si>
    <t>Vocational Schools Teachers</t>
  </si>
  <si>
    <t>Night shift Schools</t>
  </si>
  <si>
    <t>– Students</t>
  </si>
  <si>
    <t xml:space="preserve">Government and Private Islamic Education Students </t>
  </si>
  <si>
    <t>– Government Islamic Education Students</t>
  </si>
  <si>
    <t>– Private Islamic Education Students</t>
  </si>
  <si>
    <t xml:space="preserve">منبع : وزارت معا رف </t>
  </si>
  <si>
    <t>literacy Courses</t>
  </si>
  <si>
    <t>کورسهای سواد آموزی</t>
  </si>
  <si>
    <t xml:space="preserve">Supervisors </t>
  </si>
  <si>
    <t>Supervisor</t>
  </si>
  <si>
    <t>سوپروایزر</t>
  </si>
  <si>
    <t>سوپروایزران</t>
  </si>
  <si>
    <t xml:space="preserve">Source: Ministry of Education   </t>
  </si>
  <si>
    <t>Kindergartens &amp; Nurseries</t>
  </si>
  <si>
    <t>Total Children in Kindergartens &amp; Nurseries</t>
  </si>
  <si>
    <t>Child</t>
  </si>
  <si>
    <t>طفل</t>
  </si>
  <si>
    <t>Children In Residential Kindergartens &amp; Nurseries</t>
  </si>
  <si>
    <t>Children in Work Place Kindergartens &amp; Nurseries</t>
  </si>
  <si>
    <t xml:space="preserve">Total Teachers in Kindergartens  &amp; Nurseries </t>
  </si>
  <si>
    <t xml:space="preserve">Source:Ministry of Labour and Social Affairs , Martyrs and Disabled </t>
  </si>
  <si>
    <t>Kinds of aid</t>
  </si>
  <si>
    <t>Center</t>
  </si>
  <si>
    <t>انستیتوت تخنیکی جوزجان</t>
  </si>
  <si>
    <t xml:space="preserve">Jawzjan Technical Institute  </t>
  </si>
  <si>
    <t>انستیتوت عالی اداره و حسابداری  بلخ</t>
  </si>
  <si>
    <t>شاخص</t>
  </si>
  <si>
    <t>Indicator</t>
  </si>
  <si>
    <t xml:space="preserve">پوهنتون </t>
  </si>
  <si>
    <t xml:space="preserve">پوهنځی </t>
  </si>
  <si>
    <t>Faculty</t>
  </si>
  <si>
    <t>University</t>
  </si>
  <si>
    <t xml:space="preserve">پوهنځی  </t>
  </si>
  <si>
    <t xml:space="preserve">پوهنتون / موسسه </t>
  </si>
  <si>
    <t xml:space="preserve">American Afghanistan University </t>
  </si>
  <si>
    <t>Institute</t>
  </si>
  <si>
    <t xml:space="preserve">انستیتوت </t>
  </si>
  <si>
    <t>انستیتوت</t>
  </si>
  <si>
    <t xml:space="preserve"> Institute</t>
  </si>
  <si>
    <t>ولایت</t>
  </si>
  <si>
    <t>ولا یت</t>
  </si>
  <si>
    <t xml:space="preserve">Province </t>
  </si>
  <si>
    <t>Province</t>
  </si>
  <si>
    <t xml:space="preserve">نوع مکتب     </t>
  </si>
  <si>
    <t xml:space="preserve"> Kind of School</t>
  </si>
  <si>
    <t>Qara Bagh Teacher Training</t>
  </si>
  <si>
    <t>تربیه معلم قره باغ کابل</t>
  </si>
  <si>
    <t>Ghorband Teacher Training</t>
  </si>
  <si>
    <t>تربیه معلم غوربند</t>
  </si>
  <si>
    <t>Shindand Herat Teacher Training</t>
  </si>
  <si>
    <t>Faculty of Trade &amp; Management</t>
  </si>
  <si>
    <t>Faculty of Specialized Education</t>
  </si>
  <si>
    <t>پوهنځی</t>
  </si>
  <si>
    <t xml:space="preserve">شاخص </t>
  </si>
  <si>
    <t xml:space="preserve"> موسسه</t>
  </si>
  <si>
    <t>Institution</t>
  </si>
  <si>
    <t>دولتی</t>
  </si>
  <si>
    <t>خصوصی</t>
  </si>
  <si>
    <t>Government</t>
  </si>
  <si>
    <t>Islamic Education Memorize of Quran</t>
  </si>
  <si>
    <t>ــ  Memorize of Quran</t>
  </si>
  <si>
    <t>Islamic Education &amp; Memorize of Quran Students</t>
  </si>
  <si>
    <t>ــ  Memorize of Quran Students</t>
  </si>
  <si>
    <t>Islamic Education &amp; Memorize of Quran New Students</t>
  </si>
  <si>
    <t>ــ Memorize of Quran Schools New Students</t>
  </si>
  <si>
    <t xml:space="preserve">Islamic Education &amp; Memorize of Quran Graduates </t>
  </si>
  <si>
    <t>ــ Memorize of Quran Graduates</t>
  </si>
  <si>
    <t>Islamic Education &amp; Memorize of Quran Staffs</t>
  </si>
  <si>
    <t>یادداشت : استادان يك نعداد از موسسات تربيه معلم دائمي نبوده باالمقطع میباشند .</t>
  </si>
  <si>
    <t xml:space="preserve">Balkh Management &amp; Accounting Institute  </t>
  </si>
  <si>
    <t xml:space="preserve">Kabul University   </t>
  </si>
  <si>
    <t>Table4-3:Number of Students in Government Faculties by Center &amp; Province at the Beginning of  Educational Year</t>
  </si>
  <si>
    <t xml:space="preserve">Table 4 -5:New Students of Government Universities by Faculty </t>
  </si>
  <si>
    <t xml:space="preserve">Table 4 -7 : Government Universities Graduates by Faculty  </t>
  </si>
  <si>
    <t>Private</t>
  </si>
  <si>
    <t>Table4-10:Number of Students and Teachers in Private  …(Contd)</t>
  </si>
  <si>
    <t>پوهنځی تعلیمات مسلکی (داخل خدمت روشان)</t>
  </si>
  <si>
    <t>Faculty of Vocational Education (Roshan in Service Faculty)</t>
  </si>
  <si>
    <t xml:space="preserve">منبع : وزارت معا رف  </t>
  </si>
  <si>
    <t>منبع : وزارت معا رف</t>
  </si>
  <si>
    <t xml:space="preserve">- Boy </t>
  </si>
  <si>
    <t>- Girl</t>
  </si>
  <si>
    <t>- Boy</t>
  </si>
  <si>
    <t xml:space="preserve">- Girl </t>
  </si>
  <si>
    <t xml:space="preserve">Source: Ministry of Education </t>
  </si>
  <si>
    <t xml:space="preserve">                جدول 4-7: فارغان پوهنتون های دولتی به تفکیک پوهنځی               </t>
  </si>
  <si>
    <t xml:space="preserve">No.of Dormitories                 </t>
  </si>
  <si>
    <t xml:space="preserve">Islamic Education &amp; Memorize of Quran Teachers </t>
  </si>
  <si>
    <t>منبع : وزارت تحصیلات عالی</t>
  </si>
  <si>
    <t>Laghman  University</t>
  </si>
  <si>
    <t>Laghman University</t>
  </si>
  <si>
    <t xml:space="preserve">Work Place </t>
  </si>
  <si>
    <t xml:space="preserve">Residential </t>
  </si>
  <si>
    <t xml:space="preserve">Number of Universities and Institutions </t>
  </si>
  <si>
    <t xml:space="preserve">Zabul Management &amp; Accounting Institute    </t>
  </si>
  <si>
    <t>حوزۀ های داخل خدمت بامیان</t>
  </si>
  <si>
    <t>حوزۀ های داخل خدمت پکتیکا</t>
  </si>
  <si>
    <t>حوزۀ های داخل خدمت پکتیا</t>
  </si>
  <si>
    <t>حوزۀ های داخل خدمت سمنگان</t>
  </si>
  <si>
    <t>حوزۀ های داخل خدمت جوزجان</t>
  </si>
  <si>
    <t>حوزۀ های داخل خدمت هرات</t>
  </si>
  <si>
    <t>انستیتوت تخنیکی پروان</t>
  </si>
  <si>
    <t xml:space="preserve">Parwan Technical Institute  </t>
  </si>
  <si>
    <t>انستیتوت عالی اداره و حسابداری  زابل</t>
  </si>
  <si>
    <t>– Lower Secondary</t>
  </si>
  <si>
    <t>– Lower Secondary Students</t>
  </si>
  <si>
    <t>– Lower Secondary  Students</t>
  </si>
  <si>
    <t>– Upper Secondary</t>
  </si>
  <si>
    <t>– Upper Secondary Students</t>
  </si>
  <si>
    <t xml:space="preserve">انستیتوت تربیه معلم مسلکی کابل  </t>
  </si>
  <si>
    <t>Kabul Teacher Training Institute</t>
  </si>
  <si>
    <t xml:space="preserve">تعداد لیسه های مسلکی و حرفوی </t>
  </si>
  <si>
    <t>Number of Professional and Vocational High Schools</t>
  </si>
  <si>
    <t>…</t>
  </si>
  <si>
    <t>...</t>
  </si>
  <si>
    <t xml:space="preserve">نوع کمک </t>
  </si>
  <si>
    <t>Medical Sciences</t>
  </si>
  <si>
    <t xml:space="preserve">Source:Ministries of Public Health &amp; Education </t>
  </si>
  <si>
    <t xml:space="preserve">منبع: وزارت های صحت عامه ومعارف  </t>
  </si>
  <si>
    <t>Figures in Mn Afs</t>
  </si>
  <si>
    <t xml:space="preserve">Table 4-11:Government &amp; Private General Education  in the Country </t>
  </si>
  <si>
    <t>Government and Private  Students Enrolled in General Education</t>
  </si>
  <si>
    <t xml:space="preserve">  Students Enrolled in Government Schools</t>
  </si>
  <si>
    <t xml:space="preserve"> Students Enrolled in Private Schools</t>
  </si>
  <si>
    <t xml:space="preserve">Faculty of Menagement and Palicy </t>
  </si>
  <si>
    <t>نجلي</t>
  </si>
  <si>
    <t>هلک</t>
  </si>
  <si>
    <t xml:space="preserve">  ټول</t>
  </si>
  <si>
    <t>ښځينه</t>
  </si>
  <si>
    <t>نارينه</t>
  </si>
  <si>
    <t>ټول</t>
  </si>
  <si>
    <t>Table4-2:Number of Students …(Contd)</t>
  </si>
  <si>
    <t>Rabeha Balkhi Higher Education ( Kabul )</t>
  </si>
  <si>
    <t>نوي شامل شوي</t>
  </si>
  <si>
    <t>فارغ شوي</t>
  </si>
  <si>
    <t>د مقیاس واحد</t>
  </si>
  <si>
    <t xml:space="preserve">Students محصلان - محصلین </t>
  </si>
  <si>
    <t>دمقیاس واحد</t>
  </si>
  <si>
    <t>ادامه جدول 4-3: تعداد محصلان پوهنځی های دولتی ...</t>
  </si>
  <si>
    <t>Table4-3:Number of Students in Government…(Contd)</t>
  </si>
  <si>
    <t xml:space="preserve"> د 4-3جدول ادامه : د مرکز او ولایتونو د دولتي  ...</t>
  </si>
  <si>
    <t xml:space="preserve">  Table 4 -4:New Students …(Contd)</t>
  </si>
  <si>
    <t>ادامه جدول 4-4:جدیدالشمولان ...</t>
  </si>
  <si>
    <t xml:space="preserve">  د 4-4 جدول ادامه : په دولتي پوهنتونونو ...</t>
  </si>
  <si>
    <t>ادامه جدول 4-5: جدیدالشمولان درپوهنتون ...</t>
  </si>
  <si>
    <t>Table 4 -5:New Students  …(Contd)</t>
  </si>
  <si>
    <t>د4-5 جدول ادامه : په دولتي پوهنتونونو كي ...</t>
  </si>
  <si>
    <t>ادامه جدول 4-7: فارغان پوهنتون های ...</t>
  </si>
  <si>
    <t>د 4-7 جدول ادامه : ددولتي پوهنتونونونه فارغ شوي ...</t>
  </si>
  <si>
    <t>Table 4 -7 : Government Universities…(Contd)</t>
  </si>
  <si>
    <t>ادامه جدول 4-8 : تعداد استادان پوهنتون ...</t>
  </si>
  <si>
    <t>Table 4-8 : Number of Teachers…(Contd)</t>
  </si>
  <si>
    <t>Table4 - 9 : Inmates of  Dormitories…(Contd)</t>
  </si>
  <si>
    <t>ادامه جدول 4-9:شاملین لیليه...</t>
  </si>
  <si>
    <t xml:space="preserve"> جديدالشمولان - نوی شامل شوی </t>
  </si>
  <si>
    <t>محصلان    -    محصلین</t>
  </si>
  <si>
    <t>جدول4-11: په هيواد کی دولتی او خصوصی عمومی زده کړي</t>
  </si>
  <si>
    <t>ادامه جدول4-11: تعلیمات عمومی ...</t>
  </si>
  <si>
    <t>د4-11جدول ادامه : په هيواد کی دولتی ...</t>
  </si>
  <si>
    <t>Table 4-11:Government &amp; Private…(Contd)</t>
  </si>
  <si>
    <t>د بلخ د تيلو او گازو انستیتوت</t>
  </si>
  <si>
    <t>د کابل برښنا  د لوړو زده کړو انستیتوت</t>
  </si>
  <si>
    <t>د ملکی هوايی چلند انستیتوت</t>
  </si>
  <si>
    <t>د کابل د ښوونکی د روزنی مسلکی انستیتوت</t>
  </si>
  <si>
    <t>د پروان تخنیکی انستیتوت</t>
  </si>
  <si>
    <t>د اداري او مدیریت ملی انستیتوت (نیما)</t>
  </si>
  <si>
    <t xml:space="preserve">د بدخشان د کرني انستیتوت </t>
  </si>
  <si>
    <t>د بلخ د کرني انستیتوت</t>
  </si>
  <si>
    <t>د جوزجان تخنیکی انستیتوت</t>
  </si>
  <si>
    <t xml:space="preserve">د بلخ د اداري او حساب داري عالی انستیتوت  </t>
  </si>
  <si>
    <t xml:space="preserve">د زابل د اداري او حساب داري عالی انستیتوت  </t>
  </si>
  <si>
    <t>سر چینه : د عامی روغتیا  او دپوهنې وزارتونه</t>
  </si>
  <si>
    <t xml:space="preserve">Total New Students </t>
  </si>
  <si>
    <t xml:space="preserve">سر چینه:د پوهنې وزارت   </t>
  </si>
  <si>
    <t>استاذان</t>
  </si>
  <si>
    <t>نجوني</t>
  </si>
  <si>
    <t>هلکان</t>
  </si>
  <si>
    <t>د مسلکي او حرفوي لیسو شمیر</t>
  </si>
  <si>
    <t xml:space="preserve"> زده کوونکي</t>
  </si>
  <si>
    <t>له دي جملي نه:</t>
  </si>
  <si>
    <t>د کابل ښا ر</t>
  </si>
  <si>
    <t>زده کوونکی</t>
  </si>
  <si>
    <t xml:space="preserve"> ښوونکې</t>
  </si>
  <si>
    <t>یادونه :د ښوونکی د روزني په موسسوكي يوشميراستاذان دایمی نه دی باالمقطع دی.</t>
  </si>
  <si>
    <t>د سیدجمال الدین دښوونکی روزنه</t>
  </si>
  <si>
    <t>د کابل د قره باغ دښوونکی روزنه</t>
  </si>
  <si>
    <t>د کاپیسأ د ښوونکی روزنه</t>
  </si>
  <si>
    <t>د پروان د ښوونکی روزنه</t>
  </si>
  <si>
    <t>دغوربند د ښوونکی روزنه</t>
  </si>
  <si>
    <t>د وردګ د ښوونکی روزنه</t>
  </si>
  <si>
    <t>د لوګر د ښوونکی روزنه</t>
  </si>
  <si>
    <t>د ننګرهار د ښوونکی روزنه</t>
  </si>
  <si>
    <t>د لغمان د ښوونکی روزنه</t>
  </si>
  <si>
    <t>د پنجشیر د ښوونکی روزنه</t>
  </si>
  <si>
    <t>د بغلان د ښوونکی روزنه</t>
  </si>
  <si>
    <t>د بامیان د ښوونکی روزنه</t>
  </si>
  <si>
    <t>د غزنی د ښوونکی روزنه</t>
  </si>
  <si>
    <t>د غزنی د جاغوری د ښوونکی روزنه</t>
  </si>
  <si>
    <t>د پکتیکأ د ښوونکی روزنه</t>
  </si>
  <si>
    <t>د پکتیأ د ښوونکی روزنه</t>
  </si>
  <si>
    <t>د خوست د ښوونکی روزنه</t>
  </si>
  <si>
    <t>د نورستان د ښوونکی روزنه</t>
  </si>
  <si>
    <t>د بدخشان د ښوونکی روزنه</t>
  </si>
  <si>
    <t>د تخار د ښوونکی روزنه</t>
  </si>
  <si>
    <t>د کندز د ښوونکی روزنه</t>
  </si>
  <si>
    <t>د سمنگان د ښوونکی روزنه</t>
  </si>
  <si>
    <t>د بلخ د ښوونکی روزنه</t>
  </si>
  <si>
    <t>د سرپل د ښوونکی روزنه</t>
  </si>
  <si>
    <t xml:space="preserve">د غور دښوونکی روزنه </t>
  </si>
  <si>
    <t>د دایکندی د ښوونکی روزنه</t>
  </si>
  <si>
    <t>د ارزګان د ښوونکی روزنه</t>
  </si>
  <si>
    <t>د زابل د ښوونکی روزنه</t>
  </si>
  <si>
    <t>د کندهار د ښوونکی روزنه</t>
  </si>
  <si>
    <t>د جوزجان د ښوونکی روزنه</t>
  </si>
  <si>
    <t>د فاریاب د ښوونکی روزنه</t>
  </si>
  <si>
    <t>د هلمند د ښوونکی روزنه</t>
  </si>
  <si>
    <t>د بادغیس د ښوونکی روزنه</t>
  </si>
  <si>
    <t>د هرات دښوونکی روزنه</t>
  </si>
  <si>
    <t>د فراه د ښوونکی روزنه</t>
  </si>
  <si>
    <t>د نیمروز د ښوونکی روزنه</t>
  </si>
  <si>
    <t xml:space="preserve">سر چینه:د پوهنې وزارت </t>
  </si>
  <si>
    <t>ګډ</t>
  </si>
  <si>
    <t xml:space="preserve">د نجونو </t>
  </si>
  <si>
    <t xml:space="preserve">د هلکانو </t>
  </si>
  <si>
    <t xml:space="preserve">   Schools - مکاتب  -  ښوونځي      </t>
  </si>
  <si>
    <t xml:space="preserve">Students -  شاگردان  - زده کوونکی  </t>
  </si>
  <si>
    <t>د لیلیو شمير</t>
  </si>
  <si>
    <t xml:space="preserve"> ښوونځي</t>
  </si>
  <si>
    <t>دښوونځي ډول</t>
  </si>
  <si>
    <t>د اسلامی زده کړو مدرسي او دارالحفاظونه</t>
  </si>
  <si>
    <t xml:space="preserve">داسلامی مدرسو اودارالحفاظونو زده کوونکي </t>
  </si>
  <si>
    <t>زده کوونکې</t>
  </si>
  <si>
    <t>ښوونکی</t>
  </si>
  <si>
    <t xml:space="preserve">زده کوونکي </t>
  </si>
  <si>
    <t>د سـواد د زډه کړو کورسونه</t>
  </si>
  <si>
    <t>ــ اناث / ښځينه</t>
  </si>
  <si>
    <t>ــ ذکور/ نارينه</t>
  </si>
  <si>
    <t xml:space="preserve">سرچينه : د لوړو زده کړو وزارت </t>
  </si>
  <si>
    <t>مجموع محصلان / ټول محصلين</t>
  </si>
  <si>
    <t>پوهنتون کابل / د کابل پوهنتون</t>
  </si>
  <si>
    <t xml:space="preserve">پوهنتون هرات / د هرات پوهنتون </t>
  </si>
  <si>
    <t xml:space="preserve">پوهنتون ننگرهار / د ننګرهار پوهنتون </t>
  </si>
  <si>
    <t xml:space="preserve">پوهنتون کندهار / د کندهار پوهنتون </t>
  </si>
  <si>
    <t>پوهنتون بلخ / د بلخ پوهنتون</t>
  </si>
  <si>
    <t>پوهنتون بدخشان / د بدخشان پوهنتون</t>
  </si>
  <si>
    <t>پوهنتون کندز / د کندز پوهنتون</t>
  </si>
  <si>
    <t>پوهنتون پروان / د پروان پوهنتون</t>
  </si>
  <si>
    <t>پوهنتون جوزجان / د جوزجان پوهنتون</t>
  </si>
  <si>
    <t>پوهنتون  فاریاب / د فاریاب پوهنتون</t>
  </si>
  <si>
    <t>پوهنتون بغلان / د  بغلان پوهنتون</t>
  </si>
  <si>
    <t xml:space="preserve">پوهنتون بامیان / د بامیان پوهنتون </t>
  </si>
  <si>
    <t>پوهنتون پکتیا / د پکتیا پوهنتون</t>
  </si>
  <si>
    <t>پوهنتون غزنی / د غزنی پوهنتون</t>
  </si>
  <si>
    <t>پوهنتون لغمان / د لغمان پوهنتون</t>
  </si>
  <si>
    <t>سرچينه :  د لوړو زده کړو وزارت</t>
  </si>
  <si>
    <t>مجموع / ټول</t>
  </si>
  <si>
    <t xml:space="preserve">پوهنځی حقوق / د حقوقو پوهنځی </t>
  </si>
  <si>
    <t xml:space="preserve">پوهنځی ساینس / د ساینس پوهنځی </t>
  </si>
  <si>
    <t xml:space="preserve">پوهنځی زراعت / د کرني پوهنځی </t>
  </si>
  <si>
    <t xml:space="preserve">پوهنځی اقتصاد / د اقتصاد پوهنځی </t>
  </si>
  <si>
    <t xml:space="preserve">پوهنځی زمین شناسی / د ځمکې پيژندني پوهنځی </t>
  </si>
  <si>
    <t xml:space="preserve">پوهنځی ژورنالیزم / د ژورنالیزم پوهنځی </t>
  </si>
  <si>
    <t xml:space="preserve">پوهنځی تعلیم و تربیه / د ښووني او روزني پوهنځی </t>
  </si>
  <si>
    <t xml:space="preserve">پوهنځی ساختمانی / د ساختمانی پوهنځی </t>
  </si>
  <si>
    <t>پوهنځی تربیت بدنی / د بدنی روزني پوهنځی</t>
  </si>
  <si>
    <t xml:space="preserve">سرچينه :  د لوړو زده کړو وزارت </t>
  </si>
  <si>
    <t>مجموع جدیدالشمولان / ټول نوی شامل شوی</t>
  </si>
  <si>
    <t xml:space="preserve">جدول 4-5: جدیدالشمولان در پوهنتون های دولتی به تفکیک پوهنځی  </t>
  </si>
  <si>
    <t>مجموع فارغان / ټول فارغ شوی</t>
  </si>
  <si>
    <t>د 4-8 جدول ادامه : د دولتي پوهنتونونو د استادانو ...</t>
  </si>
  <si>
    <t xml:space="preserve"> مجموع  / ټول</t>
  </si>
  <si>
    <t>د 4-9 جدول ادامه : د دولتي پوهنتونونو د لیليو ...</t>
  </si>
  <si>
    <t xml:space="preserve">مجموع / ټول </t>
  </si>
  <si>
    <t>محصلان /  محصلين</t>
  </si>
  <si>
    <t>جدیدالشمولان / نوي شامل شوي</t>
  </si>
  <si>
    <t>فارغان / فارغ شوي</t>
  </si>
  <si>
    <t>ذکور / نارينه</t>
  </si>
  <si>
    <t>اناث / ښځينه</t>
  </si>
  <si>
    <t>ــ محل کار / د کارکولو ځاي</t>
  </si>
  <si>
    <t xml:space="preserve">منبع : وزارت کار و اموراجتماعی ، شهدا و معلولین   </t>
  </si>
  <si>
    <t xml:space="preserve">سرچينه : د کار او ټولنيزو چارو ، شهيدانو او معلولینو وزارت </t>
  </si>
  <si>
    <t>مرکز / پلازمينه</t>
  </si>
  <si>
    <t xml:space="preserve"> ولایات /  ولایتونه</t>
  </si>
  <si>
    <t>استادان / استاذان</t>
  </si>
  <si>
    <t>Suorce: Afghan Red Crescent Society</t>
  </si>
  <si>
    <t>منبع : جمعیت هلال احمر افغانی</t>
  </si>
  <si>
    <t>پوهنځی انجنیری / د انجنیری پوهنځی</t>
  </si>
  <si>
    <t xml:space="preserve">پوهنځی زبان وادبیات / د ژبواو ادبیاتو پوهنځی </t>
  </si>
  <si>
    <t>پوهنځی وترنری /  د وترنری پوهنځی</t>
  </si>
  <si>
    <t>پوهنځی فارمسی / د فارمسی پوهنځی</t>
  </si>
  <si>
    <t xml:space="preserve">پوهنځی علوم تربیتی و روانشناسی / د روزنيزو علومواو روانشناسی پوهنځی  </t>
  </si>
  <si>
    <t xml:space="preserve">پوهنځی هنرها / دهنرونو پوهنځی </t>
  </si>
  <si>
    <t xml:space="preserve">پوهنځی علوم اجتماعی/ د ټولنيزو علومو پوهنځی </t>
  </si>
  <si>
    <t xml:space="preserve">پوهنځی جیولوژی ومعدن /           د جیولوژی او کانو پوهنځی </t>
  </si>
  <si>
    <t>د مسلکی تعلیماتو پوهنځی            ( د روشان د خدمت دننی  دوری )</t>
  </si>
  <si>
    <t>پوهنتون غزنی / دغزنی پوهنتون</t>
  </si>
  <si>
    <t>پوهنځی فارمسی/ د فارمسی پوهنځی</t>
  </si>
  <si>
    <t>پوهنځی کمپیوترساینس/ د کمپیوتر ساینس پوهنځی</t>
  </si>
  <si>
    <t>سرچينه :  د لوړوزده کړو وزارت</t>
  </si>
  <si>
    <t>پوهنځی تعلیمات مسلکی               (داخل خدمت روشان)</t>
  </si>
  <si>
    <t>پوهنتون بغلان / د بغلان پوهنتون</t>
  </si>
  <si>
    <t>ادامۀ جدول4-10:تعداد محصلان واستادان موسسات تحصیلات عالی خصوصی …</t>
  </si>
  <si>
    <t xml:space="preserve"> استادان - استاذان</t>
  </si>
  <si>
    <t xml:space="preserve">  سر چینه : دعامی روغتیا وزارت</t>
  </si>
  <si>
    <t>پسرانه / دهلکانو</t>
  </si>
  <si>
    <t>دخترانه / دنجونو</t>
  </si>
  <si>
    <t>شاگردان /  زده کوونکي</t>
  </si>
  <si>
    <t>پسر / هلکان</t>
  </si>
  <si>
    <t>دختر / نجوني</t>
  </si>
  <si>
    <t>شهر کابل / د کابل ښا ر</t>
  </si>
  <si>
    <t>شهر کابل / د کابل ښار</t>
  </si>
  <si>
    <t xml:space="preserve">د ایران آزاد اسلامی پوهنتون د کابل څانكه  </t>
  </si>
  <si>
    <t>کنرها / کڼرونه</t>
  </si>
  <si>
    <t xml:space="preserve">پوهنځی هنرها / د هنرونو پوهنځی </t>
  </si>
  <si>
    <t xml:space="preserve">پوهنځی علوم اجتماعی / د ټولنيزو علومو پوهنځی </t>
  </si>
  <si>
    <t xml:space="preserve">پوهنځی شرعیات / د شرعیاتو پوهنځی </t>
  </si>
  <si>
    <t xml:space="preserve">پوهنځی معالجوی مرکز / د مرکز معالجوی پوهنځی </t>
  </si>
  <si>
    <t>Faculty of  Nursing                  ( Center )</t>
  </si>
  <si>
    <t xml:space="preserve">پوهنځی اداره و پالیسی / د اداری او پالیسی پوهنځی </t>
  </si>
  <si>
    <t xml:space="preserve">د مخابراتو اومعلوماتی تکنالوژي  پوهنځی </t>
  </si>
  <si>
    <t xml:space="preserve">   جدول4-5: په دولتي پوهنتونونو کښې نوي شامل شوي د پوهنځي په توپير</t>
  </si>
  <si>
    <t>پوهنځی وترنری/ د وترنری پوهنځی</t>
  </si>
  <si>
    <t xml:space="preserve">پوهنځی شرعیات/ د شرعیاتو پوهنځی </t>
  </si>
  <si>
    <t xml:space="preserve">پوهنځی تعلیم وتربیه / د ښووني او روزني پوهنځی </t>
  </si>
  <si>
    <t>پوهنځی تربیت بدنی/ د بدنی روزني پوهنځی</t>
  </si>
  <si>
    <t xml:space="preserve">پوهنځی اداره وپالیسی / د اداری او پالیسی پوهنځی </t>
  </si>
  <si>
    <t>پوهنځی تجارت و اداره/ د سوداکرې اواداري پوهنځی</t>
  </si>
  <si>
    <t xml:space="preserve">پوهنځی زمین شناسی/ د ځمکې پيژندني پوهنځی </t>
  </si>
  <si>
    <t>پوهنځی انجنیری/ د انجنیری پوهنځی</t>
  </si>
  <si>
    <t xml:space="preserve">پوهنځی نرسنگ مرکز / د مرکز          د نرسنگ پوهنځی </t>
  </si>
  <si>
    <t xml:space="preserve">پوهنتون پولی تخنیک کابل / د کابل د پولی تخنیک پوهنتون </t>
  </si>
  <si>
    <t xml:space="preserve">پوهنتون ننگرهار/ د ننګرهار پوهنتون </t>
  </si>
  <si>
    <t xml:space="preserve">جدول 4-7: د دولتي پوهنتونونونه فارغ شوي د پوهنځي په توپير </t>
  </si>
  <si>
    <t xml:space="preserve">پوهنځی زبان وادبیات/ د ژبواوادبیاتو پوهنځی </t>
  </si>
  <si>
    <t>پوهنځی انجنیری/د انجنیری پوهنځی</t>
  </si>
  <si>
    <t>پوهنځی وترنری / د وترنری پوهنځی</t>
  </si>
  <si>
    <t xml:space="preserve">پوهنځی علوم اجتماعی/د ټولنيزو علوموپوهنځی </t>
  </si>
  <si>
    <t xml:space="preserve">پوهنځی ساختمانی/ د ساختمانی پوهنځی </t>
  </si>
  <si>
    <t>پوهنځی تجارت واداره/ د سوداکرې او اداري پوهنځی</t>
  </si>
  <si>
    <t xml:space="preserve">د مخابراتو او معلوماتی تکنالوژي  پوهنځی </t>
  </si>
  <si>
    <t xml:space="preserve">پوهنتون پولی تخنیک کابل / د کابل    دپولی تخنیک پوهنتون </t>
  </si>
  <si>
    <t xml:space="preserve">پوهنتون کندهار/ د کندهار پوهنتون </t>
  </si>
  <si>
    <t>پوهنتون فاریاب / د فاریاب پوهنتون</t>
  </si>
  <si>
    <t>د نجونو سلنه</t>
  </si>
  <si>
    <t>د ښځينه وو سلنه</t>
  </si>
  <si>
    <t xml:space="preserve">Source : Ministry of Education                </t>
  </si>
  <si>
    <t>شاگردان / زده کوونکي</t>
  </si>
  <si>
    <t>معلمان / ښوونکي</t>
  </si>
  <si>
    <t>شاگرد / زده کوونکي</t>
  </si>
  <si>
    <t>معلم / ښوونکي</t>
  </si>
  <si>
    <t xml:space="preserve">Faculty of Menagement and Policy </t>
  </si>
  <si>
    <t>ازجمله /  له دي جملي نه:</t>
  </si>
  <si>
    <t xml:space="preserve">شهرکابل / د کابل ښا ر    </t>
  </si>
  <si>
    <t>Source : Ministry of Education</t>
  </si>
  <si>
    <t>Source : Ministry of  Education</t>
  </si>
  <si>
    <t>پسران</t>
  </si>
  <si>
    <t>دختران</t>
  </si>
  <si>
    <t>ــ مدارس اسلامی / اسلامی مدرسی</t>
  </si>
  <si>
    <t>ــ دارالحفاظ ها /  دارالحفاظونه</t>
  </si>
  <si>
    <t>ــ د اسلامی مدرسو زده کوونکي</t>
  </si>
  <si>
    <t>په اسلامی مدرسو او دارالحفاظونو کی نوي شامل شوي زده کوونکي</t>
  </si>
  <si>
    <t>ــ په اسلامی مدرسو کی نوي شامل شوي</t>
  </si>
  <si>
    <t xml:space="preserve">د اسلامی مدرسو او دارالحفاظونونو نه فارغ شوي  </t>
  </si>
  <si>
    <t>د اسلامی مدرسو او دارالحفاظونو ښوونکی</t>
  </si>
  <si>
    <t>د اسلامی مدرسو او دارالحفاظونو مامورين</t>
  </si>
  <si>
    <t>سر چینه : د پوهنې وزارت</t>
  </si>
  <si>
    <t>مكاتب دولتی / دولتی ښوونځي</t>
  </si>
  <si>
    <t>ــ ابتدائیه / لمړني</t>
  </si>
  <si>
    <t>ــ متوسطه / منځني</t>
  </si>
  <si>
    <t>ــ لیسه / لیسي</t>
  </si>
  <si>
    <t>مكاتب خصوصی / خصوصی ښوونځي</t>
  </si>
  <si>
    <t>ــ تعليمات  ابتدائیه /  لمړني زده کړی</t>
  </si>
  <si>
    <t>ــ تعليمات  متوسطه / منځني زده کړی</t>
  </si>
  <si>
    <t>تعداد لیسه مسلکی / د مسلکی  لیسو شمیر</t>
  </si>
  <si>
    <t>شاگردان لیسه های مسلکی / د مسلکی  لیسو زده کوونکی</t>
  </si>
  <si>
    <t>معلمان لیسه های مسلکی / د مسلکی  لیسو ښوونکې</t>
  </si>
  <si>
    <t>ــ شاگردان / زده کوونکی</t>
  </si>
  <si>
    <t>مكاتب دولتی و خصوصی / دولتی او خصوصی ښوونځي</t>
  </si>
  <si>
    <t xml:space="preserve">مجموع  / ټول     </t>
  </si>
  <si>
    <t xml:space="preserve"> Teachers - استادان - استاذان </t>
  </si>
  <si>
    <t>انستیتوت کثیرالرشتوی بگرامی (کابل)</t>
  </si>
  <si>
    <t>انستیتوت کثیرالرشتوی خاک جبار (کابل)</t>
  </si>
  <si>
    <t>انستیتوت معدن مرکز لوگر</t>
  </si>
  <si>
    <t xml:space="preserve">د کڼرونه د اداري او حساب داري عالی انستیتوت  </t>
  </si>
  <si>
    <t>انستیتوت عالی اداره و حسابداری کنرها</t>
  </si>
  <si>
    <t>انستیتوت عالی اداره و حسابداری هرات</t>
  </si>
  <si>
    <t>انستیتوت میخانیکی خوست</t>
  </si>
  <si>
    <t xml:space="preserve">د خوست میخانیکی انستیتوت </t>
  </si>
  <si>
    <t>انستیتوت مسلکی زراعت (کندز)</t>
  </si>
  <si>
    <t>د کندز د کرني انستیتوت</t>
  </si>
  <si>
    <t xml:space="preserve">د جوزجان د دکرني او وترنري انستیتوت  </t>
  </si>
  <si>
    <t xml:space="preserve">د کابل دبگرامیو کثیرالرشتوی انستیتوت </t>
  </si>
  <si>
    <t xml:space="preserve">د کابل دخاک جبار کثیرالرشتوی انستیتوت </t>
  </si>
  <si>
    <t xml:space="preserve">د هرات د اداري او حساب داري عالی انستیتوت  </t>
  </si>
  <si>
    <t>انستیتوت کثیرالرشتوی (  فاریاب )</t>
  </si>
  <si>
    <t xml:space="preserve">د فاریاب د کثیرالرشتوی انستیتوت </t>
  </si>
  <si>
    <t>انستیتوت عالی اداره وحسابداری لغمان</t>
  </si>
  <si>
    <t xml:space="preserve">د لغمان د اداري او حساب داري انستیتوت </t>
  </si>
  <si>
    <t xml:space="preserve">انستیتوت تخنیکی  سمنگان </t>
  </si>
  <si>
    <t>د سمنگان تخنیکی انستیتوت</t>
  </si>
  <si>
    <t>د غور تخنیکی انستیتوت</t>
  </si>
  <si>
    <t>انستیتوت عالی اداره وحسابداری بادغیس</t>
  </si>
  <si>
    <t xml:space="preserve">د بادغیس د اداري اوحساب داري انستیتوت </t>
  </si>
  <si>
    <t>انستیتوت کثیرالرشتوی ( پکتیا )</t>
  </si>
  <si>
    <t xml:space="preserve">د پکتیا د کثیرالرشتوی انستیتوت </t>
  </si>
  <si>
    <t>انستیتوت تخنیکی (  تخار )</t>
  </si>
  <si>
    <t>د  تخار تخنیکی انستیتوت</t>
  </si>
  <si>
    <t>انستیتوت نفت وگاز سرپل</t>
  </si>
  <si>
    <t>د سرپل د تيلواوگازو انستیتوت</t>
  </si>
  <si>
    <t>انستیتوت اداره وحسابداری نیمروز</t>
  </si>
  <si>
    <t>سرچينه : د پوهنې وزارت</t>
  </si>
  <si>
    <t>کنرها / کنړونه</t>
  </si>
  <si>
    <t xml:space="preserve"> سرچينه : د افغاني سرې مياشتې عالي ټولنه </t>
  </si>
  <si>
    <t>سرچينه :د پوهنې وزارت</t>
  </si>
  <si>
    <t xml:space="preserve">سر چینه: د پوهنې وزارت   </t>
  </si>
  <si>
    <t>.</t>
  </si>
  <si>
    <t xml:space="preserve">Kunarha Management &amp; Accounting Institute    </t>
  </si>
  <si>
    <t xml:space="preserve">Herat Management &amp; Accounting Institute    </t>
  </si>
  <si>
    <t>Kundoz Agriculture Institute</t>
  </si>
  <si>
    <t>Jawzjan Agriculture &amp; Veterinary Institute</t>
  </si>
  <si>
    <t xml:space="preserve">Samangan  Technical Institute  </t>
  </si>
  <si>
    <t xml:space="preserve">Lagman Management &amp; Accounting Institute  </t>
  </si>
  <si>
    <t>Ghor Technical Institute</t>
  </si>
  <si>
    <t xml:space="preserve">Badghis Management &amp; Accounting Institute  </t>
  </si>
  <si>
    <t xml:space="preserve">Takhar Technical Institute  </t>
  </si>
  <si>
    <t>Sar-e-pul  Petroleum and Gas  Institute</t>
  </si>
  <si>
    <t xml:space="preserve">Nimroz Management &amp; Accounting Institute    </t>
  </si>
  <si>
    <t xml:space="preserve">د لوگر د مرکزمعدن انستیتوت  </t>
  </si>
  <si>
    <t xml:space="preserve">Logar Canter Mine Institute  </t>
  </si>
  <si>
    <t xml:space="preserve">  مجموع / ټول</t>
  </si>
  <si>
    <t>شاگردان شامل تعلیمات دولتی / په دولتی زده کړو کی شامل  زده کوونکی</t>
  </si>
  <si>
    <t>جدول4-11: تعلیمات عمومی دولتی و خصوصی در کشور</t>
  </si>
  <si>
    <t>فارغان تعلیمات دولتی / د دولتی زده کړو فارغ شوی</t>
  </si>
  <si>
    <t xml:space="preserve">معلمان تعلیمات دولتی و خصوصی / د دولتی او خصوصی زده کړو ښوونکې </t>
  </si>
  <si>
    <t>ــ تعليمات درلیسه / په لیسو کی زده کړی</t>
  </si>
  <si>
    <t xml:space="preserve">شاملان  صنف اول مکاتب / د ښوونځيو په لمړي تولګي کی نوي شامل شوي </t>
  </si>
  <si>
    <t xml:space="preserve">مجموع لیسه ها ی  شبانه / ټولي د شپی لیسي </t>
  </si>
  <si>
    <t>شاگردان تعلیمات اسلامی دولتی و خصوصی / د دولتی او خصوصی دینی زده کړو زده کوونکی</t>
  </si>
  <si>
    <t xml:space="preserve">ــ شاگردان تعلیمات اسلامی دولتی / د دولتی دینی زده کړو زده کوونکی </t>
  </si>
  <si>
    <t>ــ شاگردان تعلیمات اسلامی خصوصی / د خصوصی دینی زده کړو زده کوونکی</t>
  </si>
  <si>
    <t>مجموع محصلان /  ټول محصلین</t>
  </si>
  <si>
    <t>انستیتوت تعلیمات عالی زراعتی و وترنری کابل</t>
  </si>
  <si>
    <t xml:space="preserve">د کابل د لوړو زده کړو د کرني او وترنري انستیتوت  </t>
  </si>
  <si>
    <t xml:space="preserve">د کابل د اداري اوحساب داري انستیتوت </t>
  </si>
  <si>
    <t>انستیتوت عالی اداره وحسابداری کابل</t>
  </si>
  <si>
    <t>انستیتوت نفت و گاز بلخ</t>
  </si>
  <si>
    <t>انستیتوت تکنالوژی معلوماتی و مخابراتی</t>
  </si>
  <si>
    <t>د مخابراتو او معلوماتی تکنالوژي انستیتوت</t>
  </si>
  <si>
    <t>شاگردان شامل  تعلیمات  خصوصی / په خصوصی زده کړو کی شامل  زده کوونکی</t>
  </si>
  <si>
    <t xml:space="preserve">منبع : وزارت های معارف ،انرژی وآب ،مخابرات وتکنالوژی معلوماتی وترانسپورت وهوا نوردی            </t>
  </si>
  <si>
    <t xml:space="preserve">Source : Ministries of Education,Water and Power,Communication and Information Technology ,Transport &amp;Civil Aviation </t>
  </si>
  <si>
    <t xml:space="preserve">سرچینه : دپوهنې ، اوبو اوبرښنا ، مخابراتو اومعلوماتی تکنالوژی او دترانسپورت او ملکی هوائی چلند وزارتونه </t>
  </si>
  <si>
    <t>تعداد انستیتوت ها / د انستیتوتونو شمير</t>
  </si>
  <si>
    <t xml:space="preserve"> مجموع محصلان / ټول محصلین</t>
  </si>
  <si>
    <t>مجموع جدیدالشمولان / ټول نوي شامل شوي</t>
  </si>
  <si>
    <t>مجموع فارغان / ټول فارغ شوي</t>
  </si>
  <si>
    <t xml:space="preserve">مجموع استادان / ټول استاذان </t>
  </si>
  <si>
    <t xml:space="preserve">Total No. of Institutions </t>
  </si>
  <si>
    <t>تعداد شاملین / د شاملینو شمیر</t>
  </si>
  <si>
    <t>نجونی</t>
  </si>
  <si>
    <t xml:space="preserve">Source : Ministry of Education </t>
  </si>
  <si>
    <t>د بدخشان د شغنان د ښوونکی روزنه</t>
  </si>
  <si>
    <t>د فاریاب د اندخوی د ښوونکی روزنه</t>
  </si>
  <si>
    <t>د هرات د شیندند د ښوونکی روزنه</t>
  </si>
  <si>
    <t xml:space="preserve">د کابل د خدمت  دننی دوری دښوونکی روزنه  </t>
  </si>
  <si>
    <t xml:space="preserve">د کاپیسأ  د خدمت  دننی دوری دښوونکی روزنه </t>
  </si>
  <si>
    <t xml:space="preserve">د پروان  د خدمت  دننی دوری دښوونکی روزنه  </t>
  </si>
  <si>
    <t xml:space="preserve">د وردګ  د خدمت  دننی دوری دښوونکی روزنه   </t>
  </si>
  <si>
    <t xml:space="preserve">د لوګر د خدمت  دننی دوری دښوونکی روزنه  </t>
  </si>
  <si>
    <t xml:space="preserve">د ننګرهارد خدمت  دننی دوری دښوونکی روزنه </t>
  </si>
  <si>
    <t xml:space="preserve">د لغمان  د خدمت  دننی دوری دښوونکی روزنه </t>
  </si>
  <si>
    <t xml:space="preserve">د پنجشیر د خدمت  دننی دوری دښوونکی روزنه   </t>
  </si>
  <si>
    <t xml:space="preserve">د بغلان  د خدمت  دننی دوری دښوونکی روزنه </t>
  </si>
  <si>
    <t xml:space="preserve">د بامیان  د خدمت  دننی دوری دښوونکی روزنه  </t>
  </si>
  <si>
    <t xml:space="preserve">د پکتیکا  د خدمت  دننی دوری دښوونکی روزنه </t>
  </si>
  <si>
    <t xml:space="preserve">د پکتیا  د خدمت  دننی دوری دښوونکی روزنه  </t>
  </si>
  <si>
    <t xml:space="preserve">د خوست د خدمت  دننی دوری دښوونکی روزنه </t>
  </si>
  <si>
    <t xml:space="preserve">د کنړونو د خدمت  دننی دوری دښوونکی روزنه </t>
  </si>
  <si>
    <t xml:space="preserve">د بدخشان د خدمت  دننی دوری دښوونکی روزنه </t>
  </si>
  <si>
    <t xml:space="preserve">د تخار د خدمت  دننی دوری دښوونکی روزنه </t>
  </si>
  <si>
    <t xml:space="preserve">د کندز د خدمت  دننی دوری دښوونکی روزنه </t>
  </si>
  <si>
    <t xml:space="preserve">د سمنگان  د خدمت  دننی دوری دښوونکی روزنه </t>
  </si>
  <si>
    <t xml:space="preserve">د بلخ  د خدمت  دننی دوری دښوونکی روزنه </t>
  </si>
  <si>
    <t xml:space="preserve">د سرپل د خدمت  دننی دوری دښوونکی روزنه </t>
  </si>
  <si>
    <t xml:space="preserve">د غور  د خدمت  دننی دوری دښوونکی روزنه </t>
  </si>
  <si>
    <t xml:space="preserve">د دایکندی  د خدمت  دننی دوری دښوونکی روزنه </t>
  </si>
  <si>
    <t xml:space="preserve">د جوزجان  د خدمت  دننی دوری دښوونکی روزنه </t>
  </si>
  <si>
    <t xml:space="preserve">د فاریاب  د خدمت  دننی دوری دښوونکی روزنه </t>
  </si>
  <si>
    <t xml:space="preserve">د هرات  د خدمت  دننی دوری دښوونکی روزنه </t>
  </si>
  <si>
    <t>تربیۀ معلم شیندند هرات</t>
  </si>
  <si>
    <t>د بدخشان د درواز د ښوونکی روزنه</t>
  </si>
  <si>
    <t>د کنړونو د ښوونکی روزنه</t>
  </si>
  <si>
    <t>ابتدائیه / لمړني</t>
  </si>
  <si>
    <t>متوسطه / منځنی</t>
  </si>
  <si>
    <t>گراف 4 - 12 : شاگردان و استادان مدارس دینی خصوصی</t>
  </si>
  <si>
    <t xml:space="preserve">د 4 - 12 گراف : د خصوصی دینی زده کړو زده کوونکي او ښوونکی </t>
  </si>
  <si>
    <t>Bagrami Multiple branch Institute</t>
  </si>
  <si>
    <t>Khak-e- Jabar Multiple branch Institute</t>
  </si>
  <si>
    <t>Khost Mechanical Institute</t>
  </si>
  <si>
    <t>Faryab  Multiple branch Institute</t>
  </si>
  <si>
    <t>Paktya Multiple branch Institute</t>
  </si>
  <si>
    <t xml:space="preserve"> د پلخمری میخانیکی انستیتوت </t>
  </si>
  <si>
    <t xml:space="preserve">Pol Khomri  Mechanical Institute  </t>
  </si>
  <si>
    <t xml:space="preserve">انستیتوت هنرهای زیبا و صنایع  کابل                </t>
  </si>
  <si>
    <t xml:space="preserve">د كابل د ښا یسته هنرونو اوصنایعو انستیتوت       </t>
  </si>
  <si>
    <t xml:space="preserve">Kabul  Industries of Arts  Institute  </t>
  </si>
  <si>
    <t>Construction &amp; Geodesy Institute</t>
  </si>
  <si>
    <t xml:space="preserve">انستیتوت میخانیکی پلخمری </t>
  </si>
  <si>
    <t>ْْ</t>
  </si>
  <si>
    <t>محصلان</t>
  </si>
  <si>
    <t>فارغان</t>
  </si>
  <si>
    <t>محصلین</t>
  </si>
  <si>
    <t>Table 4-12 :Government Technical and Vocational ... (Contd)</t>
  </si>
  <si>
    <t xml:space="preserve">ادامه جدول 4-12: انستیتوت های تخنیکی و مسلکی دولتی  </t>
  </si>
  <si>
    <t>یادونه :د یوشمیر دولتي انستیتوتونو د تدریس پرمخته ولوړوكي د حق الزحمي استاذانو نه استفاده كيږی .</t>
  </si>
  <si>
    <t xml:space="preserve"> یادداشت :  در پیشبرد تد ریس  بعضی  انستیتوت ها از استادان حق الزحمه استفاده میشود . </t>
  </si>
  <si>
    <t xml:space="preserve">مجموع  / ټول                   </t>
  </si>
  <si>
    <t xml:space="preserve"> محصل / محصلین </t>
  </si>
  <si>
    <t>استاد / استاذ</t>
  </si>
  <si>
    <t xml:space="preserve">   Teacher</t>
  </si>
  <si>
    <t xml:space="preserve"> ازجمله /علوم صحی/ له دي جملي نه: روغتيائی علوم</t>
  </si>
  <si>
    <t xml:space="preserve">جدول 4-13: انستیتوت های علوم صحی </t>
  </si>
  <si>
    <t xml:space="preserve">جدول 4-13: د روغتیائی علومو انستیتوتونه </t>
  </si>
  <si>
    <t>Table 4 - 13 : Medical Sciences Institutions</t>
  </si>
  <si>
    <t xml:space="preserve">جدول 4-17: مجموع لیسه های مسلکی و حرفوی </t>
  </si>
  <si>
    <t xml:space="preserve">جدول 4-17: ټولی مسلکي او حرفوي ليسي </t>
  </si>
  <si>
    <t xml:space="preserve">جدول 4-18: تعداد شاگردان  شامل مکاتب تعلیمات عمومی دولتی  </t>
  </si>
  <si>
    <t xml:space="preserve">Table 4-18 : Number of  Students Enrolled in Government General Education Schools </t>
  </si>
  <si>
    <t>د 4-18جدول ادامه: د دولتی عمومی زده کړوپه ښوونځيو کی د زده کوونکو ...</t>
  </si>
  <si>
    <t>ادامۀ جدول 4-18: تعداد شاگردان مکاتب ...</t>
  </si>
  <si>
    <t>Table 4-18: Number of Students …(Contd)</t>
  </si>
  <si>
    <t>ادامۀ جدول 4-16:موسسات دولتی تربیۀ معلم و حوزۀ های داخل خدمت ...</t>
  </si>
  <si>
    <t>د4- 16: جدول ادامه : د ښوونکی د روزني دولتی مؤسسۍ ...</t>
  </si>
  <si>
    <t>Table4-16:Government Teacher Training Institutions ... (Contd)</t>
  </si>
  <si>
    <t xml:space="preserve"> جدول 4-19 : تعداد معلمان مکاتب تعلیمات عمومی دولتی به تفکیک ولایت  </t>
  </si>
  <si>
    <t xml:space="preserve">Table4-19:Number of Teachers in Government General Education Schools by Province </t>
  </si>
  <si>
    <t>ادامۀ جدول 4-19 : تعداد معلمان مکاتب ...</t>
  </si>
  <si>
    <t>د 4-19جدول ادامه : د دولتی عمومی زده کړو د ښوونکو ...</t>
  </si>
  <si>
    <t>Table4-19 : Number of Teachers in Schools …(Contd)</t>
  </si>
  <si>
    <t xml:space="preserve">جدول 4-20: نسبت شاگردان و معلمان تعلیمات عمومی دولتی </t>
  </si>
  <si>
    <t>جدول4-20: د دولتی عمومی زده کړو د ښوونکو او زده کوونکو نسبت</t>
  </si>
  <si>
    <t xml:space="preserve">Table 4 -20:Government General Education Students &amp; Teachers Ratio </t>
  </si>
  <si>
    <t>ادامۀ جدول 4-25: تعلیمات عمومی خصوصی -</t>
  </si>
  <si>
    <t xml:space="preserve"> د4-25جدول ادامه :خصوصی عمومی زده کړې …</t>
  </si>
  <si>
    <t>Table 4-25:General Private Education - (Contd)</t>
  </si>
  <si>
    <t xml:space="preserve">جدول 4-25 :تعلیمات عمومی خصوصی به تفکیک ولایت  </t>
  </si>
  <si>
    <t>Table 4-25:General Private Education by Province</t>
  </si>
  <si>
    <t xml:space="preserve">جدول 4-25 : خصوصی عمومی زده کړې د ولایت په توپير </t>
  </si>
  <si>
    <t xml:space="preserve">جدول 4-26: تعلیمات دینی </t>
  </si>
  <si>
    <t>جدول 4-26:  دینی زده کړي</t>
  </si>
  <si>
    <t xml:space="preserve">Table4-26 : Religious Education </t>
  </si>
  <si>
    <t>جدول 4-27: تعلیمات اسلامی خصوصی</t>
  </si>
  <si>
    <t>Table4-27:Private Islamic Education</t>
  </si>
  <si>
    <t xml:space="preserve">جدول4-28: فعالیت های سواد آموزی </t>
  </si>
  <si>
    <t>جدول4 -28 : د سـواد د زده کړو فعالـیتونه</t>
  </si>
  <si>
    <t xml:space="preserve">Table 4-28: Literacy Activities  </t>
  </si>
  <si>
    <t xml:space="preserve"> جدول4-30: کمک های جمعیت هلال احمر افغانی  </t>
  </si>
  <si>
    <t xml:space="preserve">   جدول4-30: د افغاني سرې مياشتې عالي ټولنې  مرستې</t>
  </si>
  <si>
    <t xml:space="preserve">  </t>
  </si>
  <si>
    <t xml:space="preserve">پوهنځی محیط زیست / د چاپیریال ساتنی پوهنځی </t>
  </si>
  <si>
    <t xml:space="preserve">Faculty of Environment  </t>
  </si>
  <si>
    <t xml:space="preserve">پوهنځی متمم صحی مرکز / د مرکز د صحی متمم پوهنځی </t>
  </si>
  <si>
    <t>1</t>
  </si>
  <si>
    <t>بفلان</t>
  </si>
  <si>
    <t>Panjshir</t>
  </si>
  <si>
    <t>انستیتوت کثیرالرشتوی  چک میدان وردک</t>
  </si>
  <si>
    <t>د چک میدان وردک کثیرالرشتوی انستیتوت</t>
  </si>
  <si>
    <t>انستیتوت کثیرالرشتوی سروبی (کابل)</t>
  </si>
  <si>
    <t xml:space="preserve">د کابل د سروبی کثیرالرشتوی انستیتوت </t>
  </si>
  <si>
    <t>Srobi Multiple branch Institute</t>
  </si>
  <si>
    <t>Bagram Teacher Training</t>
  </si>
  <si>
    <t>تربیه معلم بگرام</t>
  </si>
  <si>
    <t>د بگرام د ښوونکی روزنه</t>
  </si>
  <si>
    <t>تربیۀ معلم نازیان ننگرهار</t>
  </si>
  <si>
    <t>د ننګرهارد نازیان د ښوونکی روزنه</t>
  </si>
  <si>
    <t>Nangarhar Nazyan Teacher Training</t>
  </si>
  <si>
    <t>تربیۀ معلم غنی خیل ننگرهار</t>
  </si>
  <si>
    <t>د ننګرهارد غنی خیل  د ښوونکی روزنه</t>
  </si>
  <si>
    <t>Nangarhar Ghani Khil Teacher Training</t>
  </si>
  <si>
    <t>تربیۀ معلم قرغه یی لغمان</t>
  </si>
  <si>
    <t>د لغمان د قرغه یی د ښوونکی روزنه</t>
  </si>
  <si>
    <t xml:space="preserve">Laghman Qarghaye Teacher Training </t>
  </si>
  <si>
    <t>تربیۀ معلم خاص کنر</t>
  </si>
  <si>
    <t>د خاص کنړ د ښوونکی روزنه</t>
  </si>
  <si>
    <t>Kunar Khas Teacher Training</t>
  </si>
  <si>
    <t>حوزۀ های داخل خدمت  فراه</t>
  </si>
  <si>
    <t xml:space="preserve">د فراه د خدمت  دننی دوری دښوونکی روزنه </t>
  </si>
  <si>
    <t>حوزۀ های داخل خدمت هلمند</t>
  </si>
  <si>
    <t xml:space="preserve">د هلمند  د خدمت  دننی دوری دښوونکی روزنه </t>
  </si>
  <si>
    <t>حوزۀ های داخل خدمت کندهار</t>
  </si>
  <si>
    <t xml:space="preserve">د کندهار  د خدمت  دننی دوری دښوونکی روزنه </t>
  </si>
  <si>
    <t>حوزۀ های داخل خدمت زابل</t>
  </si>
  <si>
    <t xml:space="preserve">د زابل  د خدمت  دننی دوری دښوونکی روزنه </t>
  </si>
  <si>
    <t xml:space="preserve">Chak Maidan Wardak Multiple branch Institute  </t>
  </si>
  <si>
    <t>د فاریاب د اندخوی کثیرالرشتوی انستیتوت</t>
  </si>
  <si>
    <t>Faryab Andkhoy Multiple branch Institute</t>
  </si>
  <si>
    <t>انستیتوت عالی اداره و حسابداری جوزجان</t>
  </si>
  <si>
    <t xml:space="preserve">د جوزجان د اداره او حسابداری عالی انستیتوت  </t>
  </si>
  <si>
    <t>Jawzjan Management &amp; Accounting Institute</t>
  </si>
  <si>
    <t>انستیتوت  اداره و تجارت  بلخ</t>
  </si>
  <si>
    <t xml:space="preserve">د بلخ د اداري او تجارت  انستیتوت  </t>
  </si>
  <si>
    <t xml:space="preserve">Balkh Management &amp; Trade Institute  </t>
  </si>
  <si>
    <t>محصلان خصوصی کابل</t>
  </si>
  <si>
    <t>استادان خصوصی</t>
  </si>
  <si>
    <t xml:space="preserve">پوهنځی جیولوژی ومعدن /                 د جیولوژی او کانوپوهنځی </t>
  </si>
  <si>
    <t xml:space="preserve">پوهنځی تکنالوژی کیمیاوی /                د کیمیاوی تکنالوژي پوهنځی </t>
  </si>
  <si>
    <t>پوهنځی تعلیمات اختصاصی /               د اختصاصی تعلیماتو پوهنځی</t>
  </si>
  <si>
    <t>پوهنځی الکترومیخانیک /                   د الکترومیخانیک پوهنځی</t>
  </si>
  <si>
    <t xml:space="preserve">د مسلکی تعلیماتو پوهنځی                  ( د روشان د خدمت دننی دوری ) </t>
  </si>
  <si>
    <t>پوهنځی الکترومیخانیک /                     د الکترومیخانیک پوهنځی</t>
  </si>
  <si>
    <t xml:space="preserve">پوهنځی جیولوژی ومعدن /                    د جیولوژی اوکانو پوهنځی </t>
  </si>
  <si>
    <t xml:space="preserve">پوهنځی تکنالوژی کیمیاوی/                   د کیمیاوی تکنالوژي پوهنځی </t>
  </si>
  <si>
    <t>پوهنځی تعلیمات اختصاصی/                  د اختصاصی تعلیماتو پوهنځی</t>
  </si>
  <si>
    <t>علوم صحی</t>
  </si>
  <si>
    <t>تعداد پوهنتون</t>
  </si>
  <si>
    <t>تعداد پوهنحی</t>
  </si>
  <si>
    <t>معارف</t>
  </si>
  <si>
    <t xml:space="preserve"> مکاتب</t>
  </si>
  <si>
    <t>لیسه مسلکی</t>
  </si>
  <si>
    <t xml:space="preserve"> انستیتوت</t>
  </si>
  <si>
    <t xml:space="preserve"> شپی لیسه</t>
  </si>
  <si>
    <t xml:space="preserve"> دینی</t>
  </si>
  <si>
    <t>تربیه معلم</t>
  </si>
  <si>
    <t>تعداد مکاتب</t>
  </si>
  <si>
    <t>معلمین</t>
  </si>
  <si>
    <t>استادان</t>
  </si>
  <si>
    <t>شاگردان بیرون مرز</t>
  </si>
  <si>
    <t>سال 1392</t>
  </si>
  <si>
    <t>شاگردان افغان خارج مرز / د سرحد بهر افغان زده کوونکی  ( ایران ، پاکستان )</t>
  </si>
  <si>
    <t>ــ تعليمات لیسه /  لیسه  زده کړی</t>
  </si>
  <si>
    <t>ــ  معلمان تعلیمات دولتی / د دولتی زده کړو ښوونکې</t>
  </si>
  <si>
    <t>ــ  معلمان تعلیمات خصوصی / د خصوصی زده کړو ښوونکې</t>
  </si>
  <si>
    <t>Table 4 - 1:Government and Private Higher Education</t>
  </si>
  <si>
    <t>استادان پوهنتون ها / د پوهنتونونو استاذان</t>
  </si>
  <si>
    <t>ــ پسر / هلک</t>
  </si>
  <si>
    <t>ــ دختر / نجلی</t>
  </si>
  <si>
    <t>ارقام به میلیون افغانی / ارقام په میلیون افغاني</t>
  </si>
  <si>
    <t>Table4-30:Afghan Red Crescent Society Aids</t>
  </si>
  <si>
    <t>Total aids</t>
  </si>
  <si>
    <t>Cash aids</t>
  </si>
  <si>
    <t>دینی</t>
  </si>
  <si>
    <t>شپی لیسه</t>
  </si>
  <si>
    <t>معارف دولتی</t>
  </si>
  <si>
    <t>انستیتوت ها</t>
  </si>
  <si>
    <t xml:space="preserve">تعداد مدارس </t>
  </si>
  <si>
    <t>No. of Islamic Schools</t>
  </si>
  <si>
    <t xml:space="preserve">لیسه </t>
  </si>
  <si>
    <t>Afghan Students abroad ( Iran &amp; Pakistan)</t>
  </si>
  <si>
    <t>Kabul in Service Training</t>
  </si>
  <si>
    <t>Kapisa in Service Training</t>
  </si>
  <si>
    <t>Parwan in Service Training</t>
  </si>
  <si>
    <t>Wardak in Service Training</t>
  </si>
  <si>
    <t>Logar in Service Training</t>
  </si>
  <si>
    <t>Nangarhar in Service Training</t>
  </si>
  <si>
    <t>Laghman in Service Training</t>
  </si>
  <si>
    <t>Panjshir in Service Training</t>
  </si>
  <si>
    <t>Baghlan in Service Training</t>
  </si>
  <si>
    <t>Bamyan in Service Training</t>
  </si>
  <si>
    <t>Paktika in Service Training</t>
  </si>
  <si>
    <t>Paktia in Service Training</t>
  </si>
  <si>
    <t>Khost in Service Training</t>
  </si>
  <si>
    <t>Kunarha in Service Training</t>
  </si>
  <si>
    <t>Badakhshan in Service Training</t>
  </si>
  <si>
    <t>Takhar in Service Training</t>
  </si>
  <si>
    <t>Kundoz in Service Training</t>
  </si>
  <si>
    <t>Samangan in service Training</t>
  </si>
  <si>
    <t>Balkh in Service Training</t>
  </si>
  <si>
    <t>Sar-e -Pul in Service Training</t>
  </si>
  <si>
    <t>Ghor in Service Training</t>
  </si>
  <si>
    <t>Daykundi in Service Training</t>
  </si>
  <si>
    <t>Jawzjan in Service Training</t>
  </si>
  <si>
    <t>Faryab in Service Training</t>
  </si>
  <si>
    <t>Helmand in Service Training</t>
  </si>
  <si>
    <t>Kandahar in Service Training</t>
  </si>
  <si>
    <t>Zabul in Service Training</t>
  </si>
  <si>
    <t>Herat in Service Training</t>
  </si>
  <si>
    <t>Farah in Service Training</t>
  </si>
  <si>
    <t>According to statistical department responsibles ministry of education stated that , most private schools are nominated to high schools , but the students are primary and secoundary level .</t>
  </si>
  <si>
    <t>قراراظهارات مسولین احصائیه وزارت معارف اکثرمکاتب خصوصی بنام لیسه خصوصی بوده ولی شاگردان شان درصنوف پائین دوره های ابتدائی ومتوسط قرار دارند.</t>
  </si>
  <si>
    <t>د پوهنی وزارت د احصائیی د مسوولینو د څرگندونو له مخی ، زیاتره خصوصی ښوونځي د لیسو په نوم دی خو زده کوونکی ئی د منځني او لمړني دوره په تیټو ټولگیوکی قرار لری .</t>
  </si>
  <si>
    <t xml:space="preserve">شاگردان شامل تعلیمات عمومی دولتی وخصوصی /              په دولتی اوخصوصی زده کړو کی شامل زده کوونکی </t>
  </si>
  <si>
    <t>پوهنځی منابع آب با انجنیری رسانیده شد</t>
  </si>
  <si>
    <t xml:space="preserve">انستیتوت اداره و تجارت / د سوداگري او اداری انستیتوت  </t>
  </si>
  <si>
    <t>Trade and Management Institute</t>
  </si>
  <si>
    <t xml:space="preserve">Maidan Shahr Agriculture Institute  </t>
  </si>
  <si>
    <t>انستیتوت زراعت میدان شهر</t>
  </si>
  <si>
    <t>د میدان شهر د کرني انستیتوت</t>
  </si>
  <si>
    <t>Maidan Shahr Technical and Vocational Institute</t>
  </si>
  <si>
    <t>انستیتوت تخنیکی و مسلکی میدان شهر</t>
  </si>
  <si>
    <t>د میدان شهر تخنیکی او مسلکی انستیتوت</t>
  </si>
  <si>
    <t xml:space="preserve">Maidan Multiple branch Institute  </t>
  </si>
  <si>
    <t xml:space="preserve">Ghazni Agriculture Institute  </t>
  </si>
  <si>
    <t>انستیتوت زراعت غزنی</t>
  </si>
  <si>
    <t>د غزنی د کرني انستیتوت</t>
  </si>
  <si>
    <t xml:space="preserve">Ghazni Management &amp; Accounting Institute  </t>
  </si>
  <si>
    <t>انستیتوت عالی اداره وحسابداری غزنی</t>
  </si>
  <si>
    <t xml:space="preserve">د غزنی د اداري او حساب داري انستیتوت </t>
  </si>
  <si>
    <t>انستیتوت عالی اداره وحسابداری ننگرهار</t>
  </si>
  <si>
    <t xml:space="preserve">د ننګرهار د اداري او حساب داري انستیتوت </t>
  </si>
  <si>
    <t xml:space="preserve">Nangarhar Management &amp; Accounting Institute  </t>
  </si>
  <si>
    <t>Lagman Multiple branch Institute</t>
  </si>
  <si>
    <t>انستیتوت کثیرالرشتوی ( لغمان )</t>
  </si>
  <si>
    <t xml:space="preserve">د لغمان د کثیرالرشتوی انستیتوت </t>
  </si>
  <si>
    <t>انستیتوت تربیت بدنی و سپورت</t>
  </si>
  <si>
    <t>Sporth Institute</t>
  </si>
  <si>
    <t xml:space="preserve"> د بدنی روزني او سپورت انستیتوت </t>
  </si>
  <si>
    <t>Number of Teachers</t>
  </si>
  <si>
    <t>تعداد پوهنځی ها / د پوهنځیو شمیر</t>
  </si>
  <si>
    <t>تعداد محصلان / د محصلینو شمیر</t>
  </si>
  <si>
    <t>تعداد استادان / د استاذانو شمیر</t>
  </si>
  <si>
    <t xml:space="preserve"> مجموع / ټول    Total </t>
  </si>
  <si>
    <t xml:space="preserve">Female  اناث / ښځينه   </t>
  </si>
  <si>
    <t xml:space="preserve">Male    ذکور / نارینه </t>
  </si>
  <si>
    <t xml:space="preserve">اناث / ښځينه   Female   </t>
  </si>
  <si>
    <t>ذکور/  نارينه   Male</t>
  </si>
  <si>
    <t xml:space="preserve"> مجموع /  ټول   Total </t>
  </si>
  <si>
    <t xml:space="preserve"> د4-10: جدول ادامه : د خصوصي لوړو زده کړو په موسسو كې د محصلينو او استاذانو …</t>
  </si>
  <si>
    <t xml:space="preserve">  Female  ښځينه / اناث</t>
  </si>
  <si>
    <t xml:space="preserve">  Male  نارینه / ذکور </t>
  </si>
  <si>
    <t xml:space="preserve">Total  ټول / مجموع </t>
  </si>
  <si>
    <t xml:space="preserve">استادان / استاذان  Teachers  </t>
  </si>
  <si>
    <t xml:space="preserve">شاگردان /  زده کوونکي  Students </t>
  </si>
  <si>
    <t xml:space="preserve">Boys  پسر/ هلکان  </t>
  </si>
  <si>
    <t xml:space="preserve">Girls   دختر/ نجوني </t>
  </si>
  <si>
    <t xml:space="preserve">Total   مجموع / ټول </t>
  </si>
  <si>
    <t>مجموع / ټول   Total</t>
  </si>
  <si>
    <t>ذکور/ نارينه  Male</t>
  </si>
  <si>
    <t xml:space="preserve">اناث / ښځينه  Female </t>
  </si>
  <si>
    <t>اناث / ښځينه  Female</t>
  </si>
  <si>
    <t xml:space="preserve"> مجموع / ټول Total </t>
  </si>
  <si>
    <t xml:space="preserve">Male ذکور / نارینه </t>
  </si>
  <si>
    <t xml:space="preserve">Female اناث /  ښځينه   </t>
  </si>
  <si>
    <t xml:space="preserve">Male ذکور /  نارینه </t>
  </si>
  <si>
    <t xml:space="preserve"> مجموع /  ټول Total </t>
  </si>
  <si>
    <t>میدان وردک</t>
  </si>
  <si>
    <t>Maidan Wardak</t>
  </si>
  <si>
    <t>Maidan wardak</t>
  </si>
  <si>
    <t>20 انستیتوت جدیدالشمولان</t>
  </si>
  <si>
    <t xml:space="preserve">میدان وردک   </t>
  </si>
  <si>
    <t>امسال</t>
  </si>
  <si>
    <t>سال گذشته</t>
  </si>
  <si>
    <t>د 4-12 جدول ادامه :  دولتی تخنیکی او مسلکی انستیتوتونه</t>
  </si>
  <si>
    <t>انستیتوت ساختمانی و جیودیزی / د ساختمانی او جیودیزي انستیتوت</t>
  </si>
  <si>
    <t>انستیتوت میخانیکی کابل / د کابل میخانیکی انستیتوت</t>
  </si>
  <si>
    <t>انستیتوت اتومیخانیکی کابل  / د کابل د اتومیخانیکی انستیتوت</t>
  </si>
  <si>
    <t>انستیتوت ملی  موسیقی کابل / د موسیقی ملی انستیتوت</t>
  </si>
  <si>
    <t>انستیتوت زراعت فراه / د فراه  د کرني انستیتوت</t>
  </si>
  <si>
    <t xml:space="preserve">جدول 4-14: د  دولتی او خصوصی روغتيائی علومو ،  ‍‍مسلکی اوتخنیکی انستیتوتونه </t>
  </si>
  <si>
    <t xml:space="preserve">جدول 4-14: انستیتوت های تخنیکی ‍‍مسلکی وعلوم صحی  دولتی و خصوصی </t>
  </si>
  <si>
    <t>مدارس تعلیمات اسلامی و دارالحفاظ ها /</t>
  </si>
  <si>
    <t>شاگردان مدارس تعلیمات اسلامی و دارالحفاظ ها /</t>
  </si>
  <si>
    <t xml:space="preserve">ــ شاگردان مدارس تعلیمات اسلامی  /        </t>
  </si>
  <si>
    <t>ــ شاگردان دارالحفاظ ها /  د دارالحفاظونو زده کوونکي</t>
  </si>
  <si>
    <t>جدیدالشمولان مدارس تعلیمات اسلامی ودارالحفاظ ها /</t>
  </si>
  <si>
    <t>ــ جدیدالشمولان مدارس تعلیمات اسلامی /</t>
  </si>
  <si>
    <t>ــ جدید الشمولان دارالحفاظ ها /  په دارالحفاظونو کښي نوي شامل شوي</t>
  </si>
  <si>
    <t>فارغان مدارس تعلیمات اسلامی و دارالحفاظ ها /</t>
  </si>
  <si>
    <t xml:space="preserve"> ــ فارغان مدارس تعلیمات اسلامی / د اسلامی مدرسو نه فارغ شوي </t>
  </si>
  <si>
    <t xml:space="preserve">ــ فارغان دارالحفاظ ها / د دارالحفاظونونو نه فارغ شوي </t>
  </si>
  <si>
    <t>معلمان تعلیمات اسلامی و دارالحفاظ ها /</t>
  </si>
  <si>
    <t>ــ  معلمان مدارس تعلیمات اسلامی /  د اسلامی مدرسو ښوونکی</t>
  </si>
  <si>
    <t>ــ  معلمان دارالحفاظ ها / د دارالحفاظونو ښوونکی</t>
  </si>
  <si>
    <t>کارمندان تعلیمات اسلامی و دارالحفاظ ها /</t>
  </si>
  <si>
    <t xml:space="preserve"> پرسونل خدماتی / خدماتی کارکوونکي</t>
  </si>
  <si>
    <t>د مدرسو شمير</t>
  </si>
  <si>
    <t>تحصیلات عالی دولتی</t>
  </si>
  <si>
    <t>تحصیلات عالی خصوصی</t>
  </si>
  <si>
    <t>مجموع کل</t>
  </si>
  <si>
    <t>مجموع کل 1392</t>
  </si>
  <si>
    <t>مجموع کل 1393</t>
  </si>
  <si>
    <t>تعداد محصلان تحصیلات عالی دولتی و خصوصی سال 1392</t>
  </si>
  <si>
    <t>تعداد محصلان تحصیلات عالی دولتی و خصوصی سال 1393</t>
  </si>
  <si>
    <t>افزایش یافته نظر به سال 1392</t>
  </si>
  <si>
    <t>شاگردان تعایمات عمومی دولتی سال 1393</t>
  </si>
  <si>
    <t>شاگردان تعایمات عمومی دولتی سال 1392</t>
  </si>
  <si>
    <t>تعداد شاگردان مکاتب خصوصی</t>
  </si>
  <si>
    <t>تعدادشاکردان خارج مرز</t>
  </si>
  <si>
    <t>تعداد شاگردان مکاتب دولتی</t>
  </si>
  <si>
    <t xml:space="preserve">مجموع </t>
  </si>
  <si>
    <t>شاگردان مکاتب</t>
  </si>
  <si>
    <t xml:space="preserve"> شاگردان مکاتب</t>
  </si>
  <si>
    <t>تعداد شاگردان مکاتب دولتی ، خصوصی و خارج مرز سال 1393</t>
  </si>
  <si>
    <t>تعداد شاگردان مکاتب دولتی ، خصوصی و خارج مرز سال 1392</t>
  </si>
  <si>
    <t xml:space="preserve">  5.4فیصد افزایش نظر به سال 1392 </t>
  </si>
  <si>
    <t>2015-16</t>
  </si>
  <si>
    <t>2015-2016</t>
  </si>
  <si>
    <t>2015-16      1394</t>
  </si>
  <si>
    <t>1394</t>
  </si>
  <si>
    <t>2015-16       1394</t>
  </si>
  <si>
    <t>تحصیلات عالی لوگر / د لوگر د لوړو زده کړو موسسه</t>
  </si>
  <si>
    <t>Logar Higher Education</t>
  </si>
  <si>
    <t>Maidan Wardak Higher Education</t>
  </si>
  <si>
    <t>Daykundi  Higher Education</t>
  </si>
  <si>
    <t>Afghanistan Agriculture Sciences National  University</t>
  </si>
  <si>
    <t>Table 4 -6: Government Graduates …(Contd)</t>
  </si>
  <si>
    <t xml:space="preserve">  د 4-6 جدول ادامه : د دولتي پوهنتونونو نه فارغ شوي  </t>
  </si>
  <si>
    <t xml:space="preserve">ادامه جدول 4-6: فارغان پوهنتون های دولتی   </t>
  </si>
  <si>
    <t xml:space="preserve">پوهنځی علوم تربیتی وروانشناسی /  د روزنيزو علومو او روانشناسی پوهنځی  </t>
  </si>
  <si>
    <t>16-2015</t>
  </si>
  <si>
    <t xml:space="preserve">Total                               </t>
  </si>
  <si>
    <t>Faculty of  Health Amendment ( Center )</t>
  </si>
  <si>
    <t xml:space="preserve">  2015-16          1394</t>
  </si>
  <si>
    <t>پوهنځی تعلیمات اختصاصی / داختصاصی تعلیماتو پوهنځی</t>
  </si>
  <si>
    <t>پوهنځی کمپیوتر ساینس /     د کمپیوتر ساینس پوهنځی</t>
  </si>
  <si>
    <t>پوهنځی الکترومیخانیک /        د الکترومیخانیک پوهنځی</t>
  </si>
  <si>
    <t xml:space="preserve">جدول 4 -1: تحصیلات عالی دولتی و خصوصی </t>
  </si>
  <si>
    <t xml:space="preserve"> جدول 4 -1: دولتي او خصوصي لوړې زده کړې</t>
  </si>
  <si>
    <t xml:space="preserve"> د 4 -2جدول ادامه : د دولتي پوهنتونونو دمحصلينو ...</t>
  </si>
  <si>
    <t xml:space="preserve">   جدول 4 - 3 : د مرکز او ولایتونو د دولتي پوهنځيو د محصلينو شمير د تحصیلی کال په پیل کښې</t>
  </si>
  <si>
    <t>تحصیلات عالی دایکندی / د دایکندی د لوړو زده کړو موسسه</t>
  </si>
  <si>
    <t xml:space="preserve">پوهنځی نرسنگ مرکز / د مرکز   د نرسنگ پوهنځی </t>
  </si>
  <si>
    <t xml:space="preserve">پوهنځی تکنالوژی کیمیاوی /د کیمیاوی تکنالوژي  پوهنځی </t>
  </si>
  <si>
    <t xml:space="preserve"> جدول 4 -3 : تعداد محصلان پوهنځی های دولتی مرکز و ولایات در آغاز سال تحصیلی </t>
  </si>
  <si>
    <t>Mawlana Jalalludin Mohammad Balkhy University</t>
  </si>
  <si>
    <t>Bakhtar University</t>
  </si>
  <si>
    <t>Khatam-Al Nabieen University</t>
  </si>
  <si>
    <t>Salam University</t>
  </si>
  <si>
    <t>Kardan University</t>
  </si>
  <si>
    <t>Khorasan University</t>
  </si>
  <si>
    <t>Dawat University</t>
  </si>
  <si>
    <t>Donia University</t>
  </si>
  <si>
    <t>Iran Islamic University Kabul office</t>
  </si>
  <si>
    <t>U.M.F Swiss University (Kabul)</t>
  </si>
  <si>
    <t>پوهنتون یومف سویس ( کابل )</t>
  </si>
  <si>
    <t>د یومف سویس پوهنتون ( کابل )</t>
  </si>
  <si>
    <t>پوهنتون ملی علوم زراعتی افغانستان / د افغانستان د کرنيزو علومو ملی پوهنتون</t>
  </si>
  <si>
    <t>ادامه جدول 4-2:تعداد محصلان پوهنتون ...</t>
  </si>
  <si>
    <t>تحصیلات عالی سمنگان / د سمنګان د لوړو زده کړو موسسه</t>
  </si>
  <si>
    <t>تحصیلات عالی بادغيس / د بادغیس  د لوړو زده کړو موسسه</t>
  </si>
  <si>
    <t>تحصیلات عالی هلمند / د هلمند د لوړو زده کړو موسسه</t>
  </si>
  <si>
    <t>تحصیلات عالی پنجشیر / د پنجشیر د لوړو زده کړو موسسه</t>
  </si>
  <si>
    <t>تحصیلات عالی پکتیکا / د پکتیکا د لوړو زده کړو موسسه</t>
  </si>
  <si>
    <t>تحصیلات عالی ارزگان / د ارزګان د لوړو زده کړو موسسه</t>
  </si>
  <si>
    <t>تحصیلات عالی فراه / د فراه د لوړو زده کړو موسسه</t>
  </si>
  <si>
    <t>تحصیلات عالی غور / د غور د لوړو زده کړو موسسه</t>
  </si>
  <si>
    <t>تحصیلات عالی سرپل / د سرپل د لوړو زده کړو موسسه</t>
  </si>
  <si>
    <t>Ghor  Higher Education</t>
  </si>
  <si>
    <t>Farah Higher Education</t>
  </si>
  <si>
    <t>Urozgan Higher Education</t>
  </si>
  <si>
    <t>Paktika Higher Education</t>
  </si>
  <si>
    <t>Panjshir Higher Education</t>
  </si>
  <si>
    <t>Badghis Higher Education</t>
  </si>
  <si>
    <t>Helmand Higher Education</t>
  </si>
  <si>
    <t>Samangan Higher Education</t>
  </si>
  <si>
    <t>Sar - e - pul Higher Education</t>
  </si>
  <si>
    <t xml:space="preserve">پوهنځی صحت عامه / د عامی روغتیا  پوهنځی  </t>
  </si>
  <si>
    <t xml:space="preserve">Faculty of Public Health    </t>
  </si>
  <si>
    <t xml:space="preserve">Faculty of Public Health   </t>
  </si>
  <si>
    <t>Faculty of  Medical Treatment ( Center )</t>
  </si>
  <si>
    <t>Table4-29: Government Kindergartens &amp; Nurseries</t>
  </si>
  <si>
    <t>دانشگاه آزاد اسلامی ایران شعبه کابل</t>
  </si>
  <si>
    <t>پوهنتون باختر / د باختر پوهنتون</t>
  </si>
  <si>
    <t>پوهنتون خاتم النبیین / د خاتم النبیین پوهنتون</t>
  </si>
  <si>
    <t>پوهنتون سلام / د سلام پوهنتون</t>
  </si>
  <si>
    <t>پوهنتون کاردان / د کاردان پوهنتون</t>
  </si>
  <si>
    <t>پوهنتون کاتب / د کاتب پوهنتون</t>
  </si>
  <si>
    <t>پوهنتون خراسان / د خراسان پوهنتون</t>
  </si>
  <si>
    <t>پوهنتون دعوت / د دعوت پوهنتون</t>
  </si>
  <si>
    <t>پوهنتون دنيا / د دنیا پوهنتون</t>
  </si>
  <si>
    <t>پوهنتون رنا / د رڼا پوهنتون</t>
  </si>
  <si>
    <t>پوهنتون كاروان /  د کاروان پوهنتون</t>
  </si>
  <si>
    <t>پوهنتون مشعل /  د مشعل پوهنتون</t>
  </si>
  <si>
    <t>پوهنتون ابن سينا / د ابن سینا پوهنتون</t>
  </si>
  <si>
    <t>پوهنتون پیام نور / د پیام نور پوهنتون</t>
  </si>
  <si>
    <t>Kateb University</t>
  </si>
  <si>
    <t>Rana University</t>
  </si>
  <si>
    <t>Karwan University</t>
  </si>
  <si>
    <t>Mashal University</t>
  </si>
  <si>
    <t>Ebni Sina University</t>
  </si>
  <si>
    <t>Payame Noor University</t>
  </si>
  <si>
    <t>Konduz</t>
  </si>
  <si>
    <t>معلمین مدارس خصوصی نیامده</t>
  </si>
  <si>
    <t>ارقام سره میاشت نیامده</t>
  </si>
  <si>
    <t>16 - 2015</t>
  </si>
  <si>
    <t>100 اضافه گردید</t>
  </si>
  <si>
    <t>200 اضافه گردید</t>
  </si>
  <si>
    <t>140 اضافه گردید</t>
  </si>
  <si>
    <t>50اضافه گردید</t>
  </si>
  <si>
    <t>100 اضافه گردیدفارغان</t>
  </si>
  <si>
    <t>200 فارغان اضافه گردید</t>
  </si>
  <si>
    <t>انستیتوت کثیرالرشتوی ده سبز (کابل)</t>
  </si>
  <si>
    <t xml:space="preserve">د کابل د ده سبز کثیرالرشتوی انستیتوت </t>
  </si>
  <si>
    <t>Deh Sabz Multiple branch Institute</t>
  </si>
  <si>
    <t>انستیتوت مسلکی زراعت پروان</t>
  </si>
  <si>
    <t>د پروان د کرني انستیتوت</t>
  </si>
  <si>
    <t>انستیتوت کثیرالرشتوی ( جغتو )</t>
  </si>
  <si>
    <t xml:space="preserve">د جغتو د کثیرالرشتوی انستیتوت </t>
  </si>
  <si>
    <t xml:space="preserve">  2015-16    1394</t>
  </si>
  <si>
    <t>انستیتوت استاد خلیل الله خلیلی  / د استاد خلیل الله خلیلی انستیتوت</t>
  </si>
  <si>
    <t>انستیتوت سلطان محمود کبیر / د سلطان محمود کبیر انستیتوت</t>
  </si>
  <si>
    <t xml:space="preserve">انستیتوت خصوصی کیومرث / د کیومرث خصوصی انستیتوت  </t>
  </si>
  <si>
    <t>انستیتوت تعلیمات مسلکی آزما / د آزما د مسلکی تعلیماتو انستیتوت</t>
  </si>
  <si>
    <t>Ostad Khalilullah Khalili  Institute</t>
  </si>
  <si>
    <t>Soltan Mahmood Kabir  Institute</t>
  </si>
  <si>
    <t>Keuo mars Private Institute</t>
  </si>
  <si>
    <t>Azma Vocational Institute</t>
  </si>
  <si>
    <t>ارقام انستیتوت های خصوصی شهر کابل مواصلت نکرده .</t>
  </si>
  <si>
    <t>حوزۀ های داخل خدمت غزنی</t>
  </si>
  <si>
    <t xml:space="preserve">د غزنی  د خدمت  دننی دوری دښوونکی روزنه  </t>
  </si>
  <si>
    <t xml:space="preserve"> Ghazni in Service Training</t>
  </si>
  <si>
    <t>Badghis in Service Training</t>
  </si>
  <si>
    <t>حوزۀ های داخل خدمت بادغیس</t>
  </si>
  <si>
    <t xml:space="preserve">د بادغیس  د خدمت  دننی دوری دښوونکی روزنه </t>
  </si>
  <si>
    <t>حوزۀ های داخل خدمت  نیمروز</t>
  </si>
  <si>
    <t xml:space="preserve">د نیمروز د خدمت  دننی دوری دښوونکی روزنه </t>
  </si>
  <si>
    <t>Nimrooz in Service Training</t>
  </si>
  <si>
    <t>Urozgan in Service Training</t>
  </si>
  <si>
    <t>حوزۀ های داخل خدمت ارزگان</t>
  </si>
  <si>
    <t xml:space="preserve">د ارزگان  د خدمت  دننی دوری دښوونکی روزنه </t>
  </si>
  <si>
    <t>حوزۀ های داخل خدمت نورستان</t>
  </si>
  <si>
    <t xml:space="preserve">د نورستان د خدمت  دننی دوری دښوونکی روزنه </t>
  </si>
  <si>
    <t>انستیتوت مسلکی زراعت چهارآسیاب (کابل)</t>
  </si>
  <si>
    <t xml:space="preserve">د چهارآسیاب د د کرني مسلکی انستیتوت </t>
  </si>
  <si>
    <t xml:space="preserve">انستیتوت زراعت بامیان </t>
  </si>
  <si>
    <t xml:space="preserve"> د بامیان د کرنی انستیتوت </t>
  </si>
  <si>
    <t>انستیتوت کثیرالرشتوی اندخوی (فاریاب)</t>
  </si>
  <si>
    <t xml:space="preserve">انستیتوت تخنیکی غور </t>
  </si>
  <si>
    <t xml:space="preserve">Chahar Asyab Agriculture Institute  </t>
  </si>
  <si>
    <t xml:space="preserve">Bamyan  Agriculture Institute  </t>
  </si>
  <si>
    <t xml:space="preserve">Note : For Teaching work some Institutetes use contract teachers .  </t>
  </si>
  <si>
    <t>یادونه : د محصلینو ، نوی شامل شویو ، فارغانو او استادانو شمیر ارقام د کابل ښار او یو شمیر ولایتونو راپور نه دی ورکړل شوی .</t>
  </si>
  <si>
    <t>Note : The number of Students , New students , Graduates and Teachers from kabul city and some province not reported .</t>
  </si>
  <si>
    <t>ش</t>
  </si>
  <si>
    <t>نــــوت : ارقـــــام محصلان ، جدیدالشمولان ،  فارغان  و استادان شهر کــابل و یک تعداد از ولایات راپور  .داده نشده</t>
  </si>
  <si>
    <t>مجموع کل1394</t>
  </si>
  <si>
    <t>* – Lower Secondary</t>
  </si>
  <si>
    <t>* – Upper Secondary</t>
  </si>
  <si>
    <t>* ــ متوسطه / منځني</t>
  </si>
  <si>
    <t>** ــ لیسه / لیسی</t>
  </si>
  <si>
    <t>* مکاتب متوسطه شامل دوره های ابتدائیه و متوسطه می باشد .</t>
  </si>
  <si>
    <t xml:space="preserve">**  لیسه شامل شاگردان دوره های ابتدائیه ، متوسطه و لیسه میگردد . </t>
  </si>
  <si>
    <t>* Lower secondary : incloud primary and lower secondary grade .</t>
  </si>
  <si>
    <t>** Upper secondary : incloud primary , lower secondary and upper secondary grade .</t>
  </si>
  <si>
    <t>2016-17</t>
  </si>
  <si>
    <t>17-2016</t>
  </si>
  <si>
    <t>2016-2017</t>
  </si>
  <si>
    <t>2016-17      1395</t>
  </si>
  <si>
    <t>1395</t>
  </si>
  <si>
    <t xml:space="preserve">  2016-17          1395</t>
  </si>
  <si>
    <t>17 - 2016</t>
  </si>
  <si>
    <t xml:space="preserve">  2016-17    1395</t>
  </si>
  <si>
    <t>2016-17       1395</t>
  </si>
  <si>
    <t xml:space="preserve">Kapisa </t>
  </si>
  <si>
    <t xml:space="preserve">  کاپیسا </t>
  </si>
  <si>
    <t>انستیتوت تعلیمات تخنیکی ومسلکی افغانستان / د افغانستان د تخنیکی او مسلکی تعلیماتو  انستیتوت</t>
  </si>
  <si>
    <t>انستیتوت تعلیمات تخنیکی ومسلکی ابو شکور بلخی / د ابو شکور بلخی د تخنیکی او مسلکی تعلیماتو  انستیتوت</t>
  </si>
  <si>
    <t>Abu Shokor balkhi Vocational and Technical Institute</t>
  </si>
  <si>
    <t>Afghanistan Vocational and Technical Institute</t>
  </si>
  <si>
    <t>Mir Abdal Ba Ba Vocational and Technical Institute</t>
  </si>
  <si>
    <t>انستیتوت تعلیمات تخنیکی ومسلکی میر ابدال بابا / د میر ابدال بابا د تخنیکی او مسلکی تعلیماتو  انستیتوت</t>
  </si>
  <si>
    <t>انستیتوت تعلیمات تخنیکی ومسلکی مکین / د مکین د تخنیکی او مسلکی تعلیماتو  انستیتوت</t>
  </si>
  <si>
    <t>Makin Vocational and Technical Institute</t>
  </si>
  <si>
    <t>انستیتوت تخنیکی ومسلکی سبز منش / د سبز منش د تخنیکی او مسلکی انستیتوت</t>
  </si>
  <si>
    <t>Sabz Manesh Vocational and Technical  Institute</t>
  </si>
  <si>
    <t>Shaheed Sayd Jan  Vocational and Technical Institute</t>
  </si>
  <si>
    <t>انستیتوت تعلیمات تخنیکی ومسلکی فضلی / د فضلی د تخنیکی او مسلکی تعلیماتو  انستیتوت</t>
  </si>
  <si>
    <t>Fazli Vocational and Technical Institute</t>
  </si>
  <si>
    <t>Abu Ali Sena nawin Vocational and Technical Institute</t>
  </si>
  <si>
    <t>انستیتوت تعلیمات تخنیکی ومسلکی ابو علی سینا نوین / د ابو علی سینا نوین د تخنیکی او مسلکی تعلیماتو  انستیتوت</t>
  </si>
  <si>
    <t>Mohammad Mostafa Private Institute</t>
  </si>
  <si>
    <t>شاگردان شپی لیسه ها</t>
  </si>
  <si>
    <t>جدید</t>
  </si>
  <si>
    <t xml:space="preserve">انستیتوت اداره و حسابداری نسوان  سمنگان </t>
  </si>
  <si>
    <t>د سمنگان د نجونو د اداري او حساب داري انستیتوت</t>
  </si>
  <si>
    <t xml:space="preserve">Samangan Women Management &amp; Accounting  </t>
  </si>
  <si>
    <t xml:space="preserve">انستیتوت زراعت و وترنری هلمند </t>
  </si>
  <si>
    <t xml:space="preserve">د هلمند د کرني او وترنري انستیتوت </t>
  </si>
  <si>
    <t>انستیتوت مسلکی زراعت و وترنری  زابل</t>
  </si>
  <si>
    <t>انستیتوت زراعت و وترنری جوزجان</t>
  </si>
  <si>
    <t xml:space="preserve">د زابل د کرني او وترنري انستیتوت </t>
  </si>
  <si>
    <t>Zabul Agriculture &amp; Veterinary Institute</t>
  </si>
  <si>
    <t>Helmand  Agriculture &amp; Veterinary Institute</t>
  </si>
  <si>
    <t>انستیتوت کثیرالرشتوی مرکز بهسود</t>
  </si>
  <si>
    <t>د بهسود د کثیرالرشتوی انستیتوت</t>
  </si>
  <si>
    <t xml:space="preserve">Behsood Multiple branch Institute  </t>
  </si>
  <si>
    <t>انستیتوت تخنیکی و مسلکی ( سید آباد )</t>
  </si>
  <si>
    <t xml:space="preserve">د سید آباد تخنیکی او مسلکی انستیتوت </t>
  </si>
  <si>
    <t xml:space="preserve">Sayed Abad Technical and Vocational Institute  </t>
  </si>
  <si>
    <t>انستیتوت زراعت و وترنری لوگر</t>
  </si>
  <si>
    <t xml:space="preserve">د لوگر د دکرني او وترنري انستیتوت  </t>
  </si>
  <si>
    <t>Logar Agriculture &amp; Veterinary Institute</t>
  </si>
  <si>
    <t>انستیتوت زراعت و وترنری ننگرهار</t>
  </si>
  <si>
    <t>د ننګرهار د کرني او وترنري انستیتوت</t>
  </si>
  <si>
    <t xml:space="preserve">Nangarhar Agriculture &amp; Veterinary Institute  </t>
  </si>
  <si>
    <t xml:space="preserve">Chaparhar Agriculture Institute  </t>
  </si>
  <si>
    <t>انستیتوت زراعت چپرهار ننگرهار</t>
  </si>
  <si>
    <t>د ننګرهار د چپرهار د کرني انستیتوت</t>
  </si>
  <si>
    <t>انستیتوت تخنیکی و مسلکی ( پکتیا )</t>
  </si>
  <si>
    <t xml:space="preserve">د پکتیا تخنیکی او مسلکی انستیتوت </t>
  </si>
  <si>
    <t>Paktya Technical and Vocational Institute</t>
  </si>
  <si>
    <t>انستیتوت زراعت پغمان (کابل)</t>
  </si>
  <si>
    <t xml:space="preserve">د پغمان د کرني انستیتوت </t>
  </si>
  <si>
    <t xml:space="preserve">Paghman Agriculture Institute  </t>
  </si>
  <si>
    <t xml:space="preserve">Baharak Agriculture &amp; Veterinary Institute  </t>
  </si>
  <si>
    <t xml:space="preserve">د بهارک  د اداري او حساب داري عالی انستیتوت  </t>
  </si>
  <si>
    <t xml:space="preserve">انستیتوت عالی اداره و حسابداری بهارک </t>
  </si>
  <si>
    <t xml:space="preserve">Baharak Management &amp; Accounting Institute    </t>
  </si>
  <si>
    <t xml:space="preserve">Farkhar Agriculture &amp; Veterinar Institute  </t>
  </si>
  <si>
    <t>انستیتوت زراعت و وترنری فرخار</t>
  </si>
  <si>
    <t>د  فرخار د کرني او وترنری  انستیتوت</t>
  </si>
  <si>
    <t>انستیتوت مسلکی تجارت نسوان بغلان</t>
  </si>
  <si>
    <t xml:space="preserve"> د بغلان و نجونو د تجارت مسلکی  انستیتوت </t>
  </si>
  <si>
    <t xml:space="preserve">Baghlan Women Trade and Vocational Institute  </t>
  </si>
  <si>
    <t>Doshi Multiple branch Institute</t>
  </si>
  <si>
    <t>انستیتوت کثیرالرشتوی ( دوشی )</t>
  </si>
  <si>
    <t xml:space="preserve">د دوشی د کثیرالرشتوی انستیتوت </t>
  </si>
  <si>
    <t xml:space="preserve">انستیتوت زراعت و وترنری بهارک </t>
  </si>
  <si>
    <t xml:space="preserve">د بهارک د کرني او وترنری انستیتوت </t>
  </si>
  <si>
    <t xml:space="preserve">انستیتوت زراعت و وترنری بغلان جدید </t>
  </si>
  <si>
    <t xml:space="preserve">د بغلان جدید د کرني او وترنری انستیتوت </t>
  </si>
  <si>
    <t xml:space="preserve">Baghlan jadid Agriculture &amp; Veterinary Institute  </t>
  </si>
  <si>
    <t>انستیتوت عالی اداره وحسابداری بغلان جدید</t>
  </si>
  <si>
    <t xml:space="preserve">د بغلان جدید د اداري او حساب داري انستیتوت </t>
  </si>
  <si>
    <t xml:space="preserve">Baghlan jadid Management &amp; Accounting Institute  </t>
  </si>
  <si>
    <t>انستیتوت اداره و حسابداری کندز</t>
  </si>
  <si>
    <t>د کندز د اداري او حساب داري انستیتوت</t>
  </si>
  <si>
    <t xml:space="preserve">Kundoz Management &amp; Accounting  </t>
  </si>
  <si>
    <t xml:space="preserve">Samangan Agriculture &amp; Veterinar Institute  </t>
  </si>
  <si>
    <t>انستیتوت زراعت و وترنری سمنگان</t>
  </si>
  <si>
    <t>د  سمنگان د کرني او وترنری  انستیتوت</t>
  </si>
  <si>
    <t>انستیتوت تخنیکی بلخ</t>
  </si>
  <si>
    <t>د بلخ تخنیکی انستیتوت</t>
  </si>
  <si>
    <t xml:space="preserve">Balkh Technical Institute  </t>
  </si>
  <si>
    <t>انستیتوت اکادمی تربیه معلم مسلکی بلخ</t>
  </si>
  <si>
    <t>د بلخ د ښوونکو د روزنی د اکادمی مسلکی انستیتوت</t>
  </si>
  <si>
    <t xml:space="preserve">Balkh Teacher Trining Vocational Institute  </t>
  </si>
  <si>
    <t>انستیتوت زراعت فاریاب</t>
  </si>
  <si>
    <t xml:space="preserve">د فاریاب د دکرني انستیتوت  </t>
  </si>
  <si>
    <t>Faryab Agriculture Institute</t>
  </si>
  <si>
    <t xml:space="preserve">انستیتوت استاد کمال الدین بهزاد </t>
  </si>
  <si>
    <t xml:space="preserve">د استاد کمال الدین بهزاد انستیتوت  </t>
  </si>
  <si>
    <t xml:space="preserve">Ustad Kamaludin Behzad  Institute    </t>
  </si>
  <si>
    <t>Herat  Agriculture &amp; Veterinary Institute</t>
  </si>
  <si>
    <t xml:space="preserve">انستیتوت زراعت و وترنری هرات </t>
  </si>
  <si>
    <t xml:space="preserve">د هرات د کرني او وترنري انستیتوت </t>
  </si>
  <si>
    <t xml:space="preserve">انستیتوت تخنیکی هرات </t>
  </si>
  <si>
    <t xml:space="preserve">د هرات تخنیکی انستیتوت </t>
  </si>
  <si>
    <t>Herat Technical Institute</t>
  </si>
  <si>
    <t>انستیتوت معاون انجینری گلبهار</t>
  </si>
  <si>
    <t xml:space="preserve">د گلبهار د انجنیر مرستیالی انستیتوت </t>
  </si>
  <si>
    <t xml:space="preserve">Golbahar Asistant Engineer Institute  </t>
  </si>
  <si>
    <t xml:space="preserve">Nejrab Agriculture Institute  </t>
  </si>
  <si>
    <t>انستیتوت زراعت نجراب / د نجراب  د کرني انستیتوت</t>
  </si>
  <si>
    <t>انستیتوت کثیرالرشتوی فراه / د فراه  د کثیرالرشتوی انستیتوت</t>
  </si>
  <si>
    <t xml:space="preserve">Farah Multiple branch  Institute  </t>
  </si>
  <si>
    <t xml:space="preserve">د هلمند د کثیرالرشتوی انستیتوت </t>
  </si>
  <si>
    <t xml:space="preserve">انستیتوت کثیرالرشتوی هلمند </t>
  </si>
  <si>
    <t>Helmand Multiple branch Institute</t>
  </si>
  <si>
    <t xml:space="preserve">Helmand Management &amp; Accounting Institute  </t>
  </si>
  <si>
    <t>انستیتوت عالی اداره وحسابداری هلمند</t>
  </si>
  <si>
    <t xml:space="preserve">د هلمند د اداري اوحساب داري انستیتوت </t>
  </si>
  <si>
    <t>انستیتوت کثیرالرشتوی (  کندهار )</t>
  </si>
  <si>
    <t xml:space="preserve">د کندهار د کثیرالرشتوی انستیتوت </t>
  </si>
  <si>
    <t>Kandahar Multiple branch Institute</t>
  </si>
  <si>
    <t xml:space="preserve">Kandahar Management &amp; Accounting Institute    </t>
  </si>
  <si>
    <t>انستیتوت عالی اداره و حسابداری  کندهار</t>
  </si>
  <si>
    <t xml:space="preserve">د کندهار د اداري او حساب داري عالی انستیتوت  </t>
  </si>
  <si>
    <t>انستیتوت مسلکی زراعت و وترنری  کندهار</t>
  </si>
  <si>
    <t xml:space="preserve">د کندهار د کرني او وترنري انستیتوت </t>
  </si>
  <si>
    <t>Kandahar Agriculture &amp; Veterinary Institute</t>
  </si>
  <si>
    <t>Maiwand Agriculture Vocational  Institute</t>
  </si>
  <si>
    <t>انستیتوت مسلکی زراعت میوند</t>
  </si>
  <si>
    <t xml:space="preserve">د میوند د کرني مسلکی انستیتوت </t>
  </si>
  <si>
    <t xml:space="preserve">انستیتوت زراعت و وترنری غور </t>
  </si>
  <si>
    <t>د غور د کرني او وترنري انستیتوت</t>
  </si>
  <si>
    <t>Ghor Agriculture &amp; Veterinary Institute</t>
  </si>
  <si>
    <t>انستیتوت عالی اداره وحسابداری بامیان</t>
  </si>
  <si>
    <t xml:space="preserve">د بامیان د اداري او حساب داري انستیتوت </t>
  </si>
  <si>
    <t xml:space="preserve">Bamyan Management &amp; Accounting Institute    </t>
  </si>
  <si>
    <t>انستیتوت تخنیکی و مسلکی بامیان</t>
  </si>
  <si>
    <t xml:space="preserve">د بامیان تخنیکی او مسلکی انستیتوت </t>
  </si>
  <si>
    <t>Bamyan Technical and Vocational Institute</t>
  </si>
  <si>
    <t xml:space="preserve">انستیتوت مسلکی زراعت پنجاب </t>
  </si>
  <si>
    <t xml:space="preserve"> د پنجاب د کرنی مسلکی انستیتوت </t>
  </si>
  <si>
    <t xml:space="preserve">Panjab Vocational Agriculture Institute  </t>
  </si>
  <si>
    <t>انستیتوت عالی اداره وحسابداری پکتیکا</t>
  </si>
  <si>
    <t xml:space="preserve">د پکتیکا د اداري او حساب داري انستیتوت </t>
  </si>
  <si>
    <t xml:space="preserve">Paktika Management &amp; Accounting Institute    </t>
  </si>
  <si>
    <t>انستیتوت زراعت و وترنری  شرن</t>
  </si>
  <si>
    <t xml:space="preserve">د شرن د کرني او وترنری انستیتوت </t>
  </si>
  <si>
    <t xml:space="preserve">Sharan Agriculture &amp; Veterinary Institute  </t>
  </si>
  <si>
    <t xml:space="preserve">Nooristan Management &amp; Accounting Institute    </t>
  </si>
  <si>
    <t>انستیتوت عالی اداره وحسابداری نورستان</t>
  </si>
  <si>
    <t xml:space="preserve">د نورستان د اداري او حساب داري انستیتوت </t>
  </si>
  <si>
    <t>انستیتوت کثیرالرشتوی شینواری</t>
  </si>
  <si>
    <t xml:space="preserve">د شینواری کثیرالرشتوی انستیتوت </t>
  </si>
  <si>
    <t>Shinwari Multiple branch Institute</t>
  </si>
  <si>
    <t xml:space="preserve">Ghorband Asistant Engineer Institute  </t>
  </si>
  <si>
    <t>انستیتوت معاون انجینری غوربند</t>
  </si>
  <si>
    <t xml:space="preserve">د غوربند د انجنیر مرستیالی انستیتوت </t>
  </si>
  <si>
    <t xml:space="preserve">انستیتوت زراعت و وترنری سرپل </t>
  </si>
  <si>
    <t>د سرپل د کرني او وترنري انستیتوت</t>
  </si>
  <si>
    <t>Sar-e-pul Agriculture &amp; Veterinary Institute</t>
  </si>
  <si>
    <t xml:space="preserve">Sar-e-pul Management &amp; Accounting Institute  </t>
  </si>
  <si>
    <t>انستیتوت عالی اداره و حسابداری  سرپل</t>
  </si>
  <si>
    <t xml:space="preserve">د سرپل د اداري او حساب داري عالی انستیتوت  </t>
  </si>
  <si>
    <t>انستیتوت مسلکی زراعت سید خیل</t>
  </si>
  <si>
    <t>د سید خیل د کرني انستیتوت</t>
  </si>
  <si>
    <t xml:space="preserve">Sayed Khil Vocational Agriculture Institute  </t>
  </si>
  <si>
    <t>انستیتوت کثیرالرشتوی نسوان خوست</t>
  </si>
  <si>
    <t xml:space="preserve">د خوست د نجونو کثیرالرشتوی  انستیتوت </t>
  </si>
  <si>
    <t>Khost Women Multiple branch Institute</t>
  </si>
  <si>
    <t xml:space="preserve">Khost Management &amp; Accounting Institute    </t>
  </si>
  <si>
    <t xml:space="preserve">د خوست د اداري او حساب داري عالی انستیتوت  </t>
  </si>
  <si>
    <t>انستیتوت عالی اداره و حسابداری خوست</t>
  </si>
  <si>
    <t xml:space="preserve">Khost Agriculture &amp; Veterinary Institute  </t>
  </si>
  <si>
    <t xml:space="preserve">د خوست د کرني او وترنری انستیتوت </t>
  </si>
  <si>
    <t>انستیتوت زراعت و وترنری خوست</t>
  </si>
  <si>
    <t>Khost Multiple branch Institute</t>
  </si>
  <si>
    <t>انستیتوت کثیرالرشتوی خوست</t>
  </si>
  <si>
    <t xml:space="preserve">د خوست د کثیرالرشتوی انستیتوت </t>
  </si>
  <si>
    <t xml:space="preserve">Panjshir Management &amp; Accounting Institute  </t>
  </si>
  <si>
    <t>انستیتوت عالی اداره وحسابداری پنجشیر</t>
  </si>
  <si>
    <t xml:space="preserve">د پنجشیر د اداري او حساب داري انستیتوت </t>
  </si>
  <si>
    <t>انستیتوت کثیرالرشتوی دایکندی</t>
  </si>
  <si>
    <t xml:space="preserve">د دایکندی د کثیرالرشتوی انستیتوت </t>
  </si>
  <si>
    <t>Daykundi Multiple branch   Institute</t>
  </si>
  <si>
    <t>Kandahar Vocational Agriculture  Institute</t>
  </si>
  <si>
    <t>انستیتوت مسلکی زراعت دایکندی</t>
  </si>
  <si>
    <t xml:space="preserve">د دایکندی د کرني مسلکی انستیتوت </t>
  </si>
  <si>
    <t>انستیتوت عالی اداره وحسابداری سید آباد</t>
  </si>
  <si>
    <t xml:space="preserve">د سید آباد د اداري او حساب داري انستیتوت </t>
  </si>
  <si>
    <t xml:space="preserve">Sayed Abad Management &amp; Accounting Institute  </t>
  </si>
  <si>
    <t xml:space="preserve">Ghazni Technical Institute  </t>
  </si>
  <si>
    <t>انستیتوت تخنیکی غزنی</t>
  </si>
  <si>
    <t>د غزنی تخنیکی انستیتوت</t>
  </si>
  <si>
    <t xml:space="preserve">Paktya Agriculture &amp; Veterinary Institute  </t>
  </si>
  <si>
    <t>انستیتوت زراعت و وترنری پکتیا</t>
  </si>
  <si>
    <t xml:space="preserve">د پکتیا د کرني او وترنری انستیتوت </t>
  </si>
  <si>
    <t>انستیتوت کثیرالرشتوی نسوان گردیز</t>
  </si>
  <si>
    <t xml:space="preserve">د گردیز د نجونو د کثیرالرشتوی انستیتوت </t>
  </si>
  <si>
    <t>Gardiz Women Multiple branch Institute</t>
  </si>
  <si>
    <t xml:space="preserve">Nangarhar Mechanical Institute  </t>
  </si>
  <si>
    <t>انستیتوت میخانیکی ننگرهار</t>
  </si>
  <si>
    <t>د ننګرهار میخانیکی انستیتوت</t>
  </si>
  <si>
    <t>انستیتوت مسلکی زراعت ننگرهار</t>
  </si>
  <si>
    <t>Nangarhar Vocational Agriculture Institute</t>
  </si>
  <si>
    <t>Nangarhar Vocational Trade Institute</t>
  </si>
  <si>
    <t>انستیتوت مسلکی تجارت ننگرهار</t>
  </si>
  <si>
    <t xml:space="preserve">Nangarhar Vocational &amp; Technical Institute  </t>
  </si>
  <si>
    <t>انستیتوت تخنیکی و مسلکی ننگرهار</t>
  </si>
  <si>
    <t xml:space="preserve">د ننګرهار د کرني مسلکی انستیتوت  </t>
  </si>
  <si>
    <t xml:space="preserve">د ننګرهار د تجارت مسلکی انستیتوت  </t>
  </si>
  <si>
    <t>د ننګرهار د تخنیکی مسلکی انستیتوت</t>
  </si>
  <si>
    <t>انستیتوت مسلکی صنایع کنرها</t>
  </si>
  <si>
    <t xml:space="preserve">د کڼرونه د صنایعو مسلکی انستیتوت  </t>
  </si>
  <si>
    <t xml:space="preserve">Kunarha Vocational Handicraft Institute    </t>
  </si>
  <si>
    <t xml:space="preserve">انستیتوت مسلکی تجارت / د سوداگري انستیتوت  </t>
  </si>
  <si>
    <t>Professional Trade Institute</t>
  </si>
  <si>
    <t xml:space="preserve">انستیتوت تکنالوژی افغان </t>
  </si>
  <si>
    <t>د افغان د تکنالوژی انستیتوت</t>
  </si>
  <si>
    <t>Afghan Technology Institute</t>
  </si>
  <si>
    <t>انستیتوت تکنالوژی کمپیوتر</t>
  </si>
  <si>
    <t>د کمپیوتر او تکنالوژي انستیتوت</t>
  </si>
  <si>
    <t>Computer Technology  Institute</t>
  </si>
  <si>
    <t>انستیتوت ملی پلان گذاری</t>
  </si>
  <si>
    <t>د پلان گذاری ملی انستیتوت</t>
  </si>
  <si>
    <t>Public Planing Institute</t>
  </si>
  <si>
    <t>انستیتوت زراعتی افغان هالند / د افغان هالند د کرنی انستیتوت</t>
  </si>
  <si>
    <t>انستیتوت بایزید روشان / د بایزید روشان انستیتوت</t>
  </si>
  <si>
    <t>Bayzid Roshan Institute</t>
  </si>
  <si>
    <t>Kabul Management  &amp; Accounting Institute</t>
  </si>
  <si>
    <t>انستیتوت اداره وحسابداری نسوان</t>
  </si>
  <si>
    <t xml:space="preserve"> د نسوان د اداري اوحساب داري انستیتوت </t>
  </si>
  <si>
    <t>Women Management  &amp; Accounting Institute</t>
  </si>
  <si>
    <t>Foreign Langauges Institute</t>
  </si>
  <si>
    <t>انستیتوت زبان های خارجی</t>
  </si>
  <si>
    <t xml:space="preserve"> د خارجی ژبو انستیتوت </t>
  </si>
  <si>
    <t>انستیتوت ژورنالیزم</t>
  </si>
  <si>
    <t xml:space="preserve"> د ژورنالیزم انستیتوت </t>
  </si>
  <si>
    <t>Journalism Institute</t>
  </si>
  <si>
    <t>Ahmad Shah Ba Ba Multiple branch Institute</t>
  </si>
  <si>
    <t>انستیتوت کثیرالرشتوی احمد شاه بابا</t>
  </si>
  <si>
    <t xml:space="preserve">د احمد شاه بابا کثیرالرشتوی انستیتوت </t>
  </si>
  <si>
    <t xml:space="preserve">د نیمروز د اداري اوحساب داري انستیتوت  </t>
  </si>
  <si>
    <t xml:space="preserve">پوهنځی ستوماتولوژی /                د ستوماتولوژی پوهنځی     </t>
  </si>
  <si>
    <t xml:space="preserve">پوهنځی ستوماتولوژی /                   د ستوماتولوژی پوهنځی     </t>
  </si>
  <si>
    <t xml:space="preserve">پوهنځی ستوماتولوژی /         د ستوماتولوژی پوهنځی     </t>
  </si>
  <si>
    <t xml:space="preserve">Faculty of Stomatology           </t>
  </si>
  <si>
    <t>Faculty of Stomatology</t>
  </si>
  <si>
    <t xml:space="preserve">Faculty of Stomatology   </t>
  </si>
  <si>
    <t>پوهنتون غرجستان / د غرجستان پوهنتون</t>
  </si>
  <si>
    <t>Gharjistan University</t>
  </si>
  <si>
    <t>پوهنتون آريا /  د آریا پوهنتون (مزارشریف)</t>
  </si>
  <si>
    <t>Aria University (Mazarsharif)</t>
  </si>
  <si>
    <t>Ghaleb University (Herat)</t>
  </si>
  <si>
    <t>انستیتوت اداره و حسابداری  ارزگان</t>
  </si>
  <si>
    <t xml:space="preserve">د ارزگان د اداري او حساب داري انستیتوت </t>
  </si>
  <si>
    <t>Urozgan Management &amp; Accounting Institute</t>
  </si>
  <si>
    <t>نوت : ارقام فارغان شهر کابل و یک تعداد از ولایات راپور داده نشده  .</t>
  </si>
  <si>
    <t>یادونه : د فارغانو او د کابل ښار او یو شمیر ولایتونو ارقام راپور نه دی ورکړل شوی .</t>
  </si>
  <si>
    <t>Note : The number of Graduates from kabul city and some province not reported .</t>
  </si>
  <si>
    <t>پوهنتون / موسسه</t>
  </si>
  <si>
    <t>University / Institution</t>
  </si>
  <si>
    <t xml:space="preserve">جدول 4 - 2 : تعداد محصلان  پوهنتون ها و موسسات تحصیلات عالی دولتی در آغاز سال تحصیلی </t>
  </si>
  <si>
    <t>Samangan Higher Education Institution</t>
  </si>
  <si>
    <t>Helmand Higher Education Institution</t>
  </si>
  <si>
    <t>Badghis Higher Education Institution</t>
  </si>
  <si>
    <t>Panjshir Higher Education Institution</t>
  </si>
  <si>
    <t>Paktika Higher Education Institution</t>
  </si>
  <si>
    <t>Urozgan Higher Education Institution</t>
  </si>
  <si>
    <t>Farah Higher Education Institution</t>
  </si>
  <si>
    <t>Ghor Higher Education Institution</t>
  </si>
  <si>
    <t>Sar- e pul Higher Education Institution</t>
  </si>
  <si>
    <t>Logar Higher Education Institution</t>
  </si>
  <si>
    <t>Maidan Wardak Higher Education Institution</t>
  </si>
  <si>
    <t>Daykundi  Higher Education Institution</t>
  </si>
  <si>
    <t>موسسه تحصیلات عالی سمنگان / د سمنګان د لوړو زده کړو موسسه</t>
  </si>
  <si>
    <t>موسسه تحصیلات عالی هلمند / د هلمند د لوړو زده کړو موسسه</t>
  </si>
  <si>
    <t>موسسه تحصیلات عالی بادغيس / د بادغیس  د لوړو زده کړو موسسه</t>
  </si>
  <si>
    <t>موسسه تحصیلات عالی پنجشیر / د پنجشیر د لوړو زده کړو موسسه</t>
  </si>
  <si>
    <t>موسسه تحصیلات عالی پکتیکا / د پکتیکا د لوړو زده کړو موسسه</t>
  </si>
  <si>
    <t>موسسه تحصیلات عالی ارزگان / د ارزګان د لوړو زده کړو موسسه</t>
  </si>
  <si>
    <t>موسسه تحصیلات عالی فراه / د فراه د لوړو زده کړو موسسه</t>
  </si>
  <si>
    <t>موسسه تحصیلات عالی غور / د غور د لوړو زده کړو موسسه</t>
  </si>
  <si>
    <t>موسسه تحصیلات عالی سرپل / د سرپل د لوړو زده کړو موسسه</t>
  </si>
  <si>
    <t>موسسه تحصیلات عالی لوگر / د لوگر د لوړو زده کړو موسسه</t>
  </si>
  <si>
    <t>موسسه تحصیلات عالی میدان وردک / د میدان وردک د لوړو زده کړو موسسه</t>
  </si>
  <si>
    <t>موسسه تحصیلات عالی دایکندی / د دایکندی د لوړو زده کړو موسسه</t>
  </si>
  <si>
    <t xml:space="preserve">Medical  Faculties            ( Provinces )    </t>
  </si>
  <si>
    <t xml:space="preserve">Faculty of Sports </t>
  </si>
  <si>
    <t xml:space="preserve">                               جدول 4- 4 : جدیدالشمولان در پوهنتون ها و موسسات تحصیلات عالی دولتی                             </t>
  </si>
  <si>
    <t xml:space="preserve">                     Table 4 -4:New Students in Government Universities and higher Education Institutions                       </t>
  </si>
  <si>
    <t>Table4-2:Number of Students in Government Universities and higher Education Institutions at the Beginning of  Educational Year</t>
  </si>
  <si>
    <t xml:space="preserve">             جدول 4-6: فارغان پوهنتون ها و موسسات تحصیلات عالی  دولتی              </t>
  </si>
  <si>
    <t xml:space="preserve">Table 4 -6: Government Graduates by University and higher Education Institutions  </t>
  </si>
  <si>
    <t>جدول 4-8 : تعداد استادان پوهنتون ها و موسسات تحصیلات عالی  دولتی</t>
  </si>
  <si>
    <t xml:space="preserve">Table 4-8 : Number of Teachers in Government Universities and higher Education Institutions  </t>
  </si>
  <si>
    <t>Samangan Higher Institution Education</t>
  </si>
  <si>
    <t>موسسه تحصیلات عالی میوند / د میوند د لوړو زده کړو موسسه</t>
  </si>
  <si>
    <t>موسسه تحصیلات عالی سادات (مزار شریف) / د سادات د لوړو زده کړو موسسه (مزارشریف)</t>
  </si>
  <si>
    <t>موسسه تحصیلات عالی آريانا (ننگرهار) د آریانا د لوړو زده کړو موسسه (ننگرهار)</t>
  </si>
  <si>
    <t>موسسه تحصیلات عالی سپين غر (ننگرهار) / د سپین غرد لوړو زده کړو موسسه (ننگرهار)</t>
  </si>
  <si>
    <t>موسسه تحصیلات عالی تاج (مزار شریف) د تاج د لوړو زده کړو موسسه (مزار شریف)</t>
  </si>
  <si>
    <t>موسسه تحصیلات عالی ازهر /  د ازهرد لوړو زده کړو موسسه</t>
  </si>
  <si>
    <t>موسسه تحصیلات عالی میهن /  د میهن د لوړو زده کړو موسسه</t>
  </si>
  <si>
    <t>موسسه تحصیلات عالی آسیا ( هرات ) /  د آسیا د لوړو زده کړو موسسه ( هرات )</t>
  </si>
  <si>
    <t>موسسه تحصیلات عالی پامیر ( خوست ) / د پامیرد لوړو زده کړو موسسه ( خوست )</t>
  </si>
  <si>
    <t>موسسه تحصیلات عالی ناصر خسرو (دایکندی) / د ناصرخسرو د لوړو زده کړو موسسه (دایکندی)</t>
  </si>
  <si>
    <t>موسسه تحصیلات عالی راه سعادت      (مزارشریف) / د راه سعادت د لوړو زده کړو موسسه    (مزارشریف )</t>
  </si>
  <si>
    <t>موسسه تحصیلات عالی بارک (نیمروز) / د بارک د لوړو زده کړو موسسه (نیمروز)</t>
  </si>
  <si>
    <t>موسسه تحصیلات عالی خواجه عبدالله انصاری (هرات) / د خواجه عبدالله انصاری د لوړو زده کړو موسسه (هرات)</t>
  </si>
  <si>
    <t>موسسه تحصیلات عالی جامعه المصطفی ( کابل) / د جامعه المصطفی د لوړو زده کړو موسسه ( کابل)</t>
  </si>
  <si>
    <t>موسسه تحصیلات عالی الغیاث (هرات) / د الغیاث د لوړو زده کړو موسسه (هرات)</t>
  </si>
  <si>
    <t>موسسه تحصیلات عالی میرویس نیکه (کندهار) / د میرویس نیکه د لوړو زده کړو موسسه (کندهار)</t>
  </si>
  <si>
    <t>موسسه تحصیلات عالی اراکوزیا (لشکرگاه) / د اراکوزیا د لوړو زده کړو موسسه (لشکرگاه )</t>
  </si>
  <si>
    <t>موسسه تحصیلات عالی التقوا (ننگرهار ) / د التقوا د لوړو زده کړو موسسه (ننگرهار)</t>
  </si>
  <si>
    <t>موسسه تحصیلات عالی احمدشاه ابدالی (خوست) / د احمدشاه ابدالی د لوړو زده کړو موسسه(خوست)</t>
  </si>
  <si>
    <t>موسسه تحصیلات عالی فجرستان (تالقان) / د فجرستان د لوړو زده کړو موسسه(تالقان)</t>
  </si>
  <si>
    <t>موسسه تحصیلات عالی رابعه بلخی(کابل) / د رابعه بلخی د لوړو زده کړو موسسه (کابل)</t>
  </si>
  <si>
    <t>موسسه تحصیلات عالی تنویر ( کنر ها ) / د تنویرد لوړو زده کړو موسسه (کنړونه)</t>
  </si>
  <si>
    <t>موسسه تحصیلات عالی سید جمال الدین افغان ( کابل ) / د سید جمال الدین افغان د لوړو زده کړو موسسه (کابل)</t>
  </si>
  <si>
    <t xml:space="preserve"> University / Institution</t>
  </si>
  <si>
    <t>Arakozia Higher Education Institution ( Lashkargah )</t>
  </si>
  <si>
    <t>Altaqwa Higher Education Institution ( Mamgarhar )</t>
  </si>
  <si>
    <t>Ahmad Shah Abdali Higher Education Institution (Khost)</t>
  </si>
  <si>
    <t>Danesh Higher Education Institution (Parwan )</t>
  </si>
  <si>
    <t>Malali Higher Education Institution ( Nangarhar )</t>
  </si>
  <si>
    <t>Fajristan Higher Education Institution ( Talqan )</t>
  </si>
  <si>
    <t>Afghan Higher Education Institution (Kabul)</t>
  </si>
  <si>
    <t>Mili Higher Education Institution (Kabul)</t>
  </si>
  <si>
    <t>Reshad Higher Education Institution (Faryab)</t>
  </si>
  <si>
    <t>Tanweer Higher Education Institution ( Kunarha )</t>
  </si>
  <si>
    <t>Kabora Higher Education Institution ( Kabul )</t>
  </si>
  <si>
    <t>Sayed Jamaludin Afghan Higher Education Institution ( Kabul )</t>
  </si>
  <si>
    <t>Sharq Higher Education Institution (Kabul)</t>
  </si>
  <si>
    <t>Afghanistan Higher Education Institution (Kabul)</t>
  </si>
  <si>
    <t>Asteqlal Higher Education Institution (Kabul)</t>
  </si>
  <si>
    <t>Afghan Swiss Higher Education Institution (Kabul)</t>
  </si>
  <si>
    <t>Jahan Higher Education Institution (Kabul)</t>
  </si>
  <si>
    <t>Barna Higher Education Institution (Kabul)</t>
  </si>
  <si>
    <t>Ahle Bait Higher Education Institution (Kabul)</t>
  </si>
  <si>
    <t xml:space="preserve">Mirwais Nika Higher Education Institution ( Kandahar ) </t>
  </si>
  <si>
    <t>Roshan Higher Education Institution ( Nangarhar )</t>
  </si>
  <si>
    <t>Al Ghias Higher Education Institution ( Herat )</t>
  </si>
  <si>
    <t>Jama Almostafa Higher Education Institution ( Kabul )</t>
  </si>
  <si>
    <t>Khwaja Abdullahe Ansari Higher Education Institution (Herat)</t>
  </si>
  <si>
    <t>Barak Higher Education Institution ( Nimrooz )</t>
  </si>
  <si>
    <t>Rahe Saadat Higher Education Institution ( Mazare sharif)</t>
  </si>
  <si>
    <t>Naser Khesrow Higher Education Institution (Daykundi)</t>
  </si>
  <si>
    <t>Pamir Higher Education Institution (Khost)</t>
  </si>
  <si>
    <t>Asia Higher Education Institution (Herat)</t>
  </si>
  <si>
    <t>Maihan Higher Education Institution</t>
  </si>
  <si>
    <t>Azhar Higher Education Institution</t>
  </si>
  <si>
    <t>Gohar shad Higher Education Institution</t>
  </si>
  <si>
    <t>Tolo Aftab Higher Education Institution</t>
  </si>
  <si>
    <t>Taj Higher Education Institution (Nangarhar)</t>
  </si>
  <si>
    <t>Ashraq Higher Education Institution (Herat)</t>
  </si>
  <si>
    <t>Khana Noor Higher Education Institution</t>
  </si>
  <si>
    <t>Spin Ghar Higher Education Institution (Nangarhar)</t>
  </si>
  <si>
    <t>Ariana Higher Education Institution (Nangarhar)</t>
  </si>
  <si>
    <t>Cheragh Tebi Higher Education Institution</t>
  </si>
  <si>
    <t>Sadat Higher Education Institution (Mazarsharif)</t>
  </si>
  <si>
    <t>Maiwand Higher Education Institution</t>
  </si>
  <si>
    <t>Kahkashan Sharq Higher Education Institution (Kahkashan)</t>
  </si>
  <si>
    <t>Zawol Higher Education Institution (Kabul)</t>
  </si>
  <si>
    <t>Payam Higher Education Institution (Kabul)</t>
  </si>
  <si>
    <t>Asteqamat Higher Education Institution (Kabul)</t>
  </si>
  <si>
    <t>Oroj Higher Education Institution (Kabul)</t>
  </si>
  <si>
    <t>Fanoos Higher Education Institution</t>
  </si>
  <si>
    <t>Bamika Higher Education Institution</t>
  </si>
  <si>
    <t>Rahnaward Higher Education Institution</t>
  </si>
  <si>
    <t>Ghazi Amanullah Khan Higher Education Institution</t>
  </si>
  <si>
    <t>Alama Higher Education Institution</t>
  </si>
  <si>
    <t xml:space="preserve">Mostaqbel Higher Education Institution  </t>
  </si>
  <si>
    <t>Edrak Higher Education Institution</t>
  </si>
  <si>
    <t>Royan Higher Education Institution</t>
  </si>
  <si>
    <t>Hariwa Higher Education Institution</t>
  </si>
  <si>
    <t xml:space="preserve">Paimam Higher Education Institution     </t>
  </si>
  <si>
    <t xml:space="preserve">Hekmat Higher Education Institution    </t>
  </si>
  <si>
    <t xml:space="preserve">Abo Raihan Higher Education Institution  </t>
  </si>
  <si>
    <t>Ashna Higher Education Institution</t>
  </si>
  <si>
    <t xml:space="preserve">Zam Zam Higher Education Institution    </t>
  </si>
  <si>
    <t xml:space="preserve">Hanzala Higher Education Institution     </t>
  </si>
  <si>
    <t xml:space="preserve">Soltan Mahmood Ghaznawee Higher Education Institution     </t>
  </si>
  <si>
    <t xml:space="preserve">Qods Higher Education Institution     </t>
  </si>
  <si>
    <t xml:space="preserve">Bayan Higher Education Institution    </t>
  </si>
  <si>
    <t xml:space="preserve">Matanat Higher Education Institution     </t>
  </si>
  <si>
    <t xml:space="preserve">Atefi Higher Education Institution     </t>
  </si>
  <si>
    <t xml:space="preserve">Khorshid Higher Education Institution    </t>
  </si>
  <si>
    <t xml:space="preserve">Shefa Higher Education Institution     </t>
  </si>
  <si>
    <t xml:space="preserve">Barlas Higher Education Institution     </t>
  </si>
  <si>
    <t xml:space="preserve">Turkistan Higher Education Institution     </t>
  </si>
  <si>
    <t xml:space="preserve">Binawa Higher Education Institution    </t>
  </si>
  <si>
    <t xml:space="preserve">Shemal Higher Education Institution     </t>
  </si>
  <si>
    <t xml:space="preserve">Qalam Higher Education Institution     </t>
  </si>
  <si>
    <t xml:space="preserve">Afghan Pamir Higher Education Institution     </t>
  </si>
  <si>
    <t xml:space="preserve">Muslim Higher Education Institution     </t>
  </si>
  <si>
    <t xml:space="preserve">Nemar Higher Education Institution     </t>
  </si>
  <si>
    <t xml:space="preserve">Nayestan Higher Education Institution    </t>
  </si>
  <si>
    <t xml:space="preserve">Noman Sadat Higher Education Institution    </t>
  </si>
  <si>
    <t xml:space="preserve">Kawoon Higher Education Institution    </t>
  </si>
  <si>
    <t xml:space="preserve">Shahid Sayed Jan Higher Education Institution    </t>
  </si>
  <si>
    <t xml:space="preserve">Kohandazh Higher Education Institution    </t>
  </si>
  <si>
    <t xml:space="preserve">Abu Nasr Higher Education Institution    </t>
  </si>
  <si>
    <t xml:space="preserve">Shirzi Afghan Higher Education Institution     </t>
  </si>
  <si>
    <t xml:space="preserve">Alburz Higher Education Institution    </t>
  </si>
  <si>
    <t xml:space="preserve">Emam Shibani Higher Education Institution     </t>
  </si>
  <si>
    <t xml:space="preserve">Saber Higher Education Institution    </t>
  </si>
  <si>
    <t xml:space="preserve">Bayezid Roshan Higher Education Institution     </t>
  </si>
  <si>
    <t xml:space="preserve">Razi Higher Education Institution     </t>
  </si>
  <si>
    <t xml:space="preserve">Saba Higher Education Institution     </t>
  </si>
  <si>
    <t xml:space="preserve">Asas Higher Education Institution    </t>
  </si>
  <si>
    <t xml:space="preserve">Afghan Women Higher Education Institution (MORA)    </t>
  </si>
  <si>
    <t>موسسه تحصیلات عالی کهکشان شرق (هرات) / د کهکشان شرق د لوړو زده کړو موسسه(هرات)</t>
  </si>
  <si>
    <t>موسسه تحصیلات عالی استقامت ( کابل ) / د استقامت د لوړو زده کړو موسسه (کابل)</t>
  </si>
  <si>
    <t>موسسه تحصیلات عالی رهنورد ( کابل ) / د رهنورد  د لوړو زده کړو موسسه (کابل)</t>
  </si>
  <si>
    <t xml:space="preserve">موسسه تحصیلات عالی غازی امان الله خان / د غازی امان الله خان د لوړو زده کړو موسسه </t>
  </si>
  <si>
    <t xml:space="preserve">موسسه تحصیلات عالی علامه / د علامه د لوړو زده کړو موسسه </t>
  </si>
  <si>
    <t xml:space="preserve">موسسه تحصیلات عالی ادراک / د ادراک د لوړو زده کړو موسسه </t>
  </si>
  <si>
    <t xml:space="preserve">موسسه تحصیلات عالی رویان / د رویان د لوړو زده کړو موسسه </t>
  </si>
  <si>
    <t>موسسه تحصیلات عالی هریوا / د هریوا د لوړو زده کړو موسسه</t>
  </si>
  <si>
    <t>موسسه تحصیلات عالی پیمان / د پیمان د لوړو زده کړو موسسه</t>
  </si>
  <si>
    <t>موسسه تحصیلات عالی حکمت / د حکمت د لوړو زده کړو موسسه</t>
  </si>
  <si>
    <t xml:space="preserve">موسسه تحصیلات عالی آشنا / د آشنا د لوړو زده کړو موسسه </t>
  </si>
  <si>
    <t xml:space="preserve">موسسه تحصیلات عالی زم زم / د زم زم د لوړو زده کړو موسسه </t>
  </si>
  <si>
    <t xml:space="preserve">موسسه تحصیلات عالی حنظله / د حنظله د لوړو زده کړو موسسه </t>
  </si>
  <si>
    <t xml:space="preserve">موسسه تحصیلات عالی سلطان محمود غزنوی / د سلطان محمود غزنوی د لوړو زده کړو موسسه </t>
  </si>
  <si>
    <t xml:space="preserve">موسسه تحصیلات عالی قدس / د قدس د لوړو زده کړو موسسه </t>
  </si>
  <si>
    <t xml:space="preserve">موسسه تحصیلات عالی بیان / د بیان د لوړو زده کړو موسسه </t>
  </si>
  <si>
    <t xml:space="preserve">موسسه تحصیلات عالی متانت / د متانت د لوړو زده کړو موسسه </t>
  </si>
  <si>
    <t xml:space="preserve">موسسه تحصیلات عالی عاطفی / د عاطفی د لوړو زده کړو موسسه </t>
  </si>
  <si>
    <t xml:space="preserve">موسسه تحصیلات عالی شفا / د شفا د لوړو زده کړو موسسه </t>
  </si>
  <si>
    <t xml:space="preserve">موسسه تحصیلات عالی برلاس / د برلاس د لوړو زده کړو موسسه </t>
  </si>
  <si>
    <t xml:space="preserve">موسسه تحصیلات عالی بینوا / د بینوا د لوړو زده کړو موسسه </t>
  </si>
  <si>
    <t xml:space="preserve">موسسه تحصیلات عالی شمال / د شمال د لوړو زده کړو موسسه </t>
  </si>
  <si>
    <t xml:space="preserve">موسسه تحصیلات عالی قلم / د قلم د لوړو زده کړو موسسه </t>
  </si>
  <si>
    <t xml:space="preserve">موسسه تحصیلات عالی مسلم / د مسلم د لوړو زده کړو موسسه </t>
  </si>
  <si>
    <t xml:space="preserve">موسسه تحصیلات عالی نمر / د نمر د لوړو زده کړو موسسه </t>
  </si>
  <si>
    <t xml:space="preserve">موسسه تحصیلات عالی کاوون / د کاوون د لوړو زده کړو موسسه </t>
  </si>
  <si>
    <t xml:space="preserve">موسسه تحصیلات عالی کهندژ / د کهندژ د لوړو زده کړو موسسه </t>
  </si>
  <si>
    <t xml:space="preserve">موسسه تحصیلات عالی ابو نصر / د ابو نصر د لوړو زده کړو موسسه </t>
  </si>
  <si>
    <t xml:space="preserve">موسسه تحصیلات عالی البرز / د البرز د لوړو زده کړو موسسه </t>
  </si>
  <si>
    <t xml:space="preserve">موسسه تحصیلات عالی صابر / د صابر د لوړو زده کړو موسسه </t>
  </si>
  <si>
    <t xml:space="preserve">موسسه تحصیلات عالی رازی / د رازی د لوړو زده کړو موسسه </t>
  </si>
  <si>
    <t xml:space="preserve">موسسه تحصیلات عالی سبا / د سبا د لوړو زده کړو موسسه </t>
  </si>
  <si>
    <t xml:space="preserve">موسسه تحصیلات عالی اساس / د اساس د لوړو زده کړو موسسه </t>
  </si>
  <si>
    <t>ــ مردانه / نارینه</t>
  </si>
  <si>
    <t>ــ زنانه / ښځينه</t>
  </si>
  <si>
    <t>ــ ذکور / نارینه</t>
  </si>
  <si>
    <r>
      <rPr>
        <sz val="12"/>
        <rFont val="Times New Roman"/>
        <family val="1"/>
      </rPr>
      <t>–</t>
    </r>
    <r>
      <rPr>
        <b/>
        <sz val="12"/>
        <rFont val="Times New Roman"/>
        <family val="1"/>
      </rPr>
      <t xml:space="preserve"> Female</t>
    </r>
  </si>
  <si>
    <t xml:space="preserve">– Male  </t>
  </si>
  <si>
    <t>– Male</t>
  </si>
  <si>
    <t xml:space="preserve">- Work Place </t>
  </si>
  <si>
    <t xml:space="preserve">- Residential </t>
  </si>
  <si>
    <t>مجموع کل1395</t>
  </si>
  <si>
    <t xml:space="preserve"> جدول 4- 9 : د دولتي پوهنتونونو د لیليو شاملین د پوهنتون په توپیر</t>
  </si>
  <si>
    <t>Table4 - 9 : Inmates of  Government Universities Dormitories by University</t>
  </si>
  <si>
    <t xml:space="preserve">Table 4-14: Total Vocational and Technical and Medical Sciences Institutions  Gov. and Private </t>
  </si>
  <si>
    <t>Note:Some of Teachers of Teacher Training Institutions aren't Permanent teachers they are Contracted teachers .</t>
  </si>
  <si>
    <t xml:space="preserve"> دینی خصوصی</t>
  </si>
  <si>
    <t xml:space="preserve"> انستیتوت خصوصی</t>
  </si>
  <si>
    <t xml:space="preserve"> مکاتب خصوصی</t>
  </si>
  <si>
    <t>خارج مرز</t>
  </si>
  <si>
    <t>Khana - e - Danish Higher Education Institution (Kabul)</t>
  </si>
  <si>
    <t>d</t>
  </si>
  <si>
    <t>p</t>
  </si>
  <si>
    <t>f d</t>
  </si>
  <si>
    <t>در سالنامه نشر شده</t>
  </si>
  <si>
    <t>2015 - 16</t>
  </si>
  <si>
    <t>2016 - 17</t>
  </si>
  <si>
    <t>2017- 18</t>
  </si>
  <si>
    <t>2017-18</t>
  </si>
  <si>
    <t>2017-18      1396</t>
  </si>
  <si>
    <t>موسسه تحصیلات عالی نیمروز / د نیمروز د لوړو زده کړو موسسه</t>
  </si>
  <si>
    <t>Nimrooz Higher Education Institution</t>
  </si>
  <si>
    <t>موسسه تحصیلات عالی زابل / د زابل د لوړو زده کړو موسسه</t>
  </si>
  <si>
    <t>Zabul Higher Education Institution</t>
  </si>
  <si>
    <t>18-2017</t>
  </si>
  <si>
    <t xml:space="preserve">پوهنځی علوم تربیتی و روانشناسی /  د روزنيزوعلومو او روانشناسی پوهنځی  </t>
  </si>
  <si>
    <t>جدول 4-10: تعداد محصلان و استادان  موسسات تحصیلات عالی خصوصی - 1396</t>
  </si>
  <si>
    <t>جدول 4-10: د خصوصي لوړو زده کړو په موسسو كې د محصلينو او استاذانو شمير -1396</t>
  </si>
  <si>
    <t>Table4-10:Number of Students and Teachers  in Private Higher Education Institutions -2017-18</t>
  </si>
  <si>
    <t>پوهنتون تابش /  د تابش پوهنتون</t>
  </si>
  <si>
    <t>Tabesh University</t>
  </si>
  <si>
    <t>Jami University</t>
  </si>
  <si>
    <t>پوهنتون جامی /  د جامی پوهنتون</t>
  </si>
  <si>
    <t xml:space="preserve">موسسه تحصیلات عالی نورین / د نورین د لوړو زده کړو </t>
  </si>
  <si>
    <t xml:space="preserve">Norin Higher Education Institution   </t>
  </si>
  <si>
    <t>Abni Khaldoon Higher Education Institution</t>
  </si>
  <si>
    <t>موسسه تحصیلات عالی روشان (ننگرهار) / د روشان  د لوړو زده کړو موسسه (ننګرهار)</t>
  </si>
  <si>
    <t>1396</t>
  </si>
  <si>
    <t>Nimrooz Higher Education</t>
  </si>
  <si>
    <t>Zabul Higher Education</t>
  </si>
  <si>
    <t>تحصیلات عالیی نیمروز / د نیمروز د لوړو زده کړو موسسه</t>
  </si>
  <si>
    <t>تحصیلات عالی زایل / د زایل د لوړو زده کړو موسسه</t>
  </si>
  <si>
    <t xml:space="preserve">جدول 4-21:تعلیمات ابتدائیه دولتی به تفکیک ولایت - 1396 </t>
  </si>
  <si>
    <t xml:space="preserve">جدول 4-21 : دولتی لمړنۍ زده کړې د ولایت په توپير - 1396 </t>
  </si>
  <si>
    <t>Table 4-21:Government Primary Education by Province - 2017-18</t>
  </si>
  <si>
    <t xml:space="preserve">جدول 4-22 :تعلیمات متوسطۀ دولتی به تفکیک ولایت - 1396 </t>
  </si>
  <si>
    <t xml:space="preserve">جدول 4-22 : دولتی منځنۍ زده کړې د ولایت په توپير -1396 </t>
  </si>
  <si>
    <t>Table 4-22:Government Lower Secondary Education by Province - 2017-18</t>
  </si>
  <si>
    <t xml:space="preserve">جدول 4-23 :تعلیمات ثانوی دولتی به تفکیک ولایت - 1396 </t>
  </si>
  <si>
    <t xml:space="preserve">جدول 4-23: دولتی ثانوی زده کړې د ولایت په توپير -1396 </t>
  </si>
  <si>
    <t>Table 4-23: Government Upper Secondary  Education by Province - 2017-18</t>
  </si>
  <si>
    <t xml:space="preserve">  2017-18          1396</t>
  </si>
  <si>
    <t xml:space="preserve">  2017-18    1396</t>
  </si>
  <si>
    <t xml:space="preserve">  2017-18         1396</t>
  </si>
  <si>
    <t>18 - 2017</t>
  </si>
  <si>
    <t>شامل شفت چهارم مکاتب گردیده</t>
  </si>
  <si>
    <t xml:space="preserve">انستیتوت خصوصی بهار دانش / د بهار دانش خصوصی انستیتوت  </t>
  </si>
  <si>
    <t>Bahare Danish Private Institute</t>
  </si>
  <si>
    <t xml:space="preserve">انستیتوت تخنیکی ومسلکی شهید سید جان  / د شهید سید جان  د تخنیکی او مسلکی  انستیتوت  </t>
  </si>
  <si>
    <t>Sima Institute</t>
  </si>
  <si>
    <t>انستیتوت سیما  / د سیما انستیتوت</t>
  </si>
  <si>
    <t>انستیتوت تعلیمات مسلکی مهارت / د مهارت د مسلکی تعلیماتو انستیتوت</t>
  </si>
  <si>
    <t>Maharat Vocational Institute</t>
  </si>
  <si>
    <t>Danish Afghanistan Private Institute</t>
  </si>
  <si>
    <t xml:space="preserve">انستیتوت خصوصی دانش افغانستان / د  دانش افغانستان خصوصی انستیتوت  </t>
  </si>
  <si>
    <t xml:space="preserve">انستیتوت خصوصی همگام / د همگام  خصوصی انستیتوت  </t>
  </si>
  <si>
    <t>Hamgam Private Institute</t>
  </si>
  <si>
    <t>انستیتوت تعلیمات تخنیکی ومسلکی افغانستان / د افغانستان د تخنیکی او مسلکی تعلیماتو انستیتوت</t>
  </si>
  <si>
    <t>جدول 4-15: د مسلکی او تخنیکی خصوصی انستیتوتونو د محصلینو او استاذانو شمیر د ولايت په توپير-1396</t>
  </si>
  <si>
    <t>جدول 4-15: تعداد محصلان و استادان انستیتوت های مسلکی و تخنیکی خصوصی به تفکیک ولایت - 1396</t>
  </si>
  <si>
    <t>Table 4-15:Number of Students &amp; Teachers in Private Vocational &amp; Technical Institutions by Province -2017-18</t>
  </si>
  <si>
    <t>انستیتوت تعلیمات مسلکی کابل روشان / د کابل روښان  د مسلکی تعلیماتو انستیتوت</t>
  </si>
  <si>
    <t>Kabul Roshan Vocational  Institute</t>
  </si>
  <si>
    <t>انستیتوت تعلیمات مسلکی هنر و معماری افغانی فیروز کوه / د فیروز کوه د افغانی هنر او معماری مسلکی تعلیماتو انستیتوت</t>
  </si>
  <si>
    <t>Feroz koh afghani Art and architect Vocational  Institute</t>
  </si>
  <si>
    <t>انستیتوت خصوصی موج کوثر/ د موج کوثر خصوصی انستیتوت</t>
  </si>
  <si>
    <t>Moje Kosar privatte Institute</t>
  </si>
  <si>
    <t>انستیتوت مسلکی کارآموز / د کار آموز مسلکی انستیتوت</t>
  </si>
  <si>
    <t>Kar Amoz Vocational  Institute</t>
  </si>
  <si>
    <t>انستیتوت رسانه یی نی / د نی رسانه یی انستیتوت</t>
  </si>
  <si>
    <t>Nai Rasanayee Institute</t>
  </si>
  <si>
    <t>انستیتوت خصوصی پرمختک / د پرمختګ خصوصی انستیتوت</t>
  </si>
  <si>
    <t>Parmakhtag private Institute</t>
  </si>
  <si>
    <t>Afghan Kabul Vocational  Institute</t>
  </si>
  <si>
    <t>Kah kashan Noor private Institute</t>
  </si>
  <si>
    <t>انستیتوت خصوصی کهکشان نور / د کهکشان نور خصوصی انستیتوت</t>
  </si>
  <si>
    <t>Refahe Afghanistan private Institute</t>
  </si>
  <si>
    <t>انستیتوت خصوصی رفاه افغانستان / د رفاه افغانستان خصوصی انستیتوت</t>
  </si>
  <si>
    <t>انستیتوت خصوصی نوی عامه شمال / د نوی عامه شمال خصوصی انستیتوت</t>
  </si>
  <si>
    <t>New amae shamal private Institute</t>
  </si>
  <si>
    <t>انستیتوت تعلیمات مسلکی افغان کابل / د افغان کابل د مسلکی تعلیماتو  انستیتوت</t>
  </si>
  <si>
    <t>انستیتوت  خصوصی محمد مصطفی (ص) / د محمد مصطفی (ص) خصوصی انستیتوت</t>
  </si>
  <si>
    <t>..</t>
  </si>
  <si>
    <t>….</t>
  </si>
  <si>
    <t>جدول 4-12: انستیتوت های تخنیکی و مسلکی دولتی - 1396</t>
  </si>
  <si>
    <t>جدول 4-12: دولتی تخنیکی او مسلکی انستیتوتونه - 1396</t>
  </si>
  <si>
    <t xml:space="preserve">           Table 4-12 :  Government Technical and Vocational Institutions - 2017-18             </t>
  </si>
  <si>
    <t>ارگون یکجا شده</t>
  </si>
  <si>
    <t>جدول4-16:موسسات دولتی تربیۀ معلم و حوزۀ های داخل خدمت - 1396</t>
  </si>
  <si>
    <t>جدول 4-16: د ښوونکی د روزني دولتی مؤسسۍ او د داخل خدمت حوزې - 1396</t>
  </si>
  <si>
    <t>Table4-16:Government Teacher Training Institutions - 2017-18</t>
  </si>
  <si>
    <t xml:space="preserve">جدول 4-24: تعداد و شاملین لیلیه های وزارت معارف به تفکیک ولایت -1396 </t>
  </si>
  <si>
    <t xml:space="preserve">جدول 4-24: د پوهنی وزارت د ليليو شمیر او شاملين د ولايت په توپير - 1396 </t>
  </si>
  <si>
    <t xml:space="preserve">Table 4-24: Number and Inmates of Dormitories of Ministry of Education by Province-2017-18 </t>
  </si>
  <si>
    <t>علوم صحی 1395</t>
  </si>
  <si>
    <t>علوم صحی 1396</t>
  </si>
  <si>
    <t>جدید شمول اناث</t>
  </si>
  <si>
    <t>مجموع کل1396</t>
  </si>
  <si>
    <t>موسسه تحصیلات عالی طلوع آفتاب /       د طلوع آفتاب د لوړو زده کړو موسسه</t>
  </si>
  <si>
    <t>موسسه تحصیلات عالی گوهرشاد /         د گوهرشاد د لوړو زده کړو موسسه</t>
  </si>
  <si>
    <t>موسسه تحصیلات عالی دانش (پروان) /      د دانش د لوړو زده کړو موسسه (پروان)</t>
  </si>
  <si>
    <t>موسسه تحصیلات عالی ملالی (ننگرهار) /    د ملالی د لوړو زده کړو موسسه (ننگرهار)</t>
  </si>
  <si>
    <t>موسسه تحصیلات عالی افغان ( کابل ) /     د افغان د لوړو زده کړو موسسه ( کابل )</t>
  </si>
  <si>
    <t>موسسه تحصیلات عالی ملی ( کابل ) /         د ملی د لوړو زده کړو موسسه ( کابل )</t>
  </si>
  <si>
    <t>موسسه تحصیلات عالی برنا ( کابل ) /         د برنا د لوړو زده کړو موسسه ( کابل )</t>
  </si>
  <si>
    <t>موسسه تحصیلات عالی بامیکا ( کابل ) /     د بامیکا د لوړو زده کړو موسسه ( کابل )</t>
  </si>
  <si>
    <t xml:space="preserve">موسسه تحصیلات عالی شهید سید جان /      د شهید سید جان د لوړو زده کړو موسسه </t>
  </si>
  <si>
    <t xml:space="preserve">موسسه تحصیلات عالی نعمان سادات /        د نعمان سادات د لوړو زده کړو موسسه </t>
  </si>
  <si>
    <t xml:space="preserve">موسسه تحصیلات عالی شیرزی افغان /       د شیرزی افغان د لوړو زده کړو موسسه </t>
  </si>
  <si>
    <t xml:space="preserve">موسسه تحصیلات عالی بایزید روشان /       د بایزید روشان د لوړو زده کړو موسسه </t>
  </si>
  <si>
    <t>موسسه تحصیلات عالی خانه نور/ د خانه نور د لوړو زده کړو موسسه</t>
  </si>
  <si>
    <t>موسسه تحصیلات عالی کابورا ( کابل ) /     د کابورا د لوړو زده کړو موسسه ( کابل )</t>
  </si>
  <si>
    <t>جدول 4 - 2: د دولتي پوهنتونونو او لوړو زده کړو موسسو د محصلينو شمير د تحصیلی کال په پیل کښې</t>
  </si>
  <si>
    <t xml:space="preserve">گراف 4 - 1 : مجموع محصلان            د 4 - 1 ګراف : ټول محصلين             Graph 4 - 1 : Total Students 
</t>
  </si>
  <si>
    <t xml:space="preserve">پوهنځی زبان وادبیات / د ژبو او ادبیاتو پوهنځی </t>
  </si>
  <si>
    <t xml:space="preserve">جدول 4-4: په دولتي پوهنتونونو او لوړو زده کړو په موسسو کښې نوي شامل شوي </t>
  </si>
  <si>
    <t xml:space="preserve">Graph 4 - 2 : Total of New Students       گراف 4 - 2 : مجموع جدیدالشمولان        د 4 - 2 ګراف : ټول نوي شامل شوي         </t>
  </si>
  <si>
    <t xml:space="preserve">     جدول 4-6: د دولتي پوهنتونونو او لوړو زده کړو موسسو نه فارغ شوي  </t>
  </si>
  <si>
    <t xml:space="preserve">پوهنځی های طب / د ولایتونو د طب پوهنځی  </t>
  </si>
  <si>
    <t xml:space="preserve">پوهنځی مخابرات و تكنا‍‍‍لوژی معلوماتی </t>
  </si>
  <si>
    <t xml:space="preserve">پوهنځی مخابرات و تكنا‍‍‍لوژی معلوماتی  / د مخابراتواومعلوماتی تکنالوژي  پوهنځی </t>
  </si>
  <si>
    <t>Faculty of  Nursing           ( Center )</t>
  </si>
  <si>
    <t xml:space="preserve">  جدول 4-9 : شاملین لیليه های پوهنتون های دولتی به تفکیک پوهنتون</t>
  </si>
  <si>
    <t>موسسه تحصیلات عالی اشراق (هرات) /  د اشراق د لوړو زده کړو موسسه (هرات)</t>
  </si>
  <si>
    <t xml:space="preserve"> پوهنتون امریکائی افغانستان /               د افغانستان امریکائی پوهنتون  </t>
  </si>
  <si>
    <t>پوهنتون مولانا جلال الدین محمد بلخی /   د مولانا جلال الدین محمد بلخی پوهنتون</t>
  </si>
  <si>
    <t>پوهنتون غالب / دغالب پوهنتون (هرات)</t>
  </si>
  <si>
    <t>موسسه تحصیلات عالی طبی چراغ /       د چراغ د طبی لوړو زده کړو موسسه</t>
  </si>
  <si>
    <t>Amir Ali Shir nawayee Higher Education Institution (Shebeghan)</t>
  </si>
  <si>
    <t>Wadi Helmand University (Lashkar Gah)</t>
  </si>
  <si>
    <t>موسسه تحصیلات عالی امیرشیرعلی نوایی ( شبرغان ) /  د امیرشیرعلی نوایی د لوړو زده کړو موسسه (شبرغان)</t>
  </si>
  <si>
    <t>موسسه تحصیلات عالی خانه دانش ( کابل ) / د خانه دانش د لوړو زده کړو موسسه   (کابل)</t>
  </si>
  <si>
    <t>موسسه تحصیلات عالی رشاد ( فاریاب ) /   د رشاد د لوړو زده کړو موسسه (فاریاب)</t>
  </si>
  <si>
    <t>موسسه تحصیلات عالی شرق ( کابل ) /        د شرق د لوړو زده کړو موسسه (کابل)</t>
  </si>
  <si>
    <t>موسسه تحصیلات عالی جهان( کابل ) /        د جهان د لوړو زده کړو موسسه (کابل)</t>
  </si>
  <si>
    <t>موسسه تحصیلات عالی استقلال (کابل) /    د استقلال د لوړو زده کړو موسسه (کابل)</t>
  </si>
  <si>
    <t>موسسه تحصیلات عالی زاول (کابل) /        د زاول د لوړو زده کړو موسسه ( کابل )</t>
  </si>
  <si>
    <t>موسسه تحصیلات عالی فانوس ( کابل ) /     د فانوس د لوړو زده کړو موسسه (کابل)</t>
  </si>
  <si>
    <t>موسسه تحصیلات عالی عروج ( کابل ) /       د عروج د لوړو زده کړو موسسه (کابل)</t>
  </si>
  <si>
    <t>موسسه تحصیلات عالی پیام ( کابل ) /      د پیام د لوړو زده کړو موسسه ( کابل)</t>
  </si>
  <si>
    <t xml:space="preserve">موسسه تحصیلات عالی مستقبل /              د مستقبل د لوړو زده کړو موسسه </t>
  </si>
  <si>
    <t xml:space="preserve">موسسه تحصیلات عالی ابوریحان /          د ابوریحان د لوړو زده کړو موسسه </t>
  </si>
  <si>
    <t xml:space="preserve">موسسه تحصیلات عالی خورشید /            د خورشید د لوړو زده کړو موسسه </t>
  </si>
  <si>
    <t xml:space="preserve">موسسه تحصیلات عالی ترکستان /            د ترکستان د لوړو زده کړو موسسه </t>
  </si>
  <si>
    <t xml:space="preserve">موسسه تحصیلات عالی افغان پامیر /         د افغان پامیر د لوړو زده کړو موسسه </t>
  </si>
  <si>
    <t xml:space="preserve">موسسه تحصیلات عالی نیستان /              د نیستان د لوړو زده کړو موسسه </t>
  </si>
  <si>
    <t xml:space="preserve">موسسه تحصیلات عالی امام شیبانی /         د امام شیبانی د لوړو زده کړو موسسه </t>
  </si>
  <si>
    <t xml:space="preserve">موسسه تحصیلات عالی زنان افغان (مورا) / د زنان افغان ( مورا ) د لوړو زده کړو </t>
  </si>
  <si>
    <t xml:space="preserve">موسسه تحصیلات عالی ابن خلدون /          د ابن خلدون د لوړو زده کړو </t>
  </si>
  <si>
    <t>جدول 4-29: کودکستان ها و شیرخوارگاه های دولتی</t>
  </si>
  <si>
    <t>مجموع کودکستان ها وشیرخوارگاه ها / ټو ل د شيدو خوړونکو ځايونه او وړکتونونه</t>
  </si>
  <si>
    <t xml:space="preserve">ــ محل زیست / دهستوګنی ځاي  </t>
  </si>
  <si>
    <t xml:space="preserve">مجموع اطفال کودکستان ها و شیرخوارگاه ها / تول ماشومان د شيدو خوړونکو په ځايونو او وړکتونونو کښي </t>
  </si>
  <si>
    <t xml:space="preserve">اطفال کودکستان ها و شیرخوارگاه های محل کار / ماشومان د کارکولو ځاي د شيدو خوړونکو په ځايونو او وړکتونونو  کښي </t>
  </si>
  <si>
    <t>مجموع معلمان کودکستان ها وشیرخوارگاه ها / ټول ښوونکي د شيدو خوړونکو په ځايونو  او وړکتونونو کښي</t>
  </si>
  <si>
    <t>مامورین / کارکوونکي</t>
  </si>
  <si>
    <t>اجیران / کارکوونکي</t>
  </si>
  <si>
    <t>Officials</t>
  </si>
  <si>
    <t>Contract Workers</t>
  </si>
  <si>
    <t>مجموع کمک ها / ټولې مرستې</t>
  </si>
  <si>
    <t>د مرستې ډول</t>
  </si>
  <si>
    <t>Aids in kind</t>
  </si>
  <si>
    <t xml:space="preserve">کمک های جنسی /  جنسی مرستې </t>
  </si>
  <si>
    <t>کمک های نقدی / نغدی مرستې</t>
  </si>
  <si>
    <t>جدول 4-31: کمک های وزارت دولت در امور رسیده گی با حوادث</t>
  </si>
  <si>
    <t>Table 4-31: State Minister for Disaster Management and Humanitarian Affairs Aids</t>
  </si>
  <si>
    <t xml:space="preserve">    جدول4-31:  د پیښو په اړه د حکومت وزارت مرستې</t>
  </si>
  <si>
    <t xml:space="preserve">منبع : وزارت دولت در امور رسیده گی با حوادث / سرچينه : د پیښو په اړه د حکومت وزارت </t>
  </si>
  <si>
    <t>Suorce : State Minister for Disaster Management and Humanitarian Affairs</t>
  </si>
  <si>
    <t xml:space="preserve">پوهنتون پولی تخنیک کابل /     د کابل  د پولی تخنیک پوهنتون </t>
  </si>
  <si>
    <t>موسسه تحصیلات عالی فراه /   د فراه د لوړو زده کړو موسسه</t>
  </si>
  <si>
    <t>موسسه تحصیلات عالی غور /   د غور د لوړو زده کړو موسسه</t>
  </si>
  <si>
    <t>موسسه تحصیلات عالی زابل /    د زابل د لوړو زده کړو موسسه</t>
  </si>
  <si>
    <t>موسسه تحصیلات عالی لوگر /    د لوگر د لوړو زده کړو موسسه</t>
  </si>
  <si>
    <t xml:space="preserve">Medical  Faculties           ( Provinces )    </t>
  </si>
  <si>
    <t>Faculty of  Nursing         ( Center )</t>
  </si>
  <si>
    <t>موسسه تحصیلات عالی غور/   د غور د لوړو زده کړو موسسه</t>
  </si>
  <si>
    <t>موسسه تحصیلات عالی لوگر/   د لوگر د لوړو زده کړو موسسه</t>
  </si>
  <si>
    <t>موسسه تحصیلات عالی زابل /   د زابل د لوړو زده کړو موسسه</t>
  </si>
  <si>
    <t xml:space="preserve">پوهنځی نرسنگ مرکز / د مرکز د نرسنگ پوهنځی </t>
  </si>
  <si>
    <t xml:space="preserve">Medical  Faculties             ( Provinces )    </t>
  </si>
  <si>
    <t xml:space="preserve">پوهنتون پولی تخنیک کابل /    د کابل د پولی تخنیک پوهنتون </t>
  </si>
  <si>
    <t>موسسه تحصیلات عالی سمنگان /           د سمنګان د لوړو زده کړو موسسه</t>
  </si>
  <si>
    <t>موسسه تحصیلات عالی بادغيس /           د بادغیس  د لوړو زده کړو موسسه</t>
  </si>
  <si>
    <t>موسسه تحصیلات عالی پنجشیر /          د پنجشیر د لوړو زده کړو موسسه</t>
  </si>
  <si>
    <t>موسسه تحصیلات عالی پکتیکا /            د پکتیکا د لوړو زده کړو موسسه</t>
  </si>
  <si>
    <t>موسسه تحصیلات عالی ارزگان /            د ارزګان د لوړو زده کړو موسسه</t>
  </si>
  <si>
    <t>موسسه تحصیلات عالی میدان وردک /     د میدان وردک د لوړو زده کړو موسسه</t>
  </si>
  <si>
    <t>موسسه تحصیلات عالی دایکندی /           د دایکندی د لوړو زده کړو موسسه</t>
  </si>
  <si>
    <t>موسسه تحصیلات عالی نیمروز /            د نیمروز د لوړو زده کړو موسسه</t>
  </si>
  <si>
    <t>پوهنتون ملی علوم زراعتی افغانستان /   د افغانستان د کرنيزو علومو ملی پوهنتون</t>
  </si>
  <si>
    <t>جدول 4-8: د دولتي پوهنتونونو او لوړو زده کړو په موسسو کښې د استاذانو شمير</t>
  </si>
  <si>
    <t>تحصیلات عالی میدان وردک / د میدان  وردک د لوړو زده کړو موسسه</t>
  </si>
  <si>
    <t>پوهنتون وادی هلمند (لشکرگاه) /            د وادی هلمند پوهنتون (لشکرگاه)</t>
  </si>
  <si>
    <t>موسسه تحصیلات عالی افغانستان (کابل) / د افغانستان د لوړو زده کړو موسسه (کابل)</t>
  </si>
  <si>
    <t>موسسه تحصیلات عالی افغان سویس (کابل) / د افغان سویس د لوړو زده کړو موسسه (کابل)</t>
  </si>
  <si>
    <t>موسسه تحصیلات عالی اهل بیت ( کابل) / د اهل بیت د لوړو زده کړو موسسه (کابل)</t>
  </si>
  <si>
    <t>جدول 4-29: دولتی د شيدو خوړونکو ځايونه او وړکتونونه</t>
  </si>
  <si>
    <t>اطفال کودکستان ها و شیرخوارگاه های محل زیست / ماشومان د هستوګنی ځاي د شيدو خوړونکو ځايونواو وړکتونونو  کښي</t>
  </si>
  <si>
    <t xml:space="preserve">ــ محل زیست / د هستوګنی ځاي </t>
  </si>
  <si>
    <t xml:space="preserve">گراف 4 - 7 : استادان لیسه های مسلکی و حرفوی
د 4 - 7 ګراف : د مسلکي او حرفوي لیسو ښوونکي   
Graph 4 - 7 : Professional and Vocational High SchoolsTeachers  
</t>
  </si>
  <si>
    <t xml:space="preserve">گراف 4 - 6 :شاگردان لیسه های مسلکی و حرفوی          
د 4 - 6 ګراف : د مسلکي او حرفوي لیسو زده کوونکي          
Graph 4 - 6 : Professional and Vocational High Schools Students          
</t>
  </si>
  <si>
    <t xml:space="preserve">گراف 4 - 11 : شاگردان مدارس تعليمات اسلامی و دارالحفاظ ها
د 4 - 11  گراف : د اسلامی مدرسو او دارالحفاظونو زده کوونکي
Graph 4 - 11 :Islamic Education and Memorize of Quran Students            
</t>
  </si>
  <si>
    <t xml:space="preserve">      گراف 4 - 13: شاگردان کورس های سوادآموزی
  د 4 - 13 ګراف : د سـواد  زډه کړو د کورسونو زده کوونکي
  Graph 4 - 13 : Students of literacy Courses  </t>
  </si>
  <si>
    <t xml:space="preserve">Faculty of Psychology </t>
  </si>
  <si>
    <t>2017-18       1396</t>
  </si>
  <si>
    <t>* منځنی ښوونځی : منځني او لمړني دوری پکی شاملې دی .</t>
  </si>
  <si>
    <t xml:space="preserve">**  لیسه : لمړني ، منځني او د لیسو دوری پکی شاملې دی . </t>
  </si>
  <si>
    <t xml:space="preserve">جدول4-18: د عمومی زده کړو په دولتی ښوونځيو کی د شاملو زده کوونکو شمير </t>
  </si>
  <si>
    <t xml:space="preserve"> د 4 - 8 ګراف : د عمومی زده کړو په دولتی ښوونځيو کی د شاملو زده کوونکو شمير</t>
  </si>
  <si>
    <t>Graph 4 - 8 : Number of  Students Enrolled in General Education Schools</t>
  </si>
  <si>
    <t>گراف 4 - 8 : تعداد شاگردان شامل  مکاتب تعلیمات عمومی دولتی</t>
  </si>
  <si>
    <t xml:space="preserve">        جدول 4-19: د عمومی زده کړو د دولتی ښوونکو شمیرد ولایت په توپير </t>
  </si>
  <si>
    <t xml:space="preserve">گراف 4 - 10: نسبت شاگردان ومعلمان تعلیمات عمومی دولتی </t>
  </si>
  <si>
    <t>د 4 - 10 ګراف : د دولتی عمومی زده کړو د ښوونکو او زده کوونکو نسبت</t>
  </si>
  <si>
    <t xml:space="preserve">Graph 4 - 10 : Government General Education Students &amp; Teachers Ratio </t>
  </si>
  <si>
    <t>Lower Secondary</t>
  </si>
  <si>
    <t>Upper Secondary</t>
  </si>
  <si>
    <t>جدول 4-27: خصوصی اسلامی زده کړي</t>
  </si>
  <si>
    <t xml:space="preserve">گراف 4 - 12 : شاگردان و استادان تعلیمات اسلامی خصوصی
د 4 - 12 گراف : د خصوصی اسلامی زده کړو زده کوونکي او ښوونکی
Graph 4 - 12 : Private Islamic Religious Students and Teachers </t>
  </si>
  <si>
    <t xml:space="preserve">Table 4 -17:Total  Professional and Vocational High Schools </t>
  </si>
  <si>
    <t xml:space="preserve">Shaikh Zayed University - Khost    </t>
  </si>
  <si>
    <t xml:space="preserve">پوهنتون البیرونی / د البیرونی پوهنتون  </t>
  </si>
  <si>
    <t xml:space="preserve">Al Beroni  University </t>
  </si>
  <si>
    <t>تعداد محصلان بخش دولتی  / د دولتی برخی د محصلینو شمیر</t>
  </si>
  <si>
    <t xml:space="preserve">تعداد محصلان بخش خصوصی  / د خصوصی برخی د محصلینو شمیر </t>
  </si>
  <si>
    <t>تعداد استادان بخش دولتی / د دولتی برخی د استاذانو شمیر</t>
  </si>
  <si>
    <t>تعداد استادان بخش خصوصی / د خصوصی برخی د استاذانو شمیر</t>
  </si>
  <si>
    <t>تعداد پوهنتون ها و موسسات تحصیلات عالی / د پوهنتونونو او لوړو زډه کړو مؤسسو شمیر</t>
  </si>
  <si>
    <t xml:space="preserve">پوهنتون شیخ زاید - خوست /    د شیخ زاید پوهنتون - خوست </t>
  </si>
  <si>
    <t>Kabul University of Medical Sceinces</t>
  </si>
  <si>
    <t xml:space="preserve">پوهنتون علوم طبی کابل / د کابل طبی علومو پوهنتون  </t>
  </si>
  <si>
    <t xml:space="preserve">پوهنتون شیخ زاید - خوست / د شیخ زاید پوهنتون - خوست </t>
  </si>
  <si>
    <t xml:space="preserve">Shahid Professor Rabani Education University  </t>
  </si>
  <si>
    <t xml:space="preserve">پوهنتون تخار/ د تخار پوهنتون </t>
  </si>
  <si>
    <t>Takhar University</t>
  </si>
  <si>
    <t xml:space="preserve">Sayed Jamaluddin Afghani  University - Kunar </t>
  </si>
  <si>
    <t>پوهنتون سید جمال الدین افغانی - کنر / د سید جمال الدین افغانی پوهنتون - کنر</t>
  </si>
  <si>
    <t xml:space="preserve">Ghazni Technical Engineering University </t>
  </si>
  <si>
    <t>پوهنتون تخنیکی انجنیری غزنی / د غزنی د انجینری تخنیکی پوهنتون</t>
  </si>
  <si>
    <t xml:space="preserve">پوهنتون تعلیم و تربیه شهید استاد ربانی / د شهید استاد  ربانی د ښووني او روزني پوهنتون </t>
  </si>
  <si>
    <t>Shahid Professor Education University</t>
  </si>
  <si>
    <t xml:space="preserve">پوهنتون تعلیم وتربیه شهید استاد ربانی / د شهید استاد ربانی د ښووني اوروزني پوهنتون </t>
  </si>
  <si>
    <t>Shahid Professor Rabani Education University</t>
  </si>
  <si>
    <t xml:space="preserve">پوهنتون تخار / د تخار پوهنتون </t>
  </si>
  <si>
    <t xml:space="preserve">پوهنتون تعلیم وتربیه شهید استاد ربانی / د شهید استاد ربانی د ښووني او روزني پوهنتون </t>
  </si>
  <si>
    <t xml:space="preserve">پوهنتون  تخار /  د تخار پوهنتون </t>
  </si>
  <si>
    <t xml:space="preserve">پوهنتون تعلیم وتربیه شهید استاد  ربانی / د شهید استاد ربانی د ښووني او روزني پوهنتون </t>
  </si>
  <si>
    <t>موسسه تحصیلات عالی مريم/ د مریم د لوړو زده کړو موسسه</t>
  </si>
  <si>
    <t xml:space="preserve">Maryam Higher Education Institution </t>
  </si>
  <si>
    <t>موسسه تحصیلات عالی پیشگام / د پیشگام د لوړو زده کړو موسسه</t>
  </si>
  <si>
    <t xml:space="preserve">Peshgam Higher Education Institution </t>
  </si>
  <si>
    <t>موسسه تحصیلات عالی هیواد (کابل) /       د هیواد د لوړو زده کړو موسسه (کابل)</t>
  </si>
  <si>
    <t>Hewad Higher Education Institution ( Kabul )</t>
  </si>
  <si>
    <t>پوهنتون الفلاح ( جلال آباد ) / د الفلاح پوهنتون (جلال آباد)</t>
  </si>
  <si>
    <t>Al - Falah University ( Jalalabad )</t>
  </si>
  <si>
    <t>Bost University ( Lashkargah )</t>
  </si>
  <si>
    <t>پوهنتون بست ( لشکرگاه) / د بست پوهنتون (لشکرگاه)</t>
  </si>
  <si>
    <t>پوهنتون حکیم سنائی ( پلخمری) / د حکیم سنائی پوهنتون (پلخمری )</t>
  </si>
  <si>
    <t>Akim Sanayee University( Pul Khomri )</t>
  </si>
  <si>
    <t>NO</t>
  </si>
  <si>
    <t>شماره</t>
  </si>
  <si>
    <t>No</t>
  </si>
  <si>
    <t xml:space="preserve">Graph 4 - 3 : Total Graduates       /      گراف 4 - 3 : مجموع فارغان     /    د 4 - 3 ګراف : ټول فارغ شوي     </t>
  </si>
  <si>
    <t xml:space="preserve"> Graph 4 - 4 : Total Students in Dormitories         /         گراف 4 - 4 : مجموع شاملین لیلیه ها      /    د 4 - 4 ګراف : د لیلیو ټول شاملین   </t>
  </si>
  <si>
    <t>تعداد انستیتوت ها /             د انستیتوتونو شمير</t>
  </si>
  <si>
    <t xml:space="preserve">گراف 4 - 5 : مجموع محصلان       /        4 - 5 ګراف : ټول محصلین        /     Graph 4 - 5 : Total Students         </t>
  </si>
  <si>
    <t>گراف 4 - 9 : تعداد معلمان مکاتب تعلیمات عمومی دولتی          /        د 4 - 9 ګراف :  د عمومی زده کړو دولتی ښوونځیو د ښوونکو شمیر   /       Graph 4 - 9 : Number of Teachers in General Education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</si>
</sst>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1">
    <font>
      <sz val="11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.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name val="Times New Roman"/>
      <family val="1"/>
    </font>
    <font>
      <b/>
      <sz val="11.5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sz val="11"/>
      <color rgb="FF3333FF"/>
      <name val="Calibri"/>
      <family val="2"/>
      <charset val="178"/>
      <scheme val="minor"/>
    </font>
    <font>
      <b/>
      <sz val="14"/>
      <color theme="1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1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charset val="178"/>
      <scheme val="minor"/>
    </font>
    <font>
      <b/>
      <sz val="11.5"/>
      <color theme="1"/>
      <name val="Times New Roman"/>
      <family val="1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b/>
      <sz val="14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3"/>
      <name val="Times New Roman"/>
      <family val="1"/>
    </font>
    <font>
      <sz val="10"/>
      <name val="Calibri"/>
      <family val="2"/>
      <charset val="178"/>
      <scheme val="minor"/>
    </font>
    <font>
      <b/>
      <sz val="14"/>
      <color rgb="FFFF0000"/>
      <name val="Times New Roman"/>
      <family val="1"/>
    </font>
    <font>
      <b/>
      <sz val="18"/>
      <name val="Times New Roman"/>
      <family val="1"/>
    </font>
    <font>
      <b/>
      <sz val="12"/>
      <name val="Arial"/>
      <family val="2"/>
    </font>
    <font>
      <b/>
      <sz val="11"/>
      <color rgb="FFFF0000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6600CC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charset val="178"/>
      <scheme val="minor"/>
    </font>
    <font>
      <b/>
      <sz val="14"/>
      <color rgb="FFFF0000"/>
      <name val="Calibri"/>
      <family val="2"/>
      <charset val="178"/>
      <scheme val="minor"/>
    </font>
    <font>
      <sz val="14"/>
      <color rgb="FFFF0000"/>
      <name val="Calibri"/>
      <family val="2"/>
      <charset val="178"/>
      <scheme val="minor"/>
    </font>
    <font>
      <b/>
      <sz val="14"/>
      <color rgb="FFFF0000"/>
      <name val="Calibri"/>
      <family val="2"/>
      <scheme val="minor"/>
    </font>
    <font>
      <sz val="20"/>
      <color theme="1"/>
      <name val="Calibri"/>
      <family val="2"/>
      <charset val="178"/>
      <scheme val="minor"/>
    </font>
    <font>
      <b/>
      <sz val="9"/>
      <name val="Times New Roman"/>
      <family val="1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Times New Roman"/>
      <family val="1"/>
    </font>
    <font>
      <b/>
      <sz val="11"/>
      <color theme="1"/>
      <name val="Cambria"/>
      <family val="1"/>
      <scheme val="major"/>
    </font>
    <font>
      <b/>
      <sz val="14"/>
      <name val="Calibri"/>
      <family val="2"/>
      <charset val="178"/>
      <scheme val="minor"/>
    </font>
    <font>
      <sz val="11"/>
      <color rgb="FF006600"/>
      <name val="Calibri"/>
      <family val="2"/>
      <charset val="178"/>
      <scheme val="minor"/>
    </font>
    <font>
      <sz val="11"/>
      <color rgb="FF00B050"/>
      <name val="Calibri"/>
      <family val="2"/>
      <charset val="178"/>
      <scheme val="min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1.5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1.5"/>
      <color indexed="8"/>
      <name val="Cambria"/>
      <family val="1"/>
      <scheme val="major"/>
    </font>
    <font>
      <b/>
      <sz val="11.5"/>
      <color theme="1"/>
      <name val="Cambria"/>
      <family val="1"/>
      <scheme val="major"/>
    </font>
    <font>
      <b/>
      <sz val="10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26" fillId="0" borderId="0"/>
    <xf numFmtId="0" fontId="13" fillId="0" borderId="0"/>
  </cellStyleXfs>
  <cellXfs count="19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2"/>
    </xf>
    <xf numFmtId="0" fontId="11" fillId="0" borderId="0" xfId="0" applyNumberFormat="1" applyFont="1" applyBorder="1" applyAlignment="1">
      <alignment horizontal="right" vertical="center" indent="1"/>
    </xf>
    <xf numFmtId="0" fontId="0" fillId="0" borderId="0" xfId="0" applyBorder="1"/>
    <xf numFmtId="49" fontId="0" fillId="0" borderId="0" xfId="0" applyNumberFormat="1" applyBorder="1"/>
    <xf numFmtId="49" fontId="11" fillId="0" borderId="0" xfId="0" applyNumberFormat="1" applyFont="1" applyBorder="1"/>
    <xf numFmtId="0" fontId="6" fillId="0" borderId="3" xfId="0" applyFont="1" applyFill="1" applyBorder="1" applyAlignment="1">
      <alignment horizontal="right" vertical="center" wrapText="1" indent="1"/>
    </xf>
    <xf numFmtId="0" fontId="6" fillId="0" borderId="6" xfId="0" applyNumberFormat="1" applyFont="1" applyBorder="1" applyAlignment="1">
      <alignment horizontal="left" vertical="center" wrapText="1" indent="1"/>
    </xf>
    <xf numFmtId="0" fontId="6" fillId="0" borderId="8" xfId="0" applyFont="1" applyFill="1" applyBorder="1" applyAlignment="1">
      <alignment horizontal="right" vertical="center" wrapText="1" indent="1"/>
    </xf>
    <xf numFmtId="0" fontId="6" fillId="0" borderId="7" xfId="0" applyNumberFormat="1" applyFont="1" applyBorder="1" applyAlignment="1">
      <alignment horizontal="right" vertical="center" wrapText="1" indent="1"/>
    </xf>
    <xf numFmtId="0" fontId="6" fillId="0" borderId="2" xfId="0" applyNumberFormat="1" applyFont="1" applyBorder="1" applyAlignment="1">
      <alignment horizontal="left" vertical="center" wrapText="1" indent="1"/>
    </xf>
    <xf numFmtId="0" fontId="6" fillId="0" borderId="4" xfId="0" applyNumberFormat="1" applyFont="1" applyBorder="1" applyAlignment="1">
      <alignment horizontal="left" vertical="center" indent="1"/>
    </xf>
    <xf numFmtId="0" fontId="6" fillId="2" borderId="6" xfId="0" applyNumberFormat="1" applyFont="1" applyFill="1" applyBorder="1" applyAlignment="1">
      <alignment horizontal="left" vertical="center" wrapText="1" indent="1"/>
    </xf>
    <xf numFmtId="0" fontId="7" fillId="0" borderId="0" xfId="1" applyNumberFormat="1" applyFont="1" applyBorder="1" applyAlignment="1">
      <alignment horizontal="right" vertical="center" wrapText="1" indent="1"/>
    </xf>
    <xf numFmtId="0" fontId="7" fillId="0" borderId="0" xfId="1" applyNumberFormat="1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2"/>
    </xf>
    <xf numFmtId="0" fontId="6" fillId="0" borderId="5" xfId="0" applyFont="1" applyBorder="1" applyAlignment="1">
      <alignment horizontal="right" vertical="center" indent="2"/>
    </xf>
    <xf numFmtId="0" fontId="6" fillId="0" borderId="0" xfId="1" applyFont="1" applyBorder="1" applyAlignment="1">
      <alignment horizontal="right" vertical="center" wrapText="1" indent="1"/>
    </xf>
    <xf numFmtId="0" fontId="6" fillId="0" borderId="4" xfId="1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2"/>
    </xf>
    <xf numFmtId="0" fontId="11" fillId="0" borderId="5" xfId="0" applyFont="1" applyBorder="1" applyAlignment="1">
      <alignment horizontal="right" vertical="center" indent="1"/>
    </xf>
    <xf numFmtId="0" fontId="11" fillId="0" borderId="4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right" vertical="center" wrapText="1" indent="1"/>
    </xf>
    <xf numFmtId="49" fontId="15" fillId="0" borderId="0" xfId="1" applyNumberFormat="1" applyFont="1" applyBorder="1" applyAlignment="1">
      <alignment horizontal="right" vertical="center" wrapText="1" indent="1"/>
    </xf>
    <xf numFmtId="49" fontId="6" fillId="0" borderId="0" xfId="1" applyNumberFormat="1" applyFont="1" applyBorder="1" applyAlignment="1">
      <alignment horizontal="right" vertical="center" indent="1"/>
    </xf>
    <xf numFmtId="0" fontId="6" fillId="0" borderId="7" xfId="1" applyNumberFormat="1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49" fontId="1" fillId="0" borderId="0" xfId="1" applyNumberFormat="1" applyFont="1" applyBorder="1" applyAlignment="1">
      <alignment horizontal="right" vertical="center" wrapText="1" indent="1"/>
    </xf>
    <xf numFmtId="0" fontId="6" fillId="0" borderId="0" xfId="1" applyFont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6" fillId="0" borderId="8" xfId="0" applyFont="1" applyFill="1" applyBorder="1" applyAlignment="1">
      <alignment horizontal="right" vertical="center" indent="1"/>
    </xf>
    <xf numFmtId="1" fontId="0" fillId="0" borderId="0" xfId="0" applyNumberFormat="1"/>
    <xf numFmtId="0" fontId="7" fillId="0" borderId="0" xfId="0" applyFont="1" applyBorder="1" applyAlignment="1">
      <alignment horizontal="right" vertical="center" indent="1"/>
    </xf>
    <xf numFmtId="0" fontId="6" fillId="0" borderId="8" xfId="1" applyNumberFormat="1" applyFont="1" applyBorder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indent="1"/>
    </xf>
    <xf numFmtId="0" fontId="6" fillId="0" borderId="2" xfId="1" applyFont="1" applyBorder="1" applyAlignment="1">
      <alignment horizontal="right" vertical="center" wrapText="1" indent="1"/>
    </xf>
    <xf numFmtId="17" fontId="0" fillId="0" borderId="0" xfId="0" applyNumberFormat="1"/>
    <xf numFmtId="49" fontId="17" fillId="0" borderId="0" xfId="0" applyNumberFormat="1" applyFont="1"/>
    <xf numFmtId="0" fontId="1" fillId="0" borderId="0" xfId="0" applyFont="1" applyBorder="1" applyAlignment="1">
      <alignment horizontal="right" vertical="center" indent="1"/>
    </xf>
    <xf numFmtId="0" fontId="18" fillId="0" borderId="0" xfId="0" applyFont="1"/>
    <xf numFmtId="0" fontId="6" fillId="0" borderId="13" xfId="0" applyFont="1" applyBorder="1" applyAlignment="1">
      <alignment horizontal="right" vertical="center" wrapText="1" indent="1"/>
    </xf>
    <xf numFmtId="164" fontId="0" fillId="0" borderId="0" xfId="0" applyNumberFormat="1"/>
    <xf numFmtId="0" fontId="6" fillId="0" borderId="1" xfId="1" applyFont="1" applyBorder="1" applyAlignment="1">
      <alignment horizontal="right" vertical="center" wrapText="1" indent="1"/>
    </xf>
    <xf numFmtId="0" fontId="19" fillId="0" borderId="0" xfId="0" applyFont="1"/>
    <xf numFmtId="0" fontId="19" fillId="0" borderId="0" xfId="0" applyFont="1" applyBorder="1"/>
    <xf numFmtId="49" fontId="19" fillId="0" borderId="0" xfId="0" applyNumberFormat="1" applyFont="1"/>
    <xf numFmtId="49" fontId="1" fillId="0" borderId="0" xfId="0" applyNumberFormat="1" applyFont="1" applyFill="1" applyBorder="1" applyAlignment="1">
      <alignment horizontal="right" vertical="center" indent="1"/>
    </xf>
    <xf numFmtId="49" fontId="1" fillId="0" borderId="0" xfId="1" applyNumberFormat="1" applyFont="1" applyBorder="1" applyAlignment="1">
      <alignment vertical="center" wrapText="1"/>
    </xf>
    <xf numFmtId="0" fontId="20" fillId="0" borderId="0" xfId="0" applyFont="1"/>
    <xf numFmtId="49" fontId="19" fillId="0" borderId="0" xfId="0" applyNumberFormat="1" applyFont="1" applyBorder="1"/>
    <xf numFmtId="49" fontId="1" fillId="0" borderId="0" xfId="0" applyNumberFormat="1" applyFont="1" applyBorder="1" applyAlignment="1">
      <alignment horizontal="right" vertical="center" indent="1"/>
    </xf>
    <xf numFmtId="49" fontId="1" fillId="0" borderId="13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 vertical="center" indent="2" readingOrder="1"/>
    </xf>
    <xf numFmtId="0" fontId="1" fillId="0" borderId="0" xfId="0" applyFont="1" applyAlignment="1">
      <alignment horizontal="right" vertical="top"/>
    </xf>
    <xf numFmtId="0" fontId="6" fillId="0" borderId="0" xfId="0" applyNumberFormat="1" applyFont="1" applyFill="1" applyBorder="1" applyAlignment="1">
      <alignment vertical="top" wrapText="1"/>
    </xf>
    <xf numFmtId="0" fontId="1" fillId="0" borderId="12" xfId="0" applyFont="1" applyBorder="1" applyAlignment="1">
      <alignment horizontal="right" vertical="center" wrapText="1" indent="1"/>
    </xf>
    <xf numFmtId="0" fontId="6" fillId="0" borderId="0" xfId="1" applyNumberFormat="1" applyFont="1" applyFill="1" applyBorder="1" applyAlignment="1">
      <alignment horizontal="right" vertical="center" wrapText="1" indent="1"/>
    </xf>
    <xf numFmtId="0" fontId="6" fillId="0" borderId="7" xfId="1" applyNumberFormat="1" applyFont="1" applyBorder="1" applyAlignment="1">
      <alignment horizontal="right" vertical="center" wrapText="1" indent="1"/>
    </xf>
    <xf numFmtId="0" fontId="0" fillId="0" borderId="0" xfId="0" applyNumberFormat="1" applyBorder="1"/>
    <xf numFmtId="1" fontId="6" fillId="0" borderId="6" xfId="0" applyNumberFormat="1" applyFont="1" applyFill="1" applyBorder="1" applyAlignment="1">
      <alignment horizontal="right" vertical="center" wrapText="1" indent="1"/>
    </xf>
    <xf numFmtId="49" fontId="0" fillId="0" borderId="0" xfId="0" applyNumberFormat="1" applyBorder="1" applyAlignment="1">
      <alignment horizontal="center" vertical="center"/>
    </xf>
    <xf numFmtId="0" fontId="23" fillId="3" borderId="0" xfId="0" applyNumberFormat="1" applyFont="1" applyFill="1" applyBorder="1"/>
    <xf numFmtId="0" fontId="6" fillId="0" borderId="7" xfId="1" applyFont="1" applyBorder="1" applyAlignment="1">
      <alignment horizontal="right" vertical="center" wrapText="1" inden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24" fillId="0" borderId="0" xfId="0" applyFont="1" applyAlignment="1">
      <alignment horizontal="center" readingOrder="1"/>
    </xf>
    <xf numFmtId="0" fontId="12" fillId="0" borderId="5" xfId="0" applyFont="1" applyBorder="1" applyAlignment="1">
      <alignment horizontal="right" vertical="center" wrapText="1" indent="1"/>
    </xf>
    <xf numFmtId="49" fontId="6" fillId="0" borderId="0" xfId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indent="1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0" fontId="1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0" borderId="5" xfId="0" applyFont="1" applyBorder="1" applyAlignment="1">
      <alignment horizontal="right" vertical="center" wrapText="1" indent="1" readingOrder="2"/>
    </xf>
    <xf numFmtId="49" fontId="6" fillId="0" borderId="5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 shrinkToFit="1"/>
    </xf>
    <xf numFmtId="0" fontId="7" fillId="0" borderId="12" xfId="1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29" fillId="0" borderId="0" xfId="0" applyFont="1"/>
    <xf numFmtId="0" fontId="14" fillId="0" borderId="0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 indent="1"/>
    </xf>
    <xf numFmtId="0" fontId="1" fillId="0" borderId="11" xfId="0" applyFont="1" applyBorder="1" applyAlignment="1">
      <alignment horizontal="right" vertical="center" wrapText="1" indent="1"/>
    </xf>
    <xf numFmtId="0" fontId="30" fillId="0" borderId="0" xfId="0" applyFont="1"/>
    <xf numFmtId="0" fontId="31" fillId="0" borderId="0" xfId="0" applyFont="1"/>
    <xf numFmtId="0" fontId="29" fillId="0" borderId="0" xfId="0" applyFont="1" applyBorder="1"/>
    <xf numFmtId="0" fontId="29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Border="1" applyAlignment="1">
      <alignment horizontal="right" vertical="center" wrapText="1" indent="3"/>
    </xf>
    <xf numFmtId="1" fontId="6" fillId="0" borderId="4" xfId="0" applyNumberFormat="1" applyFont="1" applyBorder="1" applyAlignment="1">
      <alignment horizontal="right" vertical="center" wrapText="1" indent="3"/>
    </xf>
    <xf numFmtId="1" fontId="6" fillId="0" borderId="6" xfId="0" applyNumberFormat="1" applyFont="1" applyBorder="1" applyAlignment="1">
      <alignment horizontal="right" vertical="center" wrapText="1" indent="3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 readingOrder="1"/>
    </xf>
    <xf numFmtId="0" fontId="6" fillId="0" borderId="6" xfId="0" applyFont="1" applyBorder="1" applyAlignment="1">
      <alignment horizontal="left" vertical="center" wrapText="1" indent="1" readingOrder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6" xfId="1" applyNumberFormat="1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1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 indent="1"/>
    </xf>
    <xf numFmtId="0" fontId="0" fillId="0" borderId="0" xfId="0" applyFill="1" applyBorder="1"/>
    <xf numFmtId="0" fontId="6" fillId="0" borderId="0" xfId="0" applyFont="1" applyFill="1" applyBorder="1" applyAlignment="1">
      <alignment horizontal="right" vertical="center" wrapText="1" indent="1"/>
    </xf>
    <xf numFmtId="0" fontId="23" fillId="0" borderId="0" xfId="0" applyFont="1"/>
    <xf numFmtId="0" fontId="23" fillId="0" borderId="0" xfId="0" applyFont="1" applyBorder="1"/>
    <xf numFmtId="0" fontId="6" fillId="0" borderId="5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right" vertical="center" indent="1"/>
    </xf>
    <xf numFmtId="0" fontId="24" fillId="0" borderId="0" xfId="0" applyFont="1" applyAlignment="1">
      <alignment horizontal="center" readingOrder="2"/>
    </xf>
    <xf numFmtId="0" fontId="23" fillId="0" borderId="0" xfId="0" applyFont="1" applyAlignment="1">
      <alignment horizontal="left"/>
    </xf>
    <xf numFmtId="0" fontId="6" fillId="0" borderId="0" xfId="0" applyFont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 inden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right" vertical="center" indent="1"/>
    </xf>
    <xf numFmtId="49" fontId="6" fillId="0" borderId="0" xfId="0" applyNumberFormat="1" applyFont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1" fillId="0" borderId="0" xfId="0" applyFont="1" applyBorder="1" applyAlignment="1">
      <alignment horizontal="right" vertical="center" indent="1"/>
    </xf>
    <xf numFmtId="12" fontId="36" fillId="5" borderId="0" xfId="0" applyNumberFormat="1" applyFont="1" applyFill="1" applyBorder="1" applyAlignment="1">
      <alignment horizontal="center" vertical="center" shrinkToFit="1"/>
    </xf>
    <xf numFmtId="12" fontId="6" fillId="6" borderId="0" xfId="0" applyNumberFormat="1" applyFont="1" applyFill="1" applyBorder="1" applyAlignment="1">
      <alignment horizontal="center" vertical="center" shrinkToFit="1"/>
    </xf>
    <xf numFmtId="12" fontId="37" fillId="6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0" fillId="0" borderId="0" xfId="0" applyFont="1"/>
    <xf numFmtId="0" fontId="18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8" xfId="0" applyFont="1" applyBorder="1" applyAlignment="1">
      <alignment horizontal="right" vertical="center" wrapText="1" indent="1"/>
    </xf>
    <xf numFmtId="0" fontId="7" fillId="0" borderId="0" xfId="1" applyNumberFormat="1" applyFont="1" applyBorder="1" applyAlignment="1">
      <alignment vertical="center" wrapText="1"/>
    </xf>
    <xf numFmtId="49" fontId="6" fillId="0" borderId="0" xfId="1" applyNumberFormat="1" applyFont="1" applyBorder="1" applyAlignment="1">
      <alignment horizontal="right" vertical="center" wrapText="1" indent="1"/>
    </xf>
    <xf numFmtId="0" fontId="25" fillId="0" borderId="0" xfId="0" applyFont="1" applyBorder="1"/>
    <xf numFmtId="49" fontId="25" fillId="0" borderId="0" xfId="0" applyNumberFormat="1" applyFont="1" applyBorder="1"/>
    <xf numFmtId="0" fontId="18" fillId="0" borderId="0" xfId="0" applyFont="1" applyBorder="1"/>
    <xf numFmtId="0" fontId="0" fillId="0" borderId="0" xfId="0" applyBorder="1" applyAlignment="1">
      <alignment horizontal="center" vertical="center"/>
    </xf>
    <xf numFmtId="49" fontId="29" fillId="0" borderId="0" xfId="0" applyNumberFormat="1" applyFont="1" applyBorder="1"/>
    <xf numFmtId="0" fontId="32" fillId="0" borderId="0" xfId="0" applyNumberFormat="1" applyFont="1" applyBorder="1"/>
    <xf numFmtId="0" fontId="6" fillId="0" borderId="0" xfId="0" applyFont="1" applyFill="1" applyBorder="1" applyAlignment="1">
      <alignment horizontal="right" vertical="center" wrapText="1" indent="2"/>
    </xf>
    <xf numFmtId="0" fontId="6" fillId="0" borderId="12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indent="2"/>
    </xf>
    <xf numFmtId="0" fontId="7" fillId="0" borderId="0" xfId="1" applyFont="1" applyBorder="1" applyAlignment="1">
      <alignment horizontal="right" vertical="center" wrapText="1" indent="1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38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25" fillId="0" borderId="0" xfId="0" applyFont="1"/>
    <xf numFmtId="0" fontId="39" fillId="0" borderId="0" xfId="0" applyFont="1"/>
    <xf numFmtId="164" fontId="39" fillId="0" borderId="0" xfId="0" applyNumberFormat="1" applyFont="1"/>
    <xf numFmtId="0" fontId="40" fillId="0" borderId="0" xfId="0" applyFont="1"/>
    <xf numFmtId="0" fontId="1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" fillId="4" borderId="5" xfId="0" applyFont="1" applyFill="1" applyBorder="1" applyAlignment="1">
      <alignment horizontal="right" vertical="center" wrapText="1" indent="1"/>
    </xf>
    <xf numFmtId="0" fontId="6" fillId="0" borderId="8" xfId="1" applyFont="1" applyBorder="1" applyAlignment="1">
      <alignment horizontal="right" vertical="center" wrapText="1" indent="1"/>
    </xf>
    <xf numFmtId="12" fontId="0" fillId="0" borderId="0" xfId="0" applyNumberFormat="1"/>
    <xf numFmtId="0" fontId="15" fillId="0" borderId="0" xfId="1" applyNumberFormat="1" applyFont="1" applyBorder="1" applyAlignment="1">
      <alignment horizontal="right" vertical="center" wrapText="1" indent="1"/>
    </xf>
    <xf numFmtId="0" fontId="6" fillId="0" borderId="6" xfId="1" applyNumberFormat="1" applyFont="1" applyBorder="1" applyAlignment="1">
      <alignment horizontal="right" vertical="center" wrapText="1" indent="1"/>
    </xf>
    <xf numFmtId="0" fontId="32" fillId="0" borderId="0" xfId="0" applyFont="1" applyBorder="1" applyAlignment="1">
      <alignment horizontal="right" vertical="center" indent="1"/>
    </xf>
    <xf numFmtId="0" fontId="32" fillId="0" borderId="0" xfId="0" applyFont="1" applyFill="1" applyBorder="1" applyAlignment="1">
      <alignment horizontal="right" vertical="center" indent="1"/>
    </xf>
    <xf numFmtId="0" fontId="19" fillId="0" borderId="0" xfId="0" applyFont="1" applyBorder="1" applyAlignment="1">
      <alignment horizontal="right"/>
    </xf>
    <xf numFmtId="0" fontId="41" fillId="0" borderId="0" xfId="0" applyFont="1" applyBorder="1" applyAlignment="1">
      <alignment horizontal="right" vertical="center" indent="1"/>
    </xf>
    <xf numFmtId="49" fontId="41" fillId="0" borderId="0" xfId="0" applyNumberFormat="1" applyFont="1" applyBorder="1" applyAlignment="1">
      <alignment horizontal="right" vertical="center" indent="1"/>
    </xf>
    <xf numFmtId="0" fontId="41" fillId="0" borderId="0" xfId="0" applyFont="1" applyFill="1" applyBorder="1" applyAlignment="1">
      <alignment horizontal="right" vertical="center" indent="1"/>
    </xf>
    <xf numFmtId="49" fontId="42" fillId="0" borderId="0" xfId="0" applyNumberFormat="1" applyFont="1" applyBorder="1" applyAlignment="1">
      <alignment horizontal="right" vertical="center" indent="1"/>
    </xf>
    <xf numFmtId="0" fontId="42" fillId="0" borderId="0" xfId="0" applyFont="1" applyBorder="1" applyAlignment="1">
      <alignment horizontal="right" vertical="center" indent="1"/>
    </xf>
    <xf numFmtId="49" fontId="23" fillId="0" borderId="0" xfId="0" applyNumberFormat="1" applyFont="1" applyFill="1" applyBorder="1" applyAlignment="1">
      <alignment horizontal="right" vertical="center" indent="1"/>
    </xf>
    <xf numFmtId="49" fontId="23" fillId="0" borderId="0" xfId="0" applyNumberFormat="1" applyFont="1" applyBorder="1" applyAlignment="1">
      <alignment horizontal="right" vertical="center" indent="1"/>
    </xf>
    <xf numFmtId="0" fontId="23" fillId="0" borderId="0" xfId="0" applyFont="1" applyBorder="1" applyAlignment="1">
      <alignment horizontal="right" vertical="center" indent="1"/>
    </xf>
    <xf numFmtId="0" fontId="43" fillId="0" borderId="0" xfId="0" applyNumberFormat="1" applyFont="1" applyBorder="1" applyAlignment="1">
      <alignment horizontal="right"/>
    </xf>
    <xf numFmtId="0" fontId="43" fillId="0" borderId="0" xfId="0" applyFont="1" applyBorder="1" applyAlignment="1">
      <alignment horizontal="right"/>
    </xf>
    <xf numFmtId="0" fontId="43" fillId="0" borderId="0" xfId="0" applyFont="1" applyBorder="1"/>
    <xf numFmtId="0" fontId="0" fillId="0" borderId="15" xfId="0" applyBorder="1"/>
    <xf numFmtId="0" fontId="15" fillId="0" borderId="4" xfId="1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5" fillId="0" borderId="5" xfId="0" applyFont="1" applyFill="1" applyBorder="1" applyAlignment="1">
      <alignment horizontal="right" vertical="center" wrapText="1" indent="1"/>
    </xf>
    <xf numFmtId="0" fontId="6" fillId="0" borderId="4" xfId="0" applyNumberFormat="1" applyFont="1" applyBorder="1" applyAlignment="1">
      <alignment horizontal="right" vertical="center" wrapText="1" indent="1"/>
    </xf>
    <xf numFmtId="164" fontId="23" fillId="0" borderId="0" xfId="0" applyNumberFormat="1" applyFont="1"/>
    <xf numFmtId="164" fontId="6" fillId="0" borderId="4" xfId="0" applyNumberFormat="1" applyFont="1" applyBorder="1" applyAlignment="1">
      <alignment horizontal="right" vertical="center" indent="3"/>
    </xf>
    <xf numFmtId="164" fontId="6" fillId="0" borderId="0" xfId="0" applyNumberFormat="1" applyFont="1" applyBorder="1" applyAlignment="1">
      <alignment horizontal="right" vertical="center" indent="3"/>
    </xf>
    <xf numFmtId="0" fontId="45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0" fillId="0" borderId="12" xfId="0" applyBorder="1"/>
    <xf numFmtId="0" fontId="0" fillId="0" borderId="13" xfId="0" applyFont="1" applyBorder="1"/>
    <xf numFmtId="0" fontId="18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19" fillId="0" borderId="4" xfId="0" applyFont="1" applyBorder="1"/>
    <xf numFmtId="0" fontId="19" fillId="0" borderId="5" xfId="0" applyFont="1" applyBorder="1"/>
    <xf numFmtId="0" fontId="19" fillId="0" borderId="2" xfId="0" applyFont="1" applyBorder="1"/>
    <xf numFmtId="0" fontId="19" fillId="0" borderId="1" xfId="0" applyFont="1" applyBorder="1"/>
    <xf numFmtId="0" fontId="19" fillId="0" borderId="3" xfId="0" applyFont="1" applyBorder="1"/>
    <xf numFmtId="0" fontId="0" fillId="0" borderId="13" xfId="0" applyBorder="1" applyAlignment="1"/>
    <xf numFmtId="0" fontId="0" fillId="0" borderId="11" xfId="0" applyBorder="1"/>
    <xf numFmtId="0" fontId="0" fillId="0" borderId="12" xfId="0" applyBorder="1" applyAlignment="1"/>
    <xf numFmtId="0" fontId="0" fillId="0" borderId="4" xfId="0" applyBorder="1" applyAlignment="1"/>
    <xf numFmtId="0" fontId="45" fillId="0" borderId="0" xfId="0" applyFont="1" applyBorder="1"/>
    <xf numFmtId="0" fontId="45" fillId="0" borderId="5" xfId="0" applyFont="1" applyBorder="1"/>
    <xf numFmtId="0" fontId="0" fillId="0" borderId="6" xfId="0" applyBorder="1"/>
    <xf numFmtId="0" fontId="45" fillId="0" borderId="4" xfId="0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4" fontId="46" fillId="0" borderId="0" xfId="0" applyNumberFormat="1" applyFont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45" fillId="0" borderId="13" xfId="0" applyFont="1" applyBorder="1"/>
    <xf numFmtId="164" fontId="44" fillId="0" borderId="0" xfId="0" applyNumberFormat="1" applyFont="1"/>
    <xf numFmtId="0" fontId="44" fillId="0" borderId="0" xfId="0" applyFont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49" fillId="0" borderId="0" xfId="0" applyNumberFormat="1" applyFont="1"/>
    <xf numFmtId="0" fontId="32" fillId="0" borderId="0" xfId="0" applyFont="1"/>
    <xf numFmtId="1" fontId="6" fillId="0" borderId="0" xfId="1" applyNumberFormat="1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3" xfId="1" applyFont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right" vertical="center" indent="1"/>
    </xf>
    <xf numFmtId="0" fontId="1" fillId="0" borderId="6" xfId="0" applyNumberFormat="1" applyFont="1" applyBorder="1" applyAlignment="1">
      <alignment horizontal="right" vertical="center" indent="1"/>
    </xf>
    <xf numFmtId="164" fontId="6" fillId="0" borderId="5" xfId="0" applyNumberFormat="1" applyFont="1" applyBorder="1" applyAlignment="1">
      <alignment horizontal="right" vertical="center" indent="3"/>
    </xf>
    <xf numFmtId="0" fontId="6" fillId="0" borderId="4" xfId="1" applyNumberFormat="1" applyFont="1" applyBorder="1" applyAlignment="1">
      <alignment horizontal="right" vertical="center" wrapText="1" indent="1" shrinkToFit="1"/>
    </xf>
    <xf numFmtId="0" fontId="6" fillId="0" borderId="4" xfId="1" applyNumberFormat="1" applyFont="1" applyFill="1" applyBorder="1" applyAlignment="1">
      <alignment horizontal="right" vertical="center" wrapText="1" indent="1"/>
    </xf>
    <xf numFmtId="0" fontId="6" fillId="0" borderId="8" xfId="1" applyNumberFormat="1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8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right" vertical="center" indent="1"/>
    </xf>
    <xf numFmtId="0" fontId="1" fillId="0" borderId="7" xfId="0" applyFont="1" applyBorder="1" applyAlignment="1">
      <alignment horizontal="right" vertical="center" indent="1"/>
    </xf>
    <xf numFmtId="0" fontId="1" fillId="0" borderId="8" xfId="0" applyFont="1" applyBorder="1" applyAlignment="1">
      <alignment horizontal="right" vertical="center" indent="1"/>
    </xf>
    <xf numFmtId="1" fontId="6" fillId="0" borderId="7" xfId="0" applyNumberFormat="1" applyFont="1" applyFill="1" applyBorder="1" applyAlignment="1">
      <alignment horizontal="right" vertical="center" wrapText="1" indent="1"/>
    </xf>
    <xf numFmtId="0" fontId="32" fillId="0" borderId="0" xfId="0" applyNumberFormat="1" applyFont="1" applyBorder="1" applyAlignment="1">
      <alignment horizontal="right" vertical="center" indent="1"/>
    </xf>
    <xf numFmtId="0" fontId="6" fillId="0" borderId="0" xfId="0" applyFont="1" applyFill="1" applyBorder="1" applyAlignment="1">
      <alignment horizontal="right" vertical="center" indent="2"/>
    </xf>
    <xf numFmtId="0" fontId="1" fillId="0" borderId="4" xfId="1" applyNumberFormat="1" applyFont="1" applyFill="1" applyBorder="1" applyAlignment="1">
      <alignment horizontal="right" vertical="center" wrapText="1" indent="1"/>
    </xf>
    <xf numFmtId="0" fontId="1" fillId="0" borderId="4" xfId="1" applyNumberFormat="1" applyFont="1" applyBorder="1" applyAlignment="1">
      <alignment horizontal="right" vertical="center" wrapText="1" indent="1" shrinkToFit="1"/>
    </xf>
    <xf numFmtId="0" fontId="1" fillId="0" borderId="6" xfId="1" applyNumberFormat="1" applyFont="1" applyBorder="1" applyAlignment="1">
      <alignment horizontal="right" vertical="center" wrapText="1" indent="1"/>
    </xf>
    <xf numFmtId="0" fontId="1" fillId="0" borderId="7" xfId="1" applyNumberFormat="1" applyFont="1" applyBorder="1" applyAlignment="1">
      <alignment horizontal="right" vertical="center" wrapText="1" indent="1"/>
    </xf>
    <xf numFmtId="0" fontId="1" fillId="0" borderId="8" xfId="1" applyNumberFormat="1" applyFont="1" applyBorder="1" applyAlignment="1">
      <alignment horizontal="right" vertical="center" wrapText="1" indent="1"/>
    </xf>
    <xf numFmtId="164" fontId="6" fillId="0" borderId="5" xfId="0" applyNumberFormat="1" applyFont="1" applyBorder="1" applyAlignment="1">
      <alignment horizontal="right" vertical="center" indent="2"/>
    </xf>
    <xf numFmtId="0" fontId="1" fillId="0" borderId="4" xfId="1" applyNumberFormat="1" applyFont="1" applyBorder="1" applyAlignment="1">
      <alignment horizontal="right" vertical="center" wrapText="1" indent="1"/>
    </xf>
    <xf numFmtId="0" fontId="1" fillId="0" borderId="5" xfId="1" applyNumberFormat="1" applyFont="1" applyBorder="1" applyAlignment="1">
      <alignment horizontal="right" vertical="center" wrapText="1" indent="1"/>
    </xf>
    <xf numFmtId="0" fontId="6" fillId="0" borderId="5" xfId="1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1" applyNumberFormat="1" applyFont="1" applyBorder="1" applyAlignment="1">
      <alignment horizontal="right" vertical="center" wrapText="1" indent="1" shrinkToFit="1"/>
    </xf>
    <xf numFmtId="0" fontId="6" fillId="2" borderId="8" xfId="0" applyFont="1" applyFill="1" applyBorder="1" applyAlignment="1">
      <alignment horizontal="right" vertical="center" indent="1"/>
    </xf>
    <xf numFmtId="0" fontId="1" fillId="4" borderId="8" xfId="0" applyFont="1" applyFill="1" applyBorder="1" applyAlignment="1">
      <alignment horizontal="right" vertical="center" wrapText="1" inden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1" fillId="0" borderId="0" xfId="0" applyFont="1" applyBorder="1" applyAlignment="1">
      <alignment vertical="center" wrapText="1" readingOrder="1"/>
    </xf>
    <xf numFmtId="0" fontId="52" fillId="0" borderId="0" xfId="0" applyFont="1"/>
    <xf numFmtId="1" fontId="41" fillId="0" borderId="0" xfId="0" applyNumberFormat="1" applyFont="1" applyBorder="1" applyAlignment="1">
      <alignment horizontal="right" vertical="center" indent="1"/>
    </xf>
    <xf numFmtId="0" fontId="18" fillId="0" borderId="15" xfId="0" applyFont="1" applyBorder="1"/>
    <xf numFmtId="0" fontId="20" fillId="0" borderId="0" xfId="0" applyFont="1" applyBorder="1"/>
    <xf numFmtId="164" fontId="0" fillId="0" borderId="0" xfId="0" applyNumberFormat="1" applyAlignment="1"/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7" xfId="0" applyFont="1" applyBorder="1" applyAlignment="1">
      <alignment horizontal="righ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 indent="1"/>
    </xf>
    <xf numFmtId="1" fontId="6" fillId="0" borderId="0" xfId="0" applyNumberFormat="1" applyFont="1" applyFill="1" applyBorder="1" applyAlignment="1">
      <alignment horizontal="right" vertical="center" wrapText="1" indent="1"/>
    </xf>
    <xf numFmtId="0" fontId="1" fillId="0" borderId="4" xfId="0" applyNumberFormat="1" applyFont="1" applyBorder="1" applyAlignment="1">
      <alignment horizontal="right" vertical="center" indent="1"/>
    </xf>
    <xf numFmtId="49" fontId="6" fillId="0" borderId="12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right" vertical="center" wrapText="1" indent="1"/>
    </xf>
    <xf numFmtId="0" fontId="1" fillId="0" borderId="5" xfId="0" applyNumberFormat="1" applyFont="1" applyBorder="1" applyAlignment="1">
      <alignment horizontal="right" vertical="center" indent="1"/>
    </xf>
    <xf numFmtId="0" fontId="6" fillId="0" borderId="0" xfId="1" applyNumberFormat="1" applyFont="1" applyBorder="1" applyAlignment="1">
      <alignment vertical="center"/>
    </xf>
    <xf numFmtId="0" fontId="15" fillId="0" borderId="2" xfId="1" applyFont="1" applyBorder="1" applyAlignment="1">
      <alignment horizontal="right" vertical="center" wrapText="1" indent="1"/>
    </xf>
    <xf numFmtId="0" fontId="15" fillId="0" borderId="13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31" fillId="0" borderId="15" xfId="0" applyFont="1" applyBorder="1"/>
    <xf numFmtId="0" fontId="10" fillId="0" borderId="15" xfId="1" applyFont="1" applyBorder="1" applyAlignment="1">
      <alignment horizontal="center" vertical="center" wrapText="1"/>
    </xf>
    <xf numFmtId="0" fontId="35" fillId="0" borderId="15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right" vertical="center" indent="1"/>
    </xf>
    <xf numFmtId="0" fontId="35" fillId="0" borderId="15" xfId="0" applyNumberFormat="1" applyFont="1" applyBorder="1" applyAlignment="1">
      <alignment horizontal="right" vertical="center" indent="1"/>
    </xf>
    <xf numFmtId="0" fontId="2" fillId="0" borderId="15" xfId="1" applyNumberFormat="1" applyFont="1" applyBorder="1" applyAlignment="1">
      <alignment horizontal="right" vertical="center" wrapText="1" indent="1"/>
    </xf>
    <xf numFmtId="0" fontId="56" fillId="0" borderId="15" xfId="0" applyFont="1" applyBorder="1" applyAlignment="1"/>
    <xf numFmtId="0" fontId="46" fillId="0" borderId="15" xfId="0" applyFont="1" applyBorder="1" applyAlignment="1"/>
    <xf numFmtId="0" fontId="9" fillId="0" borderId="15" xfId="0" applyFont="1" applyBorder="1" applyAlignment="1">
      <alignment horizontal="right" vertical="center" indent="1"/>
    </xf>
    <xf numFmtId="0" fontId="35" fillId="0" borderId="15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indent="1"/>
    </xf>
    <xf numFmtId="0" fontId="15" fillId="0" borderId="0" xfId="0" applyFont="1" applyFill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 wrapText="1" indent="1"/>
    </xf>
    <xf numFmtId="0" fontId="15" fillId="0" borderId="4" xfId="0" applyFont="1" applyBorder="1" applyAlignment="1">
      <alignment horizontal="right" vertical="center" wrapText="1" inden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38" fillId="0" borderId="0" xfId="0" applyFont="1" applyBorder="1"/>
    <xf numFmtId="0" fontId="57" fillId="0" borderId="0" xfId="0" applyFont="1" applyBorder="1"/>
    <xf numFmtId="0" fontId="14" fillId="0" borderId="4" xfId="0" applyFont="1" applyBorder="1" applyAlignment="1">
      <alignment horizontal="right" vertical="center" indent="1"/>
    </xf>
    <xf numFmtId="0" fontId="19" fillId="0" borderId="0" xfId="0" applyFont="1" applyFill="1" applyBorder="1"/>
    <xf numFmtId="0" fontId="38" fillId="0" borderId="0" xfId="0" applyFont="1" applyFill="1" applyBorder="1"/>
    <xf numFmtId="0" fontId="19" fillId="0" borderId="0" xfId="0" applyFont="1" applyFill="1" applyBorder="1" applyAlignment="1"/>
    <xf numFmtId="0" fontId="38" fillId="0" borderId="0" xfId="0" applyFont="1" applyFill="1" applyBorder="1" applyAlignment="1"/>
    <xf numFmtId="0" fontId="6" fillId="0" borderId="5" xfId="0" applyFont="1" applyBorder="1" applyAlignment="1">
      <alignment horizontal="right" vertical="center" wrapText="1" indent="1"/>
    </xf>
    <xf numFmtId="0" fontId="12" fillId="0" borderId="5" xfId="0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12" fontId="6" fillId="0" borderId="4" xfId="0" applyNumberFormat="1" applyFont="1" applyBorder="1" applyAlignment="1">
      <alignment horizontal="center" vertical="center" wrapText="1" readingOrder="2"/>
    </xf>
    <xf numFmtId="49" fontId="6" fillId="0" borderId="4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center" vertical="center" wrapText="1" readingOrder="2"/>
    </xf>
    <xf numFmtId="0" fontId="6" fillId="0" borderId="12" xfId="0" applyFont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right" vertical="center" wrapText="1" indent="3"/>
    </xf>
    <xf numFmtId="0" fontId="6" fillId="0" borderId="0" xfId="0" applyNumberFormat="1" applyFont="1" applyFill="1" applyBorder="1" applyAlignment="1">
      <alignment horizontal="right" vertical="center" wrapText="1" indent="1"/>
    </xf>
    <xf numFmtId="0" fontId="6" fillId="4" borderId="5" xfId="0" applyFont="1" applyFill="1" applyBorder="1" applyAlignment="1">
      <alignment horizontal="right" vertical="center" wrapText="1" inden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3" fillId="0" borderId="13" xfId="0" applyFont="1" applyBorder="1"/>
    <xf numFmtId="0" fontId="23" fillId="0" borderId="4" xfId="0" applyFont="1" applyBorder="1"/>
    <xf numFmtId="0" fontId="23" fillId="0" borderId="5" xfId="0" applyFont="1" applyBorder="1"/>
    <xf numFmtId="0" fontId="58" fillId="0" borderId="13" xfId="0" applyFont="1" applyBorder="1"/>
    <xf numFmtId="0" fontId="58" fillId="0" borderId="4" xfId="0" applyFont="1" applyBorder="1"/>
    <xf numFmtId="0" fontId="58" fillId="0" borderId="5" xfId="0" applyFont="1" applyBorder="1"/>
    <xf numFmtId="1" fontId="0" fillId="0" borderId="0" xfId="0" applyNumberFormat="1" applyAlignment="1"/>
    <xf numFmtId="0" fontId="18" fillId="0" borderId="0" xfId="0" applyFont="1" applyFill="1" applyBorder="1"/>
    <xf numFmtId="2" fontId="0" fillId="0" borderId="0" xfId="0" applyNumberFormat="1" applyBorder="1"/>
    <xf numFmtId="2" fontId="6" fillId="0" borderId="0" xfId="1" applyNumberFormat="1" applyFont="1" applyBorder="1" applyAlignment="1">
      <alignment horizontal="right" vertical="center" indent="1"/>
    </xf>
    <xf numFmtId="164" fontId="6" fillId="0" borderId="0" xfId="1" applyNumberFormat="1" applyFont="1" applyBorder="1" applyAlignment="1">
      <alignment horizontal="right" vertical="center" indent="1"/>
    </xf>
    <xf numFmtId="2" fontId="19" fillId="0" borderId="0" xfId="0" applyNumberFormat="1" applyFont="1"/>
    <xf numFmtId="164" fontId="19" fillId="0" borderId="0" xfId="0" applyNumberFormat="1" applyFont="1"/>
    <xf numFmtId="1" fontId="0" fillId="0" borderId="0" xfId="0" applyNumberFormat="1" applyBorder="1"/>
    <xf numFmtId="1" fontId="23" fillId="0" borderId="0" xfId="0" applyNumberFormat="1" applyFont="1" applyBorder="1"/>
    <xf numFmtId="1" fontId="6" fillId="0" borderId="0" xfId="0" applyNumberFormat="1" applyFont="1" applyBorder="1" applyAlignment="1">
      <alignment horizontal="right" vertical="center" wrapText="1" inden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left"/>
    </xf>
    <xf numFmtId="1" fontId="7" fillId="0" borderId="0" xfId="1" applyNumberFormat="1" applyFont="1" applyBorder="1" applyAlignment="1">
      <alignment horizontal="right" vertical="center" wrapText="1" indent="1"/>
    </xf>
    <xf numFmtId="164" fontId="0" fillId="0" borderId="15" xfId="0" applyNumberFormat="1" applyBorder="1"/>
    <xf numFmtId="0" fontId="58" fillId="0" borderId="15" xfId="0" applyFont="1" applyBorder="1"/>
    <xf numFmtId="0" fontId="23" fillId="0" borderId="15" xfId="0" applyFont="1" applyBorder="1"/>
    <xf numFmtId="0" fontId="23" fillId="0" borderId="15" xfId="0" applyFont="1" applyFill="1" applyBorder="1"/>
    <xf numFmtId="0" fontId="1" fillId="0" borderId="4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1"/>
    </xf>
    <xf numFmtId="0" fontId="1" fillId="0" borderId="0" xfId="1" applyNumberFormat="1" applyFont="1" applyBorder="1" applyAlignment="1">
      <alignment horizontal="right" vertical="center" wrapText="1" indent="1"/>
    </xf>
    <xf numFmtId="0" fontId="6" fillId="0" borderId="5" xfId="1" applyNumberFormat="1" applyFont="1" applyBorder="1" applyAlignment="1">
      <alignment horizontal="right" vertical="center" indent="1"/>
    </xf>
    <xf numFmtId="164" fontId="32" fillId="0" borderId="0" xfId="0" applyNumberFormat="1" applyFont="1" applyBorder="1" applyAlignment="1">
      <alignment horizontal="right" vertical="center" indent="1"/>
    </xf>
    <xf numFmtId="164" fontId="41" fillId="0" borderId="0" xfId="0" applyNumberFormat="1" applyFont="1" applyBorder="1" applyAlignment="1">
      <alignment horizontal="right" vertical="center" indent="1"/>
    </xf>
    <xf numFmtId="164" fontId="23" fillId="0" borderId="0" xfId="0" applyNumberFormat="1" applyFont="1" applyBorder="1"/>
    <xf numFmtId="164" fontId="6" fillId="0" borderId="0" xfId="1" applyNumberFormat="1" applyFont="1" applyFill="1" applyBorder="1" applyAlignment="1">
      <alignment horizontal="right" vertical="center" wrapText="1" indent="1"/>
    </xf>
    <xf numFmtId="1" fontId="6" fillId="0" borderId="0" xfId="1" applyNumberFormat="1" applyFont="1" applyBorder="1" applyAlignment="1">
      <alignment horizontal="right" vertical="center" indent="1"/>
    </xf>
    <xf numFmtId="1" fontId="19" fillId="0" borderId="0" xfId="0" applyNumberFormat="1" applyFont="1"/>
    <xf numFmtId="164" fontId="1" fillId="0" borderId="0" xfId="0" applyNumberFormat="1" applyFont="1" applyBorder="1" applyAlignment="1">
      <alignment horizontal="right" vertical="center" indent="1"/>
    </xf>
    <xf numFmtId="1" fontId="1" fillId="0" borderId="0" xfId="0" applyNumberFormat="1" applyFont="1" applyBorder="1" applyAlignment="1">
      <alignment horizontal="center" vertical="center"/>
    </xf>
    <xf numFmtId="1" fontId="38" fillId="0" borderId="0" xfId="0" applyNumberFormat="1" applyFont="1" applyBorder="1"/>
    <xf numFmtId="1" fontId="1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right" vertical="center" indent="2"/>
    </xf>
    <xf numFmtId="0" fontId="1" fillId="0" borderId="0" xfId="0" applyFont="1" applyBorder="1" applyAlignment="1">
      <alignment horizontal="right" vertical="center" indent="2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2"/>
    </xf>
    <xf numFmtId="0" fontId="1" fillId="0" borderId="5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2"/>
    </xf>
    <xf numFmtId="0" fontId="6" fillId="0" borderId="4" xfId="0" applyFont="1" applyBorder="1" applyAlignment="1">
      <alignment horizontal="right" vertical="center" indent="2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49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1"/>
    </xf>
    <xf numFmtId="0" fontId="15" fillId="0" borderId="6" xfId="0" applyFont="1" applyBorder="1" applyAlignment="1">
      <alignment horizontal="right" vertical="center" indent="1"/>
    </xf>
    <xf numFmtId="0" fontId="19" fillId="0" borderId="0" xfId="0" applyFont="1" applyBorder="1" applyAlignment="1"/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49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164" fontId="6" fillId="0" borderId="4" xfId="0" applyNumberFormat="1" applyFont="1" applyBorder="1" applyAlignment="1">
      <alignment horizontal="right" vertical="center" indent="2"/>
    </xf>
    <xf numFmtId="164" fontId="6" fillId="0" borderId="0" xfId="0" applyNumberFormat="1" applyFont="1" applyBorder="1" applyAlignment="1">
      <alignment horizontal="right" vertical="center" indent="2"/>
    </xf>
    <xf numFmtId="164" fontId="6" fillId="0" borderId="5" xfId="0" applyNumberFormat="1" applyFont="1" applyBorder="1" applyAlignment="1">
      <alignment horizontal="right" vertical="center" indent="2"/>
    </xf>
    <xf numFmtId="0" fontId="12" fillId="0" borderId="3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0" fillId="0" borderId="0" xfId="0" applyFill="1" applyBorder="1" applyAlignment="1"/>
    <xf numFmtId="0" fontId="6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0" fontId="6" fillId="0" borderId="4" xfId="0" applyNumberFormat="1" applyFont="1" applyBorder="1" applyAlignment="1">
      <alignment horizontal="left" vertical="center" wrapText="1" indent="1"/>
    </xf>
    <xf numFmtId="1" fontId="6" fillId="0" borderId="4" xfId="0" applyNumberFormat="1" applyFont="1" applyFill="1" applyBorder="1" applyAlignment="1">
      <alignment horizontal="right" vertical="center" wrapText="1" indent="1"/>
    </xf>
    <xf numFmtId="0" fontId="6" fillId="0" borderId="5" xfId="0" applyNumberFormat="1" applyFont="1" applyFill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4" fillId="0" borderId="1" xfId="0" applyFont="1" applyBorder="1" applyAlignment="1">
      <alignment horizontal="right" vertical="center" indent="1"/>
    </xf>
    <xf numFmtId="0" fontId="14" fillId="0" borderId="0" xfId="0" applyFont="1" applyBorder="1" applyAlignment="1">
      <alignment horizontal="right" vertical="center" indent="1"/>
    </xf>
    <xf numFmtId="0" fontId="14" fillId="0" borderId="7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right" vertical="center" wrapText="1" indent="2"/>
    </xf>
    <xf numFmtId="0" fontId="6" fillId="0" borderId="0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0" xfId="0" applyNumberFormat="1" applyFont="1" applyBorder="1" applyAlignment="1">
      <alignment horizontal="right" vertical="center" wrapText="1" indent="2"/>
    </xf>
    <xf numFmtId="0" fontId="6" fillId="0" borderId="5" xfId="0" applyNumberFormat="1" applyFont="1" applyBorder="1" applyAlignment="1">
      <alignment horizontal="right" vertical="center" wrapText="1" indent="2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right" vertical="center" wrapText="1" indent="2"/>
    </xf>
    <xf numFmtId="0" fontId="15" fillId="4" borderId="3" xfId="1" applyFont="1" applyFill="1" applyBorder="1" applyAlignment="1">
      <alignment horizontal="right" vertical="center" wrapText="1" indent="1"/>
    </xf>
    <xf numFmtId="0" fontId="15" fillId="4" borderId="5" xfId="1" applyFont="1" applyFill="1" applyBorder="1" applyAlignment="1">
      <alignment horizontal="right" vertical="center" wrapText="1" indent="1"/>
    </xf>
    <xf numFmtId="0" fontId="6" fillId="4" borderId="8" xfId="0" applyFont="1" applyFill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wrapText="1" indent="2"/>
    </xf>
    <xf numFmtId="0" fontId="1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0" fillId="0" borderId="15" xfId="0" applyBorder="1" applyAlignment="1"/>
    <xf numFmtId="0" fontId="45" fillId="0" borderId="15" xfId="0" applyFont="1" applyBorder="1"/>
    <xf numFmtId="0" fontId="19" fillId="0" borderId="15" xfId="0" applyFont="1" applyBorder="1"/>
    <xf numFmtId="0" fontId="1" fillId="0" borderId="4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6" fillId="0" borderId="4" xfId="1" applyNumberFormat="1" applyFont="1" applyBorder="1" applyAlignment="1">
      <alignment horizontal="right" vertical="center" indent="1"/>
    </xf>
    <xf numFmtId="0" fontId="6" fillId="0" borderId="4" xfId="1" applyNumberFormat="1" applyFont="1" applyBorder="1" applyAlignment="1">
      <alignment horizontal="right" vertical="center" wrapText="1" indent="1"/>
    </xf>
    <xf numFmtId="0" fontId="6" fillId="0" borderId="0" xfId="1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49" fontId="6" fillId="0" borderId="0" xfId="0" applyNumberFormat="1" applyFont="1" applyBorder="1" applyAlignment="1">
      <alignment horizontal="right" vertical="center" wrapText="1" indent="1"/>
    </xf>
    <xf numFmtId="49" fontId="6" fillId="0" borderId="5" xfId="0" applyNumberFormat="1" applyFont="1" applyBorder="1" applyAlignment="1">
      <alignment horizontal="right" vertical="center" wrapText="1" indent="1"/>
    </xf>
    <xf numFmtId="49" fontId="6" fillId="0" borderId="7" xfId="0" applyNumberFormat="1" applyFont="1" applyBorder="1" applyAlignment="1">
      <alignment horizontal="right" vertical="center" wrapText="1" indent="1"/>
    </xf>
    <xf numFmtId="49" fontId="6" fillId="0" borderId="8" xfId="0" applyNumberFormat="1" applyFont="1" applyBorder="1" applyAlignment="1">
      <alignment horizontal="right" vertical="center" wrapText="1" indent="1"/>
    </xf>
    <xf numFmtId="164" fontId="7" fillId="0" borderId="0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2"/>
    </xf>
    <xf numFmtId="0" fontId="1" fillId="0" borderId="4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2"/>
    </xf>
    <xf numFmtId="0" fontId="6" fillId="0" borderId="4" xfId="0" applyFont="1" applyBorder="1" applyAlignment="1">
      <alignment horizontal="right" vertical="center" indent="2"/>
    </xf>
    <xf numFmtId="0" fontId="1" fillId="0" borderId="5" xfId="0" applyFont="1" applyBorder="1" applyAlignment="1">
      <alignment horizontal="right" vertical="center" indent="2"/>
    </xf>
    <xf numFmtId="0" fontId="6" fillId="0" borderId="5" xfId="0" applyFont="1" applyBorder="1" applyAlignment="1">
      <alignment horizontal="right" vertical="center" indent="2"/>
    </xf>
    <xf numFmtId="0" fontId="1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 indent="1"/>
    </xf>
    <xf numFmtId="0" fontId="1" fillId="7" borderId="4" xfId="0" applyFont="1" applyFill="1" applyBorder="1" applyAlignment="1">
      <alignment horizontal="right" vertical="center" indent="2"/>
    </xf>
    <xf numFmtId="0" fontId="1" fillId="7" borderId="0" xfId="0" applyFont="1" applyFill="1" applyBorder="1" applyAlignment="1">
      <alignment horizontal="right" vertical="center" indent="2"/>
    </xf>
    <xf numFmtId="0" fontId="1" fillId="7" borderId="5" xfId="0" applyFont="1" applyFill="1" applyBorder="1" applyAlignment="1">
      <alignment horizontal="right" vertical="center" indent="2"/>
    </xf>
    <xf numFmtId="0" fontId="1" fillId="7" borderId="5" xfId="0" applyFont="1" applyFill="1" applyBorder="1" applyAlignment="1">
      <alignment horizontal="right" vertical="center" wrapText="1" indent="1"/>
    </xf>
    <xf numFmtId="0" fontId="1" fillId="7" borderId="3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indent="2"/>
    </xf>
    <xf numFmtId="0" fontId="6" fillId="7" borderId="0" xfId="0" applyFont="1" applyFill="1" applyBorder="1" applyAlignment="1">
      <alignment horizontal="right" vertical="center" indent="2"/>
    </xf>
    <xf numFmtId="0" fontId="6" fillId="7" borderId="5" xfId="0" applyFont="1" applyFill="1" applyBorder="1" applyAlignment="1">
      <alignment horizontal="right" vertical="center" indent="2"/>
    </xf>
    <xf numFmtId="0" fontId="6" fillId="7" borderId="5" xfId="0" applyFont="1" applyFill="1" applyBorder="1" applyAlignment="1">
      <alignment horizontal="right" vertical="center" wrapText="1" indent="1"/>
    </xf>
    <xf numFmtId="0" fontId="1" fillId="7" borderId="2" xfId="0" applyFont="1" applyFill="1" applyBorder="1" applyAlignment="1">
      <alignment horizontal="left" vertical="center" wrapText="1" indent="1"/>
    </xf>
    <xf numFmtId="0" fontId="1" fillId="7" borderId="2" xfId="0" applyFont="1" applyFill="1" applyBorder="1" applyAlignment="1">
      <alignment horizontal="right" vertical="center" indent="2"/>
    </xf>
    <xf numFmtId="0" fontId="1" fillId="7" borderId="1" xfId="0" applyFont="1" applyFill="1" applyBorder="1" applyAlignment="1">
      <alignment horizontal="right" vertical="center" indent="2"/>
    </xf>
    <xf numFmtId="0" fontId="1" fillId="7" borderId="3" xfId="0" applyFont="1" applyFill="1" applyBorder="1" applyAlignment="1">
      <alignment horizontal="right" vertical="center" indent="2"/>
    </xf>
    <xf numFmtId="0" fontId="1" fillId="7" borderId="2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right" vertical="center" indent="1"/>
    </xf>
    <xf numFmtId="0" fontId="1" fillId="7" borderId="3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5" fillId="7" borderId="4" xfId="0" applyFont="1" applyFill="1" applyBorder="1" applyAlignment="1">
      <alignment horizontal="right" vertical="center" indent="1"/>
    </xf>
    <xf numFmtId="0" fontId="15" fillId="7" borderId="5" xfId="0" applyFont="1" applyFill="1" applyBorder="1" applyAlignment="1">
      <alignment horizontal="right" vertical="center" wrapText="1" indent="1"/>
    </xf>
    <xf numFmtId="0" fontId="6" fillId="7" borderId="2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indent="1"/>
    </xf>
    <xf numFmtId="0" fontId="6" fillId="7" borderId="3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6" fillId="7" borderId="2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1" fillId="7" borderId="4" xfId="0" applyFont="1" applyFill="1" applyBorder="1" applyAlignment="1">
      <alignment horizontal="right" vertical="center" wrapText="1" indent="1"/>
    </xf>
    <xf numFmtId="0" fontId="1" fillId="7" borderId="0" xfId="0" applyFont="1" applyFill="1" applyBorder="1" applyAlignment="1">
      <alignment horizontal="right" vertical="center" wrapText="1" indent="1"/>
    </xf>
    <xf numFmtId="0" fontId="1" fillId="7" borderId="6" xfId="0" applyFont="1" applyFill="1" applyBorder="1" applyAlignment="1">
      <alignment horizontal="left" vertical="center" wrapText="1" indent="1"/>
    </xf>
    <xf numFmtId="0" fontId="6" fillId="7" borderId="6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8" xfId="0" applyFont="1" applyFill="1" applyBorder="1" applyAlignment="1">
      <alignment horizontal="right" vertical="center" indent="1"/>
    </xf>
    <xf numFmtId="0" fontId="1" fillId="7" borderId="8" xfId="0" applyFont="1" applyFill="1" applyBorder="1" applyAlignment="1">
      <alignment horizontal="right" vertical="center" wrapText="1" indent="1"/>
    </xf>
    <xf numFmtId="0" fontId="1" fillId="7" borderId="13" xfId="0" applyFont="1" applyFill="1" applyBorder="1" applyAlignment="1">
      <alignment horizontal="left" vertical="center" wrapText="1" indent="1"/>
    </xf>
    <xf numFmtId="0" fontId="1" fillId="7" borderId="5" xfId="0" applyFont="1" applyFill="1" applyBorder="1" applyAlignment="1">
      <alignment horizontal="right" vertical="center" indent="1"/>
    </xf>
    <xf numFmtId="0" fontId="6" fillId="7" borderId="13" xfId="0" applyFont="1" applyFill="1" applyBorder="1" applyAlignment="1">
      <alignment horizontal="left" vertical="center" wrapText="1" indent="1"/>
    </xf>
    <xf numFmtId="0" fontId="59" fillId="7" borderId="0" xfId="0" applyFont="1" applyFill="1" applyAlignment="1">
      <alignment horizontal="right" vertical="center" indent="1"/>
    </xf>
    <xf numFmtId="0" fontId="1" fillId="7" borderId="6" xfId="0" applyFont="1" applyFill="1" applyBorder="1" applyAlignment="1">
      <alignment horizontal="right" vertical="center" indent="1"/>
    </xf>
    <xf numFmtId="0" fontId="1" fillId="7" borderId="7" xfId="0" applyFont="1" applyFill="1" applyBorder="1" applyAlignment="1">
      <alignment horizontal="right" vertical="center" indent="1"/>
    </xf>
    <xf numFmtId="0" fontId="1" fillId="7" borderId="8" xfId="0" applyFont="1" applyFill="1" applyBorder="1" applyAlignment="1">
      <alignment horizontal="right" vertical="center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7" xfId="0" applyFont="1" applyFill="1" applyBorder="1" applyAlignment="1">
      <alignment horizontal="right" vertical="center" wrapText="1" indent="1"/>
    </xf>
    <xf numFmtId="0" fontId="1" fillId="7" borderId="6" xfId="0" applyFont="1" applyFill="1" applyBorder="1" applyAlignment="1">
      <alignment horizontal="right" vertical="center" wrapText="1" indent="1"/>
    </xf>
    <xf numFmtId="0" fontId="1" fillId="7" borderId="7" xfId="0" applyFont="1" applyFill="1" applyBorder="1" applyAlignment="1">
      <alignment horizontal="right" vertical="center" wrapText="1" indent="1"/>
    </xf>
    <xf numFmtId="0" fontId="1" fillId="7" borderId="2" xfId="0" applyFont="1" applyFill="1" applyBorder="1" applyAlignment="1">
      <alignment horizontal="right" vertical="center" wrapText="1" indent="1"/>
    </xf>
    <xf numFmtId="0" fontId="1" fillId="7" borderId="1" xfId="0" applyFont="1" applyFill="1" applyBorder="1" applyAlignment="1">
      <alignment horizontal="right" vertical="center" wrapText="1" indent="1"/>
    </xf>
    <xf numFmtId="0" fontId="1" fillId="7" borderId="12" xfId="0" applyFont="1" applyFill="1" applyBorder="1" applyAlignment="1">
      <alignment horizontal="right" vertical="center" wrapText="1" indent="1"/>
    </xf>
    <xf numFmtId="0" fontId="1" fillId="7" borderId="13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12" fillId="7" borderId="5" xfId="0" applyFont="1" applyFill="1" applyBorder="1" applyAlignment="1">
      <alignment horizontal="right" vertical="center" wrapText="1" indent="1"/>
    </xf>
    <xf numFmtId="0" fontId="12" fillId="7" borderId="8" xfId="0" applyFont="1" applyFill="1" applyBorder="1" applyAlignment="1">
      <alignment horizontal="right" vertical="center" wrapText="1" indent="1"/>
    </xf>
    <xf numFmtId="0" fontId="12" fillId="4" borderId="5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 readingOrder="2"/>
    </xf>
    <xf numFmtId="0" fontId="6" fillId="7" borderId="4" xfId="0" applyNumberFormat="1" applyFont="1" applyFill="1" applyBorder="1" applyAlignment="1">
      <alignment horizontal="right" vertical="center" wrapText="1" indent="1"/>
    </xf>
    <xf numFmtId="0" fontId="6" fillId="7" borderId="0" xfId="0" applyNumberFormat="1" applyFont="1" applyFill="1" applyBorder="1" applyAlignment="1">
      <alignment horizontal="right" vertical="center" wrapText="1" indent="1"/>
    </xf>
    <xf numFmtId="0" fontId="6" fillId="7" borderId="5" xfId="0" applyNumberFormat="1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 readingOrder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right" vertical="center" wrapText="1" indent="2"/>
    </xf>
    <xf numFmtId="0" fontId="6" fillId="7" borderId="0" xfId="0" applyFont="1" applyFill="1" applyBorder="1" applyAlignment="1">
      <alignment horizontal="right" vertical="center" wrapText="1" indent="2"/>
    </xf>
    <xf numFmtId="0" fontId="6" fillId="7" borderId="5" xfId="0" applyFont="1" applyFill="1" applyBorder="1" applyAlignment="1">
      <alignment horizontal="right" vertical="center" wrapText="1" indent="2"/>
    </xf>
    <xf numFmtId="0" fontId="6" fillId="7" borderId="6" xfId="0" applyFont="1" applyFill="1" applyBorder="1" applyAlignment="1">
      <alignment horizontal="right" vertical="center" wrapText="1" indent="2"/>
    </xf>
    <xf numFmtId="0" fontId="6" fillId="7" borderId="7" xfId="0" applyFont="1" applyFill="1" applyBorder="1" applyAlignment="1">
      <alignment horizontal="right" vertical="center" wrapText="1" indent="2"/>
    </xf>
    <xf numFmtId="0" fontId="6" fillId="7" borderId="8" xfId="0" applyFont="1" applyFill="1" applyBorder="1" applyAlignment="1">
      <alignment horizontal="right" vertical="center" wrapText="1" indent="2"/>
    </xf>
    <xf numFmtId="0" fontId="6" fillId="7" borderId="12" xfId="0" applyNumberFormat="1" applyFont="1" applyFill="1" applyBorder="1" applyAlignment="1">
      <alignment horizontal="left" vertical="center" wrapText="1" indent="1"/>
    </xf>
    <xf numFmtId="0" fontId="6" fillId="7" borderId="12" xfId="0" applyFont="1" applyFill="1" applyBorder="1" applyAlignment="1">
      <alignment horizontal="right" vertical="center" wrapText="1" indent="1"/>
    </xf>
    <xf numFmtId="0" fontId="6" fillId="7" borderId="6" xfId="0" applyNumberFormat="1" applyFont="1" applyFill="1" applyBorder="1" applyAlignment="1">
      <alignment horizontal="left" vertical="center" wrapText="1" indent="1"/>
    </xf>
    <xf numFmtId="0" fontId="6" fillId="7" borderId="7" xfId="0" applyNumberFormat="1" applyFont="1" applyFill="1" applyBorder="1" applyAlignment="1">
      <alignment horizontal="right" vertical="center" wrapText="1" indent="1"/>
    </xf>
    <xf numFmtId="0" fontId="14" fillId="7" borderId="0" xfId="0" applyFont="1" applyFill="1" applyBorder="1" applyAlignment="1">
      <alignment horizontal="right" vertical="center" indent="1"/>
    </xf>
    <xf numFmtId="1" fontId="6" fillId="7" borderId="6" xfId="0" applyNumberFormat="1" applyFont="1" applyFill="1" applyBorder="1" applyAlignment="1">
      <alignment horizontal="right" vertical="center" wrapText="1" indent="3"/>
    </xf>
    <xf numFmtId="0" fontId="14" fillId="7" borderId="7" xfId="0" applyFont="1" applyFill="1" applyBorder="1" applyAlignment="1">
      <alignment horizontal="right" vertical="center" indent="1"/>
    </xf>
    <xf numFmtId="0" fontId="6" fillId="7" borderId="2" xfId="0" applyNumberFormat="1" applyFont="1" applyFill="1" applyBorder="1" applyAlignment="1">
      <alignment horizontal="right" vertical="center" wrapText="1" indent="1"/>
    </xf>
    <xf numFmtId="0" fontId="1" fillId="7" borderId="4" xfId="0" applyNumberFormat="1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right" vertical="center" wrapText="1" indent="1" shrinkToFit="1"/>
    </xf>
    <xf numFmtId="0" fontId="6" fillId="7" borderId="0" xfId="1" applyNumberFormat="1" applyFont="1" applyFill="1" applyBorder="1" applyAlignment="1">
      <alignment horizontal="right" vertical="center" wrapText="1" indent="1" shrinkToFit="1"/>
    </xf>
    <xf numFmtId="0" fontId="6" fillId="7" borderId="12" xfId="1" applyNumberFormat="1" applyFont="1" applyFill="1" applyBorder="1" applyAlignment="1">
      <alignment horizontal="left" vertical="center" wrapText="1" indent="1"/>
    </xf>
    <xf numFmtId="0" fontId="1" fillId="7" borderId="1" xfId="1" applyNumberFormat="1" applyFont="1" applyFill="1" applyBorder="1" applyAlignment="1">
      <alignment horizontal="right" vertical="center" wrapText="1" indent="1"/>
    </xf>
    <xf numFmtId="0" fontId="1" fillId="7" borderId="2" xfId="1" applyNumberFormat="1" applyFont="1" applyFill="1" applyBorder="1" applyAlignment="1">
      <alignment horizontal="right" vertical="center" wrapText="1" indent="1"/>
    </xf>
    <xf numFmtId="0" fontId="1" fillId="7" borderId="3" xfId="1" applyNumberFormat="1" applyFont="1" applyFill="1" applyBorder="1" applyAlignment="1">
      <alignment horizontal="right" vertical="center" wrapText="1" indent="1"/>
    </xf>
    <xf numFmtId="0" fontId="1" fillId="7" borderId="4" xfId="1" applyNumberFormat="1" applyFont="1" applyFill="1" applyBorder="1" applyAlignment="1">
      <alignment horizontal="right" vertical="center" wrapText="1" indent="1" shrinkToFit="1"/>
    </xf>
    <xf numFmtId="0" fontId="6" fillId="7" borderId="3" xfId="0" applyFont="1" applyFill="1" applyBorder="1" applyAlignment="1">
      <alignment horizontal="right" vertical="center" indent="2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right" vertical="center" indent="2"/>
    </xf>
    <xf numFmtId="0" fontId="6" fillId="7" borderId="0" xfId="1" applyFont="1" applyFill="1" applyBorder="1" applyAlignment="1">
      <alignment horizontal="right" vertical="center" wrapText="1" indent="1"/>
    </xf>
    <xf numFmtId="0" fontId="6" fillId="7" borderId="13" xfId="1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right" vertical="center" wrapText="1" indent="1"/>
    </xf>
    <xf numFmtId="49" fontId="6" fillId="7" borderId="0" xfId="0" applyNumberFormat="1" applyFont="1" applyFill="1" applyBorder="1" applyAlignment="1">
      <alignment horizontal="right" vertical="center" wrapText="1" indent="1"/>
    </xf>
    <xf numFmtId="49" fontId="6" fillId="7" borderId="5" xfId="0" applyNumberFormat="1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right" vertical="center" wrapText="1" indent="2"/>
    </xf>
    <xf numFmtId="0" fontId="6" fillId="7" borderId="4" xfId="0" applyFont="1" applyFill="1" applyBorder="1" applyAlignment="1">
      <alignment horizontal="left" vertical="center" indent="1"/>
    </xf>
    <xf numFmtId="0" fontId="6" fillId="7" borderId="5" xfId="0" applyFont="1" applyFill="1" applyBorder="1" applyAlignment="1">
      <alignment horizontal="center" vertical="center" wrapText="1" readingOrder="2"/>
    </xf>
    <xf numFmtId="0" fontId="6" fillId="7" borderId="6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right" vertical="center" wrapText="1" indent="2"/>
    </xf>
    <xf numFmtId="0" fontId="6" fillId="7" borderId="8" xfId="0" applyFont="1" applyFill="1" applyBorder="1" applyAlignment="1">
      <alignment horizontal="center" vertical="center" wrapText="1" readingOrder="2"/>
    </xf>
    <xf numFmtId="49" fontId="6" fillId="7" borderId="4" xfId="0" applyNumberFormat="1" applyFont="1" applyFill="1" applyBorder="1" applyAlignment="1">
      <alignment horizontal="left" vertical="center" wrapText="1" indent="1"/>
    </xf>
    <xf numFmtId="12" fontId="6" fillId="7" borderId="4" xfId="0" applyNumberFormat="1" applyFont="1" applyFill="1" applyBorder="1" applyAlignment="1">
      <alignment horizontal="center" vertical="center" wrapText="1" readingOrder="2"/>
    </xf>
    <xf numFmtId="0" fontId="6" fillId="7" borderId="4" xfId="0" applyFont="1" applyFill="1" applyBorder="1" applyAlignment="1">
      <alignment horizontal="center" vertical="center" wrapText="1" readingOrder="2"/>
    </xf>
    <xf numFmtId="49" fontId="6" fillId="7" borderId="6" xfId="0" applyNumberFormat="1" applyFont="1" applyFill="1" applyBorder="1" applyAlignment="1">
      <alignment horizontal="left" vertical="center" wrapText="1" indent="1"/>
    </xf>
    <xf numFmtId="0" fontId="6" fillId="7" borderId="6" xfId="0" applyFont="1" applyFill="1" applyBorder="1" applyAlignment="1">
      <alignment horizontal="center" vertical="center" wrapText="1" readingOrder="2"/>
    </xf>
    <xf numFmtId="0" fontId="6" fillId="7" borderId="8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indent="2"/>
    </xf>
    <xf numFmtId="164" fontId="6" fillId="7" borderId="2" xfId="0" applyNumberFormat="1" applyFont="1" applyFill="1" applyBorder="1" applyAlignment="1">
      <alignment horizontal="right" vertical="center" indent="2"/>
    </xf>
    <xf numFmtId="164" fontId="6" fillId="7" borderId="1" xfId="0" applyNumberFormat="1" applyFont="1" applyFill="1" applyBorder="1" applyAlignment="1">
      <alignment horizontal="right" vertical="center" indent="2"/>
    </xf>
    <xf numFmtId="164" fontId="6" fillId="7" borderId="3" xfId="0" applyNumberFormat="1" applyFont="1" applyFill="1" applyBorder="1" applyAlignment="1">
      <alignment horizontal="right" vertical="center" indent="2"/>
    </xf>
    <xf numFmtId="164" fontId="6" fillId="7" borderId="6" xfId="0" applyNumberFormat="1" applyFont="1" applyFill="1" applyBorder="1" applyAlignment="1">
      <alignment horizontal="right" vertical="center" indent="2"/>
    </xf>
    <xf numFmtId="164" fontId="6" fillId="7" borderId="7" xfId="0" applyNumberFormat="1" applyFont="1" applyFill="1" applyBorder="1" applyAlignment="1">
      <alignment horizontal="right" vertical="center" indent="2"/>
    </xf>
    <xf numFmtId="164" fontId="6" fillId="7" borderId="8" xfId="0" applyNumberFormat="1" applyFont="1" applyFill="1" applyBorder="1" applyAlignment="1">
      <alignment horizontal="right" vertical="center" indent="2"/>
    </xf>
    <xf numFmtId="164" fontId="6" fillId="7" borderId="2" xfId="0" applyNumberFormat="1" applyFont="1" applyFill="1" applyBorder="1" applyAlignment="1">
      <alignment horizontal="right" vertical="center" indent="3"/>
    </xf>
    <xf numFmtId="164" fontId="6" fillId="7" borderId="1" xfId="0" applyNumberFormat="1" applyFont="1" applyFill="1" applyBorder="1" applyAlignment="1">
      <alignment horizontal="right" vertical="center" indent="3"/>
    </xf>
    <xf numFmtId="164" fontId="6" fillId="7" borderId="3" xfId="0" applyNumberFormat="1" applyFont="1" applyFill="1" applyBorder="1" applyAlignment="1">
      <alignment horizontal="right" vertical="center" indent="3"/>
    </xf>
    <xf numFmtId="164" fontId="6" fillId="7" borderId="6" xfId="0" applyNumberFormat="1" applyFont="1" applyFill="1" applyBorder="1" applyAlignment="1">
      <alignment horizontal="right" vertical="center" indent="3"/>
    </xf>
    <xf numFmtId="164" fontId="6" fillId="7" borderId="7" xfId="0" applyNumberFormat="1" applyFont="1" applyFill="1" applyBorder="1" applyAlignment="1">
      <alignment horizontal="right" vertical="center" indent="3"/>
    </xf>
    <xf numFmtId="164" fontId="6" fillId="7" borderId="8" xfId="0" applyNumberFormat="1" applyFont="1" applyFill="1" applyBorder="1" applyAlignment="1">
      <alignment horizontal="right" vertical="center" indent="3"/>
    </xf>
    <xf numFmtId="0" fontId="1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4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/>
    </xf>
    <xf numFmtId="0" fontId="6" fillId="4" borderId="4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right" vertical="center" wrapText="1" indent="1"/>
    </xf>
    <xf numFmtId="0" fontId="6" fillId="0" borderId="2" xfId="0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indent="1"/>
    </xf>
    <xf numFmtId="0" fontId="8" fillId="0" borderId="0" xfId="0" applyFont="1" applyBorder="1" applyAlignment="1">
      <alignment horizontal="left" vertical="center"/>
    </xf>
    <xf numFmtId="0" fontId="6" fillId="7" borderId="5" xfId="0" applyFont="1" applyFill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13" xfId="0" applyFont="1" applyFill="1" applyBorder="1" applyAlignment="1">
      <alignment horizontal="right" vertical="center" wrapText="1" indent="1"/>
    </xf>
    <xf numFmtId="0" fontId="6" fillId="0" borderId="13" xfId="0" applyFont="1" applyBorder="1" applyAlignment="1">
      <alignment horizontal="right" vertical="center" wrapText="1" indent="1"/>
    </xf>
    <xf numFmtId="0" fontId="15" fillId="0" borderId="5" xfId="0" applyFont="1" applyBorder="1" applyAlignment="1">
      <alignment horizontal="right" vertical="center" wrapText="1" indent="1"/>
    </xf>
    <xf numFmtId="0" fontId="6" fillId="7" borderId="4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 indent="1"/>
    </xf>
    <xf numFmtId="0" fontId="6" fillId="4" borderId="5" xfId="0" applyFont="1" applyFill="1" applyBorder="1" applyAlignment="1">
      <alignment horizontal="right" vertical="center" inden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wrapText="1" indent="1"/>
    </xf>
    <xf numFmtId="0" fontId="6" fillId="0" borderId="12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7" borderId="13" xfId="0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49" fontId="1" fillId="0" borderId="11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32" fillId="7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 indent="1"/>
    </xf>
    <xf numFmtId="0" fontId="1" fillId="7" borderId="0" xfId="0" applyFont="1" applyFill="1" applyBorder="1" applyAlignment="1">
      <alignment horizontal="left" vertical="center" wrapText="1" indent="1"/>
    </xf>
    <xf numFmtId="0" fontId="6" fillId="7" borderId="0" xfId="0" applyFont="1" applyFill="1" applyBorder="1" applyAlignment="1">
      <alignment horizontal="left" vertical="center" wrapText="1" indent="1"/>
    </xf>
    <xf numFmtId="0" fontId="3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 indent="1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right" vertical="center" wrapText="1" indent="1"/>
    </xf>
    <xf numFmtId="0" fontId="3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 indent="1"/>
    </xf>
    <xf numFmtId="0" fontId="33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 vertical="center" wrapText="1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0" fontId="59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0" fillId="7" borderId="13" xfId="0" applyNumberFormat="1" applyFill="1" applyBorder="1"/>
    <xf numFmtId="0" fontId="53" fillId="0" borderId="2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9" fillId="0" borderId="0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0" fillId="7" borderId="12" xfId="0" applyFill="1" applyBorder="1"/>
    <xf numFmtId="0" fontId="6" fillId="0" borderId="7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right" vertical="center" wrapText="1" indent="1"/>
    </xf>
    <xf numFmtId="0" fontId="53" fillId="0" borderId="0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0" fillId="7" borderId="3" xfId="0" applyFill="1" applyBorder="1"/>
    <xf numFmtId="0" fontId="53" fillId="0" borderId="4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left" vertical="center" wrapText="1" indent="1"/>
    </xf>
    <xf numFmtId="0" fontId="53" fillId="7" borderId="13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/>
    </xf>
    <xf numFmtId="0" fontId="53" fillId="7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right" vertical="center" wrapText="1" indent="1"/>
    </xf>
    <xf numFmtId="0" fontId="1" fillId="4" borderId="7" xfId="0" applyFont="1" applyFill="1" applyBorder="1" applyAlignment="1">
      <alignment horizontal="right" vertical="center" wrapText="1" indent="1"/>
    </xf>
    <xf numFmtId="0" fontId="1" fillId="4" borderId="7" xfId="0" applyFont="1" applyFill="1" applyBorder="1" applyAlignment="1">
      <alignment horizontal="right" vertical="center" indent="1"/>
    </xf>
    <xf numFmtId="0" fontId="1" fillId="4" borderId="8" xfId="0" applyFont="1" applyFill="1" applyBorder="1" applyAlignment="1">
      <alignment horizontal="right" vertical="center" indent="1"/>
    </xf>
    <xf numFmtId="0" fontId="53" fillId="4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left" vertical="center" wrapText="1" indent="1"/>
    </xf>
    <xf numFmtId="0" fontId="59" fillId="0" borderId="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 wrapText="1" indent="1"/>
    </xf>
    <xf numFmtId="0" fontId="32" fillId="7" borderId="11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5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0" borderId="7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right" vertical="center" indent="1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indent="1"/>
    </xf>
    <xf numFmtId="0" fontId="6" fillId="7" borderId="4" xfId="0" applyNumberFormat="1" applyFont="1" applyFill="1" applyBorder="1" applyAlignment="1">
      <alignment horizontal="right" vertical="center" indent="1"/>
    </xf>
    <xf numFmtId="0" fontId="6" fillId="7" borderId="0" xfId="0" applyNumberFormat="1" applyFont="1" applyFill="1" applyBorder="1" applyAlignment="1">
      <alignment horizontal="right" vertical="center" indent="1"/>
    </xf>
    <xf numFmtId="0" fontId="6" fillId="7" borderId="5" xfId="0" applyNumberFormat="1" applyFont="1" applyFill="1" applyBorder="1" applyAlignment="1">
      <alignment horizontal="right" vertical="center" indent="1"/>
    </xf>
    <xf numFmtId="0" fontId="6" fillId="0" borderId="2" xfId="0" applyNumberFormat="1" applyFont="1" applyBorder="1" applyAlignment="1">
      <alignment horizontal="right" vertical="center" indent="1"/>
    </xf>
    <xf numFmtId="0" fontId="6" fillId="0" borderId="1" xfId="0" applyNumberFormat="1" applyFont="1" applyBorder="1" applyAlignment="1">
      <alignment horizontal="right" vertical="center" indent="1"/>
    </xf>
    <xf numFmtId="0" fontId="6" fillId="7" borderId="7" xfId="0" applyNumberFormat="1" applyFont="1" applyFill="1" applyBorder="1" applyAlignment="1">
      <alignment horizontal="right" vertical="center" indent="1"/>
    </xf>
    <xf numFmtId="0" fontId="6" fillId="7" borderId="5" xfId="0" applyNumberFormat="1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6" fillId="7" borderId="2" xfId="0" applyNumberFormat="1" applyFont="1" applyFill="1" applyBorder="1" applyAlignment="1">
      <alignment horizontal="right" vertical="center" indent="1"/>
    </xf>
    <xf numFmtId="0" fontId="6" fillId="7" borderId="1" xfId="0" applyNumberFormat="1" applyFont="1" applyFill="1" applyBorder="1" applyAlignment="1">
      <alignment horizontal="right" vertical="center" indent="1"/>
    </xf>
    <xf numFmtId="0" fontId="6" fillId="7" borderId="3" xfId="0" applyNumberFormat="1" applyFont="1" applyFill="1" applyBorder="1" applyAlignment="1">
      <alignment horizontal="right" vertical="center" indent="1"/>
    </xf>
    <xf numFmtId="0" fontId="59" fillId="0" borderId="4" xfId="0" applyFont="1" applyBorder="1" applyAlignment="1">
      <alignment horizontal="center" vertical="center"/>
    </xf>
    <xf numFmtId="0" fontId="6" fillId="7" borderId="8" xfId="0" applyNumberFormat="1" applyFont="1" applyFill="1" applyBorder="1" applyAlignment="1">
      <alignment horizontal="right" vertical="center" wrapText="1" indent="1"/>
    </xf>
    <xf numFmtId="0" fontId="6" fillId="0" borderId="3" xfId="0" applyNumberFormat="1" applyFont="1" applyBorder="1" applyAlignment="1">
      <alignment horizontal="right" vertical="center" wrapText="1" indent="1"/>
    </xf>
    <xf numFmtId="0" fontId="6" fillId="7" borderId="3" xfId="0" applyNumberFormat="1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indent="1"/>
    </xf>
    <xf numFmtId="0" fontId="6" fillId="0" borderId="7" xfId="0" applyNumberFormat="1" applyFont="1" applyBorder="1" applyAlignment="1">
      <alignment horizontal="right" vertical="center" indent="1"/>
    </xf>
    <xf numFmtId="0" fontId="6" fillId="0" borderId="8" xfId="0" applyNumberFormat="1" applyFont="1" applyBorder="1" applyAlignment="1">
      <alignment horizontal="right" vertical="center" wrapText="1" indent="1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6" fillId="0" borderId="6" xfId="0" applyNumberFormat="1" applyFont="1" applyBorder="1" applyAlignment="1">
      <alignment horizontal="right" vertical="center" indent="1"/>
    </xf>
    <xf numFmtId="0" fontId="6" fillId="7" borderId="0" xfId="0" applyNumberFormat="1" applyFont="1" applyFill="1" applyBorder="1" applyAlignment="1">
      <alignment horizontal="right" vertical="center" wrapText="1" indent="2"/>
    </xf>
    <xf numFmtId="0" fontId="6" fillId="7" borderId="4" xfId="0" applyNumberFormat="1" applyFont="1" applyFill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6" fillId="7" borderId="5" xfId="0" applyNumberFormat="1" applyFont="1" applyFill="1" applyBorder="1" applyAlignment="1">
      <alignment horizontal="right" vertical="center" wrapText="1" indent="2"/>
    </xf>
    <xf numFmtId="0" fontId="9" fillId="0" borderId="15" xfId="1" applyNumberFormat="1" applyFont="1" applyBorder="1" applyAlignment="1">
      <alignment horizontal="right" vertical="center" wrapText="1" indent="1"/>
    </xf>
    <xf numFmtId="0" fontId="35" fillId="0" borderId="15" xfId="1" applyNumberFormat="1" applyFont="1" applyBorder="1" applyAlignment="1">
      <alignment horizontal="right" vertical="center" wrapText="1" indent="1"/>
    </xf>
    <xf numFmtId="0" fontId="9" fillId="0" borderId="15" xfId="1" applyNumberFormat="1" applyFont="1" applyBorder="1" applyAlignment="1">
      <alignment horizontal="right" vertical="center" indent="1"/>
    </xf>
    <xf numFmtId="0" fontId="35" fillId="0" borderId="15" xfId="1" applyNumberFormat="1" applyFont="1" applyBorder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right" vertical="center" indent="1"/>
    </xf>
    <xf numFmtId="0" fontId="1" fillId="7" borderId="5" xfId="0" applyNumberFormat="1" applyFont="1" applyFill="1" applyBorder="1" applyAlignment="1">
      <alignment horizontal="right" vertical="center" indent="1"/>
    </xf>
    <xf numFmtId="0" fontId="7" fillId="0" borderId="0" xfId="1" applyNumberFormat="1" applyFont="1" applyBorder="1" applyAlignment="1">
      <alignment horizontal="center" vertical="center" wrapText="1"/>
    </xf>
    <xf numFmtId="1" fontId="7" fillId="0" borderId="0" xfId="1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" fontId="6" fillId="7" borderId="4" xfId="0" applyNumberFormat="1" applyFont="1" applyFill="1" applyBorder="1" applyAlignment="1">
      <alignment horizontal="right" vertical="center" wrapText="1" indent="3"/>
    </xf>
    <xf numFmtId="0" fontId="6" fillId="7" borderId="4" xfId="0" applyNumberFormat="1" applyFont="1" applyFill="1" applyBorder="1" applyAlignment="1">
      <alignment horizontal="left" vertical="center" wrapText="1" indent="1"/>
    </xf>
    <xf numFmtId="0" fontId="6" fillId="7" borderId="0" xfId="0" applyNumberFormat="1" applyFont="1" applyFill="1" applyBorder="1" applyAlignment="1">
      <alignment horizontal="right" vertical="center" wrapText="1" indent="1"/>
    </xf>
    <xf numFmtId="49" fontId="6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right" vertical="center" indent="1"/>
    </xf>
    <xf numFmtId="1" fontId="6" fillId="7" borderId="0" xfId="0" applyNumberFormat="1" applyFont="1" applyFill="1" applyBorder="1" applyAlignment="1">
      <alignment horizontal="righ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1"/>
    </xf>
    <xf numFmtId="0" fontId="1" fillId="7" borderId="0" xfId="1" applyNumberFormat="1" applyFont="1" applyFill="1" applyBorder="1" applyAlignment="1">
      <alignment horizontal="right" vertical="center" wrapText="1" indent="1"/>
    </xf>
    <xf numFmtId="0" fontId="1" fillId="7" borderId="4" xfId="1" applyNumberFormat="1" applyFont="1" applyFill="1" applyBorder="1" applyAlignment="1">
      <alignment horizontal="right" vertical="center" wrapText="1" indent="1"/>
    </xf>
    <xf numFmtId="0" fontId="1" fillId="7" borderId="5" xfId="0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right" vertical="center" indent="1"/>
    </xf>
    <xf numFmtId="0" fontId="6" fillId="7" borderId="0" xfId="1" applyNumberFormat="1" applyFont="1" applyFill="1" applyBorder="1" applyAlignment="1">
      <alignment horizontal="right" vertical="center" indent="1"/>
    </xf>
    <xf numFmtId="0" fontId="7" fillId="0" borderId="5" xfId="1" applyFont="1" applyBorder="1" applyAlignment="1">
      <alignment horizontal="center" vertical="center" wrapText="1"/>
    </xf>
    <xf numFmtId="0" fontId="6" fillId="7" borderId="4" xfId="1" applyNumberFormat="1" applyFont="1" applyFill="1" applyBorder="1" applyAlignment="1">
      <alignment horizontal="right" vertical="center" wrapText="1" indent="1"/>
    </xf>
    <xf numFmtId="0" fontId="6" fillId="7" borderId="0" xfId="1" applyNumberFormat="1" applyFont="1" applyFill="1" applyBorder="1" applyAlignment="1">
      <alignment horizontal="right" vertical="center" wrapText="1" indent="1"/>
    </xf>
    <xf numFmtId="0" fontId="6" fillId="7" borderId="5" xfId="1" applyNumberFormat="1" applyFont="1" applyFill="1" applyBorder="1" applyAlignment="1">
      <alignment horizontal="right" vertical="center" wrapText="1" indent="1"/>
    </xf>
    <xf numFmtId="0" fontId="6" fillId="0" borderId="5" xfId="1" applyFont="1" applyBorder="1" applyAlignment="1">
      <alignment horizontal="center" vertical="center" wrapText="1"/>
    </xf>
    <xf numFmtId="0" fontId="1" fillId="7" borderId="5" xfId="1" applyNumberFormat="1" applyFont="1" applyFill="1" applyBorder="1" applyAlignment="1">
      <alignment horizontal="right" vertical="center" wrapText="1" indent="1"/>
    </xf>
    <xf numFmtId="0" fontId="6" fillId="7" borderId="5" xfId="1" applyNumberFormat="1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left" vertical="center" wrapText="1" indent="1"/>
    </xf>
    <xf numFmtId="0" fontId="6" fillId="0" borderId="13" xfId="1" applyNumberFormat="1" applyFont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left" vertical="center" wrapText="1" indent="1"/>
    </xf>
    <xf numFmtId="0" fontId="6" fillId="0" borderId="5" xfId="1" applyFont="1" applyBorder="1" applyAlignment="1">
      <alignment horizontal="right" vertical="center" wrapText="1" indent="1"/>
    </xf>
    <xf numFmtId="0" fontId="6" fillId="7" borderId="5" xfId="1" applyFont="1" applyFill="1" applyBorder="1" applyAlignment="1">
      <alignment horizontal="right" vertical="center" wrapText="1" indent="1"/>
    </xf>
    <xf numFmtId="0" fontId="6" fillId="0" borderId="6" xfId="1" applyNumberFormat="1" applyFont="1" applyBorder="1" applyAlignment="1">
      <alignment horizontal="left" vertical="center" wrapText="1" indent="1"/>
    </xf>
    <xf numFmtId="0" fontId="6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2"/>
    </xf>
    <xf numFmtId="0" fontId="6" fillId="0" borderId="13" xfId="0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53" fillId="7" borderId="12" xfId="0" applyFont="1" applyFill="1" applyBorder="1"/>
    <xf numFmtId="0" fontId="59" fillId="0" borderId="2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right" vertical="center" wrapText="1" indent="1"/>
    </xf>
    <xf numFmtId="0" fontId="12" fillId="0" borderId="0" xfId="0" applyFont="1" applyBorder="1" applyAlignment="1">
      <alignment horizontal="right" vertical="center" wrapText="1" indent="1"/>
    </xf>
    <xf numFmtId="0" fontId="12" fillId="7" borderId="7" xfId="0" applyFont="1" applyFill="1" applyBorder="1" applyAlignment="1">
      <alignment horizontal="right" vertical="center" wrapText="1" indent="1"/>
    </xf>
    <xf numFmtId="0" fontId="59" fillId="0" borderId="0" xfId="0" applyFont="1" applyBorder="1" applyAlignment="1">
      <alignment horizontal="center" vertical="center"/>
    </xf>
    <xf numFmtId="0" fontId="1" fillId="7" borderId="4" xfId="0" applyNumberFormat="1" applyFont="1" applyFill="1" applyBorder="1" applyAlignment="1">
      <alignment horizontal="right" vertical="center" wrapText="1" indent="1"/>
    </xf>
    <xf numFmtId="0" fontId="1" fillId="7" borderId="0" xfId="0" applyNumberFormat="1" applyFont="1" applyFill="1" applyBorder="1" applyAlignment="1">
      <alignment horizontal="right" vertical="center" wrapText="1" indent="1"/>
    </xf>
    <xf numFmtId="0" fontId="59" fillId="0" borderId="12" xfId="0" applyFont="1" applyBorder="1" applyAlignment="1">
      <alignment horizontal="center" vertical="center" wrapText="1"/>
    </xf>
    <xf numFmtId="0" fontId="59" fillId="0" borderId="12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49" fontId="59" fillId="0" borderId="11" xfId="0" applyNumberFormat="1" applyFont="1" applyBorder="1" applyAlignment="1">
      <alignment horizontal="center" vertical="center" wrapText="1"/>
    </xf>
    <xf numFmtId="0" fontId="59" fillId="0" borderId="13" xfId="0" applyFont="1" applyFill="1" applyBorder="1" applyAlignment="1">
      <alignment horizontal="center" vertical="center" wrapText="1"/>
    </xf>
    <xf numFmtId="0" fontId="59" fillId="0" borderId="11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53" fillId="0" borderId="8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wrapText="1" indent="1"/>
    </xf>
    <xf numFmtId="0" fontId="6" fillId="4" borderId="7" xfId="0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 indent="1"/>
    </xf>
    <xf numFmtId="49" fontId="53" fillId="0" borderId="6" xfId="0" applyNumberFormat="1" applyFont="1" applyBorder="1" applyAlignment="1">
      <alignment horizontal="center" vertical="center"/>
    </xf>
    <xf numFmtId="0" fontId="0" fillId="7" borderId="0" xfId="0" applyFill="1"/>
    <xf numFmtId="0" fontId="1" fillId="0" borderId="13" xfId="0" applyFont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49" fontId="6" fillId="0" borderId="6" xfId="0" applyNumberFormat="1" applyFont="1" applyBorder="1" applyAlignment="1">
      <alignment horizontal="center" vertical="center"/>
    </xf>
    <xf numFmtId="49" fontId="59" fillId="0" borderId="2" xfId="0" applyNumberFormat="1" applyFont="1" applyBorder="1" applyAlignment="1">
      <alignment horizontal="center" vertical="center"/>
    </xf>
    <xf numFmtId="49" fontId="59" fillId="0" borderId="6" xfId="0" applyNumberFormat="1" applyFont="1" applyBorder="1" applyAlignment="1">
      <alignment horizontal="center" vertical="center"/>
    </xf>
    <xf numFmtId="0" fontId="53" fillId="7" borderId="3" xfId="0" applyFont="1" applyFill="1" applyBorder="1" applyAlignment="1">
      <alignment horizontal="center" vertical="center"/>
    </xf>
    <xf numFmtId="0" fontId="53" fillId="7" borderId="8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center"/>
    </xf>
    <xf numFmtId="0" fontId="53" fillId="7" borderId="2" xfId="0" applyFont="1" applyFill="1" applyBorder="1" applyAlignment="1">
      <alignment horizontal="center" vertical="center"/>
    </xf>
    <xf numFmtId="0" fontId="53" fillId="7" borderId="6" xfId="0" applyFont="1" applyFill="1" applyBorder="1" applyAlignment="1">
      <alignment horizontal="center" vertical="center"/>
    </xf>
    <xf numFmtId="0" fontId="50" fillId="0" borderId="0" xfId="0" applyFont="1" applyBorder="1" applyAlignment="1">
      <alignment vertical="center" wrapText="1"/>
    </xf>
    <xf numFmtId="49" fontId="59" fillId="0" borderId="11" xfId="0" applyNumberFormat="1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0" fillId="7" borderId="12" xfId="0" applyFont="1" applyFill="1" applyBorder="1"/>
    <xf numFmtId="0" fontId="7" fillId="7" borderId="0" xfId="0" applyNumberFormat="1" applyFont="1" applyFill="1" applyBorder="1" applyAlignment="1">
      <alignment horizontal="right" vertical="center" wrapText="1" indent="1"/>
    </xf>
    <xf numFmtId="0" fontId="1" fillId="0" borderId="13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right" vertical="center" wrapText="1" indent="1"/>
    </xf>
    <xf numFmtId="0" fontId="30" fillId="7" borderId="13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right" vertical="center" wrapText="1" indent="1"/>
    </xf>
    <xf numFmtId="0" fontId="1" fillId="0" borderId="11" xfId="0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right" vertical="center" wrapText="1" indent="1"/>
    </xf>
    <xf numFmtId="0" fontId="59" fillId="0" borderId="2" xfId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wrapText="1"/>
    </xf>
    <xf numFmtId="0" fontId="59" fillId="0" borderId="6" xfId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 indent="1" readingOrder="1"/>
    </xf>
    <xf numFmtId="0" fontId="6" fillId="2" borderId="0" xfId="0" applyFont="1" applyFill="1" applyBorder="1" applyAlignment="1">
      <alignment horizontal="right" vertical="center" wrapText="1" indent="1"/>
    </xf>
    <xf numFmtId="0" fontId="1" fillId="4" borderId="0" xfId="0" applyFont="1" applyFill="1" applyBorder="1" applyAlignment="1">
      <alignment horizontal="right" vertical="center" wrapText="1" indent="1"/>
    </xf>
    <xf numFmtId="0" fontId="1" fillId="2" borderId="0" xfId="0" applyFont="1" applyFill="1" applyBorder="1" applyAlignment="1">
      <alignment horizontal="right" vertical="center" wrapText="1" indent="1"/>
    </xf>
    <xf numFmtId="0" fontId="28" fillId="7" borderId="0" xfId="0" applyFont="1" applyFill="1" applyBorder="1" applyAlignment="1">
      <alignment horizontal="right" vertical="center" wrapText="1" indent="1"/>
    </xf>
    <xf numFmtId="0" fontId="1" fillId="0" borderId="6" xfId="0" applyFont="1" applyBorder="1" applyAlignment="1">
      <alignment horizontal="right" vertical="center" wrapText="1" indent="1"/>
    </xf>
    <xf numFmtId="49" fontId="59" fillId="0" borderId="1" xfId="0" applyNumberFormat="1" applyFont="1" applyBorder="1" applyAlignment="1">
      <alignment horizontal="center" vertical="center"/>
    </xf>
    <xf numFmtId="49" fontId="59" fillId="0" borderId="7" xfId="0" applyNumberFormat="1" applyFont="1" applyBorder="1" applyAlignment="1">
      <alignment horizontal="center" vertical="center"/>
    </xf>
    <xf numFmtId="0" fontId="59" fillId="0" borderId="2" xfId="0" applyNumberFormat="1" applyFont="1" applyBorder="1" applyAlignment="1" applyProtection="1">
      <alignment horizontal="center" vertical="center"/>
    </xf>
    <xf numFmtId="0" fontId="59" fillId="0" borderId="12" xfId="0" applyNumberFormat="1" applyFont="1" applyBorder="1" applyAlignment="1" applyProtection="1">
      <alignment horizontal="center" vertical="center"/>
    </xf>
    <xf numFmtId="0" fontId="59" fillId="0" borderId="1" xfId="0" applyNumberFormat="1" applyFont="1" applyBorder="1" applyAlignment="1" applyProtection="1">
      <alignment horizontal="center" vertical="center"/>
    </xf>
    <xf numFmtId="0" fontId="60" fillId="0" borderId="4" xfId="0" applyNumberFormat="1" applyFont="1" applyBorder="1" applyAlignment="1" applyProtection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59" fillId="0" borderId="11" xfId="1" applyFont="1" applyBorder="1" applyAlignment="1" applyProtection="1">
      <alignment horizontal="center" vertical="center"/>
      <protection locked="0"/>
    </xf>
    <xf numFmtId="0" fontId="59" fillId="0" borderId="7" xfId="1" applyNumberFormat="1" applyFont="1" applyBorder="1" applyAlignment="1">
      <alignment horizontal="center" vertical="center"/>
    </xf>
    <xf numFmtId="0" fontId="59" fillId="7" borderId="4" xfId="1" applyFont="1" applyFill="1" applyBorder="1" applyAlignment="1">
      <alignment horizontal="center" vertical="center" wrapText="1"/>
    </xf>
    <xf numFmtId="0" fontId="59" fillId="7" borderId="4" xfId="1" applyFont="1" applyFill="1" applyBorder="1" applyAlignment="1">
      <alignment horizontal="right" vertical="center" wrapText="1" indent="1"/>
    </xf>
    <xf numFmtId="0" fontId="59" fillId="7" borderId="0" xfId="1" applyFont="1" applyFill="1" applyBorder="1" applyAlignment="1">
      <alignment horizontal="right" vertical="center" wrapText="1" indent="1"/>
    </xf>
    <xf numFmtId="0" fontId="59" fillId="7" borderId="5" xfId="1" applyFont="1" applyFill="1" applyBorder="1" applyAlignment="1">
      <alignment horizontal="right" vertical="center" wrapText="1" indent="1"/>
    </xf>
    <xf numFmtId="0" fontId="59" fillId="7" borderId="5" xfId="1" applyNumberFormat="1" applyFont="1" applyFill="1" applyBorder="1" applyAlignment="1">
      <alignment horizontal="center" vertical="center"/>
    </xf>
    <xf numFmtId="0" fontId="59" fillId="7" borderId="5" xfId="1" applyNumberFormat="1" applyFont="1" applyFill="1" applyBorder="1" applyAlignment="1">
      <alignment horizontal="center" vertical="center" wrapText="1"/>
    </xf>
    <xf numFmtId="0" fontId="59" fillId="7" borderId="0" xfId="1" applyNumberFormat="1" applyFont="1" applyFill="1" applyBorder="1" applyAlignment="1">
      <alignment horizontal="right" vertical="center" wrapText="1" indent="1"/>
    </xf>
    <xf numFmtId="0" fontId="59" fillId="7" borderId="5" xfId="1" applyNumberFormat="1" applyFont="1" applyFill="1" applyBorder="1" applyAlignment="1">
      <alignment horizontal="right" vertical="center" wrapText="1" indent="1"/>
    </xf>
    <xf numFmtId="0" fontId="59" fillId="7" borderId="4" xfId="1" applyFont="1" applyFill="1" applyBorder="1" applyAlignment="1">
      <alignment horizontal="center" vertical="center" readingOrder="1"/>
    </xf>
    <xf numFmtId="0" fontId="59" fillId="7" borderId="4" xfId="1" applyFont="1" applyFill="1" applyBorder="1" applyAlignment="1">
      <alignment horizontal="right" vertical="center" indent="1" readingOrder="1"/>
    </xf>
    <xf numFmtId="0" fontId="59" fillId="7" borderId="0" xfId="1" applyFont="1" applyFill="1" applyBorder="1" applyAlignment="1">
      <alignment horizontal="right" vertical="center" indent="1" readingOrder="1"/>
    </xf>
    <xf numFmtId="0" fontId="59" fillId="7" borderId="5" xfId="1" applyFont="1" applyFill="1" applyBorder="1" applyAlignment="1">
      <alignment horizontal="right" vertical="center" indent="1" readingOrder="1"/>
    </xf>
    <xf numFmtId="0" fontId="59" fillId="0" borderId="4" xfId="1" applyFont="1" applyBorder="1" applyAlignment="1">
      <alignment horizontal="right" vertical="center" wrapText="1" indent="1"/>
    </xf>
    <xf numFmtId="0" fontId="59" fillId="0" borderId="0" xfId="1" applyFont="1" applyBorder="1" applyAlignment="1">
      <alignment horizontal="right" vertical="center" wrapText="1" indent="1"/>
    </xf>
    <xf numFmtId="0" fontId="59" fillId="0" borderId="5" xfId="1" applyFont="1" applyBorder="1" applyAlignment="1">
      <alignment horizontal="right" vertical="center" wrapText="1" indent="1"/>
    </xf>
    <xf numFmtId="0" fontId="59" fillId="0" borderId="5" xfId="1" applyNumberFormat="1" applyFont="1" applyBorder="1" applyAlignment="1">
      <alignment horizontal="center" vertical="center"/>
    </xf>
    <xf numFmtId="0" fontId="59" fillId="0" borderId="5" xfId="1" applyNumberFormat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readingOrder="1"/>
    </xf>
    <xf numFmtId="0" fontId="59" fillId="0" borderId="0" xfId="1" applyFont="1" applyBorder="1" applyAlignment="1">
      <alignment horizontal="right" vertical="center" indent="1" readingOrder="1"/>
    </xf>
    <xf numFmtId="0" fontId="59" fillId="0" borderId="5" xfId="1" applyFont="1" applyBorder="1" applyAlignment="1">
      <alignment horizontal="right" vertical="center" indent="1" readingOrder="1"/>
    </xf>
    <xf numFmtId="0" fontId="59" fillId="0" borderId="0" xfId="1" applyFont="1" applyFill="1" applyBorder="1" applyAlignment="1">
      <alignment horizontal="right" vertical="center" wrapText="1" indent="1"/>
    </xf>
    <xf numFmtId="0" fontId="59" fillId="0" borderId="5" xfId="1" applyFont="1" applyFill="1" applyBorder="1" applyAlignment="1">
      <alignment horizontal="right" vertical="center" wrapText="1" indent="1"/>
    </xf>
    <xf numFmtId="0" fontId="59" fillId="0" borderId="4" xfId="1" applyFont="1" applyBorder="1" applyAlignment="1">
      <alignment horizontal="center" vertical="center"/>
    </xf>
    <xf numFmtId="0" fontId="59" fillId="7" borderId="4" xfId="1" applyFont="1" applyFill="1" applyBorder="1" applyAlignment="1">
      <alignment horizontal="center" vertical="center"/>
    </xf>
    <xf numFmtId="0" fontId="59" fillId="0" borderId="0" xfId="1" applyFont="1" applyBorder="1" applyAlignment="1">
      <alignment horizontal="right" vertical="center" indent="1"/>
    </xf>
    <xf numFmtId="0" fontId="59" fillId="0" borderId="5" xfId="1" applyFont="1" applyBorder="1" applyAlignment="1">
      <alignment horizontal="right" vertical="center" indent="1"/>
    </xf>
    <xf numFmtId="0" fontId="53" fillId="7" borderId="11" xfId="0" applyFont="1" applyFill="1" applyBorder="1" applyAlignment="1">
      <alignment horizontal="center" vertical="center"/>
    </xf>
    <xf numFmtId="0" fontId="59" fillId="7" borderId="6" xfId="1" applyFont="1" applyFill="1" applyBorder="1" applyAlignment="1">
      <alignment horizontal="center" vertical="center"/>
    </xf>
    <xf numFmtId="0" fontId="59" fillId="7" borderId="6" xfId="1" applyFont="1" applyFill="1" applyBorder="1" applyAlignment="1">
      <alignment horizontal="right" vertical="center" wrapText="1" indent="1"/>
    </xf>
    <xf numFmtId="0" fontId="59" fillId="7" borderId="7" xfId="1" applyFont="1" applyFill="1" applyBorder="1" applyAlignment="1">
      <alignment horizontal="right" vertical="center" wrapText="1" indent="1"/>
    </xf>
    <xf numFmtId="0" fontId="59" fillId="7" borderId="8" xfId="1" applyFont="1" applyFill="1" applyBorder="1" applyAlignment="1">
      <alignment horizontal="right" vertical="center" wrapText="1" indent="1"/>
    </xf>
    <xf numFmtId="0" fontId="59" fillId="7" borderId="8" xfId="1" applyNumberFormat="1" applyFont="1" applyFill="1" applyBorder="1" applyAlignment="1">
      <alignment horizontal="center" wrapText="1"/>
    </xf>
    <xf numFmtId="0" fontId="55" fillId="0" borderId="2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9" fillId="0" borderId="13" xfId="1" applyNumberFormat="1" applyFont="1" applyBorder="1" applyAlignment="1">
      <alignment horizontal="center" vertical="center"/>
    </xf>
    <xf numFmtId="0" fontId="55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55" fillId="0" borderId="5" xfId="0" applyFont="1" applyBorder="1" applyAlignment="1">
      <alignment horizontal="center"/>
    </xf>
    <xf numFmtId="0" fontId="59" fillId="0" borderId="13" xfId="1" applyNumberFormat="1" applyFont="1" applyBorder="1" applyAlignment="1">
      <alignment horizontal="center" vertical="center" wrapText="1"/>
    </xf>
    <xf numFmtId="0" fontId="55" fillId="7" borderId="4" xfId="0" applyFont="1" applyFill="1" applyBorder="1" applyAlignment="1">
      <alignment horizontal="center"/>
    </xf>
    <xf numFmtId="0" fontId="55" fillId="7" borderId="0" xfId="0" applyFont="1" applyFill="1" applyBorder="1" applyAlignment="1">
      <alignment horizontal="center"/>
    </xf>
    <xf numFmtId="0" fontId="55" fillId="7" borderId="5" xfId="0" applyFont="1" applyFill="1" applyBorder="1" applyAlignment="1">
      <alignment horizontal="center"/>
    </xf>
    <xf numFmtId="0" fontId="59" fillId="7" borderId="13" xfId="1" applyNumberFormat="1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/>
    </xf>
    <xf numFmtId="0" fontId="59" fillId="7" borderId="13" xfId="1" applyNumberFormat="1" applyFont="1" applyFill="1" applyBorder="1" applyAlignment="1">
      <alignment horizontal="center" vertical="center" wrapText="1"/>
    </xf>
    <xf numFmtId="0" fontId="62" fillId="7" borderId="0" xfId="1" applyFont="1" applyFill="1" applyBorder="1" applyAlignment="1">
      <alignment horizontal="right" vertical="center" wrapText="1" indent="1"/>
    </xf>
    <xf numFmtId="0" fontId="55" fillId="0" borderId="0" xfId="0" applyFont="1" applyBorder="1" applyAlignment="1">
      <alignment horizontal="center"/>
    </xf>
    <xf numFmtId="0" fontId="60" fillId="7" borderId="5" xfId="0" applyFont="1" applyFill="1" applyBorder="1" applyAlignment="1">
      <alignment horizontal="center"/>
    </xf>
    <xf numFmtId="0" fontId="59" fillId="7" borderId="0" xfId="1" applyFont="1" applyFill="1" applyBorder="1" applyAlignment="1">
      <alignment horizontal="right" vertical="center" indent="1"/>
    </xf>
    <xf numFmtId="0" fontId="60" fillId="0" borderId="5" xfId="0" applyFont="1" applyBorder="1" applyAlignment="1">
      <alignment horizontal="center"/>
    </xf>
    <xf numFmtId="0" fontId="59" fillId="4" borderId="0" xfId="1" applyFont="1" applyFill="1" applyBorder="1" applyAlignment="1">
      <alignment horizontal="right" vertical="center" wrapText="1" indent="1"/>
    </xf>
    <xf numFmtId="0" fontId="59" fillId="7" borderId="4" xfId="1" applyFont="1" applyFill="1" applyBorder="1" applyAlignment="1">
      <alignment horizontal="right" vertical="center" indent="1"/>
    </xf>
    <xf numFmtId="0" fontId="59" fillId="0" borderId="4" xfId="1" applyFont="1" applyBorder="1" applyAlignment="1">
      <alignment horizontal="right" vertical="center" indent="1"/>
    </xf>
    <xf numFmtId="0" fontId="55" fillId="0" borderId="6" xfId="0" applyFont="1" applyBorder="1" applyAlignment="1">
      <alignment horizontal="center"/>
    </xf>
    <xf numFmtId="0" fontId="60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59" fillId="0" borderId="7" xfId="1" applyFont="1" applyBorder="1" applyAlignment="1">
      <alignment horizontal="right" vertical="center" wrapText="1" indent="1"/>
    </xf>
    <xf numFmtId="0" fontId="59" fillId="0" borderId="6" xfId="1" applyFont="1" applyBorder="1" applyAlignment="1">
      <alignment horizontal="right" vertical="center" wrapText="1" indent="1"/>
    </xf>
    <xf numFmtId="0" fontId="59" fillId="0" borderId="11" xfId="1" applyNumberFormat="1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64" fillId="7" borderId="12" xfId="0" applyFont="1" applyFill="1" applyBorder="1"/>
    <xf numFmtId="0" fontId="59" fillId="7" borderId="0" xfId="0" applyFont="1" applyFill="1" applyBorder="1" applyAlignment="1">
      <alignment horizontal="left" vertical="center" wrapText="1" indent="2"/>
    </xf>
    <xf numFmtId="0" fontId="59" fillId="7" borderId="4" xfId="0" applyFont="1" applyFill="1" applyBorder="1" applyAlignment="1">
      <alignment horizontal="right" vertical="center" wrapText="1" indent="2"/>
    </xf>
    <xf numFmtId="0" fontId="59" fillId="7" borderId="0" xfId="0" applyFont="1" applyFill="1" applyBorder="1" applyAlignment="1">
      <alignment horizontal="right" vertical="center" wrapText="1" indent="2"/>
    </xf>
    <xf numFmtId="0" fontId="59" fillId="7" borderId="5" xfId="0" applyFont="1" applyFill="1" applyBorder="1" applyAlignment="1">
      <alignment horizontal="right" vertical="center" wrapText="1" indent="2"/>
    </xf>
    <xf numFmtId="0" fontId="59" fillId="7" borderId="13" xfId="0" applyFont="1" applyFill="1" applyBorder="1" applyAlignment="1">
      <alignment horizontal="right" vertical="center" wrapText="1" indent="4"/>
    </xf>
    <xf numFmtId="0" fontId="59" fillId="7" borderId="0" xfId="0" applyFont="1" applyFill="1" applyBorder="1" applyAlignment="1">
      <alignment horizontal="right" vertical="center" indent="2"/>
    </xf>
    <xf numFmtId="0" fontId="59" fillId="0" borderId="0" xfId="0" applyFont="1" applyBorder="1" applyAlignment="1">
      <alignment horizontal="left" vertical="center" wrapText="1" indent="2"/>
    </xf>
    <xf numFmtId="0" fontId="59" fillId="0" borderId="4" xfId="0" applyFont="1" applyBorder="1" applyAlignment="1">
      <alignment horizontal="right" vertical="center" wrapText="1" indent="2"/>
    </xf>
    <xf numFmtId="0" fontId="59" fillId="0" borderId="0" xfId="0" applyFont="1" applyBorder="1" applyAlignment="1">
      <alignment horizontal="right" vertical="center" wrapText="1" indent="2"/>
    </xf>
    <xf numFmtId="0" fontId="59" fillId="0" borderId="13" xfId="0" applyFont="1" applyBorder="1" applyAlignment="1">
      <alignment horizontal="right" vertical="center" wrapText="1" indent="4"/>
    </xf>
    <xf numFmtId="0" fontId="59" fillId="0" borderId="0" xfId="0" applyFont="1" applyBorder="1" applyAlignment="1">
      <alignment horizontal="right" vertical="center" indent="2"/>
    </xf>
    <xf numFmtId="0" fontId="59" fillId="0" borderId="0" xfId="0" applyFont="1" applyBorder="1" applyAlignment="1">
      <alignment horizontal="left" vertical="center" indent="2"/>
    </xf>
    <xf numFmtId="0" fontId="59" fillId="7" borderId="0" xfId="0" applyFont="1" applyFill="1" applyBorder="1" applyAlignment="1">
      <alignment horizontal="left" vertical="center" indent="2"/>
    </xf>
    <xf numFmtId="0" fontId="59" fillId="0" borderId="0" xfId="1" applyNumberFormat="1" applyFont="1" applyBorder="1" applyAlignment="1">
      <alignment horizontal="left" vertical="center" wrapText="1" indent="2"/>
    </xf>
    <xf numFmtId="0" fontId="59" fillId="0" borderId="0" xfId="1" applyFont="1" applyBorder="1" applyAlignment="1">
      <alignment horizontal="right" vertical="center" wrapText="1" indent="2"/>
    </xf>
    <xf numFmtId="0" fontId="59" fillId="7" borderId="0" xfId="1" applyFont="1" applyFill="1" applyBorder="1" applyAlignment="1">
      <alignment horizontal="right" vertical="center" wrapText="1" indent="2"/>
    </xf>
    <xf numFmtId="0" fontId="59" fillId="7" borderId="0" xfId="1" applyNumberFormat="1" applyFont="1" applyFill="1" applyBorder="1" applyAlignment="1">
      <alignment horizontal="left" vertical="center" wrapText="1" indent="2"/>
    </xf>
    <xf numFmtId="0" fontId="59" fillId="7" borderId="7" xfId="0" applyFont="1" applyFill="1" applyBorder="1" applyAlignment="1">
      <alignment horizontal="left" vertical="center" indent="2"/>
    </xf>
    <xf numFmtId="0" fontId="59" fillId="7" borderId="6" xfId="0" applyFont="1" applyFill="1" applyBorder="1" applyAlignment="1">
      <alignment horizontal="right" vertical="center" wrapText="1" indent="2"/>
    </xf>
    <xf numFmtId="0" fontId="59" fillId="7" borderId="7" xfId="0" applyFont="1" applyFill="1" applyBorder="1" applyAlignment="1">
      <alignment horizontal="right" vertical="center" wrapText="1" indent="2"/>
    </xf>
    <xf numFmtId="0" fontId="59" fillId="7" borderId="11" xfId="0" applyFont="1" applyFill="1" applyBorder="1" applyAlignment="1">
      <alignment horizontal="right" vertical="center" wrapText="1" indent="4"/>
    </xf>
    <xf numFmtId="0" fontId="59" fillId="7" borderId="7" xfId="0" applyFont="1" applyFill="1" applyBorder="1" applyAlignment="1">
      <alignment horizontal="right" vertical="center" indent="2"/>
    </xf>
    <xf numFmtId="0" fontId="53" fillId="0" borderId="0" xfId="0" applyFont="1" applyBorder="1" applyAlignment="1">
      <alignment horizontal="right" vertical="center" wrapText="1" indent="4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1" xfId="1" applyNumberFormat="1" applyFont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 wrapText="1"/>
    </xf>
    <xf numFmtId="0" fontId="6" fillId="0" borderId="1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 indent="1"/>
    </xf>
    <xf numFmtId="49" fontId="1" fillId="4" borderId="13" xfId="0" applyNumberFormat="1" applyFont="1" applyFill="1" applyBorder="1" applyAlignment="1">
      <alignment horizontal="center" vertical="center"/>
    </xf>
    <xf numFmtId="0" fontId="6" fillId="0" borderId="0" xfId="1" applyNumberFormat="1" applyFont="1" applyBorder="1" applyAlignment="1">
      <alignment horizontal="left" vertical="center" wrapText="1" indent="1"/>
    </xf>
    <xf numFmtId="0" fontId="6" fillId="7" borderId="0" xfId="0" applyNumberFormat="1" applyFont="1" applyFill="1" applyBorder="1" applyAlignment="1">
      <alignment horizontal="left" vertical="center" wrapText="1" indent="1"/>
    </xf>
    <xf numFmtId="0" fontId="6" fillId="7" borderId="0" xfId="1" applyNumberFormat="1" applyFont="1" applyFill="1" applyBorder="1" applyAlignment="1">
      <alignment horizontal="left" vertical="center" wrapText="1" indent="1"/>
    </xf>
    <xf numFmtId="0" fontId="6" fillId="4" borderId="13" xfId="1" applyNumberFormat="1" applyFont="1" applyFill="1" applyBorder="1" applyAlignment="1">
      <alignment horizontal="center" vertical="center" wrapText="1"/>
    </xf>
    <xf numFmtId="0" fontId="6" fillId="4" borderId="11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left" vertical="center" wrapText="1" indent="1"/>
    </xf>
    <xf numFmtId="0" fontId="63" fillId="0" borderId="0" xfId="0" applyFont="1"/>
    <xf numFmtId="49" fontId="6" fillId="0" borderId="1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right" vertical="center" wrapText="1" indent="1"/>
    </xf>
    <xf numFmtId="1" fontId="6" fillId="7" borderId="1" xfId="0" applyNumberFormat="1" applyFont="1" applyFill="1" applyBorder="1" applyAlignment="1">
      <alignment horizontal="right" vertical="center" wrapText="1" indent="1"/>
    </xf>
    <xf numFmtId="0" fontId="1" fillId="0" borderId="4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 indent="1"/>
    </xf>
    <xf numFmtId="0" fontId="59" fillId="0" borderId="1" xfId="0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center" vertical="center" wrapText="1"/>
    </xf>
    <xf numFmtId="0" fontId="59" fillId="7" borderId="3" xfId="0" applyNumberFormat="1" applyFont="1" applyFill="1" applyBorder="1" applyAlignment="1">
      <alignment horizontal="left" vertical="center" wrapText="1" indent="1"/>
    </xf>
    <xf numFmtId="1" fontId="53" fillId="7" borderId="2" xfId="0" applyNumberFormat="1" applyFont="1" applyFill="1" applyBorder="1" applyAlignment="1">
      <alignment horizontal="right" vertical="center" indent="3"/>
    </xf>
    <xf numFmtId="0" fontId="59" fillId="7" borderId="1" xfId="0" applyNumberFormat="1" applyFont="1" applyFill="1" applyBorder="1" applyAlignment="1">
      <alignment horizontal="right" vertical="center" indent="1"/>
    </xf>
    <xf numFmtId="0" fontId="59" fillId="7" borderId="3" xfId="0" applyNumberFormat="1" applyFont="1" applyFill="1" applyBorder="1" applyAlignment="1">
      <alignment horizontal="right" vertical="center" indent="1"/>
    </xf>
    <xf numFmtId="0" fontId="53" fillId="7" borderId="1" xfId="0" applyNumberFormat="1" applyFont="1" applyFill="1" applyBorder="1" applyAlignment="1">
      <alignment horizontal="right" vertical="center" indent="1"/>
    </xf>
    <xf numFmtId="0" fontId="59" fillId="7" borderId="12" xfId="0" applyFont="1" applyFill="1" applyBorder="1" applyAlignment="1">
      <alignment horizontal="right" vertical="center" wrapText="1" indent="1"/>
    </xf>
    <xf numFmtId="0" fontId="59" fillId="0" borderId="0" xfId="0" applyNumberFormat="1" applyFont="1" applyBorder="1" applyAlignment="1">
      <alignment horizontal="left" vertical="center" wrapText="1" indent="1"/>
    </xf>
    <xf numFmtId="1" fontId="53" fillId="0" borderId="4" xfId="0" applyNumberFormat="1" applyFont="1" applyBorder="1" applyAlignment="1">
      <alignment horizontal="right" vertical="center" indent="3"/>
    </xf>
    <xf numFmtId="0" fontId="59" fillId="0" borderId="0" xfId="0" applyNumberFormat="1" applyFont="1" applyBorder="1" applyAlignment="1">
      <alignment horizontal="right" vertical="center" indent="1"/>
    </xf>
    <xf numFmtId="0" fontId="53" fillId="0" borderId="5" xfId="0" applyNumberFormat="1" applyFont="1" applyBorder="1" applyAlignment="1">
      <alignment horizontal="right" vertical="center" indent="1"/>
    </xf>
    <xf numFmtId="0" fontId="53" fillId="0" borderId="0" xfId="0" applyNumberFormat="1" applyFont="1" applyBorder="1" applyAlignment="1">
      <alignment horizontal="right" vertical="center" indent="1"/>
    </xf>
    <xf numFmtId="0" fontId="59" fillId="0" borderId="13" xfId="0" applyFont="1" applyFill="1" applyBorder="1" applyAlignment="1">
      <alignment horizontal="right" vertical="center" indent="1"/>
    </xf>
    <xf numFmtId="0" fontId="59" fillId="7" borderId="13" xfId="0" applyFont="1" applyFill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left" vertical="center" wrapText="1" indent="1"/>
    </xf>
    <xf numFmtId="0" fontId="59" fillId="7" borderId="0" xfId="0" applyNumberFormat="1" applyFont="1" applyFill="1" applyBorder="1" applyAlignment="1">
      <alignment horizontal="left" vertical="center" wrapText="1" indent="1"/>
    </xf>
    <xf numFmtId="1" fontId="53" fillId="7" borderId="4" xfId="0" applyNumberFormat="1" applyFont="1" applyFill="1" applyBorder="1" applyAlignment="1">
      <alignment horizontal="right" vertical="center" indent="3"/>
    </xf>
    <xf numFmtId="0" fontId="59" fillId="7" borderId="0" xfId="0" applyNumberFormat="1" applyFont="1" applyFill="1" applyBorder="1" applyAlignment="1">
      <alignment horizontal="right" vertical="center" indent="1"/>
    </xf>
    <xf numFmtId="0" fontId="53" fillId="7" borderId="5" xfId="0" applyNumberFormat="1" applyFont="1" applyFill="1" applyBorder="1" applyAlignment="1">
      <alignment horizontal="right" vertical="center" indent="1"/>
    </xf>
    <xf numFmtId="0" fontId="53" fillId="7" borderId="0" xfId="0" applyNumberFormat="1" applyFont="1" applyFill="1" applyBorder="1" applyAlignment="1">
      <alignment horizontal="right" vertical="center" indent="1"/>
    </xf>
    <xf numFmtId="0" fontId="65" fillId="0" borderId="0" xfId="0" applyNumberFormat="1" applyFont="1" applyBorder="1" applyAlignment="1">
      <alignment horizontal="left" vertical="center" wrapText="1" indent="1"/>
    </xf>
    <xf numFmtId="0" fontId="59" fillId="0" borderId="0" xfId="0" applyNumberFormat="1" applyFont="1" applyFill="1" applyBorder="1" applyAlignment="1">
      <alignment horizontal="left" vertical="center" wrapText="1" indent="1"/>
    </xf>
    <xf numFmtId="0" fontId="59" fillId="0" borderId="13" xfId="0" applyFont="1" applyBorder="1" applyAlignment="1">
      <alignment horizontal="right" vertical="center" indent="1"/>
    </xf>
    <xf numFmtId="0" fontId="59" fillId="7" borderId="13" xfId="0" applyFont="1" applyFill="1" applyBorder="1" applyAlignment="1">
      <alignment horizontal="right" vertical="center" wrapText="1" indent="1"/>
    </xf>
    <xf numFmtId="0" fontId="59" fillId="7" borderId="7" xfId="0" applyNumberFormat="1" applyFont="1" applyFill="1" applyBorder="1" applyAlignment="1">
      <alignment horizontal="left" vertical="center" wrapText="1" indent="1"/>
    </xf>
    <xf numFmtId="1" fontId="53" fillId="7" borderId="6" xfId="0" applyNumberFormat="1" applyFont="1" applyFill="1" applyBorder="1" applyAlignment="1">
      <alignment horizontal="right" vertical="center" indent="3"/>
    </xf>
    <xf numFmtId="0" fontId="59" fillId="7" borderId="7" xfId="0" applyFont="1" applyFill="1" applyBorder="1" applyAlignment="1">
      <alignment horizontal="right" vertical="center" indent="1"/>
    </xf>
    <xf numFmtId="0" fontId="59" fillId="7" borderId="7" xfId="0" applyNumberFormat="1" applyFont="1" applyFill="1" applyBorder="1" applyAlignment="1">
      <alignment horizontal="right" vertical="center" wrapText="1" indent="1"/>
    </xf>
    <xf numFmtId="0" fontId="53" fillId="7" borderId="8" xfId="0" applyNumberFormat="1" applyFont="1" applyFill="1" applyBorder="1" applyAlignment="1">
      <alignment horizontal="right" vertical="center" indent="1"/>
    </xf>
    <xf numFmtId="0" fontId="53" fillId="7" borderId="7" xfId="0" applyFont="1" applyFill="1" applyBorder="1" applyAlignment="1">
      <alignment horizontal="right" vertical="center" indent="1"/>
    </xf>
    <xf numFmtId="0" fontId="59" fillId="7" borderId="11" xfId="0" applyFont="1" applyFill="1" applyBorder="1" applyAlignment="1">
      <alignment horizontal="right" vertical="center" wrapText="1" indent="1"/>
    </xf>
    <xf numFmtId="0" fontId="53" fillId="0" borderId="2" xfId="0" applyFont="1" applyBorder="1" applyAlignment="1">
      <alignment horizontal="center"/>
    </xf>
    <xf numFmtId="0" fontId="59" fillId="0" borderId="2" xfId="0" applyNumberFormat="1" applyFont="1" applyBorder="1" applyAlignment="1">
      <alignment horizontal="left" vertical="center" wrapText="1" indent="1"/>
    </xf>
    <xf numFmtId="1" fontId="53" fillId="0" borderId="2" xfId="0" applyNumberFormat="1" applyFont="1" applyBorder="1" applyAlignment="1">
      <alignment horizontal="right" vertical="center" indent="3"/>
    </xf>
    <xf numFmtId="0" fontId="59" fillId="0" borderId="1" xfId="0" applyFont="1" applyBorder="1" applyAlignment="1">
      <alignment horizontal="right" vertical="center" indent="1"/>
    </xf>
    <xf numFmtId="0" fontId="59" fillId="0" borderId="1" xfId="0" applyNumberFormat="1" applyFont="1" applyBorder="1" applyAlignment="1">
      <alignment horizontal="right" vertical="center" wrapText="1" indent="1"/>
    </xf>
    <xf numFmtId="0" fontId="53" fillId="0" borderId="3" xfId="0" applyNumberFormat="1" applyFont="1" applyBorder="1" applyAlignment="1">
      <alignment horizontal="right" vertical="center" indent="1"/>
    </xf>
    <xf numFmtId="0" fontId="53" fillId="0" borderId="1" xfId="0" applyFont="1" applyBorder="1" applyAlignment="1">
      <alignment horizontal="right" vertical="center" indent="1"/>
    </xf>
    <xf numFmtId="0" fontId="59" fillId="0" borderId="2" xfId="0" applyFont="1" applyFill="1" applyBorder="1" applyAlignment="1">
      <alignment horizontal="right" vertical="center" wrapText="1" indent="1"/>
    </xf>
    <xf numFmtId="0" fontId="53" fillId="7" borderId="4" xfId="0" applyFont="1" applyFill="1" applyBorder="1" applyAlignment="1">
      <alignment horizontal="center"/>
    </xf>
    <xf numFmtId="0" fontId="59" fillId="7" borderId="4" xfId="0" applyNumberFormat="1" applyFont="1" applyFill="1" applyBorder="1" applyAlignment="1">
      <alignment horizontal="left" vertical="center" wrapText="1" indent="1"/>
    </xf>
    <xf numFmtId="0" fontId="59" fillId="7" borderId="0" xfId="0" applyFont="1" applyFill="1" applyBorder="1" applyAlignment="1">
      <alignment horizontal="right" vertical="center" indent="1"/>
    </xf>
    <xf numFmtId="0" fontId="59" fillId="7" borderId="0" xfId="0" applyNumberFormat="1" applyFont="1" applyFill="1" applyBorder="1" applyAlignment="1">
      <alignment horizontal="right" vertical="center" wrapText="1" indent="1"/>
    </xf>
    <xf numFmtId="0" fontId="53" fillId="7" borderId="0" xfId="0" applyFont="1" applyFill="1" applyBorder="1" applyAlignment="1">
      <alignment horizontal="right" vertical="center" indent="1"/>
    </xf>
    <xf numFmtId="0" fontId="59" fillId="7" borderId="4" xfId="0" applyFont="1" applyFill="1" applyBorder="1" applyAlignment="1">
      <alignment horizontal="right" vertical="center" wrapText="1" indent="1"/>
    </xf>
    <xf numFmtId="0" fontId="59" fillId="0" borderId="4" xfId="0" applyNumberFormat="1" applyFont="1" applyBorder="1" applyAlignment="1">
      <alignment horizontal="left" vertical="center" wrapText="1" indent="1"/>
    </xf>
    <xf numFmtId="0" fontId="59" fillId="0" borderId="0" xfId="0" applyFont="1" applyBorder="1" applyAlignment="1">
      <alignment horizontal="right" vertical="center" indent="1"/>
    </xf>
    <xf numFmtId="0" fontId="59" fillId="0" borderId="0" xfId="0" applyNumberFormat="1" applyFont="1" applyBorder="1" applyAlignment="1">
      <alignment horizontal="right" vertical="center" wrapText="1" indent="1"/>
    </xf>
    <xf numFmtId="0" fontId="53" fillId="0" borderId="0" xfId="0" applyFont="1" applyBorder="1" applyAlignment="1">
      <alignment horizontal="right" vertical="center" indent="1"/>
    </xf>
    <xf numFmtId="0" fontId="59" fillId="0" borderId="4" xfId="0" applyFont="1" applyFill="1" applyBorder="1" applyAlignment="1">
      <alignment horizontal="right" vertical="center" wrapText="1" indent="1"/>
    </xf>
    <xf numFmtId="0" fontId="59" fillId="7" borderId="4" xfId="0" applyFont="1" applyFill="1" applyBorder="1" applyAlignment="1">
      <alignment horizontal="right" vertical="center" indent="1"/>
    </xf>
    <xf numFmtId="0" fontId="59" fillId="0" borderId="4" xfId="0" applyNumberFormat="1" applyFont="1" applyBorder="1" applyAlignment="1">
      <alignment horizontal="left" vertical="center" indent="1"/>
    </xf>
    <xf numFmtId="0" fontId="59" fillId="0" borderId="4" xfId="0" applyFont="1" applyBorder="1" applyAlignment="1">
      <alignment horizontal="right" vertical="center" indent="1"/>
    </xf>
    <xf numFmtId="0" fontId="59" fillId="0" borderId="4" xfId="0" applyFont="1" applyFill="1" applyBorder="1" applyAlignment="1">
      <alignment horizontal="right" vertical="center" indent="1"/>
    </xf>
    <xf numFmtId="0" fontId="53" fillId="0" borderId="6" xfId="0" applyFont="1" applyBorder="1" applyAlignment="1">
      <alignment horizontal="center"/>
    </xf>
    <xf numFmtId="0" fontId="59" fillId="0" borderId="6" xfId="0" applyNumberFormat="1" applyFont="1" applyBorder="1" applyAlignment="1">
      <alignment horizontal="left" vertical="center" wrapText="1" indent="1"/>
    </xf>
    <xf numFmtId="1" fontId="53" fillId="0" borderId="6" xfId="0" applyNumberFormat="1" applyFont="1" applyBorder="1" applyAlignment="1">
      <alignment horizontal="right" vertical="center" indent="3"/>
    </xf>
    <xf numFmtId="0" fontId="59" fillId="0" borderId="7" xfId="0" applyFont="1" applyBorder="1" applyAlignment="1">
      <alignment horizontal="right" vertical="center" indent="1"/>
    </xf>
    <xf numFmtId="0" fontId="59" fillId="0" borderId="7" xfId="0" applyNumberFormat="1" applyFont="1" applyBorder="1" applyAlignment="1">
      <alignment horizontal="right" vertical="center" wrapText="1" indent="1"/>
    </xf>
    <xf numFmtId="0" fontId="53" fillId="0" borderId="8" xfId="0" applyNumberFormat="1" applyFont="1" applyBorder="1" applyAlignment="1">
      <alignment horizontal="right" vertical="center" indent="1"/>
    </xf>
    <xf numFmtId="0" fontId="53" fillId="0" borderId="7" xfId="0" applyFont="1" applyBorder="1" applyAlignment="1">
      <alignment horizontal="right" vertical="center" indent="1"/>
    </xf>
    <xf numFmtId="0" fontId="59" fillId="0" borderId="6" xfId="0" applyFont="1" applyFill="1" applyBorder="1" applyAlignment="1">
      <alignment horizontal="right" vertical="center" indent="1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 indent="1" readingOrder="2"/>
    </xf>
    <xf numFmtId="0" fontId="6" fillId="0" borderId="0" xfId="0" applyFont="1" applyBorder="1" applyAlignment="1">
      <alignment horizontal="right" vertical="center" wrapText="1" indent="1" readingOrder="2"/>
    </xf>
    <xf numFmtId="0" fontId="6" fillId="7" borderId="0" xfId="0" applyFont="1" applyFill="1" applyBorder="1" applyAlignment="1">
      <alignment horizontal="left" vertical="center" wrapText="1" indent="1" readingOrder="2"/>
    </xf>
    <xf numFmtId="0" fontId="6" fillId="7" borderId="0" xfId="0" applyFont="1" applyFill="1" applyBorder="1" applyAlignment="1">
      <alignment horizontal="right" vertical="center" wrapText="1" indent="1" readingOrder="2"/>
    </xf>
    <xf numFmtId="0" fontId="1" fillId="0" borderId="13" xfId="0" applyFont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53" fillId="0" borderId="2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right" vertical="center" wrapText="1" indent="1"/>
    </xf>
    <xf numFmtId="0" fontId="67" fillId="7" borderId="0" xfId="0" applyFont="1" applyFill="1" applyBorder="1" applyAlignment="1">
      <alignment horizontal="right" vertical="center" wrapText="1" indent="1"/>
    </xf>
    <xf numFmtId="0" fontId="67" fillId="0" borderId="0" xfId="0" applyFont="1" applyBorder="1" applyAlignment="1">
      <alignment horizontal="right" vertical="center" wrapText="1" indent="1"/>
    </xf>
    <xf numFmtId="0" fontId="59" fillId="7" borderId="0" xfId="0" applyFont="1" applyFill="1" applyBorder="1" applyAlignment="1">
      <alignment horizontal="right" vertical="center" wrapText="1" indent="1"/>
    </xf>
    <xf numFmtId="0" fontId="67" fillId="7" borderId="0" xfId="0" applyFont="1" applyFill="1" applyBorder="1" applyAlignment="1">
      <alignment horizontal="right" vertical="center" indent="1"/>
    </xf>
    <xf numFmtId="0" fontId="59" fillId="7" borderId="7" xfId="0" applyFont="1" applyFill="1" applyBorder="1" applyAlignment="1">
      <alignment horizontal="right" vertical="center" wrapText="1" indent="1"/>
    </xf>
    <xf numFmtId="0" fontId="53" fillId="0" borderId="0" xfId="0" applyFont="1" applyBorder="1" applyAlignment="1">
      <alignment horizontal="right" vertical="center" wrapText="1" indent="1"/>
    </xf>
    <xf numFmtId="0" fontId="53" fillId="7" borderId="0" xfId="0" applyFont="1" applyFill="1" applyBorder="1" applyAlignment="1">
      <alignment horizontal="right" vertical="center" wrapText="1" indent="1"/>
    </xf>
    <xf numFmtId="0" fontId="67" fillId="0" borderId="0" xfId="0" applyFont="1" applyBorder="1" applyAlignment="1">
      <alignment horizontal="right" vertical="center" indent="1"/>
    </xf>
    <xf numFmtId="0" fontId="67" fillId="0" borderId="7" xfId="0" applyFont="1" applyBorder="1" applyAlignment="1">
      <alignment horizontal="right" vertical="center" wrapText="1" indent="1"/>
    </xf>
    <xf numFmtId="0" fontId="61" fillId="7" borderId="0" xfId="0" applyFont="1" applyFill="1" applyBorder="1" applyAlignment="1">
      <alignment horizontal="right" vertical="center" wrapText="1" indent="1"/>
    </xf>
    <xf numFmtId="0" fontId="68" fillId="0" borderId="0" xfId="0" applyFont="1" applyBorder="1" applyAlignment="1">
      <alignment horizontal="right" vertical="center" wrapText="1" indent="1"/>
    </xf>
    <xf numFmtId="0" fontId="68" fillId="7" borderId="0" xfId="0" applyFont="1" applyFill="1" applyBorder="1" applyAlignment="1">
      <alignment horizontal="right" vertical="center" wrapText="1" indent="1"/>
    </xf>
    <xf numFmtId="0" fontId="69" fillId="7" borderId="0" xfId="0" applyFont="1" applyFill="1" applyBorder="1" applyAlignment="1">
      <alignment horizontal="right" vertical="center" wrapText="1" indent="1"/>
    </xf>
    <xf numFmtId="0" fontId="67" fillId="4" borderId="0" xfId="0" applyFont="1" applyFill="1" applyBorder="1" applyAlignment="1">
      <alignment horizontal="right" vertical="center" wrapText="1" indent="1"/>
    </xf>
    <xf numFmtId="0" fontId="68" fillId="4" borderId="0" xfId="0" applyFont="1" applyFill="1" applyBorder="1" applyAlignment="1">
      <alignment horizontal="right" vertical="center" wrapText="1" indent="1"/>
    </xf>
    <xf numFmtId="0" fontId="65" fillId="0" borderId="7" xfId="0" applyFont="1" applyBorder="1" applyAlignment="1">
      <alignment horizontal="right" vertical="center" wrapText="1" indent="1"/>
    </xf>
    <xf numFmtId="0" fontId="59" fillId="0" borderId="0" xfId="0" applyFont="1" applyBorder="1" applyAlignment="1">
      <alignment horizontal="center" vertical="center" wrapText="1"/>
    </xf>
    <xf numFmtId="0" fontId="65" fillId="7" borderId="0" xfId="0" applyFont="1" applyFill="1" applyBorder="1" applyAlignment="1">
      <alignment horizontal="right" vertical="center" wrapText="1" indent="1"/>
    </xf>
    <xf numFmtId="0" fontId="65" fillId="0" borderId="0" xfId="0" applyFont="1" applyBorder="1" applyAlignment="1">
      <alignment horizontal="right" vertical="center" wrapText="1" indent="1"/>
    </xf>
    <xf numFmtId="0" fontId="67" fillId="7" borderId="7" xfId="0" applyFont="1" applyFill="1" applyBorder="1" applyAlignment="1">
      <alignment horizontal="right" vertical="center" wrapText="1" indent="1"/>
    </xf>
    <xf numFmtId="0" fontId="64" fillId="0" borderId="0" xfId="0" applyFont="1"/>
    <xf numFmtId="0" fontId="51" fillId="0" borderId="0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53" fillId="0" borderId="0" xfId="0" applyFont="1" applyAlignment="1">
      <alignment horizontal="center" wrapText="1"/>
    </xf>
    <xf numFmtId="0" fontId="1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4" xfId="0" applyNumberFormat="1" applyFont="1" applyBorder="1" applyAlignment="1">
      <alignment horizontal="center" vertical="center"/>
    </xf>
    <xf numFmtId="0" fontId="53" fillId="0" borderId="0" xfId="0" applyNumberFormat="1" applyFont="1" applyBorder="1" applyAlignment="1">
      <alignment horizontal="center" vertical="center"/>
    </xf>
    <xf numFmtId="0" fontId="53" fillId="0" borderId="6" xfId="0" applyNumberFormat="1" applyFont="1" applyBorder="1" applyAlignment="1">
      <alignment horizontal="center" vertical="center"/>
    </xf>
    <xf numFmtId="0" fontId="53" fillId="0" borderId="7" xfId="0" applyNumberFormat="1" applyFont="1" applyBorder="1" applyAlignment="1">
      <alignment horizontal="center" vertical="center"/>
    </xf>
    <xf numFmtId="0" fontId="53" fillId="0" borderId="8" xfId="0" applyNumberFormat="1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53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53" fillId="0" borderId="6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9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right" vertical="center" wrapText="1" indent="1"/>
    </xf>
    <xf numFmtId="0" fontId="15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1" fontId="1" fillId="0" borderId="0" xfId="0" applyNumberFormat="1" applyFont="1" applyBorder="1" applyAlignment="1">
      <alignment horizontal="right" vertical="center" indent="1"/>
    </xf>
    <xf numFmtId="0" fontId="10" fillId="0" borderId="0" xfId="3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59" fillId="0" borderId="2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1" fillId="0" borderId="0" xfId="0" applyFont="1" applyBorder="1" applyAlignment="1">
      <alignment horizontal="right" vertical="center" wrapText="1" readingOrder="2"/>
    </xf>
    <xf numFmtId="0" fontId="52" fillId="0" borderId="0" xfId="0" applyFont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 wrapText="1" readingOrder="2"/>
    </xf>
    <xf numFmtId="0" fontId="59" fillId="0" borderId="12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9" fillId="7" borderId="13" xfId="0" applyFont="1" applyFill="1" applyBorder="1" applyAlignment="1">
      <alignment horizontal="center" vertical="center"/>
    </xf>
    <xf numFmtId="0" fontId="59" fillId="7" borderId="11" xfId="0" applyFont="1" applyFill="1" applyBorder="1" applyAlignment="1">
      <alignment horizontal="center" vertical="center"/>
    </xf>
    <xf numFmtId="0" fontId="59" fillId="7" borderId="1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59" fillId="0" borderId="4" xfId="0" applyNumberFormat="1" applyFont="1" applyBorder="1" applyAlignment="1">
      <alignment horizontal="center" vertical="center" wrapText="1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5" xfId="0" applyNumberFormat="1" applyFont="1" applyBorder="1" applyAlignment="1">
      <alignment horizontal="center" vertical="center" wrapText="1"/>
    </xf>
    <xf numFmtId="0" fontId="59" fillId="0" borderId="4" xfId="0" applyNumberFormat="1" applyFont="1" applyBorder="1" applyAlignment="1">
      <alignment horizontal="center" vertical="center"/>
    </xf>
    <xf numFmtId="0" fontId="59" fillId="0" borderId="0" xfId="0" applyNumberFormat="1" applyFont="1" applyBorder="1" applyAlignment="1">
      <alignment horizontal="center" vertical="center"/>
    </xf>
    <xf numFmtId="0" fontId="59" fillId="0" borderId="5" xfId="0" applyNumberFormat="1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indent="1"/>
    </xf>
    <xf numFmtId="0" fontId="59" fillId="0" borderId="2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wrapText="1" indent="1"/>
    </xf>
    <xf numFmtId="0" fontId="59" fillId="0" borderId="3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4" borderId="4" xfId="0" applyFont="1" applyFill="1" applyBorder="1" applyAlignment="1">
      <alignment horizontal="right" vertical="center" wrapText="1" indent="1"/>
    </xf>
    <xf numFmtId="0" fontId="6" fillId="4" borderId="6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right" vertical="center" wrapText="1" indent="1"/>
    </xf>
    <xf numFmtId="0" fontId="6" fillId="4" borderId="7" xfId="0" applyFont="1" applyFill="1" applyBorder="1" applyAlignment="1">
      <alignment horizontal="righ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3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 indent="1"/>
    </xf>
    <xf numFmtId="0" fontId="51" fillId="0" borderId="0" xfId="0" applyFont="1" applyAlignment="1">
      <alignment horizontal="right" vertical="center"/>
    </xf>
    <xf numFmtId="0" fontId="51" fillId="0" borderId="0" xfId="0" applyFont="1" applyBorder="1" applyAlignment="1">
      <alignment horizontal="left" vertical="center" wrapText="1" readingOrder="1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 indent="1"/>
    </xf>
    <xf numFmtId="0" fontId="3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27" fillId="0" borderId="0" xfId="0" applyFont="1" applyBorder="1" applyAlignment="1">
      <alignment horizontal="right"/>
    </xf>
    <xf numFmtId="0" fontId="6" fillId="0" borderId="3" xfId="0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0" borderId="4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59" fillId="4" borderId="13" xfId="0" applyFont="1" applyFill="1" applyBorder="1" applyAlignment="1">
      <alignment horizontal="center" vertical="center"/>
    </xf>
    <xf numFmtId="0" fontId="59" fillId="4" borderId="12" xfId="0" applyFont="1" applyFill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 wrapText="1"/>
    </xf>
    <xf numFmtId="0" fontId="55" fillId="0" borderId="0" xfId="0" applyFont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right" vertical="center" wrapText="1"/>
    </xf>
    <xf numFmtId="0" fontId="53" fillId="0" borderId="5" xfId="0" applyNumberFormat="1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9" fillId="7" borderId="0" xfId="0" applyNumberFormat="1" applyFont="1" applyFill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right" vertical="center" indent="1"/>
    </xf>
    <xf numFmtId="0" fontId="53" fillId="7" borderId="4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/>
    </xf>
    <xf numFmtId="0" fontId="53" fillId="7" borderId="13" xfId="0" applyFont="1" applyFill="1" applyBorder="1" applyAlignment="1">
      <alignment horizontal="center" vertical="center"/>
    </xf>
    <xf numFmtId="0" fontId="59" fillId="0" borderId="4" xfId="0" applyFont="1" applyBorder="1" applyAlignment="1">
      <alignment horizontal="left" vertical="center" wrapText="1" indent="1"/>
    </xf>
    <xf numFmtId="0" fontId="59" fillId="0" borderId="4" xfId="0" applyNumberFormat="1" applyFont="1" applyBorder="1" applyAlignment="1">
      <alignment horizontal="right" vertical="center" indent="1"/>
    </xf>
    <xf numFmtId="0" fontId="59" fillId="0" borderId="0" xfId="0" applyNumberFormat="1" applyFont="1" applyBorder="1" applyAlignment="1">
      <alignment horizontal="right" vertical="center" indent="1"/>
    </xf>
    <xf numFmtId="0" fontId="59" fillId="0" borderId="5" xfId="0" applyNumberFormat="1" applyFont="1" applyBorder="1" applyAlignment="1">
      <alignment horizontal="right" vertical="center" indent="1"/>
    </xf>
    <xf numFmtId="0" fontId="59" fillId="7" borderId="4" xfId="0" applyNumberFormat="1" applyFont="1" applyFill="1" applyBorder="1" applyAlignment="1">
      <alignment horizontal="right" vertical="center" indent="1"/>
    </xf>
    <xf numFmtId="0" fontId="59" fillId="7" borderId="4" xfId="0" applyFont="1" applyFill="1" applyBorder="1" applyAlignment="1">
      <alignment horizontal="left" vertical="center" wrapText="1" indent="1"/>
    </xf>
    <xf numFmtId="0" fontId="59" fillId="7" borderId="5" xfId="0" applyNumberFormat="1" applyFont="1" applyFill="1" applyBorder="1" applyAlignment="1">
      <alignment horizontal="right" vertical="center" wrapText="1" indent="1"/>
    </xf>
    <xf numFmtId="0" fontId="59" fillId="0" borderId="5" xfId="0" applyNumberFormat="1" applyFont="1" applyBorder="1" applyAlignment="1">
      <alignment horizontal="right" vertical="center" wrapText="1" indent="1"/>
    </xf>
    <xf numFmtId="0" fontId="67" fillId="7" borderId="4" xfId="0" applyFont="1" applyFill="1" applyBorder="1" applyAlignment="1">
      <alignment horizontal="left" vertical="center" wrapText="1" indent="1"/>
    </xf>
    <xf numFmtId="0" fontId="67" fillId="0" borderId="4" xfId="0" applyFont="1" applyBorder="1" applyAlignment="1">
      <alignment horizontal="left" vertical="center" wrapText="1" indent="1"/>
    </xf>
    <xf numFmtId="0" fontId="59" fillId="0" borderId="0" xfId="0" applyFont="1" applyAlignment="1">
      <alignment horizontal="center" vertical="center"/>
    </xf>
    <xf numFmtId="0" fontId="59" fillId="7" borderId="7" xfId="0" applyNumberFormat="1" applyFont="1" applyFill="1" applyBorder="1" applyAlignment="1">
      <alignment horizontal="right" vertical="center" indent="1"/>
    </xf>
    <xf numFmtId="0" fontId="59" fillId="7" borderId="8" xfId="0" applyNumberFormat="1" applyFont="1" applyFill="1" applyBorder="1" applyAlignment="1">
      <alignment horizontal="right" vertical="center" indent="1"/>
    </xf>
    <xf numFmtId="0" fontId="59" fillId="7" borderId="6" xfId="0" applyNumberFormat="1" applyFont="1" applyFill="1" applyBorder="1" applyAlignment="1">
      <alignment horizontal="right" vertical="center" indent="1"/>
    </xf>
    <xf numFmtId="0" fontId="59" fillId="7" borderId="8" xfId="0" applyNumberFormat="1" applyFont="1" applyFill="1" applyBorder="1" applyAlignment="1">
      <alignment horizontal="right" vertical="center" wrapText="1" indent="1"/>
    </xf>
    <xf numFmtId="0" fontId="53" fillId="7" borderId="11" xfId="0" applyFont="1" applyFill="1" applyBorder="1" applyAlignment="1">
      <alignment horizontal="center" vertical="center"/>
    </xf>
    <xf numFmtId="0" fontId="59" fillId="7" borderId="6" xfId="0" applyFont="1" applyFill="1" applyBorder="1" applyAlignment="1">
      <alignment horizontal="left" vertical="center" wrapText="1" indent="1"/>
    </xf>
    <xf numFmtId="0" fontId="59" fillId="0" borderId="0" xfId="0" applyFont="1" applyBorder="1" applyAlignment="1">
      <alignment horizontal="left" vertical="center" wrapText="1" indent="1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0" fontId="67" fillId="0" borderId="0" xfId="0" applyFont="1" applyBorder="1" applyAlignment="1">
      <alignment horizontal="left" vertical="center" wrapText="1" indent="1"/>
    </xf>
    <xf numFmtId="0" fontId="67" fillId="7" borderId="0" xfId="0" applyFont="1" applyFill="1" applyBorder="1" applyAlignment="1">
      <alignment horizontal="left" vertical="center" wrapText="1" indent="1"/>
    </xf>
    <xf numFmtId="0" fontId="53" fillId="0" borderId="0" xfId="0" applyFont="1" applyBorder="1" applyAlignment="1">
      <alignment horizontal="left" vertical="center" wrapText="1" indent="1"/>
    </xf>
    <xf numFmtId="0" fontId="59" fillId="7" borderId="4" xfId="0" applyFont="1" applyFill="1" applyBorder="1" applyAlignment="1">
      <alignment horizontal="right" vertical="center" indent="1"/>
    </xf>
    <xf numFmtId="0" fontId="59" fillId="7" borderId="0" xfId="0" applyFont="1" applyFill="1" applyBorder="1" applyAlignment="1">
      <alignment horizontal="right" vertical="center" indent="1"/>
    </xf>
    <xf numFmtId="0" fontId="67" fillId="0" borderId="7" xfId="0" applyFont="1" applyBorder="1" applyAlignment="1">
      <alignment horizontal="left" vertical="center" wrapText="1" indent="1"/>
    </xf>
    <xf numFmtId="0" fontId="59" fillId="0" borderId="6" xfId="0" applyNumberFormat="1" applyFont="1" applyBorder="1" applyAlignment="1">
      <alignment horizontal="right" vertical="center" indent="1"/>
    </xf>
    <xf numFmtId="0" fontId="59" fillId="0" borderId="7" xfId="0" applyNumberFormat="1" applyFont="1" applyBorder="1" applyAlignment="1">
      <alignment horizontal="right" vertical="center" indent="1"/>
    </xf>
    <xf numFmtId="0" fontId="59" fillId="0" borderId="0" xfId="0" applyFont="1" applyBorder="1" applyAlignment="1">
      <alignment horizontal="right" vertical="center" indent="1"/>
    </xf>
    <xf numFmtId="0" fontId="59" fillId="0" borderId="7" xfId="0" applyFont="1" applyBorder="1" applyAlignment="1">
      <alignment horizontal="right" vertical="center" indent="1"/>
    </xf>
    <xf numFmtId="0" fontId="59" fillId="0" borderId="8" xfId="0" applyNumberFormat="1" applyFont="1" applyBorder="1" applyAlignment="1">
      <alignment horizontal="right" vertical="center" indent="1"/>
    </xf>
    <xf numFmtId="0" fontId="59" fillId="0" borderId="8" xfId="0" applyNumberFormat="1" applyFont="1" applyBorder="1" applyAlignment="1">
      <alignment horizontal="right" vertical="center" wrapText="1" indent="1"/>
    </xf>
    <xf numFmtId="0" fontId="59" fillId="7" borderId="0" xfId="0" applyFont="1" applyFill="1" applyBorder="1" applyAlignment="1">
      <alignment horizontal="left" vertical="center" wrapText="1" indent="1"/>
    </xf>
    <xf numFmtId="0" fontId="59" fillId="0" borderId="4" xfId="0" applyFont="1" applyBorder="1" applyAlignment="1">
      <alignment horizontal="right" vertical="center" indent="1"/>
    </xf>
    <xf numFmtId="0" fontId="59" fillId="4" borderId="4" xfId="0" applyFont="1" applyFill="1" applyBorder="1" applyAlignment="1">
      <alignment horizontal="right" vertical="center" indent="1"/>
    </xf>
    <xf numFmtId="0" fontId="59" fillId="4" borderId="0" xfId="0" applyFont="1" applyFill="1" applyBorder="1" applyAlignment="1">
      <alignment horizontal="right" vertical="center" indent="1"/>
    </xf>
    <xf numFmtId="0" fontId="59" fillId="0" borderId="6" xfId="0" applyFont="1" applyBorder="1" applyAlignment="1">
      <alignment horizontal="right" vertical="center" indent="1"/>
    </xf>
    <xf numFmtId="0" fontId="59" fillId="0" borderId="7" xfId="0" applyFont="1" applyBorder="1" applyAlignment="1">
      <alignment horizontal="left" vertical="center" wrapText="1" indent="1"/>
    </xf>
    <xf numFmtId="0" fontId="70" fillId="0" borderId="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51" fillId="0" borderId="0" xfId="0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horizontal="right" vertical="center" wrapText="1"/>
    </xf>
    <xf numFmtId="0" fontId="52" fillId="0" borderId="0" xfId="0" applyFont="1" applyAlignment="1">
      <alignment horizontal="right"/>
    </xf>
    <xf numFmtId="0" fontId="70" fillId="0" borderId="1" xfId="0" applyNumberFormat="1" applyFont="1" applyBorder="1" applyAlignment="1">
      <alignment horizontal="right" vertical="center"/>
    </xf>
    <xf numFmtId="0" fontId="59" fillId="7" borderId="7" xfId="0" applyFont="1" applyFill="1" applyBorder="1" applyAlignment="1">
      <alignment horizontal="left" vertical="center" wrapText="1" indent="1"/>
    </xf>
    <xf numFmtId="0" fontId="59" fillId="7" borderId="7" xfId="0" applyFont="1" applyFill="1" applyBorder="1" applyAlignment="1">
      <alignment horizontal="right" vertical="center" indent="1"/>
    </xf>
    <xf numFmtId="0" fontId="6" fillId="0" borderId="12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6" fillId="7" borderId="4" xfId="0" applyNumberFormat="1" applyFont="1" applyFill="1" applyBorder="1" applyAlignment="1">
      <alignment horizontal="right" vertical="center" wrapText="1" indent="2"/>
    </xf>
    <xf numFmtId="0" fontId="6" fillId="7" borderId="0" xfId="0" applyNumberFormat="1" applyFont="1" applyFill="1" applyBorder="1" applyAlignment="1">
      <alignment horizontal="right" vertical="center" wrapText="1" indent="2"/>
    </xf>
    <xf numFmtId="0" fontId="6" fillId="7" borderId="5" xfId="0" applyNumberFormat="1" applyFont="1" applyFill="1" applyBorder="1" applyAlignment="1">
      <alignment horizontal="right" vertical="center" wrapText="1" indent="2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right" vertical="center" wrapText="1" readingOrder="1"/>
    </xf>
    <xf numFmtId="0" fontId="51" fillId="0" borderId="0" xfId="0" applyFont="1" applyAlignment="1">
      <alignment horizontal="right" vertical="center" wrapText="1"/>
    </xf>
    <xf numFmtId="0" fontId="9" fillId="0" borderId="15" xfId="1" applyFont="1" applyBorder="1" applyAlignment="1" applyProtection="1">
      <alignment horizontal="center" vertical="center" wrapText="1"/>
      <protection locked="0"/>
    </xf>
    <xf numFmtId="0" fontId="10" fillId="0" borderId="15" xfId="1" applyFont="1" applyBorder="1" applyAlignment="1" applyProtection="1">
      <alignment horizontal="center" vertical="center" wrapText="1"/>
      <protection locked="0"/>
    </xf>
    <xf numFmtId="0" fontId="59" fillId="0" borderId="2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59" fillId="0" borderId="6" xfId="0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 wrapText="1"/>
    </xf>
    <xf numFmtId="0" fontId="59" fillId="0" borderId="9" xfId="0" applyFont="1" applyFill="1" applyBorder="1" applyAlignment="1">
      <alignment horizontal="center" vertical="center" wrapText="1"/>
    </xf>
    <xf numFmtId="0" fontId="59" fillId="0" borderId="14" xfId="0" applyFont="1" applyFill="1" applyBorder="1" applyAlignment="1">
      <alignment horizontal="center" vertical="center" wrapText="1"/>
    </xf>
    <xf numFmtId="0" fontId="59" fillId="0" borderId="10" xfId="0" applyFont="1" applyFill="1" applyBorder="1" applyAlignment="1">
      <alignment horizontal="center" vertical="center" wrapText="1"/>
    </xf>
    <xf numFmtId="0" fontId="59" fillId="0" borderId="12" xfId="0" applyFont="1" applyFill="1" applyBorder="1" applyAlignment="1">
      <alignment horizontal="center" vertical="center" wrapText="1"/>
    </xf>
    <xf numFmtId="0" fontId="59" fillId="0" borderId="13" xfId="0" applyFont="1" applyFill="1" applyBorder="1" applyAlignment="1">
      <alignment horizontal="center" vertical="center" wrapText="1"/>
    </xf>
    <xf numFmtId="0" fontId="59" fillId="0" borderId="11" xfId="0" applyFont="1" applyFill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/>
    </xf>
    <xf numFmtId="1" fontId="53" fillId="0" borderId="13" xfId="0" applyNumberFormat="1" applyFont="1" applyBorder="1" applyAlignment="1">
      <alignment horizontal="center" vertical="center"/>
    </xf>
    <xf numFmtId="1" fontId="53" fillId="0" borderId="11" xfId="0" applyNumberFormat="1" applyFont="1" applyBorder="1" applyAlignment="1">
      <alignment horizontal="center" vertical="center"/>
    </xf>
    <xf numFmtId="0" fontId="7" fillId="0" borderId="0" xfId="1" applyFont="1" applyBorder="1" applyAlignment="1" applyProtection="1">
      <alignment horizontal="center" vertical="center" wrapText="1"/>
      <protection locked="0"/>
    </xf>
    <xf numFmtId="0" fontId="9" fillId="0" borderId="15" xfId="1" applyNumberFormat="1" applyFont="1" applyBorder="1" applyAlignment="1">
      <alignment horizontal="right" vertical="center" indent="1"/>
    </xf>
    <xf numFmtId="0" fontId="35" fillId="0" borderId="15" xfId="1" applyNumberFormat="1" applyFont="1" applyBorder="1" applyAlignment="1">
      <alignment horizontal="right" vertical="center" indent="1"/>
    </xf>
    <xf numFmtId="0" fontId="9" fillId="0" borderId="15" xfId="1" applyNumberFormat="1" applyFont="1" applyBorder="1" applyAlignment="1">
      <alignment horizontal="right" vertical="center" wrapText="1" indent="1"/>
    </xf>
    <xf numFmtId="0" fontId="35" fillId="0" borderId="15" xfId="1" applyNumberFormat="1" applyFont="1" applyBorder="1" applyAlignment="1">
      <alignment horizontal="right" vertical="center" wrapText="1" indent="1"/>
    </xf>
    <xf numFmtId="0" fontId="2" fillId="0" borderId="15" xfId="0" applyFont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left" vertical="center" indent="1"/>
    </xf>
    <xf numFmtId="1" fontId="53" fillId="7" borderId="4" xfId="0" applyNumberFormat="1" applyFont="1" applyFill="1" applyBorder="1" applyAlignment="1">
      <alignment horizontal="right" vertical="center" indent="3"/>
    </xf>
    <xf numFmtId="0" fontId="53" fillId="7" borderId="5" xfId="0" applyNumberFormat="1" applyFont="1" applyFill="1" applyBorder="1" applyAlignment="1">
      <alignment horizontal="right" vertical="center" indent="1"/>
    </xf>
    <xf numFmtId="0" fontId="53" fillId="7" borderId="0" xfId="0" applyNumberFormat="1" applyFont="1" applyFill="1" applyBorder="1" applyAlignment="1">
      <alignment horizontal="right" vertical="center" indent="1"/>
    </xf>
    <xf numFmtId="0" fontId="6" fillId="0" borderId="0" xfId="1" applyNumberFormat="1" applyFont="1" applyBorder="1" applyAlignment="1">
      <alignment horizontal="right" vertical="center" indent="1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1" fillId="0" borderId="1" xfId="0" applyFont="1" applyBorder="1" applyAlignment="1">
      <alignment horizontal="left" vertical="center"/>
    </xf>
    <xf numFmtId="49" fontId="51" fillId="0" borderId="0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readingOrder="2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7" borderId="0" xfId="0" applyNumberFormat="1" applyFont="1" applyFill="1" applyBorder="1" applyAlignment="1">
      <alignment horizontal="right" vertical="center" indent="1"/>
    </xf>
    <xf numFmtId="0" fontId="6" fillId="7" borderId="0" xfId="0" applyNumberFormat="1" applyFont="1" applyFill="1" applyBorder="1" applyAlignment="1">
      <alignment horizontal="righ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3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0" fontId="6" fillId="7" borderId="5" xfId="0" applyNumberFormat="1" applyFont="1" applyFill="1" applyBorder="1" applyAlignment="1">
      <alignment horizontal="right" vertical="center" wrapText="1" indent="1"/>
    </xf>
    <xf numFmtId="1" fontId="1" fillId="7" borderId="13" xfId="0" applyNumberFormat="1" applyFont="1" applyFill="1" applyBorder="1" applyAlignment="1">
      <alignment horizontal="center" vertical="center"/>
    </xf>
    <xf numFmtId="1" fontId="7" fillId="0" borderId="0" xfId="1" applyNumberFormat="1" applyFont="1" applyBorder="1" applyAlignment="1">
      <alignment horizontal="center" vertical="center" wrapText="1"/>
    </xf>
    <xf numFmtId="0" fontId="6" fillId="7" borderId="4" xfId="0" applyNumberFormat="1" applyFont="1" applyFill="1" applyBorder="1" applyAlignment="1">
      <alignment horizontal="left" vertical="center" wrapText="1" indent="1"/>
    </xf>
    <xf numFmtId="0" fontId="5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7" borderId="13" xfId="0" applyNumberFormat="1" applyFont="1" applyFill="1" applyBorder="1" applyAlignment="1">
      <alignment horizontal="lef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1"/>
    </xf>
    <xf numFmtId="0" fontId="6" fillId="7" borderId="4" xfId="0" applyNumberFormat="1" applyFont="1" applyFill="1" applyBorder="1" applyAlignment="1">
      <alignment horizontal="right" vertical="center" indent="1"/>
    </xf>
    <xf numFmtId="1" fontId="6" fillId="7" borderId="0" xfId="0" applyNumberFormat="1" applyFont="1" applyFill="1" applyBorder="1" applyAlignment="1">
      <alignment horizontal="right" vertical="center" wrapText="1" indent="1"/>
    </xf>
    <xf numFmtId="0" fontId="29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right" vertical="center" inden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1" fontId="6" fillId="7" borderId="13" xfId="0" applyNumberFormat="1" applyFont="1" applyFill="1" applyBorder="1" applyAlignment="1">
      <alignment horizontal="right" vertical="center" wrapText="1" indent="1"/>
    </xf>
    <xf numFmtId="0" fontId="10" fillId="0" borderId="0" xfId="0" applyNumberFormat="1" applyFont="1" applyBorder="1" applyAlignment="1" applyProtection="1">
      <alignment horizontal="center" vertical="center"/>
    </xf>
    <xf numFmtId="0" fontId="7" fillId="0" borderId="2" xfId="1" applyNumberFormat="1" applyFont="1" applyBorder="1" applyAlignment="1">
      <alignment horizontal="center" vertical="center" wrapText="1"/>
    </xf>
    <xf numFmtId="0" fontId="7" fillId="0" borderId="4" xfId="1" applyNumberFormat="1" applyFont="1" applyBorder="1" applyAlignment="1">
      <alignment horizontal="center" vertical="center" wrapText="1"/>
    </xf>
    <xf numFmtId="0" fontId="7" fillId="0" borderId="6" xfId="1" applyNumberFormat="1" applyFont="1" applyBorder="1" applyAlignment="1">
      <alignment horizontal="center" vertical="center" wrapText="1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 applyProtection="1">
      <alignment horizontal="center" vertical="center" wrapText="1"/>
      <protection locked="0"/>
    </xf>
    <xf numFmtId="0" fontId="7" fillId="0" borderId="10" xfId="1" applyFont="1" applyBorder="1" applyAlignment="1" applyProtection="1">
      <alignment horizontal="center" vertical="center" wrapText="1"/>
      <protection locked="0"/>
    </xf>
    <xf numFmtId="0" fontId="7" fillId="0" borderId="14" xfId="1" applyNumberFormat="1" applyFont="1" applyBorder="1" applyAlignment="1">
      <alignment horizontal="center" vertical="center" wrapText="1"/>
    </xf>
    <xf numFmtId="0" fontId="7" fillId="0" borderId="10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7" borderId="0" xfId="1" applyNumberFormat="1" applyFont="1" applyFill="1" applyBorder="1" applyAlignment="1">
      <alignment horizontal="right" vertical="center" wrapText="1" indent="1"/>
    </xf>
    <xf numFmtId="0" fontId="6" fillId="7" borderId="5" xfId="1" applyNumberFormat="1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7" borderId="4" xfId="1" applyNumberFormat="1" applyFont="1" applyFill="1" applyBorder="1" applyAlignment="1">
      <alignment horizontal="right" vertical="center" indent="1"/>
    </xf>
    <xf numFmtId="0" fontId="6" fillId="7" borderId="0" xfId="1" applyNumberFormat="1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right" vertical="center" wrapText="1" indent="1"/>
    </xf>
    <xf numFmtId="0" fontId="9" fillId="0" borderId="0" xfId="0" applyFont="1" applyBorder="1" applyAlignment="1">
      <alignment horizontal="center" vertical="top"/>
    </xf>
    <xf numFmtId="0" fontId="9" fillId="0" borderId="7" xfId="0" applyNumberFormat="1" applyFont="1" applyBorder="1" applyAlignment="1" applyProtection="1">
      <alignment horizontal="center" vertical="center"/>
    </xf>
    <xf numFmtId="0" fontId="6" fillId="7" borderId="5" xfId="1" applyNumberFormat="1" applyFont="1" applyFill="1" applyBorder="1" applyAlignment="1">
      <alignment horizontal="right" vertical="center" indent="1"/>
    </xf>
    <xf numFmtId="0" fontId="8" fillId="0" borderId="5" xfId="0" applyFont="1" applyBorder="1" applyAlignment="1">
      <alignment horizontal="right" vertical="center"/>
    </xf>
    <xf numFmtId="0" fontId="0" fillId="0" borderId="0" xfId="0" applyNumberFormat="1" applyBorder="1" applyAlignment="1">
      <alignment horizontal="center"/>
    </xf>
    <xf numFmtId="0" fontId="1" fillId="7" borderId="5" xfId="0" applyFont="1" applyFill="1" applyBorder="1" applyAlignment="1">
      <alignment horizontal="right" vertical="center" indent="1"/>
    </xf>
    <xf numFmtId="0" fontId="1" fillId="7" borderId="4" xfId="1" applyNumberFormat="1" applyFont="1" applyFill="1" applyBorder="1" applyAlignment="1">
      <alignment horizontal="right" vertical="center" wrapText="1" indent="1"/>
    </xf>
    <xf numFmtId="0" fontId="1" fillId="7" borderId="0" xfId="1" applyNumberFormat="1" applyFont="1" applyFill="1" applyBorder="1" applyAlignment="1">
      <alignment horizontal="right" vertical="center" wrapText="1" indent="1"/>
    </xf>
    <xf numFmtId="0" fontId="1" fillId="7" borderId="5" xfId="1" applyNumberFormat="1" applyFont="1" applyFill="1" applyBorder="1" applyAlignment="1">
      <alignment horizontal="right" vertical="center" wrapText="1" indent="1"/>
    </xf>
    <xf numFmtId="0" fontId="51" fillId="0" borderId="1" xfId="0" applyFont="1" applyBorder="1" applyAlignment="1">
      <alignment horizontal="left" vertical="center" readingOrder="1"/>
    </xf>
    <xf numFmtId="0" fontId="51" fillId="0" borderId="0" xfId="0" applyFont="1" applyBorder="1" applyAlignment="1">
      <alignment horizontal="center" vertical="center"/>
    </xf>
    <xf numFmtId="0" fontId="59" fillId="0" borderId="1" xfId="0" applyFont="1" applyBorder="1" applyAlignment="1">
      <alignment horizontal="right" vertical="center"/>
    </xf>
    <xf numFmtId="0" fontId="59" fillId="0" borderId="9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9" fillId="0" borderId="12" xfId="1" applyFont="1" applyBorder="1" applyAlignment="1">
      <alignment horizontal="center" vertical="center"/>
    </xf>
    <xf numFmtId="0" fontId="59" fillId="0" borderId="13" xfId="1" applyFont="1" applyBorder="1" applyAlignment="1">
      <alignment horizontal="center" vertical="center"/>
    </xf>
    <xf numFmtId="0" fontId="59" fillId="0" borderId="11" xfId="1" applyFont="1" applyBorder="1" applyAlignment="1">
      <alignment horizontal="center" vertical="center"/>
    </xf>
    <xf numFmtId="0" fontId="59" fillId="0" borderId="13" xfId="1" applyNumberFormat="1" applyFont="1" applyBorder="1" applyAlignment="1">
      <alignment horizontal="center" vertical="center" wrapText="1"/>
    </xf>
    <xf numFmtId="0" fontId="59" fillId="0" borderId="11" xfId="1" applyNumberFormat="1" applyFont="1" applyBorder="1" applyAlignment="1">
      <alignment horizontal="center" vertical="center" wrapText="1"/>
    </xf>
    <xf numFmtId="0" fontId="59" fillId="7" borderId="0" xfId="1" applyNumberFormat="1" applyFont="1" applyFill="1" applyBorder="1" applyAlignment="1">
      <alignment horizontal="left" vertical="center" wrapText="1" indent="1"/>
    </xf>
    <xf numFmtId="0" fontId="53" fillId="7" borderId="5" xfId="1" applyFont="1" applyFill="1" applyBorder="1" applyAlignment="1">
      <alignment horizontal="right" vertical="center" wrapText="1" indent="1"/>
    </xf>
    <xf numFmtId="0" fontId="9" fillId="0" borderId="0" xfId="0" applyNumberFormat="1" applyFont="1" applyBorder="1" applyAlignment="1" applyProtection="1">
      <alignment horizontal="center" vertical="center"/>
    </xf>
    <xf numFmtId="0" fontId="59" fillId="0" borderId="2" xfId="1" applyNumberFormat="1" applyFont="1" applyBorder="1" applyAlignment="1">
      <alignment horizontal="center" vertical="center"/>
    </xf>
    <xf numFmtId="0" fontId="59" fillId="0" borderId="4" xfId="1" applyNumberFormat="1" applyFont="1" applyBorder="1" applyAlignment="1">
      <alignment horizontal="center" vertical="center"/>
    </xf>
    <xf numFmtId="0" fontId="59" fillId="0" borderId="6" xfId="1" applyNumberFormat="1" applyFont="1" applyBorder="1" applyAlignment="1">
      <alignment horizontal="center" vertical="center"/>
    </xf>
    <xf numFmtId="0" fontId="59" fillId="0" borderId="2" xfId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wrapText="1"/>
    </xf>
    <xf numFmtId="0" fontId="59" fillId="0" borderId="6" xfId="1" applyFont="1" applyBorder="1" applyAlignment="1">
      <alignment horizontal="center" vertical="center" wrapText="1"/>
    </xf>
    <xf numFmtId="0" fontId="59" fillId="0" borderId="2" xfId="0" applyNumberFormat="1" applyFont="1" applyBorder="1" applyAlignment="1" applyProtection="1">
      <alignment horizontal="center" vertical="center"/>
    </xf>
    <xf numFmtId="0" fontId="59" fillId="0" borderId="1" xfId="0" applyNumberFormat="1" applyFont="1" applyBorder="1" applyAlignment="1" applyProtection="1">
      <alignment horizontal="center" vertical="center"/>
    </xf>
    <xf numFmtId="0" fontId="59" fillId="0" borderId="9" xfId="0" applyNumberFormat="1" applyFont="1" applyBorder="1" applyAlignment="1" applyProtection="1">
      <alignment horizontal="center" vertical="center"/>
    </xf>
    <xf numFmtId="0" fontId="59" fillId="0" borderId="14" xfId="0" applyNumberFormat="1" applyFont="1" applyBorder="1" applyAlignment="1" applyProtection="1">
      <alignment horizontal="center" vertical="center"/>
    </xf>
    <xf numFmtId="0" fontId="59" fillId="0" borderId="10" xfId="0" applyNumberFormat="1" applyFont="1" applyBorder="1" applyAlignment="1" applyProtection="1">
      <alignment horizontal="center" vertical="center"/>
    </xf>
    <xf numFmtId="0" fontId="59" fillId="0" borderId="12" xfId="1" applyNumberFormat="1" applyFont="1" applyBorder="1" applyAlignment="1">
      <alignment horizontal="center" vertical="center" wrapText="1"/>
    </xf>
    <xf numFmtId="0" fontId="59" fillId="0" borderId="0" xfId="1" applyNumberFormat="1" applyFont="1" applyBorder="1" applyAlignment="1">
      <alignment horizontal="left" vertical="center" wrapText="1" indent="1"/>
    </xf>
    <xf numFmtId="0" fontId="53" fillId="0" borderId="5" xfId="1" applyFont="1" applyBorder="1" applyAlignment="1">
      <alignment horizontal="right" vertical="center" wrapText="1" indent="1"/>
    </xf>
    <xf numFmtId="0" fontId="59" fillId="0" borderId="5" xfId="1" applyFont="1" applyBorder="1" applyAlignment="1">
      <alignment horizontal="right" vertical="center" wrapText="1" indent="1"/>
    </xf>
    <xf numFmtId="0" fontId="59" fillId="7" borderId="7" xfId="1" applyNumberFormat="1" applyFont="1" applyFill="1" applyBorder="1" applyAlignment="1">
      <alignment horizontal="left" vertical="center" wrapText="1" indent="1"/>
    </xf>
    <xf numFmtId="0" fontId="59" fillId="7" borderId="5" xfId="1" applyFont="1" applyFill="1" applyBorder="1" applyAlignment="1">
      <alignment horizontal="right" vertical="center" wrapText="1" indent="1"/>
    </xf>
    <xf numFmtId="0" fontId="59" fillId="7" borderId="8" xfId="1" applyFont="1" applyFill="1" applyBorder="1" applyAlignment="1">
      <alignment horizontal="right" vertical="center" wrapText="1" indent="1"/>
    </xf>
    <xf numFmtId="0" fontId="59" fillId="0" borderId="4" xfId="1" applyNumberFormat="1" applyFont="1" applyBorder="1" applyAlignment="1">
      <alignment horizontal="left" vertical="center" wrapText="1" indent="1"/>
    </xf>
    <xf numFmtId="0" fontId="59" fillId="0" borderId="2" xfId="1" applyFont="1" applyBorder="1" applyAlignment="1">
      <alignment horizontal="right" vertical="center" wrapText="1" indent="1"/>
    </xf>
    <xf numFmtId="0" fontId="59" fillId="0" borderId="4" xfId="1" applyFont="1" applyBorder="1" applyAlignment="1">
      <alignment horizontal="right" vertical="center" wrapText="1" indent="1"/>
    </xf>
    <xf numFmtId="0" fontId="6" fillId="0" borderId="0" xfId="0" applyNumberFormat="1" applyFont="1" applyBorder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right" vertical="center"/>
    </xf>
    <xf numFmtId="0" fontId="15" fillId="0" borderId="2" xfId="1" applyNumberFormat="1" applyFont="1" applyBorder="1" applyAlignment="1">
      <alignment horizontal="left" vertical="center" wrapText="1" indent="1"/>
    </xf>
    <xf numFmtId="0" fontId="15" fillId="0" borderId="4" xfId="1" applyNumberFormat="1" applyFont="1" applyBorder="1" applyAlignment="1">
      <alignment horizontal="left" vertical="center" wrapText="1" indent="1"/>
    </xf>
    <xf numFmtId="0" fontId="59" fillId="7" borderId="4" xfId="1" applyNumberFormat="1" applyFont="1" applyFill="1" applyBorder="1" applyAlignment="1">
      <alignment horizontal="left" vertical="center" wrapText="1" indent="1"/>
    </xf>
    <xf numFmtId="0" fontId="59" fillId="7" borderId="4" xfId="1" applyFont="1" applyFill="1" applyBorder="1" applyAlignment="1">
      <alignment horizontal="right" vertical="center" wrapText="1" indent="1"/>
    </xf>
    <xf numFmtId="0" fontId="59" fillId="7" borderId="0" xfId="1" applyFont="1" applyFill="1" applyBorder="1" applyAlignment="1">
      <alignment horizontal="right" vertical="center" wrapText="1" indent="1"/>
    </xf>
    <xf numFmtId="0" fontId="53" fillId="0" borderId="0" xfId="1" applyFont="1" applyBorder="1" applyAlignment="1">
      <alignment horizontal="right" vertical="center" wrapText="1" indent="1"/>
    </xf>
    <xf numFmtId="0" fontId="53" fillId="7" borderId="0" xfId="1" applyFont="1" applyFill="1" applyBorder="1" applyAlignment="1">
      <alignment horizontal="right" vertical="center" wrapText="1" indent="1"/>
    </xf>
    <xf numFmtId="0" fontId="59" fillId="0" borderId="0" xfId="1" applyFont="1" applyBorder="1" applyAlignment="1">
      <alignment horizontal="right" vertical="center" wrapText="1" indent="1"/>
    </xf>
    <xf numFmtId="0" fontId="21" fillId="7" borderId="0" xfId="1" applyFont="1" applyFill="1" applyBorder="1" applyAlignment="1">
      <alignment horizontal="right" vertical="center" wrapText="1" inden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9" fillId="0" borderId="6" xfId="1" applyNumberFormat="1" applyFont="1" applyBorder="1" applyAlignment="1">
      <alignment horizontal="left" vertical="center" wrapText="1" indent="1"/>
    </xf>
    <xf numFmtId="0" fontId="53" fillId="0" borderId="7" xfId="1" applyFont="1" applyBorder="1" applyAlignment="1">
      <alignment horizontal="right" vertical="center" wrapText="1" indent="1"/>
    </xf>
    <xf numFmtId="0" fontId="41" fillId="7" borderId="12" xfId="0" applyFont="1" applyFill="1" applyBorder="1" applyAlignment="1">
      <alignment horizontal="center" vertical="center"/>
    </xf>
    <xf numFmtId="0" fontId="41" fillId="7" borderId="13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 indent="1" readingOrder="1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6" fillId="0" borderId="0" xfId="0" applyFont="1" applyBorder="1" applyAlignment="1">
      <alignment horizontal="left" vertical="center" wrapText="1" indent="1" readingOrder="1"/>
    </xf>
    <xf numFmtId="0" fontId="1" fillId="0" borderId="4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4" borderId="4" xfId="0" applyFont="1" applyFill="1" applyBorder="1" applyAlignment="1">
      <alignment horizontal="right" vertical="center" wrapText="1" indent="1"/>
    </xf>
    <xf numFmtId="0" fontId="1" fillId="7" borderId="4" xfId="0" applyFont="1" applyFill="1" applyBorder="1" applyAlignment="1">
      <alignment horizontal="right" vertical="center" wrapText="1" inden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1"/>
    </xf>
    <xf numFmtId="0" fontId="6" fillId="2" borderId="0" xfId="0" applyFont="1" applyFill="1" applyBorder="1" applyAlignment="1">
      <alignment horizontal="left" vertical="center" wrapText="1" indent="1" readingOrder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 indent="1"/>
    </xf>
    <xf numFmtId="0" fontId="41" fillId="0" borderId="1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 readingOrder="2"/>
    </xf>
    <xf numFmtId="0" fontId="8" fillId="0" borderId="0" xfId="0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wrapText="1" readingOrder="2"/>
    </xf>
    <xf numFmtId="0" fontId="6" fillId="0" borderId="7" xfId="0" applyFont="1" applyBorder="1" applyAlignment="1">
      <alignment horizontal="left" vertical="center" wrapText="1" indent="1" readingOrder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27" fillId="0" borderId="1" xfId="0" applyFont="1" applyBorder="1" applyAlignment="1">
      <alignment horizontal="center" vertical="center"/>
    </xf>
    <xf numFmtId="0" fontId="59" fillId="0" borderId="1" xfId="1" applyFont="1" applyBorder="1" applyAlignment="1">
      <alignment horizontal="center" vertical="center" wrapText="1"/>
    </xf>
    <xf numFmtId="0" fontId="59" fillId="0" borderId="3" xfId="1" applyFont="1" applyBorder="1" applyAlignment="1">
      <alignment horizontal="center" vertical="center" wrapText="1"/>
    </xf>
    <xf numFmtId="0" fontId="59" fillId="0" borderId="9" xfId="1" applyFont="1" applyBorder="1" applyAlignment="1">
      <alignment horizontal="center" vertical="center" wrapText="1"/>
    </xf>
    <xf numFmtId="0" fontId="59" fillId="0" borderId="14" xfId="1" applyFont="1" applyBorder="1" applyAlignment="1">
      <alignment horizontal="center" vertical="center" wrapText="1"/>
    </xf>
    <xf numFmtId="0" fontId="59" fillId="0" borderId="10" xfId="1" applyFont="1" applyBorder="1" applyAlignment="1">
      <alignment horizontal="center" vertical="center" wrapText="1"/>
    </xf>
    <xf numFmtId="0" fontId="59" fillId="0" borderId="12" xfId="1" applyFont="1" applyBorder="1" applyAlignment="1" applyProtection="1">
      <alignment horizontal="center" vertical="center" wrapText="1"/>
      <protection locked="0"/>
    </xf>
    <xf numFmtId="0" fontId="59" fillId="0" borderId="5" xfId="1" applyFont="1" applyBorder="1" applyAlignment="1" applyProtection="1">
      <alignment horizontal="center" vertical="center" wrapText="1"/>
      <protection locked="0"/>
    </xf>
    <xf numFmtId="0" fontId="59" fillId="0" borderId="8" xfId="1" applyFont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right" vertical="center" wrapText="1" indent="2"/>
    </xf>
    <xf numFmtId="0" fontId="6" fillId="7" borderId="13" xfId="0" applyFont="1" applyFill="1" applyBorder="1" applyAlignment="1">
      <alignment horizontal="right" vertical="center" wrapText="1" indent="2"/>
    </xf>
    <xf numFmtId="0" fontId="8" fillId="0" borderId="1" xfId="0" applyFont="1" applyBorder="1" applyAlignment="1">
      <alignment horizontal="left" vertical="center" readingOrder="1"/>
    </xf>
    <xf numFmtId="0" fontId="8" fillId="0" borderId="0" xfId="0" applyFont="1" applyBorder="1" applyAlignment="1">
      <alignment horizontal="left" vertical="center" readingOrder="1"/>
    </xf>
    <xf numFmtId="0" fontId="27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center" vertical="center" readingOrder="1"/>
    </xf>
    <xf numFmtId="0" fontId="59" fillId="0" borderId="15" xfId="0" applyFont="1" applyBorder="1" applyAlignment="1">
      <alignment horizontal="center" vertical="center" wrapText="1" readingOrder="2"/>
    </xf>
    <xf numFmtId="0" fontId="59" fillId="0" borderId="9" xfId="0" applyFont="1" applyBorder="1" applyAlignment="1">
      <alignment horizontal="center" vertical="center" wrapText="1" readingOrder="2"/>
    </xf>
    <xf numFmtId="0" fontId="59" fillId="0" borderId="12" xfId="0" applyFont="1" applyBorder="1" applyAlignment="1">
      <alignment horizontal="center" vertical="center" wrapText="1" readingOrder="2"/>
    </xf>
    <xf numFmtId="0" fontId="59" fillId="0" borderId="11" xfId="0" applyFont="1" applyBorder="1" applyAlignment="1">
      <alignment horizontal="center" vertical="center" wrapText="1" readingOrder="2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50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readingOrder="2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8" fillId="0" borderId="0" xfId="0" applyFont="1" applyAlignment="1">
      <alignment horizontal="right"/>
    </xf>
    <xf numFmtId="0" fontId="47" fillId="0" borderId="0" xfId="0" applyFont="1" applyAlignment="1">
      <alignment horizontal="right"/>
    </xf>
  </cellXfs>
  <cellStyles count="4">
    <cellStyle name="Normal" xfId="0" builtinId="0"/>
    <cellStyle name="Normal 2" xfId="3"/>
    <cellStyle name="Normal 6" xfId="2"/>
    <cellStyle name="Normal_Sheet1" xfId="1"/>
  </cellStyles>
  <dxfs count="0"/>
  <tableStyles count="0" defaultTableStyle="TableStyleMedium9" defaultPivotStyle="PivotStyleLight16"/>
  <colors>
    <mruColors>
      <color rgb="FF3333FF"/>
      <color rgb="FF006600"/>
      <color rgb="FFFF0000"/>
      <color rgb="FF6600CC"/>
      <color rgb="FF000099"/>
      <color rgb="FFCCFFFF"/>
      <color rgb="FFCCECFF"/>
      <color rgb="FFA50021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29115501101106E-2"/>
          <c:y val="5.3544020934043306E-2"/>
          <c:w val="0.89263348468302783"/>
          <c:h val="0.58718481778638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'محصلان پوهنتون ها-4-2'!$Q$42</c:f>
              <c:strCache>
                <c:ptCount val="1"/>
                <c:pt idx="0">
                  <c:v> مجموع / ټول Total </c:v>
                </c:pt>
              </c:strCache>
            </c:strRef>
          </c:tx>
          <c:spPr>
            <a:pattFill prst="pct5">
              <a:fgClr>
                <a:schemeClr val="bg1">
                  <a:lumMod val="95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Pt>
            <c:idx val="2"/>
            <c:invertIfNegative val="0"/>
            <c:bubble3D val="0"/>
            <c:spPr>
              <a:pattFill prst="pct5">
                <a:fgClr>
                  <a:schemeClr val="bg1">
                    <a:lumMod val="95000"/>
                  </a:schemeClr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Lbls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ها-4-2'!$R$42:$T$42</c:f>
              <c:numCache>
                <c:formatCode>General</c:formatCode>
                <c:ptCount val="3"/>
                <c:pt idx="0">
                  <c:v>171609</c:v>
                </c:pt>
                <c:pt idx="1">
                  <c:v>182344</c:v>
                </c:pt>
                <c:pt idx="2">
                  <c:v>184729</c:v>
                </c:pt>
              </c:numCache>
            </c:numRef>
          </c:val>
        </c:ser>
        <c:ser>
          <c:idx val="1"/>
          <c:order val="1"/>
          <c:tx>
            <c:strRef>
              <c:f>'محصلان پوهنتون ها-4-2'!$Q$43</c:f>
              <c:strCache>
                <c:ptCount val="1"/>
                <c:pt idx="0">
                  <c:v>Male ذکور / نارینه </c:v>
                </c:pt>
              </c:strCache>
            </c:strRef>
          </c:tx>
          <c:spPr>
            <a:pattFill prst="dkVert">
              <a:fgClr>
                <a:schemeClr val="tx1">
                  <a:lumMod val="65000"/>
                  <a:lumOff val="35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2.872531418312574E-3"/>
                  <c:y val="1.1359037254511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ها-4-2'!$R$43:$T$43</c:f>
              <c:numCache>
                <c:formatCode>General</c:formatCode>
                <c:ptCount val="3"/>
                <c:pt idx="0">
                  <c:v>135247</c:v>
                </c:pt>
                <c:pt idx="1">
                  <c:v>141303</c:v>
                </c:pt>
                <c:pt idx="2">
                  <c:v>140008</c:v>
                </c:pt>
              </c:numCache>
            </c:numRef>
          </c:val>
        </c:ser>
        <c:ser>
          <c:idx val="2"/>
          <c:order val="2"/>
          <c:tx>
            <c:strRef>
              <c:f>'محصلان پوهنتون ها-4-2'!$Q$44</c:f>
              <c:strCache>
                <c:ptCount val="1"/>
                <c:pt idx="0">
                  <c:v>Female  اناث / ښځينه   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accent3"/>
              </a:bgClr>
            </a:patt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ها-4-2'!$R$44:$T$44</c:f>
              <c:numCache>
                <c:formatCode>General</c:formatCode>
                <c:ptCount val="3"/>
                <c:pt idx="0">
                  <c:v>36362</c:v>
                </c:pt>
                <c:pt idx="1">
                  <c:v>41041</c:v>
                </c:pt>
                <c:pt idx="2">
                  <c:v>44721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19072"/>
        <c:axId val="91295744"/>
      </c:barChart>
      <c:catAx>
        <c:axId val="840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91295744"/>
        <c:crosses val="autoZero"/>
        <c:auto val="1"/>
        <c:lblAlgn val="ctr"/>
        <c:lblOffset val="0"/>
        <c:noMultiLvlLbl val="0"/>
      </c:catAx>
      <c:valAx>
        <c:axId val="91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84019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619797230424912E-2"/>
          <c:y val="0.88609354823983622"/>
          <c:w val="0.84265725382228385"/>
          <c:h val="7.6094370287480353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4803149606302966" l="0.70866141732286159" r="0.70866141732286159" t="0.74803149606302966" header="0.31496062992128004" footer="0.31496062992128004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14018975050316E-2"/>
          <c:y val="5.026638546784426E-2"/>
          <c:w val="0.92998921234256493"/>
          <c:h val="0.7409859746139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'نسبت شاگردان4-20'!$R$49</c:f>
              <c:strCache>
                <c:ptCount val="1"/>
                <c:pt idx="0">
                  <c:v>نسبت شاگردان ومعلمینStudents&amp;Teachers ratio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09-4E6D-8D2D-DB375F4B7D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09-4E6D-8D2D-DB375F4B7D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09-4E6D-8D2D-DB375F4B7DD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'نسبت شاگردان4-20'!$S$47:$U$48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'نسبت شاگردان4-20'!$S$49:$U$49</c:f>
              <c:numCache>
                <c:formatCode>General</c:formatCode>
                <c:ptCount val="3"/>
                <c:pt idx="0">
                  <c:v>46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C09-4E6D-8D2D-DB375F4B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91616"/>
        <c:axId val="105393152"/>
      </c:barChart>
      <c:catAx>
        <c:axId val="10539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105393152"/>
        <c:crosses val="autoZero"/>
        <c:auto val="1"/>
        <c:lblAlgn val="ctr"/>
        <c:lblOffset val="100"/>
        <c:noMultiLvlLbl val="0"/>
      </c:catAx>
      <c:valAx>
        <c:axId val="1053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91616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19598814137333E-2"/>
          <c:y val="4.7061334438458335E-2"/>
          <c:w val="0.89738555368267614"/>
          <c:h val="0.76199775028121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'دینی4-26 '!$L$40</c:f>
              <c:strCache>
                <c:ptCount val="1"/>
                <c:pt idx="0">
                  <c:v>Total مجموع</c:v>
                </c:pt>
              </c:strCache>
            </c:strRef>
          </c:tx>
          <c:spPr>
            <a:pattFill prst="pct60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6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6E-4F2A-B07D-7F9240496A21}"/>
              </c:ext>
            </c:extLst>
          </c:dPt>
          <c:dPt>
            <c:idx val="1"/>
            <c:invertIfNegative val="0"/>
            <c:bubble3D val="0"/>
            <c:spPr>
              <a:pattFill prst="pct10">
                <a:fgClr>
                  <a:schemeClr val="bg1">
                    <a:lumMod val="75000"/>
                  </a:schemeClr>
                </a:fgClr>
                <a:bgClr>
                  <a:schemeClr val="accent2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6E-4F2A-B07D-7F9240496A21}"/>
              </c:ext>
            </c:extLst>
          </c:dPt>
          <c:dPt>
            <c:idx val="2"/>
            <c:invertIfNegative val="0"/>
            <c:bubble3D val="0"/>
            <c:spPr>
              <a:pattFill prst="wave">
                <a:fgClr>
                  <a:schemeClr val="bg1">
                    <a:lumMod val="75000"/>
                  </a:schemeClr>
                </a:fgClr>
                <a:bgClr>
                  <a:schemeClr val="accent3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6E-4F2A-B07D-7F9240496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'دینی4-26 '!$M$38:$O$39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'دینی4-26 '!$M$40:$O$40</c:f>
              <c:numCache>
                <c:formatCode>General</c:formatCode>
                <c:ptCount val="3"/>
                <c:pt idx="0">
                  <c:v>308574</c:v>
                </c:pt>
                <c:pt idx="1">
                  <c:v>321858</c:v>
                </c:pt>
                <c:pt idx="2">
                  <c:v>329762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6E-4F2A-B07D-7F924049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89152"/>
        <c:axId val="116699136"/>
      </c:barChart>
      <c:catAx>
        <c:axId val="11668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6699136"/>
        <c:crosses val="autoZero"/>
        <c:auto val="1"/>
        <c:lblAlgn val="ctr"/>
        <c:lblOffset val="0"/>
        <c:noMultiLvlLbl val="0"/>
      </c:catAx>
      <c:valAx>
        <c:axId val="1166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668915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17330098149524E-2"/>
          <c:y val="4.0972471252082358E-2"/>
          <c:w val="0.93052729464859096"/>
          <c:h val="0.66262377771227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'مدارس خصوصی4-27'!$Q$33</c:f>
              <c:strCache>
                <c:ptCount val="1"/>
                <c:pt idx="0">
                  <c:v>شاگردان /  زده کوونکي  Students </c:v>
                </c:pt>
              </c:strCache>
            </c:strRef>
          </c:tx>
          <c:spPr>
            <a:pattFill prst="plaid">
              <a:fgClr>
                <a:schemeClr val="bg1">
                  <a:lumMod val="75000"/>
                </a:schemeClr>
              </a:fgClr>
              <a:bgClr>
                <a:schemeClr val="tx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F1-4E75-9FE8-4998CAC42E7F}"/>
              </c:ext>
            </c:extLst>
          </c:dPt>
          <c:dPt>
            <c:idx val="1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accent2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F1-4E75-9FE8-4998CAC42E7F}"/>
              </c:ext>
            </c:extLst>
          </c:dPt>
          <c:dPt>
            <c:idx val="2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accent3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F1-4E75-9FE8-4998CAC42E7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'مدارس خصوصی4-27'!$R$31:$T$32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'مدارس خصوصی4-27'!$R$33:$T$33</c:f>
              <c:numCache>
                <c:formatCode>General</c:formatCode>
                <c:ptCount val="3"/>
                <c:pt idx="0">
                  <c:v>7374</c:v>
                </c:pt>
                <c:pt idx="1">
                  <c:v>11230</c:v>
                </c:pt>
                <c:pt idx="2">
                  <c:v>13354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F1-4E75-9FE8-4998CAC42E7F}"/>
            </c:ext>
          </c:extLst>
        </c:ser>
        <c:ser>
          <c:idx val="1"/>
          <c:order val="1"/>
          <c:tx>
            <c:strRef>
              <c:f>'مدارس خصوصی4-27'!$Q$34</c:f>
              <c:strCache>
                <c:ptCount val="1"/>
                <c:pt idx="0">
                  <c:v>استادان / استاذان  Teachers  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'مدارس خصوصی4-27'!$R$31:$T$32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'مدارس خصوصی4-27'!$R$34:$T$34</c:f>
              <c:numCache>
                <c:formatCode>General</c:formatCode>
                <c:ptCount val="3"/>
                <c:pt idx="0">
                  <c:v>378</c:v>
                </c:pt>
                <c:pt idx="1">
                  <c:v>572</c:v>
                </c:pt>
                <c:pt idx="2">
                  <c:v>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9F1-4E75-9FE8-4998CAC4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29920"/>
        <c:axId val="119331456"/>
      </c:barChart>
      <c:catAx>
        <c:axId val="11932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9331456"/>
        <c:crosses val="autoZero"/>
        <c:auto val="1"/>
        <c:lblAlgn val="ctr"/>
        <c:lblOffset val="100"/>
        <c:noMultiLvlLbl val="0"/>
      </c:catAx>
      <c:valAx>
        <c:axId val="1193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2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27427821522309"/>
          <c:y val="0.88530279498405939"/>
          <c:w val="0.58631516504822423"/>
          <c:h val="0.114036370497912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68254051059524E-2"/>
          <c:y val="4.7585515225230954E-2"/>
          <c:w val="0.90187103592980289"/>
          <c:h val="0.6432302669483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'سواداموزی4-28'!$M$32</c:f>
              <c:strCache>
                <c:ptCount val="1"/>
                <c:pt idx="0">
                  <c:v>Total  ټول / مجموع </c:v>
                </c:pt>
              </c:strCache>
            </c:strRef>
          </c:tx>
          <c:spPr>
            <a:pattFill prst="pct40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1.184600565747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'سواداموزی4-28'!$N$32:$P$32</c:f>
              <c:numCache>
                <c:formatCode>General</c:formatCode>
                <c:ptCount val="3"/>
                <c:pt idx="0">
                  <c:v>404437</c:v>
                </c:pt>
                <c:pt idx="1">
                  <c:v>417808</c:v>
                </c:pt>
                <c:pt idx="2">
                  <c:v>417808</c:v>
                </c:pt>
              </c:numCache>
            </c:numRef>
          </c:val>
        </c:ser>
        <c:ser>
          <c:idx val="1"/>
          <c:order val="1"/>
          <c:tx>
            <c:strRef>
              <c:f>'سواداموزی4-28'!$M$33</c:f>
              <c:strCache>
                <c:ptCount val="1"/>
                <c:pt idx="0">
                  <c:v>  Male  نارینه / ذکور </c:v>
                </c:pt>
              </c:strCache>
            </c:strRef>
          </c:tx>
          <c:spPr>
            <a:pattFill prst="dashUpDiag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3.6413290851161533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'سواداموزی4-28'!$N$33:$P$33</c:f>
              <c:numCache>
                <c:formatCode>General</c:formatCode>
                <c:ptCount val="3"/>
                <c:pt idx="0">
                  <c:v>187475</c:v>
                </c:pt>
                <c:pt idx="1">
                  <c:v>191443</c:v>
                </c:pt>
                <c:pt idx="2">
                  <c:v>193271</c:v>
                </c:pt>
              </c:numCache>
            </c:numRef>
          </c:val>
        </c:ser>
        <c:ser>
          <c:idx val="2"/>
          <c:order val="2"/>
          <c:tx>
            <c:strRef>
              <c:f>'سواداموزی4-28'!$M$34</c:f>
              <c:strCache>
                <c:ptCount val="1"/>
                <c:pt idx="0">
                  <c:v>  Female  ښځينه / اناث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1.0923994333344315E-2"/>
                  <c:y val="-3.8136987085055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'سواداموزی4-28'!$N$34:$P$34</c:f>
              <c:numCache>
                <c:formatCode>General</c:formatCode>
                <c:ptCount val="3"/>
                <c:pt idx="0">
                  <c:v>216962</c:v>
                </c:pt>
                <c:pt idx="1">
                  <c:v>226365</c:v>
                </c:pt>
                <c:pt idx="2">
                  <c:v>262236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04736"/>
        <c:axId val="119606272"/>
      </c:barChart>
      <c:catAx>
        <c:axId val="119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9606272"/>
        <c:crosses val="autoZero"/>
        <c:auto val="1"/>
        <c:lblAlgn val="ctr"/>
        <c:lblOffset val="0"/>
        <c:noMultiLvlLbl val="0"/>
      </c:catAx>
      <c:valAx>
        <c:axId val="1196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9604736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4637525121075337"/>
          <c:y val="0.89474279865459938"/>
          <c:w val="0.77245491384706622"/>
          <c:h val="7.5138682809157531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32121643639654E-2"/>
          <c:y val="4.9633595800524948E-2"/>
          <c:w val="0.86685246487874201"/>
          <c:h val="0.61087104111986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'جدیدالشمولان پوهنتون ها4-4'!$P$55</c:f>
              <c:strCache>
                <c:ptCount val="1"/>
                <c:pt idx="0">
                  <c:v> مجموع /  ټول Total </c:v>
                </c:pt>
              </c:strCache>
            </c:strRef>
          </c:tx>
          <c:spPr>
            <a:pattFill prst="horzBrick">
              <a:fgClr>
                <a:schemeClr val="bg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1.4537901912890258E-3"/>
                  <c:y val="-1.6342420462598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3305024563082263E-17"/>
                  <c:y val="1.0894946975065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ها4-4'!$Q$55:$S$55</c:f>
              <c:numCache>
                <c:formatCode>General</c:formatCode>
                <c:ptCount val="3"/>
                <c:pt idx="0">
                  <c:v>53385</c:v>
                </c:pt>
                <c:pt idx="1">
                  <c:v>51982</c:v>
                </c:pt>
                <c:pt idx="2">
                  <c:v>54799</c:v>
                </c:pt>
              </c:numCache>
            </c:numRef>
          </c:val>
        </c:ser>
        <c:ser>
          <c:idx val="1"/>
          <c:order val="1"/>
          <c:tx>
            <c:strRef>
              <c:f>'جدیدالشمولان پوهنتون ها4-4'!$P$56</c:f>
              <c:strCache>
                <c:ptCount val="1"/>
                <c:pt idx="0">
                  <c:v>Male ذکور /  نارینه 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2.9075803825782116E-3"/>
                  <c:y val="2.1789893950130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ها4-4'!$Q$56:$S$56</c:f>
              <c:numCache>
                <c:formatCode>General</c:formatCode>
                <c:ptCount val="3"/>
                <c:pt idx="0">
                  <c:v>41532</c:v>
                </c:pt>
                <c:pt idx="1">
                  <c:v>40048</c:v>
                </c:pt>
                <c:pt idx="2">
                  <c:v>40428</c:v>
                </c:pt>
              </c:numCache>
            </c:numRef>
          </c:val>
        </c:ser>
        <c:ser>
          <c:idx val="2"/>
          <c:order val="2"/>
          <c:tx>
            <c:strRef>
              <c:f>'جدیدالشمولان پوهنتون ها4-4'!$P$57</c:f>
              <c:strCache>
                <c:ptCount val="1"/>
                <c:pt idx="0">
                  <c:v>Female اناث /  ښځينه   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ها4-4'!$Q$57:$S$57</c:f>
              <c:numCache>
                <c:formatCode>General</c:formatCode>
                <c:ptCount val="3"/>
                <c:pt idx="0">
                  <c:v>11853</c:v>
                </c:pt>
                <c:pt idx="1">
                  <c:v>11934</c:v>
                </c:pt>
                <c:pt idx="2">
                  <c:v>14371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05632"/>
        <c:axId val="91207168"/>
      </c:barChart>
      <c:catAx>
        <c:axId val="912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91207168"/>
        <c:crosses val="autoZero"/>
        <c:auto val="1"/>
        <c:lblAlgn val="ctr"/>
        <c:lblOffset val="0"/>
        <c:noMultiLvlLbl val="0"/>
      </c:catAx>
      <c:valAx>
        <c:axId val="91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120563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4819540932914751"/>
          <c:y val="0.88408852599164289"/>
          <c:w val="0.71186051743532064"/>
          <c:h val="9.7600821636425888E-2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48524601936637E-2"/>
          <c:y val="7.4215987107299458E-2"/>
          <c:w val="0.88849600326117839"/>
          <c:h val="0.56513543813632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'فارغان پوهنتونها4-6'!$P$55</c:f>
              <c:strCache>
                <c:ptCount val="1"/>
                <c:pt idx="0">
                  <c:v> مجموع / ټول    Total 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accent1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پوهنتونها4-6'!$Q$55:$S$55</c:f>
              <c:numCache>
                <c:formatCode>General</c:formatCode>
                <c:ptCount val="3"/>
                <c:pt idx="0">
                  <c:v>28156</c:v>
                </c:pt>
                <c:pt idx="1">
                  <c:v>32769</c:v>
                </c:pt>
                <c:pt idx="2">
                  <c:v>38224</c:v>
                </c:pt>
              </c:numCache>
            </c:numRef>
          </c:val>
        </c:ser>
        <c:ser>
          <c:idx val="1"/>
          <c:order val="1"/>
          <c:tx>
            <c:strRef>
              <c:f>'فارغان پوهنتونها4-6'!$P$56</c:f>
              <c:strCache>
                <c:ptCount val="1"/>
                <c:pt idx="0">
                  <c:v>Male    ذکور / نارینه 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پوهنتونها4-6'!$Q$56:$S$56</c:f>
              <c:numCache>
                <c:formatCode>General</c:formatCode>
                <c:ptCount val="3"/>
                <c:pt idx="0">
                  <c:v>22291</c:v>
                </c:pt>
                <c:pt idx="1">
                  <c:v>25551</c:v>
                </c:pt>
                <c:pt idx="2">
                  <c:v>29869</c:v>
                </c:pt>
              </c:numCache>
            </c:numRef>
          </c:val>
        </c:ser>
        <c:ser>
          <c:idx val="2"/>
          <c:order val="2"/>
          <c:tx>
            <c:strRef>
              <c:f>'فارغان پوهنتونها4-6'!$P$57</c:f>
              <c:strCache>
                <c:ptCount val="1"/>
                <c:pt idx="0">
                  <c:v>Female  اناث / ښځينه   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پوهنتونها4-6'!$Q$57:$S$57</c:f>
              <c:numCache>
                <c:formatCode>General</c:formatCode>
                <c:ptCount val="3"/>
                <c:pt idx="0">
                  <c:v>5865</c:v>
                </c:pt>
                <c:pt idx="1">
                  <c:v>7218</c:v>
                </c:pt>
                <c:pt idx="2">
                  <c:v>8355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39488"/>
        <c:axId val="91441024"/>
      </c:barChart>
      <c:catAx>
        <c:axId val="914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91441024"/>
        <c:crosses val="autoZero"/>
        <c:auto val="1"/>
        <c:lblAlgn val="ctr"/>
        <c:lblOffset val="100"/>
        <c:noMultiLvlLbl val="0"/>
      </c:catAx>
      <c:valAx>
        <c:axId val="91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3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5193315319019636"/>
          <c:w val="1"/>
          <c:h val="0.13248015162820947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fa-IR" sz="1100"/>
              <a:t> </a:t>
            </a:r>
            <a:r>
              <a:rPr lang="en-US" sz="1100" b="1" i="0" baseline="0">
                <a:effectLst/>
              </a:rPr>
              <a:t>Graph 4 - 4 : Total Students in Dormitories</a:t>
            </a:r>
            <a:r>
              <a:rPr lang="fa-IR" sz="1100" b="1" i="0" baseline="0">
                <a:effectLst/>
              </a:rPr>
              <a:t>         گراف 4 - 4 : مجموع شاملین لیلیه ها      د 4 - 4 </a:t>
            </a:r>
            <a:r>
              <a:rPr lang="ar-DZ" sz="1100" b="1" i="0" baseline="0">
                <a:effectLst/>
              </a:rPr>
              <a:t>ګ</a:t>
            </a:r>
            <a:r>
              <a:rPr lang="fa-IR" sz="1100" b="1" i="0" baseline="0">
                <a:effectLst/>
              </a:rPr>
              <a:t>راف : د لیلیو </a:t>
            </a:r>
            <a:r>
              <a:rPr lang="ps-AF" sz="1100" b="1" i="0" baseline="0">
                <a:effectLst/>
              </a:rPr>
              <a:t>ټ</a:t>
            </a:r>
            <a:r>
              <a:rPr lang="fa-IR" sz="1100" b="1" i="0" baseline="0">
                <a:effectLst/>
              </a:rPr>
              <a:t>ول شاملین   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090452026466078"/>
          <c:y val="4.39215550651366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819867723931521E-2"/>
          <c:y val="0.14293829997255991"/>
          <c:w val="0.89413079662961081"/>
          <c:h val="0.5865431489365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'لیلیه 4-9'!$P$69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sphere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-2.8321447988664283E-3"/>
                  <c:y val="-1.007194168530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8322563006301636E-3"/>
                  <c:y val="3.0094221560511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4-9'!$Q$69:$S$69</c:f>
              <c:numCache>
                <c:formatCode>General</c:formatCode>
                <c:ptCount val="3"/>
                <c:pt idx="0">
                  <c:v>65718</c:v>
                </c:pt>
                <c:pt idx="1">
                  <c:v>65350</c:v>
                </c:pt>
                <c:pt idx="2">
                  <c:v>71500</c:v>
                </c:pt>
              </c:numCache>
            </c:numRef>
          </c:val>
        </c:ser>
        <c:ser>
          <c:idx val="1"/>
          <c:order val="1"/>
          <c:tx>
            <c:strRef>
              <c:f>'لیلیه 4-9'!$P$70</c:f>
              <c:strCache>
                <c:ptCount val="1"/>
                <c:pt idx="0">
                  <c:v>ذکور/  نارينه   Male</c:v>
                </c:pt>
              </c:strCache>
            </c:strRef>
          </c:tx>
          <c:spPr>
            <a:pattFill prst="horzBrick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1"/>
              <c:layout>
                <c:manualLayout>
                  <c:x val="4.1153070959276438E-3"/>
                  <c:y val="1.10741131007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3718061992304593E-3"/>
                  <c:y val="-6.87482717764102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4-9'!$Q$70:$S$70</c:f>
              <c:numCache>
                <c:formatCode>General</c:formatCode>
                <c:ptCount val="3"/>
                <c:pt idx="0">
                  <c:v>60479</c:v>
                </c:pt>
                <c:pt idx="1">
                  <c:v>59333</c:v>
                </c:pt>
                <c:pt idx="2">
                  <c:v>64208</c:v>
                </c:pt>
              </c:numCache>
            </c:numRef>
          </c:val>
        </c:ser>
        <c:ser>
          <c:idx val="2"/>
          <c:order val="2"/>
          <c:tx>
            <c:strRef>
              <c:f>'لیلیه 4-9'!$P$71</c:f>
              <c:strCache>
                <c:ptCount val="1"/>
                <c:pt idx="0">
                  <c:v>اناث / ښځينه   Female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2.8321447988665324E-3"/>
                  <c:y val="-5.0359708426540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4-9'!$Q$71:$S$71</c:f>
              <c:numCache>
                <c:formatCode>General</c:formatCode>
                <c:ptCount val="3"/>
                <c:pt idx="0">
                  <c:v>5239</c:v>
                </c:pt>
                <c:pt idx="1">
                  <c:v>6017</c:v>
                </c:pt>
                <c:pt idx="2">
                  <c:v>7292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68928"/>
        <c:axId val="95070464"/>
      </c:barChart>
      <c:catAx>
        <c:axId val="950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95070464"/>
        <c:crosses val="autoZero"/>
        <c:auto val="1"/>
        <c:lblAlgn val="ctr"/>
        <c:lblOffset val="1"/>
        <c:noMultiLvlLbl val="0"/>
      </c:catAx>
      <c:valAx>
        <c:axId val="950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6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6416957064931843"/>
          <c:w val="1"/>
          <c:h val="8.75306594622307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53753497069452E-2"/>
          <c:y val="4.938545886732857E-2"/>
          <c:w val="0.92394107611554177"/>
          <c:h val="0.67565911045866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'انستیتوت علوم صحی 4-13'!$N$28</c:f>
              <c:strCache>
                <c:ptCount val="1"/>
                <c:pt idx="0">
                  <c:v>مجموع / ټول   Total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4-13'!$O$28:$Q$28</c:f>
              <c:numCache>
                <c:formatCode>General</c:formatCode>
                <c:ptCount val="3"/>
                <c:pt idx="0">
                  <c:v>3699</c:v>
                </c:pt>
                <c:pt idx="1">
                  <c:v>3027</c:v>
                </c:pt>
                <c:pt idx="2">
                  <c:v>3335</c:v>
                </c:pt>
              </c:numCache>
            </c:numRef>
          </c:val>
        </c:ser>
        <c:ser>
          <c:idx val="1"/>
          <c:order val="1"/>
          <c:tx>
            <c:strRef>
              <c:f>'انستیتوت علوم صحی 4-13'!$N$29</c:f>
              <c:strCache>
                <c:ptCount val="1"/>
                <c:pt idx="0">
                  <c:v>ذکور/ نارينه  Male</c:v>
                </c:pt>
              </c:strCache>
            </c:strRef>
          </c:tx>
          <c:spPr>
            <a:pattFill prst="solidDmnd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4-13'!$O$29:$Q$29</c:f>
              <c:numCache>
                <c:formatCode>General</c:formatCode>
                <c:ptCount val="3"/>
                <c:pt idx="0">
                  <c:v>2033</c:v>
                </c:pt>
                <c:pt idx="1">
                  <c:v>1920</c:v>
                </c:pt>
                <c:pt idx="2">
                  <c:v>1982</c:v>
                </c:pt>
              </c:numCache>
            </c:numRef>
          </c:val>
        </c:ser>
        <c:ser>
          <c:idx val="2"/>
          <c:order val="2"/>
          <c:tx>
            <c:strRef>
              <c:f>'انستیتوت علوم صحی 4-13'!$N$30</c:f>
              <c:strCache>
                <c:ptCount val="1"/>
                <c:pt idx="0">
                  <c:v>اناث / ښځينه  Female</c:v>
                </c:pt>
              </c:strCache>
            </c:strRef>
          </c:tx>
          <c:spPr>
            <a:pattFill prst="dashHorz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4-13'!$O$30:$Q$30</c:f>
              <c:numCache>
                <c:formatCode>General</c:formatCode>
                <c:ptCount val="3"/>
                <c:pt idx="0">
                  <c:v>1666</c:v>
                </c:pt>
                <c:pt idx="1">
                  <c:v>1107</c:v>
                </c:pt>
                <c:pt idx="2">
                  <c:v>1353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16064"/>
        <c:axId val="100617600"/>
      </c:barChart>
      <c:catAx>
        <c:axId val="1006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100617600"/>
        <c:crosses val="autoZero"/>
        <c:auto val="1"/>
        <c:lblAlgn val="ctr"/>
        <c:lblOffset val="100"/>
        <c:noMultiLvlLbl val="0"/>
      </c:catAx>
      <c:valAx>
        <c:axId val="100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606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8148568917917807"/>
          <c:y val="0.88040797772969159"/>
          <c:w val="0.64879913644347997"/>
          <c:h val="9.6512398636737592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573837192284"/>
          <c:y val="3.0424276775526338E-2"/>
          <c:w val="0.82289541756600837"/>
          <c:h val="0.7627710675664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'لیسه های مسلکی 4-17'!$K$22</c:f>
              <c:strCache>
                <c:ptCount val="1"/>
                <c:pt idx="0">
                  <c:v>Total   مجموع / ټول 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6.8085124633305424E-3"/>
                  <c:y val="-1.6901408450704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4-17'!$L$22:$N$22</c:f>
              <c:numCache>
                <c:formatCode>General</c:formatCode>
                <c:ptCount val="3"/>
                <c:pt idx="0">
                  <c:v>21565</c:v>
                </c:pt>
                <c:pt idx="1">
                  <c:v>13818</c:v>
                </c:pt>
                <c:pt idx="2">
                  <c:v>13479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7-40A3-8F4C-80C52341C7EF}"/>
            </c:ext>
          </c:extLst>
        </c:ser>
        <c:ser>
          <c:idx val="1"/>
          <c:order val="1"/>
          <c:tx>
            <c:strRef>
              <c:f>'لیسه های مسلکی 4-17'!$K$23</c:f>
              <c:strCache>
                <c:ptCount val="1"/>
                <c:pt idx="0">
                  <c:v>Boys  پسر/ هلکان  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3.4042562316652689E-2"/>
                  <c:y val="-2.8169014084507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9D7-40A3-8F4C-80C52341C7EF}"/>
                </c:ext>
              </c:extLst>
            </c:dLbl>
            <c:dLbl>
              <c:idx val="1"/>
              <c:layout>
                <c:manualLayout>
                  <c:x val="3.4042562316652591E-2"/>
                  <c:y val="-5.6338028169014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9D7-40A3-8F4C-80C52341C7EF}"/>
                </c:ext>
              </c:extLst>
            </c:dLbl>
            <c:dLbl>
              <c:idx val="2"/>
              <c:layout>
                <c:manualLayout>
                  <c:x val="3.7446489411672952E-2"/>
                  <c:y val="5.050858004451579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4-17'!$L$23:$N$23</c:f>
              <c:numCache>
                <c:formatCode>General</c:formatCode>
                <c:ptCount val="3"/>
                <c:pt idx="0">
                  <c:v>19924</c:v>
                </c:pt>
                <c:pt idx="1">
                  <c:v>11242</c:v>
                </c:pt>
                <c:pt idx="2">
                  <c:v>10975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D7-40A3-8F4C-80C52341C7EF}"/>
            </c:ext>
          </c:extLst>
        </c:ser>
        <c:ser>
          <c:idx val="2"/>
          <c:order val="2"/>
          <c:tx>
            <c:strRef>
              <c:f>'لیسه های مسلکی 4-17'!$K$24</c:f>
              <c:strCache>
                <c:ptCount val="1"/>
                <c:pt idx="0">
                  <c:v>Girls   دختر/ نجوني 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2.382979362165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9D7-40A3-8F4C-80C52341C7EF}"/>
                </c:ext>
              </c:extLst>
            </c:dLbl>
            <c:dLbl>
              <c:idx val="1"/>
              <c:layout>
                <c:manualLayout>
                  <c:x val="2.7234049853322412E-2"/>
                  <c:y val="-2.8169014084507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9D7-40A3-8F4C-80C52341C7EF}"/>
                </c:ext>
              </c:extLst>
            </c:dLbl>
            <c:dLbl>
              <c:idx val="2"/>
              <c:layout>
                <c:manualLayout>
                  <c:x val="2.382979362165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4-17'!$L$24:$N$24</c:f>
              <c:numCache>
                <c:formatCode>General</c:formatCode>
                <c:ptCount val="3"/>
                <c:pt idx="0">
                  <c:v>1641</c:v>
                </c:pt>
                <c:pt idx="1">
                  <c:v>2576</c:v>
                </c:pt>
                <c:pt idx="2">
                  <c:v>2504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D7-40A3-8F4C-80C52341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76672"/>
        <c:axId val="101282560"/>
      </c:barChart>
      <c:catAx>
        <c:axId val="10127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</c:spPr>
        <c:crossAx val="101282560"/>
        <c:crosses val="autoZero"/>
        <c:auto val="1"/>
        <c:lblAlgn val="ctr"/>
        <c:lblOffset val="0"/>
        <c:noMultiLvlLbl val="0"/>
      </c:catAx>
      <c:valAx>
        <c:axId val="1012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667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"/>
          <c:y val="0.90665558063983365"/>
          <c:w val="1"/>
          <c:h val="8.689609602995429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008998875179"/>
          <c:y val="2.8852033252614078E-2"/>
          <c:w val="0.84440230265334482"/>
          <c:h val="0.71680956351147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'لیسه های مسلکی 4-17'!$K$31</c:f>
              <c:strCache>
                <c:ptCount val="1"/>
                <c:pt idx="0">
                  <c:v>مجموع / ټول   Total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7.294832826747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4-17'!$L$31:$N$31</c:f>
              <c:numCache>
                <c:formatCode>General</c:formatCode>
                <c:ptCount val="3"/>
                <c:pt idx="0">
                  <c:v>974</c:v>
                </c:pt>
                <c:pt idx="1">
                  <c:v>687</c:v>
                </c:pt>
                <c:pt idx="2">
                  <c:v>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C4-4B82-B9F1-6D77B0131F1C}"/>
            </c:ext>
          </c:extLst>
        </c:ser>
        <c:ser>
          <c:idx val="1"/>
          <c:order val="1"/>
          <c:tx>
            <c:strRef>
              <c:f>'لیسه های مسلکی 4-17'!$K$32</c:f>
              <c:strCache>
                <c:ptCount val="1"/>
                <c:pt idx="0">
                  <c:v>ذکور/ نارينه  Male</c:v>
                </c:pt>
              </c:strCache>
            </c:strRef>
          </c:tx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2.26720705593600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EC4-4B82-B9F1-6D77B0131F1C}"/>
                </c:ext>
              </c:extLst>
            </c:dLbl>
            <c:dLbl>
              <c:idx val="2"/>
              <c:layout>
                <c:manualLayout>
                  <c:x val="2.5600006450395327E-2"/>
                  <c:y val="2.43161094224924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4-17'!$L$32:$N$32</c:f>
              <c:numCache>
                <c:formatCode>General</c:formatCode>
                <c:ptCount val="3"/>
                <c:pt idx="0">
                  <c:v>942</c:v>
                </c:pt>
                <c:pt idx="1">
                  <c:v>488</c:v>
                </c:pt>
                <c:pt idx="2">
                  <c:v>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C4-4B82-B9F1-6D77B0131F1C}"/>
            </c:ext>
          </c:extLst>
        </c:ser>
        <c:ser>
          <c:idx val="2"/>
          <c:order val="2"/>
          <c:tx>
            <c:strRef>
              <c:f>'لیسه های مسلکی 4-17'!$K$33</c:f>
              <c:strCache>
                <c:ptCount val="1"/>
                <c:pt idx="0">
                  <c:v>اناث / ښځينه  Female </c:v>
                </c:pt>
              </c:strCache>
            </c:strRef>
          </c:tx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0"/>
                  <c:y val="-1.7021276595744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EC4-4B82-B9F1-6D77B0131F1C}"/>
                </c:ext>
              </c:extLst>
            </c:dLbl>
            <c:dLbl>
              <c:idx val="2"/>
              <c:layout>
                <c:manualLayout>
                  <c:x val="2.1428571428571491E-2"/>
                  <c:y val="-3.3057851239669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4-17'!$L$33:$N$33</c:f>
              <c:numCache>
                <c:formatCode>General</c:formatCode>
                <c:ptCount val="3"/>
                <c:pt idx="0">
                  <c:v>32</c:v>
                </c:pt>
                <c:pt idx="1">
                  <c:v>199</c:v>
                </c:pt>
                <c:pt idx="2">
                  <c:v>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C4-4B82-B9F1-6D77B013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95840"/>
        <c:axId val="101409920"/>
      </c:barChart>
      <c:catAx>
        <c:axId val="10139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1409920"/>
        <c:crosses val="autoZero"/>
        <c:auto val="1"/>
        <c:lblAlgn val="ctr"/>
        <c:lblOffset val="0"/>
        <c:noMultiLvlLbl val="0"/>
      </c:catAx>
      <c:valAx>
        <c:axId val="101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139584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"/>
          <c:y val="0.88892669267405555"/>
          <c:w val="1"/>
          <c:h val="0.11049479654204065"/>
        </c:manualLayout>
      </c:layout>
      <c:overlay val="0"/>
      <c:txPr>
        <a:bodyPr/>
        <a:lstStyle/>
        <a:p>
          <a:pPr>
            <a:defRPr lang="en-US" sz="11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96199931532322E-2"/>
          <c:y val="5.9313026684283385E-2"/>
          <c:w val="0.91494311858562183"/>
          <c:h val="0.66568665722612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'تعلیمات 4-18'!$R$58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2.2875801688775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4-18'!$S$58:$U$58</c:f>
              <c:numCache>
                <c:formatCode>General</c:formatCode>
                <c:ptCount val="3"/>
                <c:pt idx="0">
                  <c:v>8726387</c:v>
                </c:pt>
                <c:pt idx="1">
                  <c:v>8395836</c:v>
                </c:pt>
                <c:pt idx="2">
                  <c:v>8533303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9-4CFF-B748-C5CEBA4B1617}"/>
            </c:ext>
          </c:extLst>
        </c:ser>
        <c:ser>
          <c:idx val="1"/>
          <c:order val="1"/>
          <c:tx>
            <c:strRef>
              <c:f>'تعلیمات 4-18'!$R$59</c:f>
              <c:strCache>
                <c:ptCount val="1"/>
                <c:pt idx="0">
                  <c:v>Boys  پسر/ هلکان  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3.66661274942282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4-18'!$S$59:$U$59</c:f>
              <c:numCache>
                <c:formatCode>General</c:formatCode>
                <c:ptCount val="3"/>
                <c:pt idx="0">
                  <c:v>5223475</c:v>
                </c:pt>
                <c:pt idx="1">
                  <c:v>5099147</c:v>
                </c:pt>
                <c:pt idx="2">
                  <c:v>5205392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9-4CFF-B748-C5CEBA4B1617}"/>
            </c:ext>
          </c:extLst>
        </c:ser>
        <c:ser>
          <c:idx val="2"/>
          <c:order val="2"/>
          <c:tx>
            <c:strRef>
              <c:f>'تعلیمات 4-18'!$R$60</c:f>
              <c:strCache>
                <c:ptCount val="1"/>
                <c:pt idx="0">
                  <c:v>Girls   دختر/ نجوني 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8.13225743814797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4-18'!$S$60:$U$60</c:f>
              <c:numCache>
                <c:formatCode>General</c:formatCode>
                <c:ptCount val="3"/>
                <c:pt idx="0">
                  <c:v>3502912</c:v>
                </c:pt>
                <c:pt idx="1">
                  <c:v>3296689</c:v>
                </c:pt>
                <c:pt idx="2">
                  <c:v>3327911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9-4CFF-B748-C5CEBA4B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73664"/>
        <c:axId val="101483648"/>
      </c:barChart>
      <c:catAx>
        <c:axId val="10147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1483648"/>
        <c:crosses val="autoZero"/>
        <c:auto val="1"/>
        <c:lblAlgn val="ctr"/>
        <c:lblOffset val="0"/>
        <c:noMultiLvlLbl val="0"/>
      </c:catAx>
      <c:valAx>
        <c:axId val="101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147366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21605665958421863"/>
          <c:y val="0.87959377224245061"/>
          <c:w val="0.61483981169020541"/>
          <c:h val="9.1423292689245234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4803149606302943" l="0.70866141732286136" r="0.70866141732286136" t="0.74803149606302943" header="0.31496062992127993" footer="0.3149606299212799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18588602697895E-2"/>
          <c:y val="4.6415391216794936E-2"/>
          <c:w val="0.92854922676436635"/>
          <c:h val="0.62481131989207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'معلمین 4-19 '!$V$53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0"/>
                  <c:y val="8.2962966834084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FEF-4AE0-86EF-A801D31FB6F9}"/>
                </c:ext>
              </c:extLst>
            </c:dLbl>
            <c:dLbl>
              <c:idx val="2"/>
              <c:layout>
                <c:manualLayout>
                  <c:x val="0"/>
                  <c:y val="4.60984202069799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'!$W$53:$Y$53</c:f>
              <c:numCache>
                <c:formatCode>General</c:formatCode>
                <c:ptCount val="3"/>
                <c:pt idx="0">
                  <c:v>188037</c:v>
                </c:pt>
                <c:pt idx="1">
                  <c:v>184541</c:v>
                </c:pt>
                <c:pt idx="2">
                  <c:v>183053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EF-4AE0-86EF-A801D31FB6F9}"/>
            </c:ext>
          </c:extLst>
        </c:ser>
        <c:ser>
          <c:idx val="1"/>
          <c:order val="1"/>
          <c:tx>
            <c:strRef>
              <c:f>'معلمین 4-19 '!$V$55</c:f>
              <c:strCache>
                <c:ptCount val="1"/>
                <c:pt idx="0">
                  <c:v>ذکور/  نارينه   Male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1.7973912956697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'!$W$55:$Y$55</c:f>
              <c:numCache>
                <c:formatCode>General</c:formatCode>
                <c:ptCount val="3"/>
                <c:pt idx="0">
                  <c:v>125241</c:v>
                </c:pt>
                <c:pt idx="1">
                  <c:v>121850</c:v>
                </c:pt>
                <c:pt idx="2">
                  <c:v>118401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EF-4AE0-86EF-A801D31FB6F9}"/>
            </c:ext>
          </c:extLst>
        </c:ser>
        <c:ser>
          <c:idx val="2"/>
          <c:order val="2"/>
          <c:tx>
            <c:strRef>
              <c:f>'معلمین 4-19 '!$V$56</c:f>
              <c:strCache>
                <c:ptCount val="1"/>
                <c:pt idx="0">
                  <c:v>اناث / ښځينه   Female   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0"/>
                  <c:y val="1.6592593366816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FEF-4AE0-86EF-A801D31FB6F9}"/>
                </c:ext>
              </c:extLst>
            </c:dLbl>
            <c:dLbl>
              <c:idx val="2"/>
              <c:layout>
                <c:manualLayout>
                  <c:x val="0"/>
                  <c:y val="1.6592593366816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'!$W$56:$Y$56</c:f>
              <c:numCache>
                <c:formatCode>General</c:formatCode>
                <c:ptCount val="3"/>
                <c:pt idx="0">
                  <c:v>62796</c:v>
                </c:pt>
                <c:pt idx="1">
                  <c:v>62691</c:v>
                </c:pt>
                <c:pt idx="2">
                  <c:v>64652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FEF-4AE0-86EF-A801D31F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42752"/>
        <c:axId val="102844288"/>
      </c:barChart>
      <c:catAx>
        <c:axId val="10284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2844288"/>
        <c:crosses val="autoZero"/>
        <c:auto val="1"/>
        <c:lblAlgn val="ctr"/>
        <c:lblOffset val="0"/>
        <c:noMultiLvlLbl val="0"/>
      </c:catAx>
      <c:valAx>
        <c:axId val="1028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284275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8007999908509609"/>
          <c:y val="0.86662540379085784"/>
          <c:w val="0.65111785114505061"/>
          <c:h val="8.0724566620927266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245855</xdr:rowOff>
    </xdr:from>
    <xdr:to>
      <xdr:col>12</xdr:col>
      <xdr:colOff>421821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723900</xdr:rowOff>
    </xdr:from>
    <xdr:to>
      <xdr:col>8</xdr:col>
      <xdr:colOff>457200</xdr:colOff>
      <xdr:row>53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12</xdr:col>
      <xdr:colOff>449035</xdr:colOff>
      <xdr:row>48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123824</xdr:rowOff>
    </xdr:from>
    <xdr:to>
      <xdr:col>8</xdr:col>
      <xdr:colOff>333374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336177</xdr:rowOff>
    </xdr:from>
    <xdr:to>
      <xdr:col>12</xdr:col>
      <xdr:colOff>369794</xdr:colOff>
      <xdr:row>62</xdr:row>
      <xdr:rowOff>168089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336177</xdr:rowOff>
    </xdr:from>
    <xdr:to>
      <xdr:col>13</xdr:col>
      <xdr:colOff>0</xdr:colOff>
      <xdr:row>57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244928</xdr:rowOff>
    </xdr:from>
    <xdr:to>
      <xdr:col>12</xdr:col>
      <xdr:colOff>367392</xdr:colOff>
      <xdr:row>70</xdr:row>
      <xdr:rowOff>149677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232834</xdr:rowOff>
    </xdr:from>
    <xdr:to>
      <xdr:col>10</xdr:col>
      <xdr:colOff>381000</xdr:colOff>
      <xdr:row>36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24</xdr:row>
      <xdr:rowOff>130970</xdr:rowOff>
    </xdr:from>
    <xdr:to>
      <xdr:col>6</xdr:col>
      <xdr:colOff>583406</xdr:colOff>
      <xdr:row>43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24</xdr:row>
      <xdr:rowOff>142875</xdr:rowOff>
    </xdr:from>
    <xdr:to>
      <xdr:col>3</xdr:col>
      <xdr:colOff>317500</xdr:colOff>
      <xdr:row>43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9525</xdr:colOff>
      <xdr:row>44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685800" y="132969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13608</xdr:rowOff>
    </xdr:from>
    <xdr:to>
      <xdr:col>15</xdr:col>
      <xdr:colOff>449036</xdr:colOff>
      <xdr:row>67</xdr:row>
      <xdr:rowOff>149679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9525</xdr:colOff>
      <xdr:row>44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485775" y="1336357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11905</xdr:rowOff>
    </xdr:from>
    <xdr:to>
      <xdr:col>15</xdr:col>
      <xdr:colOff>392907</xdr:colOff>
      <xdr:row>71</xdr:row>
      <xdr:rowOff>154781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</xdr:col>
      <xdr:colOff>9525</xdr:colOff>
      <xdr:row>40</xdr:row>
      <xdr:rowOff>0</xdr:rowOff>
    </xdr:to>
    <xdr:pic>
      <xdr:nvPicPr>
        <xdr:cNvPr id="2" name="Picture 18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685800" y="833437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10585</xdr:rowOff>
    </xdr:from>
    <xdr:to>
      <xdr:col>13</xdr:col>
      <xdr:colOff>0</xdr:colOff>
      <xdr:row>64</xdr:row>
      <xdr:rowOff>148167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us.f202.mail.yahoo.com/y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us.f202.mail.yahoo.com/y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us.f202.mail.yahoo.com/y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30"/>
  <sheetViews>
    <sheetView view="pageBreakPreview" topLeftCell="A22" zoomScale="82" zoomScaleSheetLayoutView="82" workbookViewId="0">
      <selection activeCell="F10" sqref="F10"/>
    </sheetView>
  </sheetViews>
  <sheetFormatPr defaultRowHeight="15"/>
  <cols>
    <col min="1" max="1" width="5.28515625" customWidth="1"/>
    <col min="2" max="2" width="23.42578125" customWidth="1"/>
    <col min="3" max="4" width="12.42578125" customWidth="1"/>
    <col min="5" max="5" width="12" customWidth="1"/>
    <col min="6" max="6" width="32.85546875" customWidth="1"/>
    <col min="7" max="7" width="5.5703125" customWidth="1"/>
    <col min="9" max="9" width="10.140625" bestFit="1" customWidth="1"/>
    <col min="17" max="17" width="12.140625" bestFit="1" customWidth="1"/>
  </cols>
  <sheetData>
    <row r="1" spans="1:42" ht="26.1" customHeight="1">
      <c r="A1" s="1406" t="s">
        <v>1177</v>
      </c>
      <c r="B1" s="1406"/>
      <c r="C1" s="1406"/>
      <c r="D1" s="1406"/>
      <c r="E1" s="1406"/>
      <c r="F1" s="1406"/>
      <c r="G1" s="1406"/>
    </row>
    <row r="2" spans="1:42" ht="26.1" customHeight="1">
      <c r="A2" s="1407" t="s">
        <v>1178</v>
      </c>
      <c r="B2" s="1407"/>
      <c r="C2" s="1407"/>
      <c r="D2" s="1407"/>
      <c r="E2" s="1407"/>
      <c r="F2" s="1407"/>
      <c r="G2" s="1407"/>
      <c r="M2">
        <f>365982+3335</f>
        <v>369317</v>
      </c>
    </row>
    <row r="3" spans="1:42" ht="26.1" customHeight="1">
      <c r="A3" s="1408" t="s">
        <v>1004</v>
      </c>
      <c r="B3" s="1408"/>
      <c r="C3" s="1408"/>
      <c r="D3" s="1408"/>
      <c r="E3" s="1408"/>
      <c r="F3" s="1408"/>
      <c r="G3" s="1408"/>
    </row>
    <row r="4" spans="1:42" ht="26.1" customHeight="1">
      <c r="A4" s="1418" t="s">
        <v>2026</v>
      </c>
      <c r="B4" s="1410" t="s">
        <v>399</v>
      </c>
      <c r="C4" s="3">
        <v>1396</v>
      </c>
      <c r="D4" s="472">
        <v>1395</v>
      </c>
      <c r="E4" s="472">
        <v>1394</v>
      </c>
      <c r="F4" s="1412" t="s">
        <v>398</v>
      </c>
      <c r="G4" s="1418" t="s">
        <v>2027</v>
      </c>
    </row>
    <row r="5" spans="1:42" ht="26.1" customHeight="1">
      <c r="A5" s="1419"/>
      <c r="B5" s="1411"/>
      <c r="C5" s="59" t="s">
        <v>1774</v>
      </c>
      <c r="D5" s="59" t="s">
        <v>1305</v>
      </c>
      <c r="E5" s="59" t="s">
        <v>1156</v>
      </c>
      <c r="F5" s="1413"/>
      <c r="G5" s="1419"/>
    </row>
    <row r="6" spans="1:42" ht="49.5" customHeight="1">
      <c r="A6" s="834">
        <v>1</v>
      </c>
      <c r="B6" s="837" t="s">
        <v>465</v>
      </c>
      <c r="C6" s="634">
        <f>C7+C8</f>
        <v>160</v>
      </c>
      <c r="D6" s="635">
        <f>D7+D8</f>
        <v>157</v>
      </c>
      <c r="E6" s="636">
        <f>E7+E8</f>
        <v>145</v>
      </c>
      <c r="F6" s="675" t="s">
        <v>1994</v>
      </c>
      <c r="G6" s="930">
        <v>1</v>
      </c>
    </row>
    <row r="7" spans="1:42" ht="30" customHeight="1">
      <c r="A7" s="832">
        <v>2</v>
      </c>
      <c r="B7" s="229" t="s">
        <v>63</v>
      </c>
      <c r="C7" s="475">
        <v>38</v>
      </c>
      <c r="D7" s="476">
        <v>36</v>
      </c>
      <c r="E7" s="480">
        <v>36</v>
      </c>
      <c r="F7" s="803" t="s">
        <v>64</v>
      </c>
      <c r="G7" s="836">
        <v>2</v>
      </c>
    </row>
    <row r="8" spans="1:42" ht="30" customHeight="1">
      <c r="A8" s="835">
        <v>3</v>
      </c>
      <c r="B8" s="838" t="s">
        <v>65</v>
      </c>
      <c r="C8" s="623">
        <v>122</v>
      </c>
      <c r="D8" s="624">
        <v>121</v>
      </c>
      <c r="E8" s="625">
        <v>109</v>
      </c>
      <c r="F8" s="657" t="s">
        <v>66</v>
      </c>
      <c r="G8" s="931">
        <v>3</v>
      </c>
      <c r="L8" s="49"/>
    </row>
    <row r="9" spans="1:42" ht="30" customHeight="1">
      <c r="A9" s="832">
        <v>4</v>
      </c>
      <c r="B9" s="229" t="s">
        <v>67</v>
      </c>
      <c r="C9" s="475">
        <f>C10+C11</f>
        <v>651</v>
      </c>
      <c r="D9" s="476">
        <f>D10+D11</f>
        <v>622</v>
      </c>
      <c r="E9" s="480">
        <f>E10+E11</f>
        <v>601</v>
      </c>
      <c r="F9" s="803" t="s">
        <v>1079</v>
      </c>
      <c r="G9" s="836">
        <v>4</v>
      </c>
      <c r="I9" s="49"/>
      <c r="L9" s="49"/>
      <c r="Q9" s="49"/>
    </row>
    <row r="10" spans="1:42" ht="30" customHeight="1">
      <c r="A10" s="835">
        <v>5</v>
      </c>
      <c r="B10" s="838" t="s">
        <v>63</v>
      </c>
      <c r="C10" s="623">
        <v>236</v>
      </c>
      <c r="D10" s="624">
        <v>234</v>
      </c>
      <c r="E10" s="625">
        <v>223</v>
      </c>
      <c r="F10" s="657" t="s">
        <v>64</v>
      </c>
      <c r="G10" s="931">
        <v>5</v>
      </c>
      <c r="H10" s="190"/>
      <c r="I10" s="347"/>
      <c r="J10" s="190"/>
      <c r="K10" s="190"/>
      <c r="L10" s="440">
        <v>77598</v>
      </c>
      <c r="M10" s="190">
        <v>63974</v>
      </c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</row>
    <row r="11" spans="1:42" ht="30" customHeight="1">
      <c r="A11" s="832">
        <v>6</v>
      </c>
      <c r="B11" s="229" t="s">
        <v>65</v>
      </c>
      <c r="C11" s="475">
        <v>415</v>
      </c>
      <c r="D11" s="476">
        <v>388</v>
      </c>
      <c r="E11" s="480">
        <v>378</v>
      </c>
      <c r="F11" s="803" t="s">
        <v>66</v>
      </c>
      <c r="G11" s="836">
        <v>6</v>
      </c>
      <c r="L11" s="39">
        <v>311</v>
      </c>
      <c r="M11">
        <v>1666</v>
      </c>
    </row>
    <row r="12" spans="1:42" ht="30" customHeight="1">
      <c r="A12" s="835">
        <v>7</v>
      </c>
      <c r="B12" s="838" t="s">
        <v>68</v>
      </c>
      <c r="C12" s="623">
        <f t="shared" ref="C12:E14" si="0">C15+C18</f>
        <v>365982</v>
      </c>
      <c r="D12" s="624">
        <f t="shared" si="0"/>
        <v>341273</v>
      </c>
      <c r="E12" s="625">
        <f t="shared" si="0"/>
        <v>300344</v>
      </c>
      <c r="F12" s="657" t="s">
        <v>1080</v>
      </c>
      <c r="G12" s="931">
        <v>7</v>
      </c>
      <c r="H12" s="49"/>
      <c r="J12" s="49"/>
      <c r="L12" s="39">
        <f>SUM(L10:L11)</f>
        <v>77909</v>
      </c>
      <c r="M12">
        <f>SUM(M10:M11)</f>
        <v>65640</v>
      </c>
    </row>
    <row r="13" spans="1:42" ht="30" customHeight="1">
      <c r="A13" s="832">
        <v>8</v>
      </c>
      <c r="B13" s="229" t="s">
        <v>69</v>
      </c>
      <c r="C13" s="475">
        <f t="shared" si="0"/>
        <v>275509</v>
      </c>
      <c r="D13" s="476">
        <f t="shared" si="0"/>
        <v>263675</v>
      </c>
      <c r="E13" s="480">
        <f t="shared" si="0"/>
        <v>236370</v>
      </c>
      <c r="F13" s="803" t="s">
        <v>608</v>
      </c>
      <c r="G13" s="836">
        <v>8</v>
      </c>
    </row>
    <row r="14" spans="1:42" ht="30" customHeight="1">
      <c r="A14" s="835">
        <v>9</v>
      </c>
      <c r="B14" s="838" t="s">
        <v>70</v>
      </c>
      <c r="C14" s="623">
        <f t="shared" si="0"/>
        <v>90473</v>
      </c>
      <c r="D14" s="624">
        <f t="shared" si="0"/>
        <v>77598</v>
      </c>
      <c r="E14" s="625">
        <f t="shared" si="0"/>
        <v>63974</v>
      </c>
      <c r="F14" s="657" t="s">
        <v>607</v>
      </c>
      <c r="G14" s="931">
        <v>9</v>
      </c>
      <c r="M14" s="49">
        <f>L12/M12*100-100</f>
        <v>18.691346739792806</v>
      </c>
    </row>
    <row r="15" spans="1:42" ht="39" customHeight="1">
      <c r="A15" s="832">
        <v>10</v>
      </c>
      <c r="B15" s="229" t="s">
        <v>71</v>
      </c>
      <c r="C15" s="613">
        <f>C16+C17</f>
        <v>184729</v>
      </c>
      <c r="D15" s="612">
        <f>D16+D17</f>
        <v>182344</v>
      </c>
      <c r="E15" s="616">
        <f>E16+E17</f>
        <v>171609</v>
      </c>
      <c r="F15" s="803" t="s">
        <v>1990</v>
      </c>
      <c r="G15" s="836">
        <v>10</v>
      </c>
    </row>
    <row r="16" spans="1:42" ht="30" customHeight="1">
      <c r="A16" s="835">
        <v>11</v>
      </c>
      <c r="B16" s="839" t="s">
        <v>69</v>
      </c>
      <c r="C16" s="629">
        <v>140008</v>
      </c>
      <c r="D16" s="630">
        <v>141303</v>
      </c>
      <c r="E16" s="631">
        <v>135247</v>
      </c>
      <c r="F16" s="805" t="s">
        <v>608</v>
      </c>
      <c r="G16" s="931">
        <v>11</v>
      </c>
      <c r="H16" s="49">
        <f>C17/C15*100</f>
        <v>24.208976392445152</v>
      </c>
      <c r="J16" s="39">
        <f>D17/D15*100</f>
        <v>22.507458430219803</v>
      </c>
      <c r="M16" s="49"/>
    </row>
    <row r="17" spans="1:15" ht="30" customHeight="1">
      <c r="A17" s="832">
        <v>12</v>
      </c>
      <c r="B17" s="229" t="s">
        <v>70</v>
      </c>
      <c r="C17" s="475">
        <v>44721</v>
      </c>
      <c r="D17" s="476">
        <v>41041</v>
      </c>
      <c r="E17" s="480">
        <v>36362</v>
      </c>
      <c r="F17" s="803" t="s">
        <v>607</v>
      </c>
      <c r="G17" s="836">
        <v>12</v>
      </c>
      <c r="J17" s="49"/>
      <c r="M17" s="49"/>
    </row>
    <row r="18" spans="1:15" ht="38.25" customHeight="1">
      <c r="A18" s="835">
        <v>13</v>
      </c>
      <c r="B18" s="838" t="s">
        <v>72</v>
      </c>
      <c r="C18" s="629">
        <f>C19+C20</f>
        <v>181253</v>
      </c>
      <c r="D18" s="630">
        <f>D19+D20</f>
        <v>158929</v>
      </c>
      <c r="E18" s="631">
        <f>E19+E20</f>
        <v>128735</v>
      </c>
      <c r="F18" s="657" t="s">
        <v>1991</v>
      </c>
      <c r="G18" s="931">
        <v>13</v>
      </c>
      <c r="K18" s="49">
        <f>C18/C12*100</f>
        <v>49.52511325693613</v>
      </c>
    </row>
    <row r="19" spans="1:15" ht="30" customHeight="1">
      <c r="A19" s="832">
        <v>14</v>
      </c>
      <c r="B19" s="229" t="s">
        <v>69</v>
      </c>
      <c r="C19" s="482">
        <v>135501</v>
      </c>
      <c r="D19" s="481">
        <v>122372</v>
      </c>
      <c r="E19" s="479">
        <v>101123</v>
      </c>
      <c r="F19" s="803" t="s">
        <v>608</v>
      </c>
      <c r="G19" s="836">
        <v>14</v>
      </c>
      <c r="H19" s="618"/>
      <c r="I19" s="618"/>
      <c r="J19" s="618"/>
      <c r="K19" s="49">
        <f>C15/C12*100</f>
        <v>50.474886743063863</v>
      </c>
    </row>
    <row r="20" spans="1:15" ht="30" customHeight="1">
      <c r="A20" s="835">
        <v>15</v>
      </c>
      <c r="B20" s="838" t="s">
        <v>70</v>
      </c>
      <c r="C20" s="629">
        <v>45752</v>
      </c>
      <c r="D20" s="630">
        <v>36557</v>
      </c>
      <c r="E20" s="631">
        <v>27612</v>
      </c>
      <c r="F20" s="657" t="s">
        <v>607</v>
      </c>
      <c r="G20" s="931">
        <v>15</v>
      </c>
    </row>
    <row r="21" spans="1:15" ht="30" customHeight="1">
      <c r="A21" s="832">
        <v>16</v>
      </c>
      <c r="B21" s="229" t="s">
        <v>1078</v>
      </c>
      <c r="C21" s="475">
        <f t="shared" ref="C21:E23" si="1">C24+C27</f>
        <v>17215</v>
      </c>
      <c r="D21" s="476">
        <f t="shared" si="1"/>
        <v>14661</v>
      </c>
      <c r="E21" s="480">
        <f t="shared" si="1"/>
        <v>13544</v>
      </c>
      <c r="F21" s="803" t="s">
        <v>1081</v>
      </c>
      <c r="G21" s="836">
        <v>16</v>
      </c>
      <c r="I21" s="49"/>
    </row>
    <row r="22" spans="1:15" ht="30" customHeight="1">
      <c r="A22" s="835">
        <v>17</v>
      </c>
      <c r="B22" s="838" t="s">
        <v>69</v>
      </c>
      <c r="C22" s="623">
        <f t="shared" si="1"/>
        <v>14945</v>
      </c>
      <c r="D22" s="624">
        <f t="shared" si="1"/>
        <v>12929</v>
      </c>
      <c r="E22" s="625">
        <f t="shared" si="1"/>
        <v>11930</v>
      </c>
      <c r="F22" s="657" t="s">
        <v>608</v>
      </c>
      <c r="G22" s="931">
        <v>17</v>
      </c>
      <c r="H22" s="49"/>
      <c r="I22" s="49"/>
      <c r="J22" s="39">
        <f>E26/E24*100</f>
        <v>13.871785584932994</v>
      </c>
    </row>
    <row r="23" spans="1:15" ht="30" customHeight="1">
      <c r="A23" s="832">
        <v>18</v>
      </c>
      <c r="B23" s="229" t="s">
        <v>70</v>
      </c>
      <c r="C23" s="475">
        <f t="shared" si="1"/>
        <v>2270</v>
      </c>
      <c r="D23" s="476">
        <f t="shared" si="1"/>
        <v>1732</v>
      </c>
      <c r="E23" s="480">
        <f t="shared" si="1"/>
        <v>1614</v>
      </c>
      <c r="F23" s="803" t="s">
        <v>607</v>
      </c>
      <c r="G23" s="836">
        <v>18</v>
      </c>
      <c r="I23" s="49"/>
      <c r="J23" s="39">
        <f>D26/D24*100</f>
        <v>14.139568871026672</v>
      </c>
    </row>
    <row r="24" spans="1:15" ht="36.75" customHeight="1">
      <c r="A24" s="835">
        <v>19</v>
      </c>
      <c r="B24" s="838" t="s">
        <v>74</v>
      </c>
      <c r="C24" s="623">
        <f>C25+C26</f>
        <v>5720</v>
      </c>
      <c r="D24" s="624">
        <f>D25+D26</f>
        <v>5474</v>
      </c>
      <c r="E24" s="625">
        <f>E25+E26</f>
        <v>5522</v>
      </c>
      <c r="F24" s="657" t="s">
        <v>1992</v>
      </c>
      <c r="G24" s="931">
        <v>19</v>
      </c>
    </row>
    <row r="25" spans="1:15" ht="30" customHeight="1">
      <c r="A25" s="832">
        <v>20</v>
      </c>
      <c r="B25" s="229" t="s">
        <v>69</v>
      </c>
      <c r="C25" s="475">
        <v>4935</v>
      </c>
      <c r="D25" s="476">
        <v>4700</v>
      </c>
      <c r="E25" s="480">
        <v>4756</v>
      </c>
      <c r="F25" s="803" t="s">
        <v>608</v>
      </c>
      <c r="G25" s="836">
        <v>20</v>
      </c>
      <c r="J25" s="39">
        <f>E29/E27*100</f>
        <v>10.570929942657692</v>
      </c>
    </row>
    <row r="26" spans="1:15" ht="30" customHeight="1">
      <c r="A26" s="835">
        <v>21</v>
      </c>
      <c r="B26" s="838" t="s">
        <v>70</v>
      </c>
      <c r="C26" s="623">
        <v>785</v>
      </c>
      <c r="D26" s="624">
        <v>774</v>
      </c>
      <c r="E26" s="625">
        <v>766</v>
      </c>
      <c r="F26" s="657" t="s">
        <v>607</v>
      </c>
      <c r="G26" s="931">
        <v>21</v>
      </c>
      <c r="J26" s="39">
        <f>D29/D27*100</f>
        <v>10.427778382497007</v>
      </c>
    </row>
    <row r="27" spans="1:15" ht="30" customHeight="1">
      <c r="A27" s="832">
        <v>22</v>
      </c>
      <c r="B27" s="229" t="s">
        <v>75</v>
      </c>
      <c r="C27" s="615">
        <f>C28+C29</f>
        <v>11495</v>
      </c>
      <c r="D27" s="614">
        <f>D28+D29</f>
        <v>9187</v>
      </c>
      <c r="E27" s="617">
        <f>E28+E29</f>
        <v>8022</v>
      </c>
      <c r="F27" s="803" t="s">
        <v>1993</v>
      </c>
      <c r="G27" s="836">
        <v>22</v>
      </c>
      <c r="I27" s="49"/>
      <c r="J27" s="39">
        <f>C29/C27*100</f>
        <v>12.918660287081341</v>
      </c>
    </row>
    <row r="28" spans="1:15" ht="30" customHeight="1">
      <c r="A28" s="835">
        <v>23</v>
      </c>
      <c r="B28" s="838" t="s">
        <v>69</v>
      </c>
      <c r="C28" s="629">
        <v>10010</v>
      </c>
      <c r="D28" s="630">
        <v>8229</v>
      </c>
      <c r="E28" s="631">
        <v>7174</v>
      </c>
      <c r="F28" s="657" t="s">
        <v>608</v>
      </c>
      <c r="G28" s="931">
        <v>23</v>
      </c>
      <c r="M28" s="49"/>
    </row>
    <row r="29" spans="1:15" ht="30" customHeight="1">
      <c r="A29" s="833">
        <v>24</v>
      </c>
      <c r="B29" s="229" t="s">
        <v>70</v>
      </c>
      <c r="C29" s="615">
        <v>1485</v>
      </c>
      <c r="D29" s="614">
        <v>958</v>
      </c>
      <c r="E29" s="617">
        <v>848</v>
      </c>
      <c r="F29" s="803" t="s">
        <v>607</v>
      </c>
      <c r="G29" s="932">
        <v>24</v>
      </c>
      <c r="L29" s="39">
        <f>C29/C27*100</f>
        <v>12.918660287081341</v>
      </c>
      <c r="O29" s="49"/>
    </row>
    <row r="30" spans="1:15" ht="30" customHeight="1">
      <c r="A30" s="1416" t="s">
        <v>27</v>
      </c>
      <c r="B30" s="1417"/>
      <c r="C30" s="1409" t="s">
        <v>609</v>
      </c>
      <c r="D30" s="1409"/>
      <c r="E30" s="1409"/>
      <c r="F30" s="1414" t="s">
        <v>24</v>
      </c>
      <c r="G30" s="1415"/>
    </row>
  </sheetData>
  <mergeCells count="10">
    <mergeCell ref="A1:G1"/>
    <mergeCell ref="A2:G2"/>
    <mergeCell ref="A3:G3"/>
    <mergeCell ref="C30:E30"/>
    <mergeCell ref="B4:B5"/>
    <mergeCell ref="F4:F5"/>
    <mergeCell ref="F30:G30"/>
    <mergeCell ref="A30:B30"/>
    <mergeCell ref="G4:G5"/>
    <mergeCell ref="A4:A5"/>
  </mergeCells>
  <pageMargins left="0.41" right="0.33" top="0.35433070866141736" bottom="0.55118110236220474" header="0.19685039370078741" footer="0.31496062992125984"/>
  <pageSetup paperSize="9" scale="85" orientation="portrait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0"/>
  <sheetViews>
    <sheetView view="pageBreakPreview" topLeftCell="A127" zoomScaleSheetLayoutView="100" workbookViewId="0">
      <selection activeCell="I137" sqref="I137"/>
    </sheetView>
  </sheetViews>
  <sheetFormatPr defaultRowHeight="15"/>
  <cols>
    <col min="1" max="1" width="5.85546875" customWidth="1"/>
    <col min="2" max="2" width="32.85546875" style="132" customWidth="1"/>
    <col min="3" max="3" width="7.5703125" style="132" customWidth="1"/>
    <col min="4" max="5" width="8.42578125" style="132" customWidth="1"/>
    <col min="6" max="6" width="9" style="132" customWidth="1"/>
    <col min="7" max="7" width="8.42578125" style="132" customWidth="1"/>
    <col min="8" max="8" width="8.5703125" style="132" customWidth="1"/>
    <col min="9" max="9" width="8.85546875" style="132" customWidth="1"/>
    <col min="10" max="10" width="9.7109375" style="132" customWidth="1"/>
    <col min="11" max="11" width="9.42578125" style="132" customWidth="1"/>
    <col min="12" max="12" width="29.85546875" style="132" customWidth="1"/>
    <col min="13" max="13" width="6.85546875" customWidth="1"/>
    <col min="16" max="16" width="10.5703125" customWidth="1"/>
    <col min="17" max="17" width="13.140625" customWidth="1"/>
    <col min="22" max="22" width="9.140625" customWidth="1"/>
  </cols>
  <sheetData>
    <row r="1" spans="1:19" ht="24.95" customHeight="1">
      <c r="A1" s="1510" t="s">
        <v>1782</v>
      </c>
      <c r="B1" s="1510"/>
      <c r="C1" s="1510"/>
      <c r="D1" s="1510"/>
      <c r="E1" s="1510"/>
      <c r="F1" s="1510"/>
      <c r="G1" s="1510"/>
      <c r="H1" s="1510"/>
      <c r="I1" s="1510"/>
      <c r="J1" s="1510"/>
      <c r="K1" s="1510"/>
      <c r="L1" s="1510"/>
      <c r="M1" s="1510"/>
      <c r="O1">
        <f>45743-45752</f>
        <v>-9</v>
      </c>
    </row>
    <row r="2" spans="1:19" ht="24.95" customHeight="1">
      <c r="A2" s="1511" t="s">
        <v>1783</v>
      </c>
      <c r="B2" s="1511"/>
      <c r="C2" s="1511"/>
      <c r="D2" s="1511"/>
      <c r="E2" s="1511"/>
      <c r="F2" s="1511"/>
      <c r="G2" s="1511"/>
      <c r="H2" s="1511"/>
      <c r="I2" s="1511"/>
      <c r="J2" s="1511"/>
      <c r="K2" s="1511"/>
      <c r="L2" s="1511"/>
      <c r="M2" s="1511"/>
      <c r="N2">
        <f>I9/K9*100</f>
        <v>25.242064958924821</v>
      </c>
      <c r="Q2">
        <f>658+627</f>
        <v>1285</v>
      </c>
      <c r="R2">
        <f>Q2-1494</f>
        <v>-209</v>
      </c>
    </row>
    <row r="3" spans="1:19" ht="24.95" customHeight="1">
      <c r="A3" s="1511" t="s">
        <v>1784</v>
      </c>
      <c r="B3" s="1511"/>
      <c r="C3" s="1511"/>
      <c r="D3" s="1511"/>
      <c r="E3" s="1511"/>
      <c r="F3" s="1511"/>
      <c r="G3" s="1511"/>
      <c r="H3" s="1511"/>
      <c r="I3" s="1511"/>
      <c r="J3" s="1511"/>
      <c r="K3" s="1511"/>
      <c r="L3" s="1511"/>
      <c r="M3" s="1511"/>
      <c r="N3">
        <f>10197-10207</f>
        <v>-10</v>
      </c>
      <c r="O3">
        <f>38713-38795</f>
        <v>-82</v>
      </c>
      <c r="Q3">
        <f>3959+6051</f>
        <v>10010</v>
      </c>
      <c r="R3">
        <f>Q3-D9</f>
        <v>0</v>
      </c>
    </row>
    <row r="4" spans="1:19" ht="24.95" customHeight="1">
      <c r="A4" s="1459" t="s">
        <v>2028</v>
      </c>
      <c r="B4" s="1495" t="s">
        <v>1624</v>
      </c>
      <c r="C4" s="1495" t="s">
        <v>674</v>
      </c>
      <c r="D4" s="1498"/>
      <c r="E4" s="1499"/>
      <c r="F4" s="1495" t="s">
        <v>526</v>
      </c>
      <c r="G4" s="1498"/>
      <c r="H4" s="1499"/>
      <c r="I4" s="1498" t="s">
        <v>527</v>
      </c>
      <c r="J4" s="1498"/>
      <c r="K4" s="1499"/>
      <c r="L4" s="1499" t="s">
        <v>405</v>
      </c>
      <c r="M4" s="1459" t="s">
        <v>2027</v>
      </c>
      <c r="N4">
        <f>181253-K9</f>
        <v>0</v>
      </c>
      <c r="Q4">
        <f>Q2+Q3</f>
        <v>11295</v>
      </c>
      <c r="R4">
        <f>E9-Q5</f>
        <v>0</v>
      </c>
    </row>
    <row r="5" spans="1:19" ht="24.95" customHeight="1">
      <c r="A5" s="1460"/>
      <c r="B5" s="1496"/>
      <c r="C5" s="1497" t="s">
        <v>73</v>
      </c>
      <c r="D5" s="1503"/>
      <c r="E5" s="1504"/>
      <c r="F5" s="1500" t="s">
        <v>127</v>
      </c>
      <c r="G5" s="1501"/>
      <c r="H5" s="1502"/>
      <c r="I5" s="1503" t="s">
        <v>62</v>
      </c>
      <c r="J5" s="1503"/>
      <c r="K5" s="1504"/>
      <c r="L5" s="1505"/>
      <c r="M5" s="1460"/>
      <c r="N5">
        <f>I9/K9*100</f>
        <v>25.242064958924821</v>
      </c>
      <c r="Q5">
        <f>4617+6878</f>
        <v>11495</v>
      </c>
    </row>
    <row r="6" spans="1:19" ht="24.95" customHeight="1">
      <c r="A6" s="1460"/>
      <c r="B6" s="1496"/>
      <c r="C6" s="877" t="s">
        <v>0</v>
      </c>
      <c r="D6" s="1065" t="s">
        <v>1</v>
      </c>
      <c r="E6" s="1066" t="s">
        <v>2</v>
      </c>
      <c r="F6" s="877" t="s">
        <v>0</v>
      </c>
      <c r="G6" s="1065" t="s">
        <v>1</v>
      </c>
      <c r="H6" s="1067" t="s">
        <v>2</v>
      </c>
      <c r="I6" s="1066" t="s">
        <v>0</v>
      </c>
      <c r="J6" s="1065" t="s">
        <v>1</v>
      </c>
      <c r="K6" s="1067" t="s">
        <v>2</v>
      </c>
      <c r="L6" s="1505"/>
      <c r="M6" s="1460"/>
    </row>
    <row r="7" spans="1:19" ht="24.95" customHeight="1">
      <c r="A7" s="1460"/>
      <c r="B7" s="1496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7" t="s">
        <v>502</v>
      </c>
      <c r="I7" s="896" t="s">
        <v>500</v>
      </c>
      <c r="J7" s="895" t="s">
        <v>501</v>
      </c>
      <c r="K7" s="897" t="s">
        <v>502</v>
      </c>
      <c r="L7" s="1505"/>
      <c r="M7" s="1460"/>
      <c r="N7">
        <f>445+101</f>
        <v>546</v>
      </c>
      <c r="P7" t="s">
        <v>975</v>
      </c>
      <c r="Q7" s="192" t="s">
        <v>974</v>
      </c>
    </row>
    <row r="8" spans="1:19" ht="24.95" customHeight="1">
      <c r="A8" s="1461"/>
      <c r="B8" s="1497"/>
      <c r="C8" s="926" t="s">
        <v>3</v>
      </c>
      <c r="D8" s="927" t="s">
        <v>4</v>
      </c>
      <c r="E8" s="1068" t="s">
        <v>5</v>
      </c>
      <c r="F8" s="926" t="s">
        <v>3</v>
      </c>
      <c r="G8" s="927" t="s">
        <v>4</v>
      </c>
      <c r="H8" s="1069" t="s">
        <v>5</v>
      </c>
      <c r="I8" s="1068" t="s">
        <v>3</v>
      </c>
      <c r="J8" s="927" t="s">
        <v>4</v>
      </c>
      <c r="K8" s="1069" t="s">
        <v>5</v>
      </c>
      <c r="L8" s="1504"/>
      <c r="M8" s="1461"/>
      <c r="P8">
        <v>99</v>
      </c>
      <c r="Q8">
        <v>3287</v>
      </c>
      <c r="S8">
        <f>181253+184729</f>
        <v>365982</v>
      </c>
    </row>
    <row r="9" spans="1:19" ht="40.5" customHeight="1">
      <c r="A9" s="906"/>
      <c r="B9" s="853" t="s">
        <v>112</v>
      </c>
      <c r="C9" s="854">
        <f>C10+C11+C12+C13+C14+C15+C16+C18+C19+C20+C21+C22+C23+C24+C25+C26+C27+C28+C31+C32+C33+C34+C35+C36+C37+C45+C46+C47+C48+C50+C51+C52+C53+C55+C56+C57+C59+C60+C61+C62+C63+C64+C72+C73+C75+C77+C78+C79+C80+C81+C82+C84+C85+C86+C87+C88+C89+C90+C91+C92+C93+C101+C102+C103+C104+C105+C106+C107+C108+C110+C111+C112+C113+C114+C115+C117+C118+C120+C122+C123+C124+C125+C126+C127+C128+C136+C138+C139+C140+C142+C143+C144+C145+C146+C147+C148+C149+C150+C151+C152+C153+C154+C155+C156+C157+C158+C159</f>
        <v>1485</v>
      </c>
      <c r="D9" s="852">
        <f>D10+D11+D12+D13+D14+D15+D16+D17+D18+D19+D20+D21+D22+D23+D24+D25+D26+D27+D28+D29+D30+D31+D32+D33+D34+D35+D36+D37+D45+D46+D47+D48+D49+D50+D51+D52+D53+D54+D55+D56+D57+D58+D59+D60+D61+D62+D63+D64+D72+D73+D74+D75+D76+D77+D78+D79+D80+D81+D82+D83+D84+D85+D86+D87+D88+D89+D90+D91+D92+D93+D101+D102+D103+D104+D105+D106+D107+D108+D109+D110+D111+D112+D113+D114+D115+D116+D117+D118+D119+D120+D121+D122+D123+D124+D125+D126+D127+D128+D136+D137+D138+D139+D140+D141+D142+D143+D144+D145+D146+D147+D148+D149+D150+D151+D152+D153+D154+D155+D156+D157+D158+D159</f>
        <v>10010</v>
      </c>
      <c r="E9" s="852">
        <f>E10+E11+E12+E13+E14+E15+E16+E17+E18+E19+E20+E21+E22+E23+E24+E25+E26+E27+E28+E29+E30+E31+E32+E33+E34+E35+E36+E37+E45+E46+E47+E48+E49+E50+E51+E52+E53+E54+E55+E56+E57+E58+E59+E60+E61+E62+E63+E64+E72+E73+E74+E75+E76+E77+E78+E79+E80+E81+E82+E83+E84+E85+E86+E87+E88+E89+E90+E91+E92+E93+E101+E102+E103+E104+E105+E106+E107+E108+E109+E110+E111+E112+E113+E114+E115+E116+E117+E118+E119+E120+E121+E122+E123+E124+E125+E126+E127+E128+E136+E137+E138+E139+E140+E141+E142+E143+E144+E145+E146+E147+E148+E149+E150+E151+E152+E153+E154+E155+E156+E157+E158+E159</f>
        <v>11495</v>
      </c>
      <c r="F9" s="854">
        <f>F10+F11+F27+F13+F28+F20+F14+F15+F16+F30+F17+F31+F29+F32+F21+F18+F19+F33+F34+F23+F22+F35+F36+F24+F37+F45+F46+F25+F47+F48+F49+F50+F52+F53+F54+F26+F55+F56+F57+F58+F59+F60+F61+F62+F63+F64+F72+F73+F74+F75+F76+F77+F78+F79+F80+F81+R81+F82+F83+F84+F85+F86+F87+F88+F89+F90+F91+F92+F93+F101+F102+F103+F104+F105+F106+F107+F108+F109+F110+F111+F112+F113+F114+F115+F116+F117+F118+F119+F120+F121+F122+F123+F124+F125+F126+F127+F128+F136+F137+F138+F139+F140+F141+F142+F143+F144+F145+F146+F147+F148+F149+F150+F151+F152+F153+F154+F155+F156+F157+F158+F159</f>
        <v>10207</v>
      </c>
      <c r="G9" s="852">
        <f>G10+G11+G27+G13+G28+G20+G14+G15+G16+G30+G17+G31+G29+G32+G21+G18+G19+G33+G34+G23+G22+G35+G36+G24+G37+G45+G46+G25+G47+G48+G49+G50+G52+G51+G53+G26+G54+G55+G56+G57+G58+G59+G60+G61+G62+G63+G64+G72+G73+G74+G75+G76+G77+G78+G79+G80+G81+S81+G82+G83+G84+G85+G86+G87+G88+G89+G90+G91+G92+G93+G101+G102+G103+G104+G105+G106+G107+G108+G109+G110+G111+G112+G113+G114+G115+G116+G117+G118+G119+G120+G121+G122+G123+G124+G125+G126+G127+G128+G136+G137+G138+G139+G140+G141+G142+G143+G144+G145+G146+G147+G148+G149+G150+G151+G152+G153+G154+G155+G156+G158+G159</f>
        <v>38724</v>
      </c>
      <c r="H9" s="851">
        <f>H10+H11+H27+H13+H28+H20+H14+H15+H16+H30+H17+H31+H29+H32+H21+H18+H19+H33+H34+H23+H22+H35+H36+H24+H37+H45+H46+H25+H47+H48+H49+H50+H51+H52+H53+H26+H54+H55+H56+H57+H58+H59+H60+H61+H62+H63+H64+H72+H73+H74+H75+H76+H77+H78+H79+H80+H81+T81+H82+H83+H84+H85+H86+H87+H88+H89+H90+H91+H92+H93+H101+H102+H103+H104+H105+H106+H107+H108+H109+H110+H111+H112+H113+H114+H115+H116+H117+H118+H119+H120+H121+H122+H123+H124+H125+H126+H127+H128+H136+H137+H138+H139+H140+H141+H142+H143+H144+H145+H146+H147+H148+H149+H150+H151+H152+H153+H154+H155+H156+H157+H158+H159</f>
        <v>48931</v>
      </c>
      <c r="I9" s="852">
        <f>I10+I11+I27+I12+I13+I28+I20+I14+I15+I16+I30+I17+I31+I29+I32+I21+I18+I19+I33+I34+I23+I22+I35+I36+I24+I37+I45+I46+I25+I47+I48+I49+I50+I51+I52+I53+I26+I54+I55+I56+I57+I58+I59+I60+I61+I62+I63+I64+I72+I73+I74+I75+I76+I77+I78+I79+I80+I81+U81+I82+I83+I84+I85+I86+I87+I88+I89+I90+I91+I92+I93+I101+I102+I103+I104+I105+I106+I107+I108+I109+I110+I111+I112+I113+I114+I115+I116+I117+I118+I119+I120+I121+I122+I123+I124+I125+I126+I127+I128+I136+I137+I138+I139+I140+I141+I142+I143+I144+I145+I146+I147+I148+I149+I150+I151+I152+I153+I154+I155+I156+I157+I158+I159</f>
        <v>45752</v>
      </c>
      <c r="J9" s="852">
        <f>J10+J11+J27+J12+J13+J28+J20+J14+J15+J16+J30+J17+J31+J29+J32+J21+J18+J19+J33+J34+J23+J22+J35+J36+J24+J37+J45+J46+J25+J47+J48+J49+J50+J51+J52+J53+J26+J54+J55+J56+J57+J58+J59+J60+J61+J62+J63+J64+J72+J73+J74+J75+J76+J77+J78+J79+J80+J81+V81+J82+J83+J84+J85+J86+J87+J88+J89+J90+J91+J92+J93+J101+J102+J103+J104+J105+J106+J107+J108+J109+J110+J111+J112+J113+J114+J115+J116+J117+J118+J119+J120+J121+J122+J123+J124+J125+J126+J127+J128+J136+J137+J138+J139+J140+J141+J142+J143+J144+J145+J146+J147+J148+J149+J150+J151+J152+J153+J154+J155+J156+J158+J159</f>
        <v>135501</v>
      </c>
      <c r="K9" s="851">
        <f>K10+K11+K27+K12+K13+K28+K20+K14+K15+K16+K30+K17+K31+K29+K32+K21+K18+K19+K33+K34+K23+K22+K35+K36+K24+K37+K45+K46+K25+K47+K48+K49+K50+K51+K52+K53+K26+K54+K55+K56+K57+K58+K59+K60+K61+K62+K63+K64+K72+K73+K74+K75+K76+K77+K78+K79+K80+K81+W81+K82+K83+K84+K85+K86+K87+K88+K89+K90+K91+K92+K93+K101+K102+K103+K104+K105+K106+K107+K108+K109+K110+K111+K112+K113+K114+K115+K116+K117+K118+K119+K120+K121+K122+K123+K124+K125+K126+K127+K128+K136+K137+K138+K139+K140+K141+K142+K143+K144+K145+K146+K147+K148+K149+K150+K151+K152+K153+K154+K155+K156+K157+K158+K159</f>
        <v>181253</v>
      </c>
      <c r="L9" s="851" t="s">
        <v>627</v>
      </c>
      <c r="M9" s="906"/>
      <c r="N9">
        <f>I9/K9*100</f>
        <v>25.242064958924821</v>
      </c>
      <c r="P9">
        <v>35</v>
      </c>
      <c r="Q9">
        <v>812</v>
      </c>
      <c r="S9" s="49">
        <f>184729/S8*100</f>
        <v>50.474886743063863</v>
      </c>
    </row>
    <row r="10" spans="1:19" ht="45" customHeight="1">
      <c r="A10" s="910">
        <v>1</v>
      </c>
      <c r="B10" s="766" t="s">
        <v>1185</v>
      </c>
      <c r="C10" s="763">
        <v>23</v>
      </c>
      <c r="D10" s="764">
        <v>70</v>
      </c>
      <c r="E10" s="764">
        <f>D10+C10</f>
        <v>93</v>
      </c>
      <c r="F10" s="763">
        <f>212+35+50</f>
        <v>297</v>
      </c>
      <c r="G10" s="764">
        <f>535+160</f>
        <v>695</v>
      </c>
      <c r="H10" s="765">
        <f>G10+F10</f>
        <v>992</v>
      </c>
      <c r="I10" s="764">
        <f>1163+71+9</f>
        <v>1243</v>
      </c>
      <c r="J10" s="764">
        <f>1656+337</f>
        <v>1993</v>
      </c>
      <c r="K10" s="765">
        <f>J10+I10</f>
        <v>3236</v>
      </c>
      <c r="L10" s="765" t="s">
        <v>1891</v>
      </c>
      <c r="M10" s="910">
        <v>1</v>
      </c>
      <c r="N10">
        <f>3179+730+1543+1318+1105+3232+452+1458+3149+1750+3478+5313+1192+723+3106+597+1236+2123+1559+1323+814+2553+1723+1745+90+2399+1869+341+989+484+549+958+630+117+682+1135+715+952+207+2853+1047+1711+1002+430+1205+427+537+573+234+729+524+3167+245+635+211+1464+750+247+537+397+700+350+215+512+206+682+141+177+104+1149+524+322+326+155+82+39+230+166+24+26</f>
        <v>82573</v>
      </c>
      <c r="O10">
        <f>82+49+64+113+29+191+15+55+160+56+190+347+71+271+219+39+16+87+115+38+131+195+78+93+26+118+142+74+78+84+58+37+78+18+102+55+40+93+31+120+18+116+79+84+121+35+31+40+34+66+23+70+10+26+26+112+48+51+59+30+28+26+46+28+21+55+25+11+35+33+27+34+19+14+25+30+17+17+24</f>
        <v>5452</v>
      </c>
      <c r="P10">
        <v>132</v>
      </c>
      <c r="Q10">
        <v>1208</v>
      </c>
      <c r="S10" s="49">
        <f>181253/S8*100</f>
        <v>49.52511325693613</v>
      </c>
    </row>
    <row r="11" spans="1:19" ht="40.5" customHeight="1">
      <c r="A11" s="914">
        <v>2</v>
      </c>
      <c r="B11" s="770" t="s">
        <v>1186</v>
      </c>
      <c r="C11" s="772">
        <v>4</v>
      </c>
      <c r="D11" s="769">
        <v>116</v>
      </c>
      <c r="E11" s="769">
        <f t="shared" ref="E11:E16" si="0">D11+C11</f>
        <v>120</v>
      </c>
      <c r="F11" s="772">
        <v>30</v>
      </c>
      <c r="G11" s="769">
        <v>185</v>
      </c>
      <c r="H11" s="768">
        <f t="shared" ref="H11:H36" si="1">G11+F11</f>
        <v>215</v>
      </c>
      <c r="I11" s="769">
        <v>167</v>
      </c>
      <c r="J11" s="769">
        <v>1054</v>
      </c>
      <c r="K11" s="768">
        <f t="shared" ref="K11:K36" si="2">J11+I11</f>
        <v>1221</v>
      </c>
      <c r="L11" s="768" t="s">
        <v>1223</v>
      </c>
      <c r="M11" s="914">
        <v>2</v>
      </c>
      <c r="N11" s="235">
        <f>38724-G9</f>
        <v>0</v>
      </c>
      <c r="P11">
        <v>39</v>
      </c>
      <c r="Q11">
        <v>2731</v>
      </c>
    </row>
    <row r="12" spans="1:19" ht="45" customHeight="1">
      <c r="A12" s="910">
        <v>3</v>
      </c>
      <c r="B12" s="766" t="s">
        <v>406</v>
      </c>
      <c r="C12" s="763">
        <v>6</v>
      </c>
      <c r="D12" s="764">
        <v>29</v>
      </c>
      <c r="E12" s="764">
        <f t="shared" si="0"/>
        <v>35</v>
      </c>
      <c r="F12" s="763" t="s">
        <v>485</v>
      </c>
      <c r="G12" s="764" t="s">
        <v>485</v>
      </c>
      <c r="H12" s="765" t="s">
        <v>485</v>
      </c>
      <c r="I12" s="764">
        <v>223</v>
      </c>
      <c r="J12" s="764">
        <v>316</v>
      </c>
      <c r="K12" s="765">
        <f t="shared" si="2"/>
        <v>539</v>
      </c>
      <c r="L12" s="765" t="s">
        <v>1890</v>
      </c>
      <c r="M12" s="910">
        <v>3</v>
      </c>
      <c r="N12" s="235">
        <f>10207-F9</f>
        <v>0</v>
      </c>
      <c r="O12">
        <f>K10+K11+K12+K13+K14+K15+K16+K17+K18+K19+W21+W23+K20+K21+K22+K23+K24+K25+K26+K27+K28+K29+K30+K31+K32+K34+K35+K36+K37+K45+K46+K47+K62+K80+K81+W81+K84+K86+K87+K88+K89+K90+K91+K92+K93+K101+K102+K103+K104+K105+K106+K107+K108+K109+K110+K111+K112+K117+K118+K119+K123+K139+K140</f>
        <v>107496</v>
      </c>
    </row>
    <row r="13" spans="1:19" ht="40.5" customHeight="1">
      <c r="A13" s="914">
        <v>4</v>
      </c>
      <c r="B13" s="770" t="s">
        <v>1187</v>
      </c>
      <c r="C13" s="772">
        <v>45</v>
      </c>
      <c r="D13" s="769">
        <f>178+47+24</f>
        <v>249</v>
      </c>
      <c r="E13" s="769">
        <f t="shared" si="0"/>
        <v>294</v>
      </c>
      <c r="F13" s="772">
        <f>272+56+18+10</f>
        <v>356</v>
      </c>
      <c r="G13" s="769">
        <f>305+359+71</f>
        <v>735</v>
      </c>
      <c r="H13" s="768">
        <f t="shared" si="1"/>
        <v>1091</v>
      </c>
      <c r="I13" s="769">
        <f>1829+237+37</f>
        <v>2103</v>
      </c>
      <c r="J13" s="769">
        <f>1042+1051+163</f>
        <v>2256</v>
      </c>
      <c r="K13" s="768">
        <f t="shared" si="2"/>
        <v>4359</v>
      </c>
      <c r="L13" s="768" t="s">
        <v>1224</v>
      </c>
      <c r="M13" s="914">
        <v>4</v>
      </c>
      <c r="N13">
        <f>38835+K10+K11+K12+K13+K14+K15+K16+K17+K18+K19+K20+K22+K23+K25+K26+K27+K29+K30+K31+K34+K35+K45+K46+K47+K50+K51+K52+K62+K80+K81+W81+K84+K85+K86+K87+K88+K89+K90+K91+K92+K93+K102+K103+K104+K105+K106+K107+K108+K109+K110+K111+K112+K113+K114+K115+K116+K117+K118+K119+K120+K121+K122+K123+K124+K125+K126+K127+K128+K136+K137+K138+K139+K140+K141+K142+K143+K144+K145+K153+K154+K155+K156+K157</f>
        <v>162819</v>
      </c>
    </row>
    <row r="14" spans="1:19" ht="40.5" customHeight="1">
      <c r="A14" s="910">
        <v>5</v>
      </c>
      <c r="B14" s="766" t="s">
        <v>1188</v>
      </c>
      <c r="C14" s="763">
        <v>20</v>
      </c>
      <c r="D14" s="764">
        <f>85+217</f>
        <v>302</v>
      </c>
      <c r="E14" s="764">
        <f t="shared" si="0"/>
        <v>322</v>
      </c>
      <c r="F14" s="763">
        <f>428+64</f>
        <v>492</v>
      </c>
      <c r="G14" s="764">
        <f>629+440</f>
        <v>1069</v>
      </c>
      <c r="H14" s="765">
        <f t="shared" si="1"/>
        <v>1561</v>
      </c>
      <c r="I14" s="764">
        <f>1470+257</f>
        <v>1727</v>
      </c>
      <c r="J14" s="764">
        <f>1805+1491</f>
        <v>3296</v>
      </c>
      <c r="K14" s="765">
        <f t="shared" si="2"/>
        <v>5023</v>
      </c>
      <c r="L14" s="765" t="s">
        <v>1225</v>
      </c>
      <c r="M14" s="910">
        <v>5</v>
      </c>
      <c r="P14">
        <v>45</v>
      </c>
      <c r="Q14">
        <v>1264</v>
      </c>
    </row>
    <row r="15" spans="1:19" ht="40.5" customHeight="1">
      <c r="A15" s="914">
        <v>6</v>
      </c>
      <c r="B15" s="770" t="s">
        <v>1189</v>
      </c>
      <c r="C15" s="772">
        <v>2</v>
      </c>
      <c r="D15" s="769">
        <v>76</v>
      </c>
      <c r="E15" s="769">
        <f t="shared" si="0"/>
        <v>78</v>
      </c>
      <c r="F15" s="772">
        <v>112</v>
      </c>
      <c r="G15" s="769">
        <v>685</v>
      </c>
      <c r="H15" s="768">
        <f t="shared" si="1"/>
        <v>797</v>
      </c>
      <c r="I15" s="769">
        <v>422</v>
      </c>
      <c r="J15" s="769">
        <v>2417</v>
      </c>
      <c r="K15" s="768">
        <f t="shared" si="2"/>
        <v>2839</v>
      </c>
      <c r="L15" s="768" t="s">
        <v>1226</v>
      </c>
      <c r="M15" s="914">
        <v>6</v>
      </c>
      <c r="N15" s="39">
        <f>J9/K9*100</f>
        <v>74.757935041075186</v>
      </c>
      <c r="O15" s="39">
        <f>I9/K9*100</f>
        <v>25.242064958924821</v>
      </c>
      <c r="P15">
        <v>43</v>
      </c>
      <c r="Q15">
        <v>2238</v>
      </c>
    </row>
    <row r="16" spans="1:19" ht="40.5" customHeight="1">
      <c r="A16" s="910">
        <v>7</v>
      </c>
      <c r="B16" s="766" t="s">
        <v>1236</v>
      </c>
      <c r="C16" s="763">
        <v>19</v>
      </c>
      <c r="D16" s="764">
        <v>193</v>
      </c>
      <c r="E16" s="764">
        <f t="shared" si="0"/>
        <v>212</v>
      </c>
      <c r="F16" s="763">
        <v>328</v>
      </c>
      <c r="G16" s="764">
        <v>552</v>
      </c>
      <c r="H16" s="765">
        <f t="shared" si="1"/>
        <v>880</v>
      </c>
      <c r="I16" s="764">
        <v>1006</v>
      </c>
      <c r="J16" s="764">
        <v>2080</v>
      </c>
      <c r="K16" s="765">
        <f t="shared" si="2"/>
        <v>3086</v>
      </c>
      <c r="L16" s="765" t="s">
        <v>1227</v>
      </c>
      <c r="M16" s="910">
        <v>7</v>
      </c>
      <c r="N16" s="39">
        <f>101123/128735*100</f>
        <v>78.55128752864411</v>
      </c>
      <c r="O16" s="39">
        <f>27612/128735*100</f>
        <v>21.448712471355886</v>
      </c>
      <c r="P16">
        <v>55</v>
      </c>
      <c r="Q16">
        <v>1011</v>
      </c>
    </row>
    <row r="17" spans="1:24" ht="40.5" customHeight="1">
      <c r="A17" s="914">
        <v>8</v>
      </c>
      <c r="B17" s="770" t="s">
        <v>1190</v>
      </c>
      <c r="C17" s="772" t="s">
        <v>14</v>
      </c>
      <c r="D17" s="769">
        <v>47</v>
      </c>
      <c r="E17" s="769">
        <f>D17</f>
        <v>47</v>
      </c>
      <c r="F17" s="772">
        <v>8</v>
      </c>
      <c r="G17" s="769">
        <v>528</v>
      </c>
      <c r="H17" s="768">
        <f t="shared" si="1"/>
        <v>536</v>
      </c>
      <c r="I17" s="769">
        <v>40</v>
      </c>
      <c r="J17" s="769">
        <v>1781</v>
      </c>
      <c r="K17" s="768">
        <f t="shared" si="2"/>
        <v>1821</v>
      </c>
      <c r="L17" s="768" t="s">
        <v>1228</v>
      </c>
      <c r="M17" s="914">
        <v>8</v>
      </c>
      <c r="N17" s="39">
        <f>D9/E9*100</f>
        <v>87.081339712918663</v>
      </c>
      <c r="O17" s="39">
        <f>C9/E9*100</f>
        <v>12.918660287081341</v>
      </c>
      <c r="P17">
        <v>225</v>
      </c>
      <c r="Q17">
        <v>3414</v>
      </c>
    </row>
    <row r="18" spans="1:24" ht="40.5" customHeight="1">
      <c r="A18" s="910">
        <v>9</v>
      </c>
      <c r="B18" s="766" t="s">
        <v>1191</v>
      </c>
      <c r="C18" s="763">
        <v>32</v>
      </c>
      <c r="D18" s="764">
        <f>307+32+9</f>
        <v>348</v>
      </c>
      <c r="E18" s="764">
        <f>D18+C18</f>
        <v>380</v>
      </c>
      <c r="F18" s="763">
        <f>7+230</f>
        <v>237</v>
      </c>
      <c r="G18" s="764">
        <f>322+164</f>
        <v>486</v>
      </c>
      <c r="H18" s="765">
        <f t="shared" si="1"/>
        <v>723</v>
      </c>
      <c r="I18" s="764">
        <f>1103+21</f>
        <v>1124</v>
      </c>
      <c r="J18" s="764">
        <f>2402+469</f>
        <v>2871</v>
      </c>
      <c r="K18" s="765">
        <f t="shared" si="2"/>
        <v>3995</v>
      </c>
      <c r="L18" s="765" t="s">
        <v>1229</v>
      </c>
      <c r="M18" s="910">
        <v>9</v>
      </c>
      <c r="N18" s="39">
        <f>7174/8022*100</f>
        <v>89.429070057342301</v>
      </c>
      <c r="O18" s="39">
        <f>848/8022*100</f>
        <v>10.570929942657692</v>
      </c>
      <c r="P18">
        <v>87</v>
      </c>
      <c r="Q18">
        <v>1384</v>
      </c>
    </row>
    <row r="19" spans="1:24" ht="40.5" customHeight="1">
      <c r="A19" s="914">
        <v>10</v>
      </c>
      <c r="B19" s="770" t="s">
        <v>1192</v>
      </c>
      <c r="C19" s="772">
        <v>1</v>
      </c>
      <c r="D19" s="769">
        <v>62</v>
      </c>
      <c r="E19" s="769">
        <f t="shared" ref="E19:E28" si="3">D19+C19</f>
        <v>63</v>
      </c>
      <c r="F19" s="772">
        <v>72</v>
      </c>
      <c r="G19" s="769">
        <v>159</v>
      </c>
      <c r="H19" s="768">
        <f t="shared" si="1"/>
        <v>231</v>
      </c>
      <c r="I19" s="769">
        <v>236</v>
      </c>
      <c r="J19" s="769">
        <v>551</v>
      </c>
      <c r="K19" s="768">
        <f t="shared" si="2"/>
        <v>787</v>
      </c>
      <c r="L19" s="768" t="s">
        <v>1230</v>
      </c>
      <c r="M19" s="914">
        <v>10</v>
      </c>
      <c r="P19">
        <v>114</v>
      </c>
      <c r="Q19">
        <v>2105</v>
      </c>
    </row>
    <row r="20" spans="1:24" ht="40.5" customHeight="1">
      <c r="A20" s="910">
        <v>11</v>
      </c>
      <c r="B20" s="766" t="s">
        <v>1237</v>
      </c>
      <c r="C20" s="763">
        <v>10</v>
      </c>
      <c r="D20" s="764">
        <v>113</v>
      </c>
      <c r="E20" s="764">
        <f t="shared" si="3"/>
        <v>123</v>
      </c>
      <c r="F20" s="763">
        <v>272</v>
      </c>
      <c r="G20" s="764">
        <v>1267</v>
      </c>
      <c r="H20" s="765">
        <f t="shared" si="1"/>
        <v>1539</v>
      </c>
      <c r="I20" s="764">
        <v>951</v>
      </c>
      <c r="J20" s="764">
        <v>3178</v>
      </c>
      <c r="K20" s="765">
        <f t="shared" si="2"/>
        <v>4129</v>
      </c>
      <c r="L20" s="765" t="s">
        <v>1231</v>
      </c>
      <c r="M20" s="910">
        <v>11</v>
      </c>
    </row>
    <row r="21" spans="1:24" ht="40.5" customHeight="1">
      <c r="A21" s="914">
        <v>12</v>
      </c>
      <c r="B21" s="770" t="s">
        <v>1556</v>
      </c>
      <c r="C21" s="772">
        <v>17</v>
      </c>
      <c r="D21" s="769">
        <v>107</v>
      </c>
      <c r="E21" s="769">
        <f t="shared" si="3"/>
        <v>124</v>
      </c>
      <c r="F21" s="772">
        <v>245</v>
      </c>
      <c r="G21" s="769">
        <v>561</v>
      </c>
      <c r="H21" s="768">
        <f t="shared" si="1"/>
        <v>806</v>
      </c>
      <c r="I21" s="769">
        <v>815</v>
      </c>
      <c r="J21" s="769">
        <v>1752</v>
      </c>
      <c r="K21" s="768">
        <f t="shared" si="2"/>
        <v>2567</v>
      </c>
      <c r="L21" s="768" t="s">
        <v>1555</v>
      </c>
      <c r="M21" s="914">
        <v>12</v>
      </c>
      <c r="N21" s="1508" t="s">
        <v>1193</v>
      </c>
      <c r="O21" s="1509">
        <v>1</v>
      </c>
      <c r="P21" s="1507">
        <v>19</v>
      </c>
      <c r="Q21" s="1507">
        <f>P21+O21</f>
        <v>20</v>
      </c>
      <c r="R21" s="1509" t="s">
        <v>14</v>
      </c>
      <c r="S21" s="1507" t="s">
        <v>14</v>
      </c>
      <c r="T21" s="1506" t="e">
        <f>S21+R21</f>
        <v>#VALUE!</v>
      </c>
      <c r="U21" s="1507"/>
      <c r="V21" s="1507"/>
      <c r="W21" s="1506">
        <f>V21+U21</f>
        <v>0</v>
      </c>
      <c r="X21" s="409" t="s">
        <v>1222</v>
      </c>
    </row>
    <row r="22" spans="1:24" ht="40.5" customHeight="1">
      <c r="A22" s="910">
        <v>13</v>
      </c>
      <c r="B22" s="766" t="s">
        <v>1238</v>
      </c>
      <c r="C22" s="763">
        <v>6</v>
      </c>
      <c r="D22" s="764">
        <v>49</v>
      </c>
      <c r="E22" s="764">
        <f t="shared" si="3"/>
        <v>55</v>
      </c>
      <c r="F22" s="763">
        <v>75</v>
      </c>
      <c r="G22" s="764">
        <v>199</v>
      </c>
      <c r="H22" s="765">
        <f t="shared" si="1"/>
        <v>274</v>
      </c>
      <c r="I22" s="764">
        <v>195</v>
      </c>
      <c r="J22" s="764">
        <v>508</v>
      </c>
      <c r="K22" s="765">
        <f t="shared" si="2"/>
        <v>703</v>
      </c>
      <c r="L22" s="765" t="s">
        <v>1232</v>
      </c>
      <c r="M22" s="910">
        <v>13</v>
      </c>
      <c r="N22" s="1508"/>
      <c r="O22" s="1509"/>
      <c r="P22" s="1507"/>
      <c r="Q22" s="1507"/>
      <c r="R22" s="1509"/>
      <c r="S22" s="1507"/>
      <c r="T22" s="1506"/>
      <c r="U22" s="1507"/>
      <c r="V22" s="1507"/>
      <c r="W22" s="1506"/>
      <c r="X22" s="409" t="s">
        <v>683</v>
      </c>
    </row>
    <row r="23" spans="1:24" ht="40.5" customHeight="1">
      <c r="A23" s="914">
        <v>14</v>
      </c>
      <c r="B23" s="770" t="s">
        <v>1239</v>
      </c>
      <c r="C23" s="772">
        <v>12</v>
      </c>
      <c r="D23" s="769">
        <v>138</v>
      </c>
      <c r="E23" s="769">
        <f t="shared" si="3"/>
        <v>150</v>
      </c>
      <c r="F23" s="772">
        <v>191</v>
      </c>
      <c r="G23" s="769">
        <v>811</v>
      </c>
      <c r="H23" s="768">
        <f t="shared" si="1"/>
        <v>1002</v>
      </c>
      <c r="I23" s="769">
        <v>508</v>
      </c>
      <c r="J23" s="769">
        <v>1536</v>
      </c>
      <c r="K23" s="768">
        <f t="shared" si="2"/>
        <v>2044</v>
      </c>
      <c r="L23" s="768" t="s">
        <v>1233</v>
      </c>
      <c r="M23" s="914">
        <v>14</v>
      </c>
      <c r="N23" s="1508" t="s">
        <v>1194</v>
      </c>
      <c r="O23" s="1509" t="s">
        <v>14</v>
      </c>
      <c r="P23" s="1507">
        <v>41</v>
      </c>
      <c r="Q23" s="1507">
        <f>P23</f>
        <v>41</v>
      </c>
      <c r="R23" s="1509" t="s">
        <v>14</v>
      </c>
      <c r="S23" s="1507" t="s">
        <v>14</v>
      </c>
      <c r="T23" s="1506" t="e">
        <f>S23+R23</f>
        <v>#VALUE!</v>
      </c>
      <c r="U23" s="1507"/>
      <c r="V23" s="1507"/>
      <c r="W23" s="1506">
        <f>V23+U23</f>
        <v>0</v>
      </c>
      <c r="X23" s="74" t="s">
        <v>1195</v>
      </c>
    </row>
    <row r="24" spans="1:24" ht="40.5" customHeight="1">
      <c r="A24" s="910">
        <v>15</v>
      </c>
      <c r="B24" s="766" t="s">
        <v>1557</v>
      </c>
      <c r="C24" s="763">
        <f>10+28</f>
        <v>38</v>
      </c>
      <c r="D24" s="764">
        <f>140+170</f>
        <v>310</v>
      </c>
      <c r="E24" s="764">
        <f t="shared" si="3"/>
        <v>348</v>
      </c>
      <c r="F24" s="763">
        <f>176+194</f>
        <v>370</v>
      </c>
      <c r="G24" s="764">
        <f>595+414</f>
        <v>1009</v>
      </c>
      <c r="H24" s="765">
        <f t="shared" si="1"/>
        <v>1379</v>
      </c>
      <c r="I24" s="764">
        <f>655+544</f>
        <v>1199</v>
      </c>
      <c r="J24" s="764">
        <f>1472+929</f>
        <v>2401</v>
      </c>
      <c r="K24" s="765">
        <f t="shared" si="2"/>
        <v>3600</v>
      </c>
      <c r="L24" s="765" t="s">
        <v>1892</v>
      </c>
      <c r="M24" s="910">
        <v>15</v>
      </c>
      <c r="N24" s="1508"/>
      <c r="O24" s="1509"/>
      <c r="P24" s="1507"/>
      <c r="Q24" s="1507"/>
      <c r="R24" s="1509"/>
      <c r="S24" s="1507"/>
      <c r="T24" s="1506"/>
      <c r="U24" s="1507"/>
      <c r="V24" s="1507"/>
      <c r="W24" s="1506"/>
      <c r="X24" s="410" t="s">
        <v>1196</v>
      </c>
    </row>
    <row r="25" spans="1:24" ht="40.5" customHeight="1">
      <c r="A25" s="914">
        <v>16</v>
      </c>
      <c r="B25" s="770" t="s">
        <v>1240</v>
      </c>
      <c r="C25" s="772">
        <v>10</v>
      </c>
      <c r="D25" s="769">
        <f>38+75</f>
        <v>113</v>
      </c>
      <c r="E25" s="769">
        <f t="shared" si="3"/>
        <v>123</v>
      </c>
      <c r="F25" s="772">
        <f>28+84</f>
        <v>112</v>
      </c>
      <c r="G25" s="769">
        <f>117+243</f>
        <v>360</v>
      </c>
      <c r="H25" s="768">
        <f t="shared" si="1"/>
        <v>472</v>
      </c>
      <c r="I25" s="769">
        <f>304+134</f>
        <v>438</v>
      </c>
      <c r="J25" s="769">
        <f>1144+488</f>
        <v>1632</v>
      </c>
      <c r="K25" s="768">
        <f t="shared" si="2"/>
        <v>2070</v>
      </c>
      <c r="L25" s="768" t="s">
        <v>1234</v>
      </c>
      <c r="M25" s="914">
        <v>16</v>
      </c>
      <c r="P25">
        <v>40</v>
      </c>
      <c r="Q25">
        <v>1177</v>
      </c>
    </row>
    <row r="26" spans="1:24" ht="40.5" customHeight="1">
      <c r="A26" s="910">
        <v>17</v>
      </c>
      <c r="B26" s="766" t="s">
        <v>1241</v>
      </c>
      <c r="C26" s="763">
        <v>104</v>
      </c>
      <c r="D26" s="764">
        <v>322</v>
      </c>
      <c r="E26" s="764">
        <f t="shared" si="3"/>
        <v>426</v>
      </c>
      <c r="F26" s="763">
        <v>11</v>
      </c>
      <c r="G26" s="764">
        <v>23</v>
      </c>
      <c r="H26" s="765">
        <f t="shared" si="1"/>
        <v>34</v>
      </c>
      <c r="I26" s="764">
        <v>47</v>
      </c>
      <c r="J26" s="764">
        <v>280</v>
      </c>
      <c r="K26" s="765">
        <f t="shared" si="2"/>
        <v>327</v>
      </c>
      <c r="L26" s="765" t="s">
        <v>1235</v>
      </c>
      <c r="M26" s="910">
        <v>17</v>
      </c>
    </row>
    <row r="27" spans="1:24" ht="45" customHeight="1">
      <c r="A27" s="914">
        <v>18</v>
      </c>
      <c r="B27" s="770" t="s">
        <v>1665</v>
      </c>
      <c r="C27" s="772">
        <v>26</v>
      </c>
      <c r="D27" s="769">
        <v>128</v>
      </c>
      <c r="E27" s="769">
        <f t="shared" si="3"/>
        <v>154</v>
      </c>
      <c r="F27" s="772">
        <v>195</v>
      </c>
      <c r="G27" s="769">
        <v>590</v>
      </c>
      <c r="H27" s="768">
        <f t="shared" si="1"/>
        <v>785</v>
      </c>
      <c r="I27" s="769">
        <v>1737</v>
      </c>
      <c r="J27" s="769">
        <v>3605</v>
      </c>
      <c r="K27" s="768">
        <f t="shared" si="2"/>
        <v>5342</v>
      </c>
      <c r="L27" s="768" t="s">
        <v>1601</v>
      </c>
      <c r="M27" s="914">
        <v>18</v>
      </c>
      <c r="O27">
        <f>15561+K24+K36+K53+K59+K61+K101</f>
        <v>25148</v>
      </c>
    </row>
    <row r="28" spans="1:24" ht="45" customHeight="1">
      <c r="A28" s="910">
        <v>19</v>
      </c>
      <c r="B28" s="766" t="s">
        <v>1664</v>
      </c>
      <c r="C28" s="763">
        <v>23</v>
      </c>
      <c r="D28" s="764">
        <v>115</v>
      </c>
      <c r="E28" s="764">
        <f t="shared" si="3"/>
        <v>138</v>
      </c>
      <c r="F28" s="763">
        <v>25</v>
      </c>
      <c r="G28" s="764">
        <v>112</v>
      </c>
      <c r="H28" s="765">
        <f t="shared" si="1"/>
        <v>137</v>
      </c>
      <c r="I28" s="764">
        <v>166</v>
      </c>
      <c r="J28" s="764">
        <v>373</v>
      </c>
      <c r="K28" s="765">
        <f t="shared" si="2"/>
        <v>539</v>
      </c>
      <c r="L28" s="765" t="s">
        <v>1602</v>
      </c>
      <c r="M28" s="910">
        <v>19</v>
      </c>
    </row>
    <row r="29" spans="1:24" ht="45" customHeight="1">
      <c r="A29" s="914">
        <v>20</v>
      </c>
      <c r="B29" s="770" t="s">
        <v>2015</v>
      </c>
      <c r="C29" s="772" t="s">
        <v>14</v>
      </c>
      <c r="D29" s="769">
        <v>72</v>
      </c>
      <c r="E29" s="769">
        <f>D29</f>
        <v>72</v>
      </c>
      <c r="F29" s="772">
        <v>23</v>
      </c>
      <c r="G29" s="769">
        <v>321</v>
      </c>
      <c r="H29" s="768">
        <f t="shared" si="1"/>
        <v>344</v>
      </c>
      <c r="I29" s="769">
        <v>92</v>
      </c>
      <c r="J29" s="769">
        <v>939</v>
      </c>
      <c r="K29" s="768">
        <f t="shared" si="2"/>
        <v>1031</v>
      </c>
      <c r="L29" s="768" t="s">
        <v>2014</v>
      </c>
      <c r="M29" s="914">
        <v>20</v>
      </c>
    </row>
    <row r="30" spans="1:24" ht="45" customHeight="1">
      <c r="A30" s="910">
        <v>21</v>
      </c>
      <c r="B30" s="766" t="s">
        <v>2017</v>
      </c>
      <c r="C30" s="763" t="s">
        <v>14</v>
      </c>
      <c r="D30" s="764">
        <v>24</v>
      </c>
      <c r="E30" s="764">
        <f>D30</f>
        <v>24</v>
      </c>
      <c r="F30" s="763">
        <v>12</v>
      </c>
      <c r="G30" s="764">
        <v>53</v>
      </c>
      <c r="H30" s="765">
        <f t="shared" si="1"/>
        <v>65</v>
      </c>
      <c r="I30" s="764">
        <v>115</v>
      </c>
      <c r="J30" s="764">
        <v>616</v>
      </c>
      <c r="K30" s="765">
        <f t="shared" si="2"/>
        <v>731</v>
      </c>
      <c r="L30" s="432" t="s">
        <v>2016</v>
      </c>
      <c r="M30" s="910">
        <v>21</v>
      </c>
      <c r="O30">
        <f>4617+6878</f>
        <v>11495</v>
      </c>
    </row>
    <row r="31" spans="1:24" ht="45" customHeight="1">
      <c r="A31" s="914">
        <v>22</v>
      </c>
      <c r="B31" s="770" t="s">
        <v>1663</v>
      </c>
      <c r="C31" s="772">
        <v>21</v>
      </c>
      <c r="D31" s="769">
        <v>80</v>
      </c>
      <c r="E31" s="769">
        <f>D31+C31</f>
        <v>101</v>
      </c>
      <c r="F31" s="772">
        <v>51</v>
      </c>
      <c r="G31" s="769">
        <v>85</v>
      </c>
      <c r="H31" s="768">
        <f t="shared" si="1"/>
        <v>136</v>
      </c>
      <c r="I31" s="769">
        <v>215</v>
      </c>
      <c r="J31" s="769">
        <v>269</v>
      </c>
      <c r="K31" s="768">
        <f t="shared" si="2"/>
        <v>484</v>
      </c>
      <c r="L31" s="768" t="s">
        <v>1893</v>
      </c>
      <c r="M31" s="914">
        <v>22</v>
      </c>
    </row>
    <row r="32" spans="1:24" ht="45" customHeight="1">
      <c r="A32" s="910">
        <v>23</v>
      </c>
      <c r="B32" s="766" t="s">
        <v>1662</v>
      </c>
      <c r="C32" s="763">
        <v>37</v>
      </c>
      <c r="D32" s="764">
        <v>166</v>
      </c>
      <c r="E32" s="764">
        <f t="shared" ref="E32:E36" si="4">D32+C32</f>
        <v>203</v>
      </c>
      <c r="F32" s="763">
        <v>123</v>
      </c>
      <c r="G32" s="764">
        <v>459</v>
      </c>
      <c r="H32" s="765">
        <f t="shared" si="1"/>
        <v>582</v>
      </c>
      <c r="I32" s="764">
        <f>137+783</f>
        <v>920</v>
      </c>
      <c r="J32" s="764">
        <f>1146+1905</f>
        <v>3051</v>
      </c>
      <c r="K32" s="765">
        <f t="shared" si="2"/>
        <v>3971</v>
      </c>
      <c r="L32" s="765" t="s">
        <v>1603</v>
      </c>
      <c r="M32" s="910">
        <v>23</v>
      </c>
      <c r="N32">
        <f>1895+13849+1520+917+4545+2614</f>
        <v>25340</v>
      </c>
    </row>
    <row r="33" spans="1:17" ht="45" customHeight="1">
      <c r="A33" s="914">
        <v>24</v>
      </c>
      <c r="B33" s="770" t="s">
        <v>1661</v>
      </c>
      <c r="C33" s="772">
        <f>50+4</f>
        <v>54</v>
      </c>
      <c r="D33" s="769">
        <f>375+146</f>
        <v>521</v>
      </c>
      <c r="E33" s="769">
        <f t="shared" si="4"/>
        <v>575</v>
      </c>
      <c r="F33" s="772">
        <f>79+78</f>
        <v>157</v>
      </c>
      <c r="G33" s="769">
        <f>350+361</f>
        <v>711</v>
      </c>
      <c r="H33" s="768">
        <f t="shared" si="1"/>
        <v>868</v>
      </c>
      <c r="I33" s="769">
        <f>248+254</f>
        <v>502</v>
      </c>
      <c r="J33" s="769">
        <f>1262+767</f>
        <v>2029</v>
      </c>
      <c r="K33" s="768">
        <f t="shared" si="2"/>
        <v>2531</v>
      </c>
      <c r="L33" s="768" t="s">
        <v>1604</v>
      </c>
      <c r="M33" s="914">
        <v>24</v>
      </c>
    </row>
    <row r="34" spans="1:17" ht="45" customHeight="1">
      <c r="A34" s="910">
        <v>25</v>
      </c>
      <c r="B34" s="766" t="s">
        <v>1786</v>
      </c>
      <c r="C34" s="763">
        <v>7</v>
      </c>
      <c r="D34" s="764">
        <f>33+91</f>
        <v>124</v>
      </c>
      <c r="E34" s="764">
        <f t="shared" si="4"/>
        <v>131</v>
      </c>
      <c r="F34" s="763">
        <v>84</v>
      </c>
      <c r="G34" s="764">
        <f>389+35</f>
        <v>424</v>
      </c>
      <c r="H34" s="765">
        <f t="shared" si="1"/>
        <v>508</v>
      </c>
      <c r="I34" s="764">
        <f>386</f>
        <v>386</v>
      </c>
      <c r="J34" s="764">
        <f>1415+90</f>
        <v>1505</v>
      </c>
      <c r="K34" s="765">
        <f t="shared" si="2"/>
        <v>1891</v>
      </c>
      <c r="L34" s="765" t="s">
        <v>1785</v>
      </c>
      <c r="M34" s="910">
        <v>25</v>
      </c>
    </row>
    <row r="35" spans="1:17" ht="45" customHeight="1">
      <c r="A35" s="914">
        <v>26</v>
      </c>
      <c r="B35" s="770" t="s">
        <v>1660</v>
      </c>
      <c r="C35" s="772">
        <v>1</v>
      </c>
      <c r="D35" s="769">
        <v>56</v>
      </c>
      <c r="E35" s="769">
        <f t="shared" si="4"/>
        <v>57</v>
      </c>
      <c r="F35" s="772">
        <v>28</v>
      </c>
      <c r="G35" s="769">
        <v>197</v>
      </c>
      <c r="H35" s="768">
        <f t="shared" si="1"/>
        <v>225</v>
      </c>
      <c r="I35" s="769">
        <v>263</v>
      </c>
      <c r="J35" s="769">
        <v>1031</v>
      </c>
      <c r="K35" s="768">
        <f t="shared" si="2"/>
        <v>1294</v>
      </c>
      <c r="L35" s="768" t="s">
        <v>1876</v>
      </c>
      <c r="M35" s="914">
        <v>26</v>
      </c>
    </row>
    <row r="36" spans="1:17" ht="45" customHeight="1">
      <c r="A36" s="910">
        <v>27</v>
      </c>
      <c r="B36" s="766" t="s">
        <v>1659</v>
      </c>
      <c r="C36" s="763">
        <v>21</v>
      </c>
      <c r="D36" s="764">
        <v>43</v>
      </c>
      <c r="E36" s="764">
        <f t="shared" si="4"/>
        <v>64</v>
      </c>
      <c r="F36" s="763">
        <v>128</v>
      </c>
      <c r="G36" s="764">
        <v>118</v>
      </c>
      <c r="H36" s="765">
        <f t="shared" si="1"/>
        <v>246</v>
      </c>
      <c r="I36" s="764">
        <v>347</v>
      </c>
      <c r="J36" s="764">
        <v>436</v>
      </c>
      <c r="K36" s="765">
        <f t="shared" si="2"/>
        <v>783</v>
      </c>
      <c r="L36" s="765" t="s">
        <v>1889</v>
      </c>
      <c r="M36" s="910">
        <v>27</v>
      </c>
    </row>
    <row r="37" spans="1:17" ht="45" customHeight="1">
      <c r="A37" s="916">
        <v>28</v>
      </c>
      <c r="B37" s="861" t="s">
        <v>1658</v>
      </c>
      <c r="C37" s="860">
        <v>11</v>
      </c>
      <c r="D37" s="856">
        <v>74</v>
      </c>
      <c r="E37" s="856">
        <f>D37+C37</f>
        <v>85</v>
      </c>
      <c r="F37" s="860">
        <v>114</v>
      </c>
      <c r="G37" s="856">
        <v>266</v>
      </c>
      <c r="H37" s="859">
        <f>G37+F37</f>
        <v>380</v>
      </c>
      <c r="I37" s="856">
        <v>615</v>
      </c>
      <c r="J37" s="856">
        <v>1091</v>
      </c>
      <c r="K37" s="859">
        <f>J37+I37</f>
        <v>1706</v>
      </c>
      <c r="L37" s="859" t="s">
        <v>1605</v>
      </c>
      <c r="M37" s="916">
        <v>28</v>
      </c>
    </row>
    <row r="38" spans="1:17" ht="27.95" customHeight="1">
      <c r="A38" s="1493" t="s">
        <v>447</v>
      </c>
      <c r="B38" s="1493"/>
      <c r="C38" s="1493"/>
      <c r="D38" s="1493"/>
      <c r="E38" s="1493"/>
      <c r="F38" s="1493"/>
      <c r="G38" s="1494" t="s">
        <v>673</v>
      </c>
      <c r="H38" s="1494"/>
      <c r="I38" s="1494"/>
      <c r="J38" s="1494"/>
      <c r="K38" s="1494"/>
      <c r="L38" s="1494"/>
      <c r="M38" s="1494"/>
      <c r="P38">
        <v>0</v>
      </c>
      <c r="Q38">
        <v>723</v>
      </c>
    </row>
    <row r="39" spans="1:17" ht="27.95" customHeight="1">
      <c r="A39" s="1493"/>
      <c r="B39" s="1493"/>
      <c r="C39" s="1493"/>
      <c r="D39" s="1493"/>
      <c r="E39" s="1493"/>
      <c r="F39" s="1493"/>
      <c r="G39" s="1494" t="s">
        <v>1088</v>
      </c>
      <c r="H39" s="1494"/>
      <c r="I39" s="1494"/>
      <c r="J39" s="1494"/>
      <c r="K39" s="1494"/>
      <c r="L39" s="1494"/>
      <c r="M39" s="1494"/>
      <c r="P39">
        <v>29</v>
      </c>
      <c r="Q39">
        <v>156</v>
      </c>
    </row>
    <row r="40" spans="1:17" ht="27.95" customHeight="1">
      <c r="A40" s="1459" t="s">
        <v>2028</v>
      </c>
      <c r="B40" s="1495" t="s">
        <v>1624</v>
      </c>
      <c r="C40" s="1495" t="s">
        <v>674</v>
      </c>
      <c r="D40" s="1498"/>
      <c r="E40" s="1499"/>
      <c r="F40" s="1495" t="s">
        <v>526</v>
      </c>
      <c r="G40" s="1498"/>
      <c r="H40" s="1499"/>
      <c r="I40" s="1498" t="s">
        <v>527</v>
      </c>
      <c r="J40" s="1498"/>
      <c r="K40" s="1499"/>
      <c r="L40" s="1499" t="s">
        <v>405</v>
      </c>
      <c r="M40" s="1459" t="s">
        <v>2027</v>
      </c>
      <c r="P40">
        <v>56</v>
      </c>
      <c r="Q40">
        <v>1516</v>
      </c>
    </row>
    <row r="41" spans="1:17" ht="27.95" customHeight="1">
      <c r="A41" s="1460"/>
      <c r="B41" s="1496"/>
      <c r="C41" s="1497" t="s">
        <v>73</v>
      </c>
      <c r="D41" s="1503"/>
      <c r="E41" s="1504"/>
      <c r="F41" s="1500" t="s">
        <v>127</v>
      </c>
      <c r="G41" s="1501"/>
      <c r="H41" s="1502"/>
      <c r="I41" s="1503" t="s">
        <v>62</v>
      </c>
      <c r="J41" s="1503"/>
      <c r="K41" s="1504"/>
      <c r="L41" s="1505"/>
      <c r="M41" s="1460"/>
      <c r="N41">
        <v>9979</v>
      </c>
      <c r="O41">
        <f>3959+6051</f>
        <v>10010</v>
      </c>
      <c r="P41">
        <v>89</v>
      </c>
      <c r="Q41">
        <v>931</v>
      </c>
    </row>
    <row r="42" spans="1:17" ht="27.95" customHeight="1">
      <c r="A42" s="1460"/>
      <c r="B42" s="1496"/>
      <c r="C42" s="877" t="s">
        <v>0</v>
      </c>
      <c r="D42" s="1065" t="s">
        <v>1</v>
      </c>
      <c r="E42" s="1066" t="s">
        <v>2</v>
      </c>
      <c r="F42" s="877" t="s">
        <v>0</v>
      </c>
      <c r="G42" s="1065" t="s">
        <v>1</v>
      </c>
      <c r="H42" s="1067" t="s">
        <v>2</v>
      </c>
      <c r="I42" s="1066" t="s">
        <v>0</v>
      </c>
      <c r="J42" s="1065" t="s">
        <v>1</v>
      </c>
      <c r="K42" s="1067" t="s">
        <v>2</v>
      </c>
      <c r="L42" s="1505"/>
      <c r="M42" s="1460"/>
      <c r="N42">
        <v>1494</v>
      </c>
      <c r="O42">
        <f>658+827</f>
        <v>1485</v>
      </c>
      <c r="P42">
        <v>8</v>
      </c>
      <c r="Q42">
        <v>1218</v>
      </c>
    </row>
    <row r="43" spans="1:17" ht="27.95" customHeight="1">
      <c r="A43" s="1460"/>
      <c r="B43" s="1496"/>
      <c r="C43" s="894" t="s">
        <v>500</v>
      </c>
      <c r="D43" s="895" t="s">
        <v>501</v>
      </c>
      <c r="E43" s="896" t="s">
        <v>502</v>
      </c>
      <c r="F43" s="894" t="s">
        <v>500</v>
      </c>
      <c r="G43" s="895" t="s">
        <v>501</v>
      </c>
      <c r="H43" s="897" t="s">
        <v>502</v>
      </c>
      <c r="I43" s="896" t="s">
        <v>500</v>
      </c>
      <c r="J43" s="895" t="s">
        <v>501</v>
      </c>
      <c r="K43" s="897" t="s">
        <v>502</v>
      </c>
      <c r="L43" s="1505"/>
      <c r="M43" s="1460"/>
      <c r="N43">
        <v>11473</v>
      </c>
      <c r="O43">
        <f>4617+6878</f>
        <v>11495</v>
      </c>
      <c r="P43">
        <v>84</v>
      </c>
      <c r="Q43">
        <v>701</v>
      </c>
    </row>
    <row r="44" spans="1:17" ht="27.95" customHeight="1">
      <c r="A44" s="1461"/>
      <c r="B44" s="1497"/>
      <c r="C44" s="926" t="s">
        <v>3</v>
      </c>
      <c r="D44" s="927" t="s">
        <v>4</v>
      </c>
      <c r="E44" s="1068" t="s">
        <v>5</v>
      </c>
      <c r="F44" s="926" t="s">
        <v>3</v>
      </c>
      <c r="G44" s="927" t="s">
        <v>4</v>
      </c>
      <c r="H44" s="1069" t="s">
        <v>5</v>
      </c>
      <c r="I44" s="1068" t="s">
        <v>3</v>
      </c>
      <c r="J44" s="927" t="s">
        <v>4</v>
      </c>
      <c r="K44" s="1069" t="s">
        <v>5</v>
      </c>
      <c r="L44" s="1504"/>
      <c r="M44" s="1461"/>
      <c r="P44">
        <v>103</v>
      </c>
      <c r="Q44">
        <v>594</v>
      </c>
    </row>
    <row r="45" spans="1:17" ht="62.1" customHeight="1">
      <c r="A45" s="903">
        <v>29</v>
      </c>
      <c r="B45" s="1070" t="s">
        <v>1554</v>
      </c>
      <c r="C45" s="787">
        <v>21</v>
      </c>
      <c r="D45" s="788">
        <f>33+122</f>
        <v>155</v>
      </c>
      <c r="E45" s="788">
        <f>D45+C45</f>
        <v>176</v>
      </c>
      <c r="F45" s="787">
        <f>20+110</f>
        <v>130</v>
      </c>
      <c r="G45" s="788">
        <f>237+498</f>
        <v>735</v>
      </c>
      <c r="H45" s="786">
        <f>G45+F45</f>
        <v>865</v>
      </c>
      <c r="I45" s="788">
        <f>385+39</f>
        <v>424</v>
      </c>
      <c r="J45" s="788">
        <f>1762+589</f>
        <v>2351</v>
      </c>
      <c r="K45" s="786">
        <f>J45+I45</f>
        <v>2775</v>
      </c>
      <c r="L45" s="874" t="s">
        <v>1553</v>
      </c>
      <c r="M45" s="903">
        <v>29</v>
      </c>
    </row>
    <row r="46" spans="1:17" ht="62.1" customHeight="1">
      <c r="A46" s="914">
        <v>30</v>
      </c>
      <c r="B46" s="839" t="s">
        <v>1657</v>
      </c>
      <c r="C46" s="772">
        <f>2</f>
        <v>2</v>
      </c>
      <c r="D46" s="769">
        <f>110+36</f>
        <v>146</v>
      </c>
      <c r="E46" s="769">
        <f>D46+C46</f>
        <v>148</v>
      </c>
      <c r="F46" s="772">
        <f>42+25</f>
        <v>67</v>
      </c>
      <c r="G46" s="769">
        <f>132+301</f>
        <v>433</v>
      </c>
      <c r="H46" s="768">
        <f>G46+F46</f>
        <v>500</v>
      </c>
      <c r="I46" s="769">
        <f>156+57</f>
        <v>213</v>
      </c>
      <c r="J46" s="769">
        <f>430+667</f>
        <v>1097</v>
      </c>
      <c r="K46" s="768">
        <f>J46+I46</f>
        <v>1310</v>
      </c>
      <c r="L46" s="852" t="s">
        <v>1864</v>
      </c>
      <c r="M46" s="914">
        <v>30</v>
      </c>
      <c r="P46">
        <v>36037</v>
      </c>
    </row>
    <row r="47" spans="1:17" ht="62.1" customHeight="1">
      <c r="A47" s="910">
        <v>31</v>
      </c>
      <c r="B47" s="870" t="s">
        <v>1656</v>
      </c>
      <c r="C47" s="763">
        <v>12</v>
      </c>
      <c r="D47" s="764">
        <v>124</v>
      </c>
      <c r="E47" s="764">
        <f t="shared" ref="E47:E48" si="5">D47+C47</f>
        <v>136</v>
      </c>
      <c r="F47" s="763">
        <v>132</v>
      </c>
      <c r="G47" s="764">
        <v>268</v>
      </c>
      <c r="H47" s="765">
        <f t="shared" ref="H47:H63" si="6">G47+F47</f>
        <v>400</v>
      </c>
      <c r="I47" s="764">
        <v>847</v>
      </c>
      <c r="J47" s="764">
        <v>1505</v>
      </c>
      <c r="K47" s="765">
        <f t="shared" ref="K47:K63" si="7">J47+I47</f>
        <v>2352</v>
      </c>
      <c r="L47" s="848" t="s">
        <v>1865</v>
      </c>
      <c r="M47" s="910">
        <v>31</v>
      </c>
    </row>
    <row r="48" spans="1:17" ht="62.1" customHeight="1">
      <c r="A48" s="914">
        <v>32</v>
      </c>
      <c r="B48" s="839" t="s">
        <v>1894</v>
      </c>
      <c r="C48" s="772">
        <v>34</v>
      </c>
      <c r="D48" s="769">
        <v>87</v>
      </c>
      <c r="E48" s="769">
        <f t="shared" si="5"/>
        <v>121</v>
      </c>
      <c r="F48" s="772">
        <v>78</v>
      </c>
      <c r="G48" s="769">
        <v>275</v>
      </c>
      <c r="H48" s="768">
        <f t="shared" si="6"/>
        <v>353</v>
      </c>
      <c r="I48" s="769">
        <v>1078</v>
      </c>
      <c r="J48" s="769">
        <v>1437</v>
      </c>
      <c r="K48" s="768">
        <f t="shared" si="7"/>
        <v>2515</v>
      </c>
      <c r="L48" s="852" t="s">
        <v>1896</v>
      </c>
      <c r="M48" s="914">
        <v>32</v>
      </c>
    </row>
    <row r="49" spans="1:13" ht="62.1" customHeight="1">
      <c r="A49" s="910">
        <v>33</v>
      </c>
      <c r="B49" s="870" t="s">
        <v>1895</v>
      </c>
      <c r="C49" s="763" t="s">
        <v>14</v>
      </c>
      <c r="D49" s="764">
        <v>46</v>
      </c>
      <c r="E49" s="764">
        <f>D49</f>
        <v>46</v>
      </c>
      <c r="F49" s="763">
        <v>18</v>
      </c>
      <c r="G49" s="764">
        <v>48</v>
      </c>
      <c r="H49" s="765">
        <f t="shared" si="6"/>
        <v>66</v>
      </c>
      <c r="I49" s="764">
        <v>97</v>
      </c>
      <c r="J49" s="764">
        <v>453</v>
      </c>
      <c r="K49" s="765">
        <f t="shared" si="7"/>
        <v>550</v>
      </c>
      <c r="L49" s="848" t="s">
        <v>1959</v>
      </c>
      <c r="M49" s="910">
        <v>33</v>
      </c>
    </row>
    <row r="50" spans="1:13" ht="62.1" customHeight="1">
      <c r="A50" s="914">
        <v>34</v>
      </c>
      <c r="B50" s="839" t="s">
        <v>1787</v>
      </c>
      <c r="C50" s="772">
        <v>12</v>
      </c>
      <c r="D50" s="769">
        <v>117</v>
      </c>
      <c r="E50" s="769">
        <f>D50+C50</f>
        <v>129</v>
      </c>
      <c r="F50" s="772">
        <v>128</v>
      </c>
      <c r="G50" s="769">
        <v>457</v>
      </c>
      <c r="H50" s="768">
        <f t="shared" si="6"/>
        <v>585</v>
      </c>
      <c r="I50" s="769">
        <v>516</v>
      </c>
      <c r="J50" s="769">
        <v>1468</v>
      </c>
      <c r="K50" s="768">
        <f t="shared" si="7"/>
        <v>1984</v>
      </c>
      <c r="L50" s="852" t="s">
        <v>1788</v>
      </c>
      <c r="M50" s="914">
        <v>34</v>
      </c>
    </row>
    <row r="51" spans="1:13" ht="62.1" customHeight="1">
      <c r="A51" s="910">
        <v>35</v>
      </c>
      <c r="B51" s="870" t="s">
        <v>1655</v>
      </c>
      <c r="C51" s="763">
        <v>14</v>
      </c>
      <c r="D51" s="764">
        <v>55</v>
      </c>
      <c r="E51" s="764">
        <f t="shared" ref="E51:E53" si="8">D51+C51</f>
        <v>69</v>
      </c>
      <c r="F51" s="763" t="s">
        <v>14</v>
      </c>
      <c r="G51" s="764">
        <v>145</v>
      </c>
      <c r="H51" s="765">
        <f>G51</f>
        <v>145</v>
      </c>
      <c r="I51" s="764">
        <v>359</v>
      </c>
      <c r="J51" s="764">
        <v>789</v>
      </c>
      <c r="K51" s="765">
        <f t="shared" si="7"/>
        <v>1148</v>
      </c>
      <c r="L51" s="848" t="s">
        <v>1606</v>
      </c>
      <c r="M51" s="910">
        <v>35</v>
      </c>
    </row>
    <row r="52" spans="1:13" ht="62.1" customHeight="1">
      <c r="A52" s="914">
        <v>36</v>
      </c>
      <c r="B52" s="839" t="s">
        <v>1654</v>
      </c>
      <c r="C52" s="772">
        <v>8</v>
      </c>
      <c r="D52" s="769">
        <v>39</v>
      </c>
      <c r="E52" s="769">
        <f t="shared" si="8"/>
        <v>47</v>
      </c>
      <c r="F52" s="772">
        <v>16</v>
      </c>
      <c r="G52" s="769">
        <v>116</v>
      </c>
      <c r="H52" s="768">
        <f t="shared" si="6"/>
        <v>132</v>
      </c>
      <c r="I52" s="769">
        <v>74</v>
      </c>
      <c r="J52" s="769">
        <v>652</v>
      </c>
      <c r="K52" s="768">
        <f t="shared" si="7"/>
        <v>726</v>
      </c>
      <c r="L52" s="852" t="s">
        <v>1607</v>
      </c>
      <c r="M52" s="914">
        <v>36</v>
      </c>
    </row>
    <row r="53" spans="1:13" ht="62.1" customHeight="1">
      <c r="A53" s="910">
        <v>37</v>
      </c>
      <c r="B53" s="870" t="s">
        <v>1653</v>
      </c>
      <c r="C53" s="763">
        <v>15</v>
      </c>
      <c r="D53" s="764">
        <v>70</v>
      </c>
      <c r="E53" s="764">
        <f t="shared" si="8"/>
        <v>85</v>
      </c>
      <c r="F53" s="763">
        <v>36</v>
      </c>
      <c r="G53" s="764">
        <v>230</v>
      </c>
      <c r="H53" s="765">
        <f t="shared" si="6"/>
        <v>266</v>
      </c>
      <c r="I53" s="764">
        <v>304</v>
      </c>
      <c r="J53" s="764">
        <v>1197</v>
      </c>
      <c r="K53" s="765">
        <f t="shared" si="7"/>
        <v>1501</v>
      </c>
      <c r="L53" s="848" t="s">
        <v>1608</v>
      </c>
      <c r="M53" s="910">
        <v>37</v>
      </c>
    </row>
    <row r="54" spans="1:13" ht="62.1" customHeight="1">
      <c r="A54" s="914">
        <v>38</v>
      </c>
      <c r="B54" s="839" t="s">
        <v>1652</v>
      </c>
      <c r="C54" s="772" t="s">
        <v>14</v>
      </c>
      <c r="D54" s="769">
        <v>34</v>
      </c>
      <c r="E54" s="769">
        <f>D54</f>
        <v>34</v>
      </c>
      <c r="F54" s="772">
        <v>3</v>
      </c>
      <c r="G54" s="769">
        <v>323</v>
      </c>
      <c r="H54" s="768">
        <f t="shared" si="6"/>
        <v>326</v>
      </c>
      <c r="I54" s="769">
        <v>4</v>
      </c>
      <c r="J54" s="769">
        <v>738</v>
      </c>
      <c r="K54" s="768">
        <f t="shared" si="7"/>
        <v>742</v>
      </c>
      <c r="L54" s="852" t="s">
        <v>1609</v>
      </c>
      <c r="M54" s="914">
        <v>38</v>
      </c>
    </row>
    <row r="55" spans="1:13" ht="62.1" customHeight="1">
      <c r="A55" s="910">
        <v>39</v>
      </c>
      <c r="B55" s="870" t="s">
        <v>1651</v>
      </c>
      <c r="C55" s="763">
        <v>3</v>
      </c>
      <c r="D55" s="764">
        <v>110</v>
      </c>
      <c r="E55" s="764">
        <f>D55+C55</f>
        <v>113</v>
      </c>
      <c r="F55" s="763">
        <v>152</v>
      </c>
      <c r="G55" s="764">
        <v>265</v>
      </c>
      <c r="H55" s="765">
        <f t="shared" si="6"/>
        <v>417</v>
      </c>
      <c r="I55" s="764">
        <v>523</v>
      </c>
      <c r="J55" s="764">
        <v>1108</v>
      </c>
      <c r="K55" s="765">
        <f t="shared" si="7"/>
        <v>1631</v>
      </c>
      <c r="L55" s="848" t="s">
        <v>1610</v>
      </c>
      <c r="M55" s="910">
        <v>39</v>
      </c>
    </row>
    <row r="56" spans="1:13" ht="62.1" customHeight="1">
      <c r="A56" s="914">
        <v>40</v>
      </c>
      <c r="B56" s="839" t="s">
        <v>2021</v>
      </c>
      <c r="C56" s="772">
        <v>3</v>
      </c>
      <c r="D56" s="769">
        <v>97</v>
      </c>
      <c r="E56" s="769">
        <f t="shared" ref="E56:E57" si="9">D56+C56</f>
        <v>100</v>
      </c>
      <c r="F56" s="772">
        <v>53</v>
      </c>
      <c r="G56" s="769">
        <v>1130</v>
      </c>
      <c r="H56" s="768">
        <f t="shared" si="6"/>
        <v>1183</v>
      </c>
      <c r="I56" s="769">
        <v>200</v>
      </c>
      <c r="J56" s="769">
        <v>3160</v>
      </c>
      <c r="K56" s="768">
        <f t="shared" si="7"/>
        <v>3360</v>
      </c>
      <c r="L56" s="852" t="s">
        <v>2020</v>
      </c>
      <c r="M56" s="914">
        <v>40</v>
      </c>
    </row>
    <row r="57" spans="1:13" ht="62.1" customHeight="1">
      <c r="A57" s="910">
        <v>41</v>
      </c>
      <c r="B57" s="870" t="s">
        <v>1650</v>
      </c>
      <c r="C57" s="763">
        <f>24+19</f>
        <v>43</v>
      </c>
      <c r="D57" s="764">
        <f>98+121</f>
        <v>219</v>
      </c>
      <c r="E57" s="764">
        <f t="shared" si="9"/>
        <v>262</v>
      </c>
      <c r="F57" s="763">
        <f>48+58</f>
        <v>106</v>
      </c>
      <c r="G57" s="764">
        <f>140+190</f>
        <v>330</v>
      </c>
      <c r="H57" s="765">
        <f t="shared" si="6"/>
        <v>436</v>
      </c>
      <c r="I57" s="764">
        <f>1788+436</f>
        <v>2224</v>
      </c>
      <c r="J57" s="764">
        <f>1609+905</f>
        <v>2514</v>
      </c>
      <c r="K57" s="765">
        <f t="shared" si="7"/>
        <v>4738</v>
      </c>
      <c r="L57" s="848" t="s">
        <v>1611</v>
      </c>
      <c r="M57" s="910">
        <v>41</v>
      </c>
    </row>
    <row r="58" spans="1:13" ht="62.1" customHeight="1">
      <c r="A58" s="914">
        <v>42</v>
      </c>
      <c r="B58" s="839" t="s">
        <v>1649</v>
      </c>
      <c r="C58" s="772" t="s">
        <v>14</v>
      </c>
      <c r="D58" s="769">
        <v>23</v>
      </c>
      <c r="E58" s="769">
        <f>D58</f>
        <v>23</v>
      </c>
      <c r="F58" s="772">
        <v>31</v>
      </c>
      <c r="G58" s="769">
        <v>120</v>
      </c>
      <c r="H58" s="768">
        <f t="shared" si="6"/>
        <v>151</v>
      </c>
      <c r="I58" s="769">
        <v>54</v>
      </c>
      <c r="J58" s="769">
        <v>319</v>
      </c>
      <c r="K58" s="768">
        <f t="shared" si="7"/>
        <v>373</v>
      </c>
      <c r="L58" s="852" t="s">
        <v>1612</v>
      </c>
      <c r="M58" s="914">
        <v>42</v>
      </c>
    </row>
    <row r="59" spans="1:13" ht="62.1" customHeight="1">
      <c r="A59" s="910">
        <v>43</v>
      </c>
      <c r="B59" s="870" t="s">
        <v>1648</v>
      </c>
      <c r="C59" s="763">
        <v>9</v>
      </c>
      <c r="D59" s="764">
        <v>37</v>
      </c>
      <c r="E59" s="764">
        <f>D59+C59</f>
        <v>46</v>
      </c>
      <c r="F59" s="763">
        <v>20</v>
      </c>
      <c r="G59" s="764">
        <v>76</v>
      </c>
      <c r="H59" s="765">
        <f t="shared" si="6"/>
        <v>96</v>
      </c>
      <c r="I59" s="764">
        <v>122</v>
      </c>
      <c r="J59" s="764">
        <v>480</v>
      </c>
      <c r="K59" s="765">
        <f t="shared" si="7"/>
        <v>602</v>
      </c>
      <c r="L59" s="848" t="s">
        <v>1613</v>
      </c>
      <c r="M59" s="910">
        <v>43</v>
      </c>
    </row>
    <row r="60" spans="1:13" ht="62.1" customHeight="1">
      <c r="A60" s="914">
        <v>44</v>
      </c>
      <c r="B60" s="839" t="s">
        <v>1647</v>
      </c>
      <c r="C60" s="772">
        <v>6</v>
      </c>
      <c r="D60" s="769">
        <v>92</v>
      </c>
      <c r="E60" s="769">
        <f t="shared" ref="E60:E63" si="10">D60+C60</f>
        <v>98</v>
      </c>
      <c r="F60" s="772">
        <v>196</v>
      </c>
      <c r="G60" s="769">
        <v>279</v>
      </c>
      <c r="H60" s="768">
        <f t="shared" si="6"/>
        <v>475</v>
      </c>
      <c r="I60" s="769">
        <v>389</v>
      </c>
      <c r="J60" s="769">
        <v>577</v>
      </c>
      <c r="K60" s="768">
        <f t="shared" si="7"/>
        <v>966</v>
      </c>
      <c r="L60" s="852" t="s">
        <v>1614</v>
      </c>
      <c r="M60" s="914">
        <v>44</v>
      </c>
    </row>
    <row r="61" spans="1:13" ht="62.1" customHeight="1">
      <c r="A61" s="910">
        <v>45</v>
      </c>
      <c r="B61" s="870" t="s">
        <v>1646</v>
      </c>
      <c r="C61" s="763">
        <v>38</v>
      </c>
      <c r="D61" s="764">
        <v>88</v>
      </c>
      <c r="E61" s="764">
        <f t="shared" si="10"/>
        <v>126</v>
      </c>
      <c r="F61" s="763">
        <v>71</v>
      </c>
      <c r="G61" s="764">
        <v>130</v>
      </c>
      <c r="H61" s="765">
        <f t="shared" si="6"/>
        <v>201</v>
      </c>
      <c r="I61" s="764">
        <v>651</v>
      </c>
      <c r="J61" s="764">
        <v>984</v>
      </c>
      <c r="K61" s="765">
        <f t="shared" si="7"/>
        <v>1635</v>
      </c>
      <c r="L61" s="848" t="s">
        <v>1615</v>
      </c>
      <c r="M61" s="910">
        <v>45</v>
      </c>
    </row>
    <row r="62" spans="1:13" ht="62.1" customHeight="1">
      <c r="A62" s="914">
        <v>46</v>
      </c>
      <c r="B62" s="839" t="s">
        <v>2019</v>
      </c>
      <c r="C62" s="772">
        <v>3</v>
      </c>
      <c r="D62" s="769">
        <v>66</v>
      </c>
      <c r="E62" s="769">
        <f t="shared" si="10"/>
        <v>69</v>
      </c>
      <c r="F62" s="772">
        <v>59</v>
      </c>
      <c r="G62" s="769">
        <v>424</v>
      </c>
      <c r="H62" s="768">
        <f t="shared" si="6"/>
        <v>483</v>
      </c>
      <c r="I62" s="769">
        <v>177</v>
      </c>
      <c r="J62" s="769">
        <v>991</v>
      </c>
      <c r="K62" s="768">
        <f t="shared" si="7"/>
        <v>1168</v>
      </c>
      <c r="L62" s="1072" t="s">
        <v>2018</v>
      </c>
      <c r="M62" s="914">
        <v>46</v>
      </c>
    </row>
    <row r="63" spans="1:13" ht="62.1" customHeight="1">
      <c r="A63" s="910">
        <v>47</v>
      </c>
      <c r="B63" s="870" t="s">
        <v>1645</v>
      </c>
      <c r="C63" s="763">
        <v>9</v>
      </c>
      <c r="D63" s="764">
        <v>147</v>
      </c>
      <c r="E63" s="764">
        <f t="shared" si="10"/>
        <v>156</v>
      </c>
      <c r="F63" s="763">
        <v>118</v>
      </c>
      <c r="G63" s="764">
        <v>659</v>
      </c>
      <c r="H63" s="765">
        <f t="shared" si="6"/>
        <v>777</v>
      </c>
      <c r="I63" s="764">
        <v>672</v>
      </c>
      <c r="J63" s="764">
        <v>2566</v>
      </c>
      <c r="K63" s="765">
        <f t="shared" si="7"/>
        <v>3238</v>
      </c>
      <c r="L63" s="1073" t="s">
        <v>1792</v>
      </c>
      <c r="M63" s="910">
        <v>47</v>
      </c>
    </row>
    <row r="64" spans="1:13" ht="62.1" customHeight="1">
      <c r="A64" s="916">
        <v>48</v>
      </c>
      <c r="B64" s="1071" t="s">
        <v>1644</v>
      </c>
      <c r="C64" s="860">
        <v>1</v>
      </c>
      <c r="D64" s="856">
        <v>80</v>
      </c>
      <c r="E64" s="856">
        <f>D64+C64</f>
        <v>81</v>
      </c>
      <c r="F64" s="860">
        <v>59</v>
      </c>
      <c r="G64" s="856">
        <v>590</v>
      </c>
      <c r="H64" s="859">
        <f>G64+F64</f>
        <v>649</v>
      </c>
      <c r="I64" s="856">
        <v>273</v>
      </c>
      <c r="J64" s="856">
        <v>1824</v>
      </c>
      <c r="K64" s="859">
        <f>J64+I64</f>
        <v>2097</v>
      </c>
      <c r="L64" s="1074" t="s">
        <v>1616</v>
      </c>
      <c r="M64" s="916">
        <v>48</v>
      </c>
    </row>
    <row r="65" spans="1:14" ht="26.1" customHeight="1">
      <c r="A65" s="1493" t="s">
        <v>447</v>
      </c>
      <c r="B65" s="1493"/>
      <c r="C65" s="1493"/>
      <c r="D65" s="1493"/>
      <c r="E65" s="1493"/>
      <c r="F65" s="1493"/>
      <c r="G65" s="1494" t="s">
        <v>673</v>
      </c>
      <c r="H65" s="1494"/>
      <c r="I65" s="1494"/>
      <c r="J65" s="1494"/>
      <c r="K65" s="1494"/>
      <c r="L65" s="1494"/>
      <c r="M65" s="1494"/>
    </row>
    <row r="66" spans="1:14" ht="26.1" customHeight="1">
      <c r="A66" s="1493"/>
      <c r="B66" s="1493"/>
      <c r="C66" s="1493"/>
      <c r="D66" s="1493"/>
      <c r="E66" s="1493"/>
      <c r="F66" s="1493"/>
      <c r="G66" s="1494" t="s">
        <v>1088</v>
      </c>
      <c r="H66" s="1494"/>
      <c r="I66" s="1494"/>
      <c r="J66" s="1494"/>
      <c r="K66" s="1494"/>
      <c r="L66" s="1494"/>
      <c r="M66" s="1494"/>
    </row>
    <row r="67" spans="1:14" ht="26.1" customHeight="1">
      <c r="A67" s="1459" t="s">
        <v>2028</v>
      </c>
      <c r="B67" s="1495" t="s">
        <v>1624</v>
      </c>
      <c r="C67" s="1495" t="s">
        <v>674</v>
      </c>
      <c r="D67" s="1498"/>
      <c r="E67" s="1499"/>
      <c r="F67" s="1495" t="s">
        <v>526</v>
      </c>
      <c r="G67" s="1498"/>
      <c r="H67" s="1499"/>
      <c r="I67" s="1498" t="s">
        <v>527</v>
      </c>
      <c r="J67" s="1498"/>
      <c r="K67" s="1499"/>
      <c r="L67" s="1499" t="s">
        <v>405</v>
      </c>
      <c r="M67" s="1459" t="s">
        <v>2027</v>
      </c>
    </row>
    <row r="68" spans="1:14" ht="26.1" customHeight="1">
      <c r="A68" s="1460"/>
      <c r="B68" s="1496"/>
      <c r="C68" s="1497" t="s">
        <v>73</v>
      </c>
      <c r="D68" s="1503"/>
      <c r="E68" s="1504"/>
      <c r="F68" s="1500" t="s">
        <v>127</v>
      </c>
      <c r="G68" s="1501"/>
      <c r="H68" s="1502"/>
      <c r="I68" s="1503" t="s">
        <v>62</v>
      </c>
      <c r="J68" s="1503"/>
      <c r="K68" s="1504"/>
      <c r="L68" s="1505"/>
      <c r="M68" s="1460"/>
    </row>
    <row r="69" spans="1:14" ht="26.1" customHeight="1">
      <c r="A69" s="1460"/>
      <c r="B69" s="1496"/>
      <c r="C69" s="877" t="s">
        <v>0</v>
      </c>
      <c r="D69" s="1065" t="s">
        <v>1</v>
      </c>
      <c r="E69" s="1066" t="s">
        <v>2</v>
      </c>
      <c r="F69" s="877" t="s">
        <v>0</v>
      </c>
      <c r="G69" s="1065" t="s">
        <v>1</v>
      </c>
      <c r="H69" s="1067" t="s">
        <v>2</v>
      </c>
      <c r="I69" s="1066" t="s">
        <v>0</v>
      </c>
      <c r="J69" s="1065" t="s">
        <v>1</v>
      </c>
      <c r="K69" s="1067" t="s">
        <v>2</v>
      </c>
      <c r="L69" s="1505"/>
      <c r="M69" s="1460"/>
    </row>
    <row r="70" spans="1:14" ht="26.1" customHeight="1">
      <c r="A70" s="1460"/>
      <c r="B70" s="1496"/>
      <c r="C70" s="894" t="s">
        <v>500</v>
      </c>
      <c r="D70" s="895" t="s">
        <v>501</v>
      </c>
      <c r="E70" s="896" t="s">
        <v>502</v>
      </c>
      <c r="F70" s="894" t="s">
        <v>500</v>
      </c>
      <c r="G70" s="895" t="s">
        <v>501</v>
      </c>
      <c r="H70" s="897" t="s">
        <v>502</v>
      </c>
      <c r="I70" s="896" t="s">
        <v>500</v>
      </c>
      <c r="J70" s="895" t="s">
        <v>501</v>
      </c>
      <c r="K70" s="897" t="s">
        <v>502</v>
      </c>
      <c r="L70" s="1505"/>
      <c r="M70" s="1460"/>
    </row>
    <row r="71" spans="1:14" ht="26.1" customHeight="1">
      <c r="A71" s="1461"/>
      <c r="B71" s="1497"/>
      <c r="C71" s="926" t="s">
        <v>3</v>
      </c>
      <c r="D71" s="927" t="s">
        <v>4</v>
      </c>
      <c r="E71" s="1068" t="s">
        <v>5</v>
      </c>
      <c r="F71" s="926" t="s">
        <v>3</v>
      </c>
      <c r="G71" s="927" t="s">
        <v>4</v>
      </c>
      <c r="H71" s="1069" t="s">
        <v>5</v>
      </c>
      <c r="I71" s="1068" t="s">
        <v>3</v>
      </c>
      <c r="J71" s="927" t="s">
        <v>4</v>
      </c>
      <c r="K71" s="1069" t="s">
        <v>5</v>
      </c>
      <c r="L71" s="1504"/>
      <c r="M71" s="1461"/>
    </row>
    <row r="72" spans="1:14" ht="57" customHeight="1">
      <c r="A72" s="903">
        <v>49</v>
      </c>
      <c r="B72" s="789" t="s">
        <v>1625</v>
      </c>
      <c r="C72" s="787">
        <v>2</v>
      </c>
      <c r="D72" s="788">
        <v>86</v>
      </c>
      <c r="E72" s="788">
        <f>D72+C72</f>
        <v>88</v>
      </c>
      <c r="F72" s="787">
        <v>10</v>
      </c>
      <c r="G72" s="788">
        <v>137</v>
      </c>
      <c r="H72" s="786">
        <f>G72+F72</f>
        <v>147</v>
      </c>
      <c r="I72" s="788">
        <v>184</v>
      </c>
      <c r="J72" s="788">
        <v>1686</v>
      </c>
      <c r="K72" s="786">
        <f>J72+I72</f>
        <v>1870</v>
      </c>
      <c r="L72" s="541" t="s">
        <v>1617</v>
      </c>
      <c r="M72" s="903">
        <v>49</v>
      </c>
    </row>
    <row r="73" spans="1:14" ht="57" customHeight="1">
      <c r="A73" s="914">
        <v>50</v>
      </c>
      <c r="B73" s="770" t="s">
        <v>1626</v>
      </c>
      <c r="C73" s="772">
        <v>3</v>
      </c>
      <c r="D73" s="769">
        <v>67</v>
      </c>
      <c r="E73" s="769">
        <f>D73+C73</f>
        <v>70</v>
      </c>
      <c r="F73" s="772">
        <v>68</v>
      </c>
      <c r="G73" s="769">
        <v>1543</v>
      </c>
      <c r="H73" s="768">
        <f>G73+F73</f>
        <v>1611</v>
      </c>
      <c r="I73" s="769">
        <v>126</v>
      </c>
      <c r="J73" s="769">
        <v>2855</v>
      </c>
      <c r="K73" s="768">
        <f>J73+I73</f>
        <v>2981</v>
      </c>
      <c r="L73" s="680" t="s">
        <v>1618</v>
      </c>
      <c r="M73" s="914">
        <v>50</v>
      </c>
    </row>
    <row r="74" spans="1:14" ht="57" customHeight="1">
      <c r="A74" s="910">
        <v>51</v>
      </c>
      <c r="B74" s="766" t="s">
        <v>1627</v>
      </c>
      <c r="C74" s="763" t="s">
        <v>14</v>
      </c>
      <c r="D74" s="764">
        <v>34</v>
      </c>
      <c r="E74" s="764">
        <f>D74</f>
        <v>34</v>
      </c>
      <c r="F74" s="763">
        <v>53</v>
      </c>
      <c r="G74" s="764">
        <v>130</v>
      </c>
      <c r="H74" s="765">
        <f t="shared" ref="H74:H91" si="11">G74+F74</f>
        <v>183</v>
      </c>
      <c r="I74" s="764">
        <v>225</v>
      </c>
      <c r="J74" s="764">
        <v>534</v>
      </c>
      <c r="K74" s="765">
        <f t="shared" ref="K74:K91" si="12">J74+I74</f>
        <v>759</v>
      </c>
      <c r="L74" s="74" t="s">
        <v>1619</v>
      </c>
      <c r="M74" s="910">
        <v>51</v>
      </c>
      <c r="N74">
        <f>13849+3518+1520+917+4545+2614+305</f>
        <v>27268</v>
      </c>
    </row>
    <row r="75" spans="1:14" ht="57" customHeight="1">
      <c r="A75" s="914">
        <v>52</v>
      </c>
      <c r="B75" s="770" t="s">
        <v>1628</v>
      </c>
      <c r="C75" s="772">
        <v>7</v>
      </c>
      <c r="D75" s="769">
        <v>103</v>
      </c>
      <c r="E75" s="769">
        <f>D75+C75</f>
        <v>110</v>
      </c>
      <c r="F75" s="772">
        <v>38</v>
      </c>
      <c r="G75" s="769">
        <v>260</v>
      </c>
      <c r="H75" s="768">
        <f t="shared" si="11"/>
        <v>298</v>
      </c>
      <c r="I75" s="769">
        <v>209</v>
      </c>
      <c r="J75" s="769">
        <v>1191</v>
      </c>
      <c r="K75" s="768">
        <f t="shared" si="12"/>
        <v>1400</v>
      </c>
      <c r="L75" s="680" t="s">
        <v>1866</v>
      </c>
      <c r="M75" s="914">
        <v>52</v>
      </c>
    </row>
    <row r="76" spans="1:14" ht="57" customHeight="1">
      <c r="A76" s="910">
        <v>53</v>
      </c>
      <c r="B76" s="766" t="s">
        <v>1629</v>
      </c>
      <c r="C76" s="763" t="s">
        <v>14</v>
      </c>
      <c r="D76" s="764">
        <v>59</v>
      </c>
      <c r="E76" s="764">
        <f>D76</f>
        <v>59</v>
      </c>
      <c r="F76" s="763">
        <v>40</v>
      </c>
      <c r="G76" s="764">
        <v>296</v>
      </c>
      <c r="H76" s="765">
        <f t="shared" si="11"/>
        <v>336</v>
      </c>
      <c r="I76" s="764">
        <v>192</v>
      </c>
      <c r="J76" s="764">
        <v>869</v>
      </c>
      <c r="K76" s="765">
        <f t="shared" si="12"/>
        <v>1061</v>
      </c>
      <c r="L76" s="74" t="s">
        <v>1867</v>
      </c>
      <c r="M76" s="910">
        <v>53</v>
      </c>
    </row>
    <row r="77" spans="1:14" ht="57" customHeight="1">
      <c r="A77" s="914">
        <v>54</v>
      </c>
      <c r="B77" s="770" t="s">
        <v>2022</v>
      </c>
      <c r="C77" s="772">
        <v>2</v>
      </c>
      <c r="D77" s="769">
        <v>96</v>
      </c>
      <c r="E77" s="769">
        <f>D77+C77</f>
        <v>98</v>
      </c>
      <c r="F77" s="772">
        <v>49</v>
      </c>
      <c r="G77" s="769">
        <v>163</v>
      </c>
      <c r="H77" s="768">
        <f t="shared" si="11"/>
        <v>212</v>
      </c>
      <c r="I77" s="769">
        <v>150</v>
      </c>
      <c r="J77" s="769">
        <v>930</v>
      </c>
      <c r="K77" s="768">
        <f t="shared" si="12"/>
        <v>1080</v>
      </c>
      <c r="L77" s="680" t="s">
        <v>2023</v>
      </c>
      <c r="M77" s="914">
        <v>54</v>
      </c>
    </row>
    <row r="78" spans="1:14" ht="57" customHeight="1">
      <c r="A78" s="910">
        <v>55</v>
      </c>
      <c r="B78" s="766" t="s">
        <v>2025</v>
      </c>
      <c r="C78" s="763">
        <v>10</v>
      </c>
      <c r="D78" s="764">
        <v>79</v>
      </c>
      <c r="E78" s="764">
        <f t="shared" ref="E78:E82" si="13">D78+C78</f>
        <v>89</v>
      </c>
      <c r="F78" s="763">
        <v>162</v>
      </c>
      <c r="G78" s="764">
        <v>364</v>
      </c>
      <c r="H78" s="765">
        <f t="shared" si="11"/>
        <v>526</v>
      </c>
      <c r="I78" s="764">
        <v>650</v>
      </c>
      <c r="J78" s="764">
        <v>1535</v>
      </c>
      <c r="K78" s="765">
        <f t="shared" si="12"/>
        <v>2185</v>
      </c>
      <c r="L78" s="74" t="s">
        <v>2024</v>
      </c>
      <c r="M78" s="910">
        <v>55</v>
      </c>
    </row>
    <row r="79" spans="1:14" ht="57" customHeight="1">
      <c r="A79" s="914">
        <v>56</v>
      </c>
      <c r="B79" s="770" t="s">
        <v>1630</v>
      </c>
      <c r="C79" s="772">
        <v>5</v>
      </c>
      <c r="D79" s="769">
        <v>76</v>
      </c>
      <c r="E79" s="769">
        <f t="shared" si="13"/>
        <v>81</v>
      </c>
      <c r="F79" s="772">
        <v>100</v>
      </c>
      <c r="G79" s="769">
        <v>263</v>
      </c>
      <c r="H79" s="768">
        <f t="shared" si="11"/>
        <v>363</v>
      </c>
      <c r="I79" s="769">
        <v>157</v>
      </c>
      <c r="J79" s="769">
        <v>509</v>
      </c>
      <c r="K79" s="768">
        <f t="shared" si="12"/>
        <v>666</v>
      </c>
      <c r="L79" s="680" t="s">
        <v>1620</v>
      </c>
      <c r="M79" s="914">
        <v>56</v>
      </c>
    </row>
    <row r="80" spans="1:14" ht="57" customHeight="1">
      <c r="A80" s="910">
        <v>57</v>
      </c>
      <c r="B80" s="766" t="s">
        <v>1631</v>
      </c>
      <c r="C80" s="763">
        <v>18</v>
      </c>
      <c r="D80" s="764">
        <v>110</v>
      </c>
      <c r="E80" s="764">
        <f t="shared" si="13"/>
        <v>128</v>
      </c>
      <c r="F80" s="763">
        <v>27</v>
      </c>
      <c r="G80" s="764">
        <v>160</v>
      </c>
      <c r="H80" s="765">
        <f t="shared" si="11"/>
        <v>187</v>
      </c>
      <c r="I80" s="764">
        <v>142</v>
      </c>
      <c r="J80" s="764">
        <v>714</v>
      </c>
      <c r="K80" s="765">
        <f t="shared" si="12"/>
        <v>856</v>
      </c>
      <c r="L80" s="74" t="s">
        <v>1868</v>
      </c>
      <c r="M80" s="910">
        <v>57</v>
      </c>
    </row>
    <row r="81" spans="1:24" ht="57" customHeight="1">
      <c r="A81" s="914">
        <v>58</v>
      </c>
      <c r="B81" s="770" t="s">
        <v>1632</v>
      </c>
      <c r="C81" s="772">
        <v>47</v>
      </c>
      <c r="D81" s="769">
        <v>155</v>
      </c>
      <c r="E81" s="769">
        <f t="shared" si="13"/>
        <v>202</v>
      </c>
      <c r="F81" s="772">
        <v>182</v>
      </c>
      <c r="G81" s="769">
        <v>337</v>
      </c>
      <c r="H81" s="768">
        <f t="shared" si="11"/>
        <v>519</v>
      </c>
      <c r="I81" s="769">
        <v>723</v>
      </c>
      <c r="J81" s="769">
        <v>1189</v>
      </c>
      <c r="K81" s="768">
        <f t="shared" si="12"/>
        <v>1912</v>
      </c>
      <c r="L81" s="680" t="s">
        <v>1869</v>
      </c>
      <c r="M81" s="914">
        <v>58</v>
      </c>
      <c r="N81" s="870" t="s">
        <v>504</v>
      </c>
      <c r="O81" s="419"/>
      <c r="P81" s="420"/>
      <c r="Q81" s="518">
        <f>P81+O81</f>
        <v>0</v>
      </c>
      <c r="R81" s="419">
        <v>0</v>
      </c>
      <c r="S81" s="420">
        <v>0</v>
      </c>
      <c r="T81" s="519">
        <f>S81+R81</f>
        <v>0</v>
      </c>
      <c r="U81" s="420"/>
      <c r="V81" s="420"/>
      <c r="W81" s="519">
        <f>V81+U81</f>
        <v>0</v>
      </c>
      <c r="X81" s="74" t="s">
        <v>1621</v>
      </c>
    </row>
    <row r="82" spans="1:24" ht="57" customHeight="1">
      <c r="A82" s="910">
        <v>59</v>
      </c>
      <c r="B82" s="766" t="s">
        <v>1633</v>
      </c>
      <c r="C82" s="763">
        <v>4</v>
      </c>
      <c r="D82" s="764">
        <v>43</v>
      </c>
      <c r="E82" s="764">
        <f t="shared" si="13"/>
        <v>47</v>
      </c>
      <c r="F82" s="763">
        <v>52</v>
      </c>
      <c r="G82" s="764">
        <v>139</v>
      </c>
      <c r="H82" s="765">
        <f t="shared" si="11"/>
        <v>191</v>
      </c>
      <c r="I82" s="764">
        <v>117</v>
      </c>
      <c r="J82" s="764">
        <v>491</v>
      </c>
      <c r="K82" s="765">
        <f t="shared" si="12"/>
        <v>608</v>
      </c>
      <c r="L82" s="74" t="s">
        <v>1898</v>
      </c>
      <c r="M82" s="910">
        <v>59</v>
      </c>
    </row>
    <row r="83" spans="1:24" ht="57" customHeight="1">
      <c r="A83" s="914">
        <v>60</v>
      </c>
      <c r="B83" s="770" t="s">
        <v>1634</v>
      </c>
      <c r="C83" s="772" t="s">
        <v>14</v>
      </c>
      <c r="D83" s="769">
        <v>27</v>
      </c>
      <c r="E83" s="769">
        <f>D83</f>
        <v>27</v>
      </c>
      <c r="F83" s="772">
        <v>87</v>
      </c>
      <c r="G83" s="769">
        <v>333</v>
      </c>
      <c r="H83" s="768">
        <f t="shared" si="11"/>
        <v>420</v>
      </c>
      <c r="I83" s="769">
        <v>96</v>
      </c>
      <c r="J83" s="769">
        <v>708</v>
      </c>
      <c r="K83" s="768">
        <f t="shared" si="12"/>
        <v>804</v>
      </c>
      <c r="L83" s="680" t="s">
        <v>1622</v>
      </c>
      <c r="M83" s="914">
        <v>60</v>
      </c>
      <c r="N83">
        <f>6527+769</f>
        <v>7296</v>
      </c>
    </row>
    <row r="84" spans="1:24" ht="57" customHeight="1">
      <c r="A84" s="910">
        <v>61</v>
      </c>
      <c r="B84" s="766" t="s">
        <v>1635</v>
      </c>
      <c r="C84" s="763">
        <v>16</v>
      </c>
      <c r="D84" s="764">
        <v>77</v>
      </c>
      <c r="E84" s="764">
        <f>D84+C84</f>
        <v>93</v>
      </c>
      <c r="F84" s="763">
        <v>18</v>
      </c>
      <c r="G84" s="764">
        <v>271</v>
      </c>
      <c r="H84" s="765">
        <f t="shared" si="11"/>
        <v>289</v>
      </c>
      <c r="I84" s="764">
        <v>73</v>
      </c>
      <c r="J84" s="764">
        <v>933</v>
      </c>
      <c r="K84" s="765">
        <f t="shared" si="12"/>
        <v>1006</v>
      </c>
      <c r="L84" s="74" t="s">
        <v>1877</v>
      </c>
      <c r="M84" s="910">
        <v>61</v>
      </c>
    </row>
    <row r="85" spans="1:24" ht="57" customHeight="1">
      <c r="A85" s="914">
        <v>62</v>
      </c>
      <c r="B85" s="770" t="s">
        <v>1636</v>
      </c>
      <c r="C85" s="772">
        <v>11</v>
      </c>
      <c r="D85" s="769">
        <v>83</v>
      </c>
      <c r="E85" s="769">
        <f t="shared" ref="E85:E91" si="14">D85+C85</f>
        <v>94</v>
      </c>
      <c r="F85" s="772">
        <v>6</v>
      </c>
      <c r="G85" s="769">
        <v>320</v>
      </c>
      <c r="H85" s="768">
        <f t="shared" si="11"/>
        <v>326</v>
      </c>
      <c r="I85" s="769">
        <v>278</v>
      </c>
      <c r="J85" s="769">
        <v>1330</v>
      </c>
      <c r="K85" s="768">
        <f t="shared" si="12"/>
        <v>1608</v>
      </c>
      <c r="L85" s="680" t="s">
        <v>1623</v>
      </c>
      <c r="M85" s="914">
        <v>62</v>
      </c>
    </row>
    <row r="86" spans="1:24" ht="57" customHeight="1">
      <c r="A86" s="910">
        <v>63</v>
      </c>
      <c r="B86" s="766" t="s">
        <v>1637</v>
      </c>
      <c r="C86" s="763">
        <v>5</v>
      </c>
      <c r="D86" s="764">
        <v>41</v>
      </c>
      <c r="E86" s="764">
        <f t="shared" si="14"/>
        <v>46</v>
      </c>
      <c r="F86" s="763">
        <v>12</v>
      </c>
      <c r="G86" s="764">
        <v>269</v>
      </c>
      <c r="H86" s="765">
        <f t="shared" si="11"/>
        <v>281</v>
      </c>
      <c r="I86" s="764">
        <v>80</v>
      </c>
      <c r="J86" s="764">
        <v>863</v>
      </c>
      <c r="K86" s="765">
        <f t="shared" si="12"/>
        <v>943</v>
      </c>
      <c r="L86" s="74" t="s">
        <v>1899</v>
      </c>
      <c r="M86" s="910">
        <v>63</v>
      </c>
    </row>
    <row r="87" spans="1:24" ht="57" customHeight="1">
      <c r="A87" s="914">
        <v>64</v>
      </c>
      <c r="B87" s="770" t="s">
        <v>1638</v>
      </c>
      <c r="C87" s="772">
        <v>6</v>
      </c>
      <c r="D87" s="769">
        <v>28</v>
      </c>
      <c r="E87" s="769">
        <f t="shared" si="14"/>
        <v>34</v>
      </c>
      <c r="F87" s="772">
        <v>29</v>
      </c>
      <c r="G87" s="769">
        <v>101</v>
      </c>
      <c r="H87" s="768">
        <f t="shared" si="11"/>
        <v>130</v>
      </c>
      <c r="I87" s="769">
        <v>66</v>
      </c>
      <c r="J87" s="769">
        <v>208</v>
      </c>
      <c r="K87" s="768">
        <f t="shared" si="12"/>
        <v>274</v>
      </c>
      <c r="L87" s="680" t="s">
        <v>1960</v>
      </c>
      <c r="M87" s="914">
        <v>64</v>
      </c>
    </row>
    <row r="88" spans="1:24" ht="57" customHeight="1">
      <c r="A88" s="910">
        <v>65</v>
      </c>
      <c r="B88" s="766" t="s">
        <v>1639</v>
      </c>
      <c r="C88" s="763">
        <v>6</v>
      </c>
      <c r="D88" s="764">
        <v>111</v>
      </c>
      <c r="E88" s="764">
        <f t="shared" si="14"/>
        <v>117</v>
      </c>
      <c r="F88" s="763">
        <v>69</v>
      </c>
      <c r="G88" s="764">
        <v>407</v>
      </c>
      <c r="H88" s="765">
        <f t="shared" si="11"/>
        <v>476</v>
      </c>
      <c r="I88" s="764">
        <v>256</v>
      </c>
      <c r="J88" s="764">
        <v>1564</v>
      </c>
      <c r="K88" s="765">
        <f t="shared" si="12"/>
        <v>1820</v>
      </c>
      <c r="L88" s="74" t="s">
        <v>1901</v>
      </c>
      <c r="M88" s="910">
        <v>65</v>
      </c>
    </row>
    <row r="89" spans="1:24" ht="57" customHeight="1">
      <c r="A89" s="914">
        <v>66</v>
      </c>
      <c r="B89" s="770" t="s">
        <v>1640</v>
      </c>
      <c r="C89" s="772">
        <v>26</v>
      </c>
      <c r="D89" s="769">
        <v>166</v>
      </c>
      <c r="E89" s="769">
        <f t="shared" si="14"/>
        <v>192</v>
      </c>
      <c r="F89" s="772">
        <v>109</v>
      </c>
      <c r="G89" s="769">
        <v>139</v>
      </c>
      <c r="H89" s="768">
        <f t="shared" si="11"/>
        <v>248</v>
      </c>
      <c r="I89" s="769">
        <v>665</v>
      </c>
      <c r="J89" s="769">
        <v>1021</v>
      </c>
      <c r="K89" s="768">
        <f t="shared" si="12"/>
        <v>1686</v>
      </c>
      <c r="L89" s="680" t="s">
        <v>1961</v>
      </c>
      <c r="M89" s="914">
        <v>66</v>
      </c>
    </row>
    <row r="90" spans="1:24" ht="57" customHeight="1">
      <c r="A90" s="910">
        <v>67</v>
      </c>
      <c r="B90" s="766" t="s">
        <v>1641</v>
      </c>
      <c r="C90" s="763">
        <f>14</f>
        <v>14</v>
      </c>
      <c r="D90" s="764">
        <f>87+139</f>
        <v>226</v>
      </c>
      <c r="E90" s="764">
        <f t="shared" si="14"/>
        <v>240</v>
      </c>
      <c r="F90" s="763">
        <v>131</v>
      </c>
      <c r="G90" s="764">
        <v>1846</v>
      </c>
      <c r="H90" s="765">
        <f t="shared" si="11"/>
        <v>1977</v>
      </c>
      <c r="I90" s="764">
        <v>590</v>
      </c>
      <c r="J90" s="764">
        <v>6035</v>
      </c>
      <c r="K90" s="765">
        <f t="shared" si="12"/>
        <v>6625</v>
      </c>
      <c r="L90" s="74" t="s">
        <v>1900</v>
      </c>
      <c r="M90" s="910">
        <v>67</v>
      </c>
    </row>
    <row r="91" spans="1:24" ht="57" customHeight="1">
      <c r="A91" s="914">
        <v>68</v>
      </c>
      <c r="B91" s="770" t="s">
        <v>1642</v>
      </c>
      <c r="C91" s="772">
        <v>2</v>
      </c>
      <c r="D91" s="769">
        <v>28</v>
      </c>
      <c r="E91" s="768">
        <f t="shared" si="14"/>
        <v>30</v>
      </c>
      <c r="F91" s="769">
        <v>116</v>
      </c>
      <c r="G91" s="769">
        <v>336</v>
      </c>
      <c r="H91" s="768">
        <f t="shared" si="11"/>
        <v>452</v>
      </c>
      <c r="I91" s="769">
        <v>329</v>
      </c>
      <c r="J91" s="769">
        <v>833</v>
      </c>
      <c r="K91" s="768">
        <f t="shared" si="12"/>
        <v>1162</v>
      </c>
      <c r="L91" s="680" t="s">
        <v>1870</v>
      </c>
      <c r="M91" s="914">
        <v>68</v>
      </c>
    </row>
    <row r="92" spans="1:24" ht="57" customHeight="1">
      <c r="A92" s="910">
        <v>69</v>
      </c>
      <c r="B92" s="785" t="s">
        <v>1643</v>
      </c>
      <c r="C92" s="781">
        <v>18</v>
      </c>
      <c r="D92" s="783">
        <v>29</v>
      </c>
      <c r="E92" s="432">
        <f>D92+C92</f>
        <v>47</v>
      </c>
      <c r="F92" s="783">
        <v>67</v>
      </c>
      <c r="G92" s="783">
        <v>65</v>
      </c>
      <c r="H92" s="432">
        <f>G92+F92</f>
        <v>132</v>
      </c>
      <c r="I92" s="783">
        <v>263</v>
      </c>
      <c r="J92" s="783">
        <v>382</v>
      </c>
      <c r="K92" s="432">
        <f>J92+I92</f>
        <v>645</v>
      </c>
      <c r="L92" s="682" t="s">
        <v>1962</v>
      </c>
      <c r="M92" s="910">
        <v>69</v>
      </c>
    </row>
    <row r="93" spans="1:24" ht="57" customHeight="1">
      <c r="A93" s="916">
        <v>70</v>
      </c>
      <c r="B93" s="861" t="s">
        <v>1766</v>
      </c>
      <c r="C93" s="860">
        <v>4</v>
      </c>
      <c r="D93" s="856">
        <v>24</v>
      </c>
      <c r="E93" s="859">
        <f>D93+C93</f>
        <v>28</v>
      </c>
      <c r="F93" s="856">
        <v>35</v>
      </c>
      <c r="G93" s="856">
        <v>199</v>
      </c>
      <c r="H93" s="859">
        <f>G93+F93</f>
        <v>234</v>
      </c>
      <c r="I93" s="856">
        <v>61</v>
      </c>
      <c r="J93" s="856">
        <v>337</v>
      </c>
      <c r="K93" s="859">
        <f>J93+I93</f>
        <v>398</v>
      </c>
      <c r="L93" s="681" t="s">
        <v>1897</v>
      </c>
      <c r="M93" s="914">
        <v>70</v>
      </c>
    </row>
    <row r="94" spans="1:24" ht="26.1" customHeight="1">
      <c r="A94" s="1493" t="s">
        <v>447</v>
      </c>
      <c r="B94" s="1493"/>
      <c r="C94" s="1493"/>
      <c r="D94" s="1493"/>
      <c r="E94" s="1493"/>
      <c r="F94" s="1493"/>
      <c r="G94" s="1494" t="s">
        <v>673</v>
      </c>
      <c r="H94" s="1494"/>
      <c r="I94" s="1494"/>
      <c r="J94" s="1494"/>
      <c r="K94" s="1494"/>
      <c r="L94" s="1494"/>
      <c r="M94" s="1494"/>
    </row>
    <row r="95" spans="1:24" ht="26.1" customHeight="1">
      <c r="A95" s="1493"/>
      <c r="B95" s="1493"/>
      <c r="C95" s="1493"/>
      <c r="D95" s="1493"/>
      <c r="E95" s="1493"/>
      <c r="F95" s="1493"/>
      <c r="G95" s="1494" t="s">
        <v>1088</v>
      </c>
      <c r="H95" s="1494"/>
      <c r="I95" s="1494"/>
      <c r="J95" s="1494"/>
      <c r="K95" s="1494"/>
      <c r="L95" s="1494"/>
      <c r="M95" s="1494"/>
    </row>
    <row r="96" spans="1:24" ht="26.1" customHeight="1">
      <c r="A96" s="1459" t="s">
        <v>2028</v>
      </c>
      <c r="B96" s="1495" t="s">
        <v>1624</v>
      </c>
      <c r="C96" s="1495" t="s">
        <v>674</v>
      </c>
      <c r="D96" s="1498"/>
      <c r="E96" s="1499"/>
      <c r="F96" s="1495" t="s">
        <v>526</v>
      </c>
      <c r="G96" s="1498"/>
      <c r="H96" s="1499"/>
      <c r="I96" s="1498" t="s">
        <v>527</v>
      </c>
      <c r="J96" s="1498"/>
      <c r="K96" s="1499"/>
      <c r="L96" s="1499" t="s">
        <v>405</v>
      </c>
      <c r="M96" s="1459" t="s">
        <v>2027</v>
      </c>
    </row>
    <row r="97" spans="1:14" ht="26.1" customHeight="1">
      <c r="A97" s="1460"/>
      <c r="B97" s="1496"/>
      <c r="C97" s="1497" t="s">
        <v>73</v>
      </c>
      <c r="D97" s="1503"/>
      <c r="E97" s="1504"/>
      <c r="F97" s="1500" t="s">
        <v>127</v>
      </c>
      <c r="G97" s="1501"/>
      <c r="H97" s="1502"/>
      <c r="I97" s="1503" t="s">
        <v>62</v>
      </c>
      <c r="J97" s="1503"/>
      <c r="K97" s="1504"/>
      <c r="L97" s="1505"/>
      <c r="M97" s="1460"/>
    </row>
    <row r="98" spans="1:14" ht="26.1" customHeight="1">
      <c r="A98" s="1460"/>
      <c r="B98" s="1496"/>
      <c r="C98" s="877" t="s">
        <v>0</v>
      </c>
      <c r="D98" s="1065" t="s">
        <v>1</v>
      </c>
      <c r="E98" s="1066" t="s">
        <v>2</v>
      </c>
      <c r="F98" s="877" t="s">
        <v>0</v>
      </c>
      <c r="G98" s="1065" t="s">
        <v>1</v>
      </c>
      <c r="H98" s="1067" t="s">
        <v>2</v>
      </c>
      <c r="I98" s="1066" t="s">
        <v>0</v>
      </c>
      <c r="J98" s="1065" t="s">
        <v>1</v>
      </c>
      <c r="K98" s="1067" t="s">
        <v>2</v>
      </c>
      <c r="L98" s="1505"/>
      <c r="M98" s="1460"/>
    </row>
    <row r="99" spans="1:14" ht="26.1" customHeight="1">
      <c r="A99" s="1460"/>
      <c r="B99" s="1496"/>
      <c r="C99" s="894" t="s">
        <v>500</v>
      </c>
      <c r="D99" s="895" t="s">
        <v>501</v>
      </c>
      <c r="E99" s="896" t="s">
        <v>502</v>
      </c>
      <c r="F99" s="894" t="s">
        <v>500</v>
      </c>
      <c r="G99" s="895" t="s">
        <v>501</v>
      </c>
      <c r="H99" s="897" t="s">
        <v>502</v>
      </c>
      <c r="I99" s="896" t="s">
        <v>500</v>
      </c>
      <c r="J99" s="895" t="s">
        <v>501</v>
      </c>
      <c r="K99" s="897" t="s">
        <v>502</v>
      </c>
      <c r="L99" s="1505"/>
      <c r="M99" s="1460"/>
    </row>
    <row r="100" spans="1:14" ht="26.1" customHeight="1">
      <c r="A100" s="1461"/>
      <c r="B100" s="1497"/>
      <c r="C100" s="926" t="s">
        <v>3</v>
      </c>
      <c r="D100" s="927" t="s">
        <v>4</v>
      </c>
      <c r="E100" s="1068" t="s">
        <v>5</v>
      </c>
      <c r="F100" s="926" t="s">
        <v>3</v>
      </c>
      <c r="G100" s="927" t="s">
        <v>4</v>
      </c>
      <c r="H100" s="1069" t="s">
        <v>5</v>
      </c>
      <c r="I100" s="1068" t="s">
        <v>3</v>
      </c>
      <c r="J100" s="927" t="s">
        <v>4</v>
      </c>
      <c r="K100" s="1069" t="s">
        <v>5</v>
      </c>
      <c r="L100" s="1504"/>
      <c r="M100" s="1461"/>
    </row>
    <row r="101" spans="1:14" ht="45" customHeight="1">
      <c r="A101" s="903">
        <v>71</v>
      </c>
      <c r="B101" s="766" t="s">
        <v>1666</v>
      </c>
      <c r="C101" s="763">
        <v>9</v>
      </c>
      <c r="D101" s="764">
        <v>97</v>
      </c>
      <c r="E101" s="764">
        <f>D101+C101</f>
        <v>106</v>
      </c>
      <c r="F101" s="763">
        <v>51</v>
      </c>
      <c r="G101" s="764">
        <v>274</v>
      </c>
      <c r="H101" s="765">
        <f>G101+F101</f>
        <v>325</v>
      </c>
      <c r="I101" s="764">
        <v>385</v>
      </c>
      <c r="J101" s="764">
        <v>1081</v>
      </c>
      <c r="K101" s="765">
        <f>J101+I101</f>
        <v>1466</v>
      </c>
      <c r="L101" s="74" t="s">
        <v>1716</v>
      </c>
      <c r="M101" s="903">
        <v>71</v>
      </c>
    </row>
    <row r="102" spans="1:14" ht="45" customHeight="1">
      <c r="A102" s="914">
        <v>72</v>
      </c>
      <c r="B102" s="770" t="s">
        <v>1667</v>
      </c>
      <c r="C102" s="772">
        <v>29</v>
      </c>
      <c r="D102" s="769">
        <v>114</v>
      </c>
      <c r="E102" s="769">
        <f t="shared" ref="E102:E108" si="15">D102+C102</f>
        <v>143</v>
      </c>
      <c r="F102" s="772">
        <v>109</v>
      </c>
      <c r="G102" s="769">
        <v>161</v>
      </c>
      <c r="H102" s="768">
        <f t="shared" ref="H102" si="16">G102+F102</f>
        <v>270</v>
      </c>
      <c r="I102" s="769">
        <v>419</v>
      </c>
      <c r="J102" s="769">
        <v>721</v>
      </c>
      <c r="K102" s="768">
        <f t="shared" ref="K102:K126" si="17">J102+I102</f>
        <v>1140</v>
      </c>
      <c r="L102" s="680" t="s">
        <v>1902</v>
      </c>
      <c r="M102" s="914">
        <v>72</v>
      </c>
    </row>
    <row r="103" spans="1:14" ht="45" customHeight="1">
      <c r="A103" s="910">
        <v>73</v>
      </c>
      <c r="B103" s="766" t="s">
        <v>1668</v>
      </c>
      <c r="C103" s="763">
        <v>21</v>
      </c>
      <c r="D103" s="764">
        <v>75</v>
      </c>
      <c r="E103" s="764">
        <f t="shared" si="15"/>
        <v>96</v>
      </c>
      <c r="F103" s="763">
        <v>27</v>
      </c>
      <c r="G103" s="764">
        <v>336</v>
      </c>
      <c r="H103" s="765">
        <f t="shared" ref="H103" si="18">G103+F103</f>
        <v>363</v>
      </c>
      <c r="I103" s="764">
        <v>72</v>
      </c>
      <c r="J103" s="764">
        <v>685</v>
      </c>
      <c r="K103" s="765">
        <f t="shared" si="17"/>
        <v>757</v>
      </c>
      <c r="L103" s="74" t="s">
        <v>1905</v>
      </c>
      <c r="M103" s="910">
        <v>73</v>
      </c>
    </row>
    <row r="104" spans="1:14" ht="45" customHeight="1">
      <c r="A104" s="914">
        <v>74</v>
      </c>
      <c r="B104" s="770" t="s">
        <v>1669</v>
      </c>
      <c r="C104" s="772">
        <v>6</v>
      </c>
      <c r="D104" s="769">
        <v>122</v>
      </c>
      <c r="E104" s="769">
        <f t="shared" si="15"/>
        <v>128</v>
      </c>
      <c r="F104" s="772">
        <v>15</v>
      </c>
      <c r="G104" s="769">
        <v>158</v>
      </c>
      <c r="H104" s="768">
        <f t="shared" ref="H104" si="19">G104+F104</f>
        <v>173</v>
      </c>
      <c r="I104" s="769">
        <v>130</v>
      </c>
      <c r="J104" s="769">
        <v>972</v>
      </c>
      <c r="K104" s="768">
        <f t="shared" si="17"/>
        <v>1102</v>
      </c>
      <c r="L104" s="680" t="s">
        <v>1717</v>
      </c>
      <c r="M104" s="914">
        <v>74</v>
      </c>
    </row>
    <row r="105" spans="1:14" ht="45" customHeight="1">
      <c r="A105" s="910">
        <v>75</v>
      </c>
      <c r="B105" s="766" t="s">
        <v>1670</v>
      </c>
      <c r="C105" s="763">
        <v>2</v>
      </c>
      <c r="D105" s="764">
        <v>39</v>
      </c>
      <c r="E105" s="764">
        <f t="shared" si="15"/>
        <v>41</v>
      </c>
      <c r="F105" s="763">
        <v>16</v>
      </c>
      <c r="G105" s="764">
        <v>106</v>
      </c>
      <c r="H105" s="765">
        <f t="shared" ref="H105" si="20">G105+F105</f>
        <v>122</v>
      </c>
      <c r="I105" s="764">
        <v>111</v>
      </c>
      <c r="J105" s="764">
        <v>207</v>
      </c>
      <c r="K105" s="765">
        <f t="shared" si="17"/>
        <v>318</v>
      </c>
      <c r="L105" s="74" t="s">
        <v>1904</v>
      </c>
      <c r="M105" s="910">
        <v>75</v>
      </c>
    </row>
    <row r="106" spans="1:14" ht="45" customHeight="1">
      <c r="A106" s="914">
        <v>76</v>
      </c>
      <c r="B106" s="770" t="s">
        <v>1671</v>
      </c>
      <c r="C106" s="772">
        <v>6</v>
      </c>
      <c r="D106" s="769">
        <v>87</v>
      </c>
      <c r="E106" s="769">
        <f t="shared" si="15"/>
        <v>93</v>
      </c>
      <c r="F106" s="772">
        <v>11</v>
      </c>
      <c r="G106" s="769">
        <v>97</v>
      </c>
      <c r="H106" s="768">
        <f t="shared" ref="H106" si="21">G106+F106</f>
        <v>108</v>
      </c>
      <c r="I106" s="769">
        <v>161</v>
      </c>
      <c r="J106" s="769">
        <v>773</v>
      </c>
      <c r="K106" s="768">
        <f t="shared" si="17"/>
        <v>934</v>
      </c>
      <c r="L106" s="680" t="s">
        <v>1903</v>
      </c>
      <c r="M106" s="914">
        <v>76</v>
      </c>
    </row>
    <row r="107" spans="1:14" ht="45" customHeight="1">
      <c r="A107" s="910">
        <v>77</v>
      </c>
      <c r="B107" s="766" t="s">
        <v>1672</v>
      </c>
      <c r="C107" s="763">
        <v>2</v>
      </c>
      <c r="D107" s="764">
        <v>18</v>
      </c>
      <c r="E107" s="764">
        <f t="shared" si="15"/>
        <v>20</v>
      </c>
      <c r="F107" s="763">
        <v>68</v>
      </c>
      <c r="G107" s="764">
        <v>199</v>
      </c>
      <c r="H107" s="765">
        <f t="shared" ref="H107" si="22">G107+F107</f>
        <v>267</v>
      </c>
      <c r="I107" s="764">
        <v>168</v>
      </c>
      <c r="J107" s="764">
        <v>592</v>
      </c>
      <c r="K107" s="765">
        <f t="shared" si="17"/>
        <v>760</v>
      </c>
      <c r="L107" s="74" t="s">
        <v>1871</v>
      </c>
      <c r="M107" s="910">
        <v>77</v>
      </c>
    </row>
    <row r="108" spans="1:14" ht="45" customHeight="1">
      <c r="A108" s="914">
        <v>78</v>
      </c>
      <c r="B108" s="770" t="s">
        <v>1673</v>
      </c>
      <c r="C108" s="772">
        <v>32</v>
      </c>
      <c r="D108" s="769">
        <v>111</v>
      </c>
      <c r="E108" s="769">
        <f t="shared" si="15"/>
        <v>143</v>
      </c>
      <c r="F108" s="772">
        <v>301</v>
      </c>
      <c r="G108" s="769">
        <v>654</v>
      </c>
      <c r="H108" s="768">
        <f>G108+F108</f>
        <v>955</v>
      </c>
      <c r="I108" s="769">
        <v>2212</v>
      </c>
      <c r="J108" s="769">
        <v>3978</v>
      </c>
      <c r="K108" s="768">
        <f t="shared" si="17"/>
        <v>6190</v>
      </c>
      <c r="L108" s="680" t="s">
        <v>1718</v>
      </c>
      <c r="M108" s="914">
        <v>78</v>
      </c>
      <c r="N108" s="39">
        <f>22310/105373*100</f>
        <v>21.172406593719455</v>
      </c>
    </row>
    <row r="109" spans="1:14" ht="45" customHeight="1">
      <c r="A109" s="910">
        <v>79</v>
      </c>
      <c r="B109" s="766" t="s">
        <v>1674</v>
      </c>
      <c r="C109" s="763" t="s">
        <v>14</v>
      </c>
      <c r="D109" s="764">
        <v>17</v>
      </c>
      <c r="E109" s="764">
        <f>D109</f>
        <v>17</v>
      </c>
      <c r="F109" s="763">
        <v>4</v>
      </c>
      <c r="G109" s="764">
        <v>105</v>
      </c>
      <c r="H109" s="765">
        <f t="shared" ref="H109" si="23">G109+F109</f>
        <v>109</v>
      </c>
      <c r="I109" s="764">
        <v>4</v>
      </c>
      <c r="J109" s="764">
        <v>105</v>
      </c>
      <c r="K109" s="765">
        <f t="shared" si="17"/>
        <v>109</v>
      </c>
      <c r="L109" s="74" t="s">
        <v>1719</v>
      </c>
      <c r="M109" s="910">
        <v>79</v>
      </c>
      <c r="N109" s="39">
        <f>27612/128735*100</f>
        <v>21.448712471355886</v>
      </c>
    </row>
    <row r="110" spans="1:14" ht="45" customHeight="1">
      <c r="A110" s="914">
        <v>80</v>
      </c>
      <c r="B110" s="770" t="s">
        <v>1675</v>
      </c>
      <c r="C110" s="772">
        <v>9</v>
      </c>
      <c r="D110" s="769">
        <v>63</v>
      </c>
      <c r="E110" s="769">
        <f>D110+C110</f>
        <v>72</v>
      </c>
      <c r="F110" s="772">
        <v>89</v>
      </c>
      <c r="G110" s="769">
        <v>555</v>
      </c>
      <c r="H110" s="768">
        <f t="shared" ref="H110" si="24">G110+F110</f>
        <v>644</v>
      </c>
      <c r="I110" s="769">
        <v>287</v>
      </c>
      <c r="J110" s="769">
        <v>1961</v>
      </c>
      <c r="K110" s="768">
        <f t="shared" si="17"/>
        <v>2248</v>
      </c>
      <c r="L110" s="680" t="s">
        <v>1720</v>
      </c>
      <c r="M110" s="914">
        <v>80</v>
      </c>
      <c r="N110" s="39">
        <f>848/8022*100</f>
        <v>10.570929942657692</v>
      </c>
    </row>
    <row r="111" spans="1:14" ht="45" customHeight="1">
      <c r="A111" s="910">
        <v>81</v>
      </c>
      <c r="B111" s="766" t="s">
        <v>1676</v>
      </c>
      <c r="C111" s="763">
        <v>10</v>
      </c>
      <c r="D111" s="764">
        <v>60</v>
      </c>
      <c r="E111" s="764">
        <f t="shared" ref="E111:E115" si="25">D111+C111</f>
        <v>70</v>
      </c>
      <c r="F111" s="763">
        <v>11</v>
      </c>
      <c r="G111" s="764">
        <v>164</v>
      </c>
      <c r="H111" s="765">
        <f t="shared" ref="H111" si="26">G111+F111</f>
        <v>175</v>
      </c>
      <c r="I111" s="764">
        <v>81</v>
      </c>
      <c r="J111" s="764">
        <v>539</v>
      </c>
      <c r="K111" s="765">
        <f t="shared" si="17"/>
        <v>620</v>
      </c>
      <c r="L111" s="74" t="s">
        <v>1906</v>
      </c>
      <c r="M111" s="910">
        <v>81</v>
      </c>
      <c r="N111" s="39">
        <f>488/5859*100</f>
        <v>8.3290663935825222</v>
      </c>
    </row>
    <row r="112" spans="1:14" ht="45" customHeight="1">
      <c r="A112" s="914">
        <v>82</v>
      </c>
      <c r="B112" s="770" t="s">
        <v>1677</v>
      </c>
      <c r="C112" s="772">
        <v>19</v>
      </c>
      <c r="D112" s="769">
        <v>105</v>
      </c>
      <c r="E112" s="769">
        <f t="shared" si="25"/>
        <v>124</v>
      </c>
      <c r="F112" s="772">
        <v>68</v>
      </c>
      <c r="G112" s="769">
        <v>440</v>
      </c>
      <c r="H112" s="768">
        <f t="shared" ref="H112" si="27">G112+F112</f>
        <v>508</v>
      </c>
      <c r="I112" s="769">
        <v>926</v>
      </c>
      <c r="J112" s="769">
        <v>1782</v>
      </c>
      <c r="K112" s="768">
        <f t="shared" si="17"/>
        <v>2708</v>
      </c>
      <c r="L112" s="680" t="s">
        <v>1721</v>
      </c>
      <c r="M112" s="914">
        <v>82</v>
      </c>
    </row>
    <row r="113" spans="1:13" ht="45" customHeight="1">
      <c r="A113" s="910">
        <v>83</v>
      </c>
      <c r="B113" s="766" t="s">
        <v>1678</v>
      </c>
      <c r="C113" s="763">
        <v>6</v>
      </c>
      <c r="D113" s="764">
        <v>32</v>
      </c>
      <c r="E113" s="764">
        <f t="shared" si="25"/>
        <v>38</v>
      </c>
      <c r="F113" s="763">
        <v>24</v>
      </c>
      <c r="G113" s="764">
        <v>109</v>
      </c>
      <c r="H113" s="765">
        <f>G113+F113</f>
        <v>133</v>
      </c>
      <c r="I113" s="764">
        <v>140</v>
      </c>
      <c r="J113" s="764">
        <v>535</v>
      </c>
      <c r="K113" s="765">
        <f t="shared" si="17"/>
        <v>675</v>
      </c>
      <c r="L113" s="74" t="s">
        <v>1722</v>
      </c>
      <c r="M113" s="910">
        <v>83</v>
      </c>
    </row>
    <row r="114" spans="1:13" ht="45" customHeight="1">
      <c r="A114" s="914">
        <v>84</v>
      </c>
      <c r="B114" s="770" t="s">
        <v>1679</v>
      </c>
      <c r="C114" s="772">
        <v>23</v>
      </c>
      <c r="D114" s="769">
        <v>53</v>
      </c>
      <c r="E114" s="769">
        <f t="shared" si="25"/>
        <v>76</v>
      </c>
      <c r="F114" s="772">
        <v>129</v>
      </c>
      <c r="G114" s="769">
        <v>423</v>
      </c>
      <c r="H114" s="768">
        <f t="shared" ref="H114" si="28">G114+F114</f>
        <v>552</v>
      </c>
      <c r="I114" s="769">
        <v>206</v>
      </c>
      <c r="J114" s="769">
        <v>675</v>
      </c>
      <c r="K114" s="768">
        <f t="shared" si="17"/>
        <v>881</v>
      </c>
      <c r="L114" s="680" t="s">
        <v>1723</v>
      </c>
      <c r="M114" s="914">
        <v>84</v>
      </c>
    </row>
    <row r="115" spans="1:13" ht="45" customHeight="1">
      <c r="A115" s="910">
        <v>85</v>
      </c>
      <c r="B115" s="766" t="s">
        <v>1680</v>
      </c>
      <c r="C115" s="763">
        <v>9</v>
      </c>
      <c r="D115" s="764">
        <v>71</v>
      </c>
      <c r="E115" s="764">
        <f t="shared" si="25"/>
        <v>80</v>
      </c>
      <c r="F115" s="763">
        <v>116</v>
      </c>
      <c r="G115" s="764">
        <v>174</v>
      </c>
      <c r="H115" s="765">
        <f t="shared" ref="H115" si="29">G115+F115</f>
        <v>290</v>
      </c>
      <c r="I115" s="764">
        <v>422</v>
      </c>
      <c r="J115" s="764">
        <v>620</v>
      </c>
      <c r="K115" s="765">
        <f t="shared" si="17"/>
        <v>1042</v>
      </c>
      <c r="L115" s="74" t="s">
        <v>1724</v>
      </c>
      <c r="M115" s="910">
        <v>85</v>
      </c>
    </row>
    <row r="116" spans="1:13" ht="45" customHeight="1">
      <c r="A116" s="914">
        <v>86</v>
      </c>
      <c r="B116" s="770" t="s">
        <v>1681</v>
      </c>
      <c r="C116" s="772" t="s">
        <v>14</v>
      </c>
      <c r="D116" s="769">
        <v>20</v>
      </c>
      <c r="E116" s="769">
        <f>D116</f>
        <v>20</v>
      </c>
      <c r="F116" s="772">
        <v>11</v>
      </c>
      <c r="G116" s="769">
        <v>137</v>
      </c>
      <c r="H116" s="768">
        <f t="shared" ref="H116" si="30">G116+F116</f>
        <v>148</v>
      </c>
      <c r="I116" s="769">
        <v>34</v>
      </c>
      <c r="J116" s="769">
        <v>645</v>
      </c>
      <c r="K116" s="768">
        <f t="shared" si="17"/>
        <v>679</v>
      </c>
      <c r="L116" s="680" t="s">
        <v>1725</v>
      </c>
      <c r="M116" s="914">
        <v>86</v>
      </c>
    </row>
    <row r="117" spans="1:13" ht="45" customHeight="1">
      <c r="A117" s="910">
        <v>87</v>
      </c>
      <c r="B117" s="766" t="s">
        <v>1682</v>
      </c>
      <c r="C117" s="763">
        <v>7</v>
      </c>
      <c r="D117" s="764">
        <v>96</v>
      </c>
      <c r="E117" s="764">
        <f>D117+C117</f>
        <v>103</v>
      </c>
      <c r="F117" s="763">
        <v>50</v>
      </c>
      <c r="G117" s="764">
        <v>488</v>
      </c>
      <c r="H117" s="765">
        <f t="shared" ref="H117" si="31">G117+F117</f>
        <v>538</v>
      </c>
      <c r="I117" s="764">
        <v>153</v>
      </c>
      <c r="J117" s="764">
        <v>1417</v>
      </c>
      <c r="K117" s="765">
        <f t="shared" si="17"/>
        <v>1570</v>
      </c>
      <c r="L117" s="74" t="s">
        <v>1907</v>
      </c>
      <c r="M117" s="910">
        <v>87</v>
      </c>
    </row>
    <row r="118" spans="1:13" ht="45" customHeight="1">
      <c r="A118" s="914">
        <v>88</v>
      </c>
      <c r="B118" s="770" t="s">
        <v>1683</v>
      </c>
      <c r="C118" s="772">
        <v>10</v>
      </c>
      <c r="D118" s="769">
        <v>52</v>
      </c>
      <c r="E118" s="769">
        <f>D118+C118</f>
        <v>62</v>
      </c>
      <c r="F118" s="772">
        <v>31</v>
      </c>
      <c r="G118" s="769">
        <v>106</v>
      </c>
      <c r="H118" s="768">
        <f>G118+F118</f>
        <v>137</v>
      </c>
      <c r="I118" s="769">
        <v>124</v>
      </c>
      <c r="J118" s="769">
        <v>414</v>
      </c>
      <c r="K118" s="768">
        <f t="shared" si="17"/>
        <v>538</v>
      </c>
      <c r="L118" s="680" t="s">
        <v>1726</v>
      </c>
      <c r="M118" s="914">
        <v>88</v>
      </c>
    </row>
    <row r="119" spans="1:13" ht="45" customHeight="1">
      <c r="A119" s="910">
        <v>89</v>
      </c>
      <c r="B119" s="766" t="s">
        <v>1684</v>
      </c>
      <c r="C119" s="763" t="s">
        <v>14</v>
      </c>
      <c r="D119" s="764">
        <v>28</v>
      </c>
      <c r="E119" s="764">
        <f>D119</f>
        <v>28</v>
      </c>
      <c r="F119" s="763">
        <v>22</v>
      </c>
      <c r="G119" s="764">
        <v>126</v>
      </c>
      <c r="H119" s="765">
        <f>G119+F119</f>
        <v>148</v>
      </c>
      <c r="I119" s="764">
        <v>22</v>
      </c>
      <c r="J119" s="764">
        <v>422</v>
      </c>
      <c r="K119" s="765">
        <f t="shared" si="17"/>
        <v>444</v>
      </c>
      <c r="L119" s="74" t="s">
        <v>1727</v>
      </c>
      <c r="M119" s="910">
        <v>89</v>
      </c>
    </row>
    <row r="120" spans="1:13" ht="45" customHeight="1">
      <c r="A120" s="914">
        <v>90</v>
      </c>
      <c r="B120" s="770" t="s">
        <v>1685</v>
      </c>
      <c r="C120" s="772">
        <v>3</v>
      </c>
      <c r="D120" s="769">
        <v>42</v>
      </c>
      <c r="E120" s="769">
        <f>D120+C120</f>
        <v>45</v>
      </c>
      <c r="F120" s="772">
        <v>18</v>
      </c>
      <c r="G120" s="769">
        <v>91</v>
      </c>
      <c r="H120" s="768">
        <f>G120+F120</f>
        <v>109</v>
      </c>
      <c r="I120" s="769">
        <v>156</v>
      </c>
      <c r="J120" s="769">
        <v>526</v>
      </c>
      <c r="K120" s="768">
        <f t="shared" si="17"/>
        <v>682</v>
      </c>
      <c r="L120" s="680" t="s">
        <v>1728</v>
      </c>
      <c r="M120" s="914">
        <v>90</v>
      </c>
    </row>
    <row r="121" spans="1:13" ht="45" customHeight="1">
      <c r="A121" s="910">
        <v>91</v>
      </c>
      <c r="B121" s="766" t="s">
        <v>1686</v>
      </c>
      <c r="C121" s="763" t="s">
        <v>14</v>
      </c>
      <c r="D121" s="764">
        <v>36</v>
      </c>
      <c r="E121" s="764">
        <f>D121</f>
        <v>36</v>
      </c>
      <c r="F121" s="763">
        <v>23</v>
      </c>
      <c r="G121" s="764">
        <v>202</v>
      </c>
      <c r="H121" s="765">
        <f t="shared" ref="H121" si="32">G121+F121</f>
        <v>225</v>
      </c>
      <c r="I121" s="764">
        <v>47</v>
      </c>
      <c r="J121" s="764">
        <v>735</v>
      </c>
      <c r="K121" s="765">
        <f t="shared" si="17"/>
        <v>782</v>
      </c>
      <c r="L121" s="74" t="s">
        <v>1729</v>
      </c>
      <c r="M121" s="910">
        <v>91</v>
      </c>
    </row>
    <row r="122" spans="1:13" ht="45" customHeight="1">
      <c r="A122" s="914">
        <v>92</v>
      </c>
      <c r="B122" s="770" t="s">
        <v>1687</v>
      </c>
      <c r="C122" s="772">
        <v>8</v>
      </c>
      <c r="D122" s="769">
        <v>75</v>
      </c>
      <c r="E122" s="769">
        <f>D122+C122</f>
        <v>83</v>
      </c>
      <c r="F122" s="772">
        <v>93</v>
      </c>
      <c r="G122" s="769">
        <v>295</v>
      </c>
      <c r="H122" s="768">
        <f t="shared" ref="H122" si="33">G122+F122</f>
        <v>388</v>
      </c>
      <c r="I122" s="769">
        <v>814</v>
      </c>
      <c r="J122" s="769">
        <v>1764</v>
      </c>
      <c r="K122" s="768">
        <f t="shared" si="17"/>
        <v>2578</v>
      </c>
      <c r="L122" s="680" t="s">
        <v>1730</v>
      </c>
      <c r="M122" s="914">
        <v>92</v>
      </c>
    </row>
    <row r="123" spans="1:13" ht="45" customHeight="1">
      <c r="A123" s="910">
        <v>93</v>
      </c>
      <c r="B123" s="766" t="s">
        <v>1688</v>
      </c>
      <c r="C123" s="763">
        <v>2</v>
      </c>
      <c r="D123" s="764">
        <v>21</v>
      </c>
      <c r="E123" s="764">
        <f t="shared" ref="E123:E126" si="34">D123+C123</f>
        <v>23</v>
      </c>
      <c r="F123" s="763">
        <v>5</v>
      </c>
      <c r="G123" s="764">
        <v>23</v>
      </c>
      <c r="H123" s="765">
        <f t="shared" ref="H123" si="35">G123+F123</f>
        <v>28</v>
      </c>
      <c r="I123" s="764">
        <v>20</v>
      </c>
      <c r="J123" s="764">
        <v>160</v>
      </c>
      <c r="K123" s="765">
        <f t="shared" si="17"/>
        <v>180</v>
      </c>
      <c r="L123" s="74" t="s">
        <v>1731</v>
      </c>
      <c r="M123" s="910">
        <v>93</v>
      </c>
    </row>
    <row r="124" spans="1:13" ht="45" customHeight="1">
      <c r="A124" s="914">
        <v>94</v>
      </c>
      <c r="B124" s="770" t="s">
        <v>1689</v>
      </c>
      <c r="C124" s="772">
        <v>12</v>
      </c>
      <c r="D124" s="769">
        <v>34</v>
      </c>
      <c r="E124" s="769">
        <f t="shared" si="34"/>
        <v>46</v>
      </c>
      <c r="F124" s="772">
        <v>70</v>
      </c>
      <c r="G124" s="769">
        <v>149</v>
      </c>
      <c r="H124" s="768">
        <f t="shared" ref="H124" si="36">G124+F124</f>
        <v>219</v>
      </c>
      <c r="I124" s="769">
        <v>172</v>
      </c>
      <c r="J124" s="769">
        <v>229</v>
      </c>
      <c r="K124" s="768">
        <f t="shared" si="17"/>
        <v>401</v>
      </c>
      <c r="L124" s="680" t="s">
        <v>1732</v>
      </c>
      <c r="M124" s="914">
        <v>94</v>
      </c>
    </row>
    <row r="125" spans="1:13" ht="45" customHeight="1">
      <c r="A125" s="910">
        <v>95</v>
      </c>
      <c r="B125" s="766" t="s">
        <v>1690</v>
      </c>
      <c r="C125" s="763">
        <v>2</v>
      </c>
      <c r="D125" s="764">
        <v>20</v>
      </c>
      <c r="E125" s="764">
        <f t="shared" si="34"/>
        <v>22</v>
      </c>
      <c r="F125" s="763">
        <v>2</v>
      </c>
      <c r="G125" s="764">
        <v>70</v>
      </c>
      <c r="H125" s="765">
        <f t="shared" ref="H125" si="37">G125+F125</f>
        <v>72</v>
      </c>
      <c r="I125" s="764">
        <v>27</v>
      </c>
      <c r="J125" s="764">
        <v>223</v>
      </c>
      <c r="K125" s="765">
        <f t="shared" si="17"/>
        <v>250</v>
      </c>
      <c r="L125" s="74" t="s">
        <v>1733</v>
      </c>
      <c r="M125" s="910">
        <v>95</v>
      </c>
    </row>
    <row r="126" spans="1:13" ht="45" customHeight="1">
      <c r="A126" s="914">
        <v>96</v>
      </c>
      <c r="B126" s="770" t="s">
        <v>1691</v>
      </c>
      <c r="C126" s="772">
        <v>6</v>
      </c>
      <c r="D126" s="769">
        <v>67</v>
      </c>
      <c r="E126" s="769">
        <f t="shared" si="34"/>
        <v>73</v>
      </c>
      <c r="F126" s="772">
        <v>39</v>
      </c>
      <c r="G126" s="769">
        <v>259</v>
      </c>
      <c r="H126" s="768">
        <f t="shared" ref="H126" si="38">G126+F126</f>
        <v>298</v>
      </c>
      <c r="I126" s="769">
        <v>213</v>
      </c>
      <c r="J126" s="769">
        <v>1359</v>
      </c>
      <c r="K126" s="768">
        <f t="shared" si="17"/>
        <v>1572</v>
      </c>
      <c r="L126" s="680" t="s">
        <v>1908</v>
      </c>
      <c r="M126" s="914">
        <v>96</v>
      </c>
    </row>
    <row r="127" spans="1:13" ht="45" customHeight="1">
      <c r="A127" s="910">
        <v>97</v>
      </c>
      <c r="B127" s="766" t="s">
        <v>1692</v>
      </c>
      <c r="C127" s="763">
        <v>9</v>
      </c>
      <c r="D127" s="764">
        <v>82</v>
      </c>
      <c r="E127" s="764">
        <f>D127+C127</f>
        <v>91</v>
      </c>
      <c r="F127" s="763">
        <v>26</v>
      </c>
      <c r="G127" s="764">
        <v>247</v>
      </c>
      <c r="H127" s="765">
        <f>G127+F127</f>
        <v>273</v>
      </c>
      <c r="I127" s="764">
        <v>147</v>
      </c>
      <c r="J127" s="764">
        <v>1505</v>
      </c>
      <c r="K127" s="765">
        <f>J127+I127</f>
        <v>1652</v>
      </c>
      <c r="L127" s="74" t="s">
        <v>1734</v>
      </c>
      <c r="M127" s="910">
        <v>97</v>
      </c>
    </row>
    <row r="128" spans="1:13" ht="45" customHeight="1">
      <c r="A128" s="916">
        <v>98</v>
      </c>
      <c r="B128" s="861" t="s">
        <v>1693</v>
      </c>
      <c r="C128" s="860">
        <v>3</v>
      </c>
      <c r="D128" s="856">
        <v>24</v>
      </c>
      <c r="E128" s="859">
        <f>D128+C128</f>
        <v>27</v>
      </c>
      <c r="F128" s="856">
        <v>29</v>
      </c>
      <c r="G128" s="856">
        <v>162</v>
      </c>
      <c r="H128" s="859">
        <f>G128+F128</f>
        <v>191</v>
      </c>
      <c r="I128" s="856">
        <v>115</v>
      </c>
      <c r="J128" s="856">
        <v>524</v>
      </c>
      <c r="K128" s="859">
        <f>J128+I128</f>
        <v>639</v>
      </c>
      <c r="L128" s="681" t="s">
        <v>1735</v>
      </c>
      <c r="M128" s="916">
        <v>98</v>
      </c>
    </row>
    <row r="129" spans="1:13" ht="26.1" customHeight="1">
      <c r="A129" s="1493" t="s">
        <v>447</v>
      </c>
      <c r="B129" s="1493"/>
      <c r="C129" s="1493"/>
      <c r="D129" s="1493"/>
      <c r="E129" s="1493"/>
      <c r="F129" s="1493"/>
      <c r="G129" s="1494" t="s">
        <v>673</v>
      </c>
      <c r="H129" s="1494"/>
      <c r="I129" s="1494"/>
      <c r="J129" s="1494"/>
      <c r="K129" s="1494"/>
      <c r="L129" s="1494"/>
      <c r="M129" s="1494"/>
    </row>
    <row r="130" spans="1:13" ht="26.1" customHeight="1">
      <c r="A130" s="1493"/>
      <c r="B130" s="1493"/>
      <c r="C130" s="1493"/>
      <c r="D130" s="1493"/>
      <c r="E130" s="1493"/>
      <c r="F130" s="1493"/>
      <c r="G130" s="1494" t="s">
        <v>1088</v>
      </c>
      <c r="H130" s="1494"/>
      <c r="I130" s="1494"/>
      <c r="J130" s="1494"/>
      <c r="K130" s="1494"/>
      <c r="L130" s="1494"/>
      <c r="M130" s="1494"/>
    </row>
    <row r="131" spans="1:13" ht="26.1" customHeight="1">
      <c r="A131" s="1459" t="s">
        <v>2028</v>
      </c>
      <c r="B131" s="1495" t="s">
        <v>1624</v>
      </c>
      <c r="C131" s="1495" t="s">
        <v>674</v>
      </c>
      <c r="D131" s="1498"/>
      <c r="E131" s="1499"/>
      <c r="F131" s="1495" t="s">
        <v>526</v>
      </c>
      <c r="G131" s="1498"/>
      <c r="H131" s="1499"/>
      <c r="I131" s="1498" t="s">
        <v>527</v>
      </c>
      <c r="J131" s="1498"/>
      <c r="K131" s="1499"/>
      <c r="L131" s="1499" t="s">
        <v>405</v>
      </c>
      <c r="M131" s="1459" t="s">
        <v>2027</v>
      </c>
    </row>
    <row r="132" spans="1:13" ht="26.1" customHeight="1">
      <c r="A132" s="1460"/>
      <c r="B132" s="1496"/>
      <c r="C132" s="1497" t="s">
        <v>73</v>
      </c>
      <c r="D132" s="1503"/>
      <c r="E132" s="1504"/>
      <c r="F132" s="1500" t="s">
        <v>127</v>
      </c>
      <c r="G132" s="1501"/>
      <c r="H132" s="1502"/>
      <c r="I132" s="1503" t="s">
        <v>62</v>
      </c>
      <c r="J132" s="1503"/>
      <c r="K132" s="1504"/>
      <c r="L132" s="1505"/>
      <c r="M132" s="1460"/>
    </row>
    <row r="133" spans="1:13" ht="26.1" customHeight="1">
      <c r="A133" s="1460"/>
      <c r="B133" s="1496"/>
      <c r="C133" s="877" t="s">
        <v>0</v>
      </c>
      <c r="D133" s="1065" t="s">
        <v>1</v>
      </c>
      <c r="E133" s="1066" t="s">
        <v>2</v>
      </c>
      <c r="F133" s="877" t="s">
        <v>0</v>
      </c>
      <c r="G133" s="1065" t="s">
        <v>1</v>
      </c>
      <c r="H133" s="1067" t="s">
        <v>2</v>
      </c>
      <c r="I133" s="1066" t="s">
        <v>0</v>
      </c>
      <c r="J133" s="1065" t="s">
        <v>1</v>
      </c>
      <c r="K133" s="1067" t="s">
        <v>2</v>
      </c>
      <c r="L133" s="1505"/>
      <c r="M133" s="1460"/>
    </row>
    <row r="134" spans="1:13" ht="26.1" customHeight="1">
      <c r="A134" s="1460"/>
      <c r="B134" s="1496"/>
      <c r="C134" s="894" t="s">
        <v>500</v>
      </c>
      <c r="D134" s="895" t="s">
        <v>501</v>
      </c>
      <c r="E134" s="896" t="s">
        <v>502</v>
      </c>
      <c r="F134" s="894" t="s">
        <v>500</v>
      </c>
      <c r="G134" s="895" t="s">
        <v>501</v>
      </c>
      <c r="H134" s="897" t="s">
        <v>502</v>
      </c>
      <c r="I134" s="896" t="s">
        <v>500</v>
      </c>
      <c r="J134" s="895" t="s">
        <v>501</v>
      </c>
      <c r="K134" s="897" t="s">
        <v>502</v>
      </c>
      <c r="L134" s="1505"/>
      <c r="M134" s="1460"/>
    </row>
    <row r="135" spans="1:13" ht="26.1" customHeight="1">
      <c r="A135" s="1461"/>
      <c r="B135" s="1497"/>
      <c r="C135" s="926" t="s">
        <v>3</v>
      </c>
      <c r="D135" s="927" t="s">
        <v>4</v>
      </c>
      <c r="E135" s="1068" t="s">
        <v>5</v>
      </c>
      <c r="F135" s="926" t="s">
        <v>3</v>
      </c>
      <c r="G135" s="927" t="s">
        <v>4</v>
      </c>
      <c r="H135" s="1069" t="s">
        <v>5</v>
      </c>
      <c r="I135" s="1068" t="s">
        <v>3</v>
      </c>
      <c r="J135" s="927" t="s">
        <v>4</v>
      </c>
      <c r="K135" s="1069" t="s">
        <v>5</v>
      </c>
      <c r="L135" s="1504"/>
      <c r="M135" s="1461"/>
    </row>
    <row r="136" spans="1:13" ht="50.1" customHeight="1">
      <c r="A136" s="903">
        <v>99</v>
      </c>
      <c r="B136" s="789" t="s">
        <v>1694</v>
      </c>
      <c r="C136" s="787">
        <v>24</v>
      </c>
      <c r="D136" s="788">
        <v>51</v>
      </c>
      <c r="E136" s="788">
        <f>D136+C136</f>
        <v>75</v>
      </c>
      <c r="F136" s="787">
        <v>216</v>
      </c>
      <c r="G136" s="788">
        <v>758</v>
      </c>
      <c r="H136" s="786">
        <f>G136+F136</f>
        <v>974</v>
      </c>
      <c r="I136" s="788">
        <v>474</v>
      </c>
      <c r="J136" s="788">
        <v>1608</v>
      </c>
      <c r="K136" s="786">
        <f>J136+I136</f>
        <v>2082</v>
      </c>
      <c r="L136" s="541" t="s">
        <v>1909</v>
      </c>
      <c r="M136" s="903">
        <v>99</v>
      </c>
    </row>
    <row r="137" spans="1:13" ht="50.1" customHeight="1">
      <c r="A137" s="914">
        <v>100</v>
      </c>
      <c r="B137" s="770" t="s">
        <v>1695</v>
      </c>
      <c r="C137" s="772" t="s">
        <v>14</v>
      </c>
      <c r="D137" s="769">
        <v>35</v>
      </c>
      <c r="E137" s="769">
        <f>D137</f>
        <v>35</v>
      </c>
      <c r="F137" s="772">
        <v>60</v>
      </c>
      <c r="G137" s="769">
        <v>236</v>
      </c>
      <c r="H137" s="768">
        <f t="shared" ref="H137:H156" si="39">G137+F137</f>
        <v>296</v>
      </c>
      <c r="I137" s="769">
        <v>74</v>
      </c>
      <c r="J137" s="769">
        <v>397</v>
      </c>
      <c r="K137" s="768">
        <f t="shared" ref="K137:K156" si="40">J137+I137</f>
        <v>471</v>
      </c>
      <c r="L137" s="680" t="s">
        <v>1736</v>
      </c>
      <c r="M137" s="914">
        <v>100</v>
      </c>
    </row>
    <row r="138" spans="1:13" ht="50.1" customHeight="1">
      <c r="A138" s="910">
        <v>101</v>
      </c>
      <c r="B138" s="766" t="s">
        <v>1696</v>
      </c>
      <c r="C138" s="763">
        <v>1</v>
      </c>
      <c r="D138" s="764">
        <v>34</v>
      </c>
      <c r="E138" s="764">
        <f>D138+C138</f>
        <v>35</v>
      </c>
      <c r="F138" s="763">
        <v>8</v>
      </c>
      <c r="G138" s="764">
        <v>131</v>
      </c>
      <c r="H138" s="765">
        <f t="shared" si="39"/>
        <v>139</v>
      </c>
      <c r="I138" s="764">
        <v>13</v>
      </c>
      <c r="J138" s="764">
        <v>271</v>
      </c>
      <c r="K138" s="765">
        <f t="shared" si="40"/>
        <v>284</v>
      </c>
      <c r="L138" s="74" t="s">
        <v>1737</v>
      </c>
      <c r="M138" s="910">
        <v>101</v>
      </c>
    </row>
    <row r="139" spans="1:13" ht="50.1" customHeight="1">
      <c r="A139" s="914">
        <v>102</v>
      </c>
      <c r="B139" s="770" t="s">
        <v>1697</v>
      </c>
      <c r="C139" s="772">
        <v>18</v>
      </c>
      <c r="D139" s="769">
        <v>24</v>
      </c>
      <c r="E139" s="769">
        <f t="shared" ref="E139:E140" si="41">D139+C139</f>
        <v>42</v>
      </c>
      <c r="F139" s="772">
        <v>4</v>
      </c>
      <c r="G139" s="769">
        <v>61</v>
      </c>
      <c r="H139" s="768">
        <f t="shared" si="39"/>
        <v>65</v>
      </c>
      <c r="I139" s="769">
        <v>222</v>
      </c>
      <c r="J139" s="769">
        <v>324</v>
      </c>
      <c r="K139" s="768">
        <f t="shared" si="40"/>
        <v>546</v>
      </c>
      <c r="L139" s="680" t="s">
        <v>1738</v>
      </c>
      <c r="M139" s="914">
        <v>102</v>
      </c>
    </row>
    <row r="140" spans="1:13" ht="50.1" customHeight="1">
      <c r="A140" s="910">
        <v>103</v>
      </c>
      <c r="B140" s="766" t="s">
        <v>1698</v>
      </c>
      <c r="C140" s="763">
        <v>21</v>
      </c>
      <c r="D140" s="764">
        <v>38</v>
      </c>
      <c r="E140" s="764">
        <f t="shared" si="41"/>
        <v>59</v>
      </c>
      <c r="F140" s="763">
        <v>134</v>
      </c>
      <c r="G140" s="764">
        <v>177</v>
      </c>
      <c r="H140" s="765">
        <f t="shared" si="39"/>
        <v>311</v>
      </c>
      <c r="I140" s="764">
        <v>319</v>
      </c>
      <c r="J140" s="764">
        <v>497</v>
      </c>
      <c r="K140" s="765">
        <f t="shared" si="40"/>
        <v>816</v>
      </c>
      <c r="L140" s="74" t="s">
        <v>1910</v>
      </c>
      <c r="M140" s="910">
        <v>103</v>
      </c>
    </row>
    <row r="141" spans="1:13" ht="50.1" customHeight="1">
      <c r="A141" s="914">
        <v>104</v>
      </c>
      <c r="B141" s="770" t="s">
        <v>1699</v>
      </c>
      <c r="C141" s="772" t="s">
        <v>14</v>
      </c>
      <c r="D141" s="769">
        <v>59</v>
      </c>
      <c r="E141" s="769">
        <f>D141</f>
        <v>59</v>
      </c>
      <c r="F141" s="772">
        <v>25</v>
      </c>
      <c r="G141" s="769">
        <v>197</v>
      </c>
      <c r="H141" s="768">
        <f t="shared" si="39"/>
        <v>222</v>
      </c>
      <c r="I141" s="769">
        <v>91</v>
      </c>
      <c r="J141" s="769">
        <v>1161</v>
      </c>
      <c r="K141" s="768">
        <f t="shared" si="40"/>
        <v>1252</v>
      </c>
      <c r="L141" s="680" t="s">
        <v>1739</v>
      </c>
      <c r="M141" s="914">
        <v>104</v>
      </c>
    </row>
    <row r="142" spans="1:13" ht="50.1" customHeight="1">
      <c r="A142" s="910">
        <v>105</v>
      </c>
      <c r="B142" s="766" t="s">
        <v>1700</v>
      </c>
      <c r="C142" s="763">
        <v>3</v>
      </c>
      <c r="D142" s="764">
        <v>34</v>
      </c>
      <c r="E142" s="764">
        <f>D142+C142</f>
        <v>37</v>
      </c>
      <c r="F142" s="763">
        <v>10</v>
      </c>
      <c r="G142" s="764">
        <v>144</v>
      </c>
      <c r="H142" s="765">
        <f t="shared" si="39"/>
        <v>154</v>
      </c>
      <c r="I142" s="764">
        <v>31</v>
      </c>
      <c r="J142" s="764">
        <v>282</v>
      </c>
      <c r="K142" s="765">
        <f t="shared" si="40"/>
        <v>313</v>
      </c>
      <c r="L142" s="74" t="s">
        <v>1740</v>
      </c>
      <c r="M142" s="910">
        <v>105</v>
      </c>
    </row>
    <row r="143" spans="1:13" ht="50.1" customHeight="1">
      <c r="A143" s="914">
        <v>106</v>
      </c>
      <c r="B143" s="770" t="s">
        <v>1701</v>
      </c>
      <c r="C143" s="772">
        <v>10</v>
      </c>
      <c r="D143" s="769">
        <v>40</v>
      </c>
      <c r="E143" s="769">
        <f t="shared" ref="E143:E158" si="42">D143+C143</f>
        <v>50</v>
      </c>
      <c r="F143" s="772">
        <v>20</v>
      </c>
      <c r="G143" s="769">
        <v>171</v>
      </c>
      <c r="H143" s="768">
        <f t="shared" si="39"/>
        <v>191</v>
      </c>
      <c r="I143" s="769">
        <v>53</v>
      </c>
      <c r="J143" s="769">
        <v>274</v>
      </c>
      <c r="K143" s="768">
        <f t="shared" si="40"/>
        <v>327</v>
      </c>
      <c r="L143" s="680" t="s">
        <v>1911</v>
      </c>
      <c r="M143" s="914">
        <v>106</v>
      </c>
    </row>
    <row r="144" spans="1:13" ht="50.1" customHeight="1">
      <c r="A144" s="910">
        <v>107</v>
      </c>
      <c r="B144" s="766" t="s">
        <v>1702</v>
      </c>
      <c r="C144" s="763">
        <v>14</v>
      </c>
      <c r="D144" s="764">
        <v>16</v>
      </c>
      <c r="E144" s="764">
        <f t="shared" si="42"/>
        <v>30</v>
      </c>
      <c r="F144" s="763">
        <v>33</v>
      </c>
      <c r="G144" s="764">
        <v>330</v>
      </c>
      <c r="H144" s="765">
        <f t="shared" si="39"/>
        <v>363</v>
      </c>
      <c r="I144" s="764">
        <v>137</v>
      </c>
      <c r="J144" s="764">
        <v>973</v>
      </c>
      <c r="K144" s="765">
        <f t="shared" si="40"/>
        <v>1110</v>
      </c>
      <c r="L144" s="74" t="s">
        <v>1873</v>
      </c>
      <c r="M144" s="910">
        <v>107</v>
      </c>
    </row>
    <row r="145" spans="1:15" ht="50.1" customHeight="1">
      <c r="A145" s="914">
        <v>108</v>
      </c>
      <c r="B145" s="770" t="s">
        <v>1703</v>
      </c>
      <c r="C145" s="772">
        <v>28</v>
      </c>
      <c r="D145" s="769">
        <v>27</v>
      </c>
      <c r="E145" s="769">
        <f t="shared" si="42"/>
        <v>55</v>
      </c>
      <c r="F145" s="772">
        <v>109</v>
      </c>
      <c r="G145" s="769">
        <v>35</v>
      </c>
      <c r="H145" s="768">
        <f t="shared" si="39"/>
        <v>144</v>
      </c>
      <c r="I145" s="769">
        <v>250</v>
      </c>
      <c r="J145" s="769">
        <v>205</v>
      </c>
      <c r="K145" s="768">
        <f t="shared" si="40"/>
        <v>455</v>
      </c>
      <c r="L145" s="680" t="s">
        <v>1741</v>
      </c>
      <c r="M145" s="914">
        <v>108</v>
      </c>
    </row>
    <row r="146" spans="1:15" ht="50.1" customHeight="1">
      <c r="A146" s="910">
        <v>109</v>
      </c>
      <c r="B146" s="766" t="s">
        <v>1704</v>
      </c>
      <c r="C146" s="763">
        <v>4</v>
      </c>
      <c r="D146" s="764">
        <v>12</v>
      </c>
      <c r="E146" s="764">
        <f t="shared" si="42"/>
        <v>16</v>
      </c>
      <c r="F146" s="763">
        <v>0</v>
      </c>
      <c r="G146" s="764">
        <v>0</v>
      </c>
      <c r="H146" s="765">
        <f t="shared" si="39"/>
        <v>0</v>
      </c>
      <c r="I146" s="764">
        <v>19</v>
      </c>
      <c r="J146" s="764">
        <v>59</v>
      </c>
      <c r="K146" s="765">
        <f t="shared" si="40"/>
        <v>78</v>
      </c>
      <c r="L146" s="74" t="s">
        <v>1872</v>
      </c>
      <c r="M146" s="910">
        <v>109</v>
      </c>
    </row>
    <row r="147" spans="1:15" ht="50.1" customHeight="1">
      <c r="A147" s="914">
        <v>110</v>
      </c>
      <c r="B147" s="770" t="s">
        <v>1705</v>
      </c>
      <c r="C147" s="772">
        <v>7</v>
      </c>
      <c r="D147" s="769">
        <v>41</v>
      </c>
      <c r="E147" s="769">
        <f t="shared" si="42"/>
        <v>48</v>
      </c>
      <c r="F147" s="772">
        <v>11</v>
      </c>
      <c r="G147" s="769">
        <v>12</v>
      </c>
      <c r="H147" s="768">
        <f t="shared" si="39"/>
        <v>23</v>
      </c>
      <c r="I147" s="769">
        <v>118</v>
      </c>
      <c r="J147" s="769">
        <v>274</v>
      </c>
      <c r="K147" s="768">
        <f t="shared" si="40"/>
        <v>392</v>
      </c>
      <c r="L147" s="680" t="s">
        <v>1742</v>
      </c>
      <c r="M147" s="914">
        <v>110</v>
      </c>
    </row>
    <row r="148" spans="1:15" ht="50.1" customHeight="1">
      <c r="A148" s="910">
        <v>111</v>
      </c>
      <c r="B148" s="766" t="s">
        <v>1706</v>
      </c>
      <c r="C148" s="763">
        <v>2</v>
      </c>
      <c r="D148" s="764">
        <v>29</v>
      </c>
      <c r="E148" s="764">
        <f t="shared" si="42"/>
        <v>31</v>
      </c>
      <c r="F148" s="763">
        <v>7</v>
      </c>
      <c r="G148" s="764">
        <v>40</v>
      </c>
      <c r="H148" s="765">
        <f t="shared" si="39"/>
        <v>47</v>
      </c>
      <c r="I148" s="764">
        <v>148</v>
      </c>
      <c r="J148" s="764">
        <v>225</v>
      </c>
      <c r="K148" s="765">
        <f t="shared" si="40"/>
        <v>373</v>
      </c>
      <c r="L148" s="74" t="s">
        <v>1743</v>
      </c>
      <c r="M148" s="910">
        <v>111</v>
      </c>
    </row>
    <row r="149" spans="1:15" ht="50.1" customHeight="1">
      <c r="A149" s="914">
        <v>112</v>
      </c>
      <c r="B149" s="770" t="s">
        <v>1707</v>
      </c>
      <c r="C149" s="772">
        <v>11</v>
      </c>
      <c r="D149" s="769">
        <v>31</v>
      </c>
      <c r="E149" s="769">
        <f t="shared" si="42"/>
        <v>42</v>
      </c>
      <c r="F149" s="772">
        <v>39</v>
      </c>
      <c r="G149" s="769">
        <v>121</v>
      </c>
      <c r="H149" s="768">
        <f t="shared" si="39"/>
        <v>160</v>
      </c>
      <c r="I149" s="769">
        <v>229</v>
      </c>
      <c r="J149" s="769">
        <v>710</v>
      </c>
      <c r="K149" s="768">
        <f t="shared" si="40"/>
        <v>939</v>
      </c>
      <c r="L149" s="680" t="s">
        <v>1874</v>
      </c>
      <c r="M149" s="914">
        <v>112</v>
      </c>
    </row>
    <row r="150" spans="1:15" ht="50.1" customHeight="1">
      <c r="A150" s="910">
        <v>113</v>
      </c>
      <c r="B150" s="766" t="s">
        <v>1708</v>
      </c>
      <c r="C150" s="763">
        <v>4</v>
      </c>
      <c r="D150" s="764">
        <v>18</v>
      </c>
      <c r="E150" s="764">
        <f t="shared" si="42"/>
        <v>22</v>
      </c>
      <c r="F150" s="763">
        <v>3</v>
      </c>
      <c r="G150" s="764">
        <v>35</v>
      </c>
      <c r="H150" s="765">
        <f t="shared" si="39"/>
        <v>38</v>
      </c>
      <c r="I150" s="764">
        <v>10</v>
      </c>
      <c r="J150" s="764">
        <v>65</v>
      </c>
      <c r="K150" s="765">
        <f t="shared" si="40"/>
        <v>75</v>
      </c>
      <c r="L150" s="74" t="s">
        <v>1744</v>
      </c>
      <c r="M150" s="910">
        <v>113</v>
      </c>
    </row>
    <row r="151" spans="1:15" ht="50.1" customHeight="1">
      <c r="A151" s="914">
        <v>114</v>
      </c>
      <c r="B151" s="770" t="s">
        <v>1709</v>
      </c>
      <c r="C151" s="772">
        <v>6</v>
      </c>
      <c r="D151" s="769">
        <v>31</v>
      </c>
      <c r="E151" s="769">
        <f t="shared" si="42"/>
        <v>37</v>
      </c>
      <c r="F151" s="772">
        <v>7</v>
      </c>
      <c r="G151" s="769">
        <v>56</v>
      </c>
      <c r="H151" s="768">
        <f t="shared" si="39"/>
        <v>63</v>
      </c>
      <c r="I151" s="769">
        <v>120</v>
      </c>
      <c r="J151" s="769">
        <v>427</v>
      </c>
      <c r="K151" s="768">
        <f t="shared" si="40"/>
        <v>547</v>
      </c>
      <c r="L151" s="680" t="s">
        <v>1912</v>
      </c>
      <c r="M151" s="914">
        <v>114</v>
      </c>
    </row>
    <row r="152" spans="1:15" ht="50.1" customHeight="1">
      <c r="A152" s="910">
        <v>115</v>
      </c>
      <c r="B152" s="766" t="s">
        <v>1710</v>
      </c>
      <c r="C152" s="763">
        <v>7</v>
      </c>
      <c r="D152" s="764">
        <v>22</v>
      </c>
      <c r="E152" s="764">
        <f t="shared" si="42"/>
        <v>29</v>
      </c>
      <c r="F152" s="763">
        <v>17</v>
      </c>
      <c r="G152" s="764">
        <v>77</v>
      </c>
      <c r="H152" s="765">
        <f t="shared" si="39"/>
        <v>94</v>
      </c>
      <c r="I152" s="764">
        <v>40</v>
      </c>
      <c r="J152" s="764">
        <v>170</v>
      </c>
      <c r="K152" s="765">
        <f t="shared" si="40"/>
        <v>210</v>
      </c>
      <c r="L152" s="74" t="s">
        <v>1745</v>
      </c>
      <c r="M152" s="910">
        <v>115</v>
      </c>
    </row>
    <row r="153" spans="1:15" ht="50.1" customHeight="1">
      <c r="A153" s="914">
        <v>116</v>
      </c>
      <c r="B153" s="770" t="s">
        <v>1711</v>
      </c>
      <c r="C153" s="772">
        <v>4</v>
      </c>
      <c r="D153" s="769">
        <v>38</v>
      </c>
      <c r="E153" s="769">
        <f t="shared" si="42"/>
        <v>42</v>
      </c>
      <c r="F153" s="772">
        <v>41</v>
      </c>
      <c r="G153" s="769">
        <v>140</v>
      </c>
      <c r="H153" s="768">
        <f t="shared" si="39"/>
        <v>181</v>
      </c>
      <c r="I153" s="769">
        <v>225</v>
      </c>
      <c r="J153" s="769">
        <v>649</v>
      </c>
      <c r="K153" s="768">
        <f t="shared" si="40"/>
        <v>874</v>
      </c>
      <c r="L153" s="680" t="s">
        <v>1875</v>
      </c>
      <c r="M153" s="914">
        <v>116</v>
      </c>
    </row>
    <row r="154" spans="1:15" ht="50.1" customHeight="1">
      <c r="A154" s="910">
        <v>117</v>
      </c>
      <c r="B154" s="766" t="s">
        <v>1712</v>
      </c>
      <c r="C154" s="763">
        <v>31</v>
      </c>
      <c r="D154" s="764">
        <v>27</v>
      </c>
      <c r="E154" s="764">
        <f t="shared" si="42"/>
        <v>58</v>
      </c>
      <c r="F154" s="763">
        <v>763</v>
      </c>
      <c r="G154" s="764">
        <v>1016</v>
      </c>
      <c r="H154" s="765">
        <f t="shared" si="39"/>
        <v>1779</v>
      </c>
      <c r="I154" s="764">
        <v>2444</v>
      </c>
      <c r="J154" s="764">
        <v>2788</v>
      </c>
      <c r="K154" s="765">
        <f t="shared" si="40"/>
        <v>5232</v>
      </c>
      <c r="L154" s="74" t="s">
        <v>1746</v>
      </c>
      <c r="M154" s="910">
        <v>117</v>
      </c>
    </row>
    <row r="155" spans="1:15" ht="50.1" customHeight="1">
      <c r="A155" s="914">
        <v>118</v>
      </c>
      <c r="B155" s="770" t="s">
        <v>1713</v>
      </c>
      <c r="C155" s="772">
        <v>1</v>
      </c>
      <c r="D155" s="769">
        <v>34</v>
      </c>
      <c r="E155" s="769">
        <f t="shared" si="42"/>
        <v>35</v>
      </c>
      <c r="F155" s="772">
        <v>10</v>
      </c>
      <c r="G155" s="769">
        <v>422</v>
      </c>
      <c r="H155" s="768">
        <f t="shared" si="39"/>
        <v>432</v>
      </c>
      <c r="I155" s="769">
        <v>31</v>
      </c>
      <c r="J155" s="769">
        <v>586</v>
      </c>
      <c r="K155" s="768">
        <f t="shared" si="40"/>
        <v>617</v>
      </c>
      <c r="L155" s="680" t="s">
        <v>1747</v>
      </c>
      <c r="M155" s="914">
        <v>118</v>
      </c>
    </row>
    <row r="156" spans="1:15" ht="50.1" customHeight="1">
      <c r="A156" s="910">
        <v>119</v>
      </c>
      <c r="B156" s="766" t="s">
        <v>1714</v>
      </c>
      <c r="C156" s="763">
        <v>17</v>
      </c>
      <c r="D156" s="764">
        <v>16</v>
      </c>
      <c r="E156" s="764">
        <f t="shared" si="42"/>
        <v>33</v>
      </c>
      <c r="F156" s="763">
        <v>83</v>
      </c>
      <c r="G156" s="764">
        <v>356</v>
      </c>
      <c r="H156" s="765">
        <f t="shared" si="39"/>
        <v>439</v>
      </c>
      <c r="I156" s="764">
        <v>122</v>
      </c>
      <c r="J156" s="764">
        <v>505</v>
      </c>
      <c r="K156" s="765">
        <f t="shared" si="40"/>
        <v>627</v>
      </c>
      <c r="L156" s="74" t="s">
        <v>1748</v>
      </c>
      <c r="M156" s="910">
        <v>119</v>
      </c>
    </row>
    <row r="157" spans="1:15" ht="50.1" customHeight="1">
      <c r="A157" s="914">
        <v>120</v>
      </c>
      <c r="B157" s="770" t="s">
        <v>1715</v>
      </c>
      <c r="C157" s="772">
        <v>30</v>
      </c>
      <c r="D157" s="769">
        <v>16</v>
      </c>
      <c r="E157" s="769">
        <f t="shared" si="42"/>
        <v>46</v>
      </c>
      <c r="F157" s="772">
        <v>57</v>
      </c>
      <c r="G157" s="769" t="s">
        <v>14</v>
      </c>
      <c r="H157" s="768">
        <f>F157</f>
        <v>57</v>
      </c>
      <c r="I157" s="769">
        <v>177</v>
      </c>
      <c r="J157" s="769" t="s">
        <v>14</v>
      </c>
      <c r="K157" s="768">
        <f>I157</f>
        <v>177</v>
      </c>
      <c r="L157" s="680" t="s">
        <v>1913</v>
      </c>
      <c r="M157" s="914">
        <v>120</v>
      </c>
      <c r="O157">
        <f>6110+K48</f>
        <v>8625</v>
      </c>
    </row>
    <row r="158" spans="1:15" ht="50.1" customHeight="1">
      <c r="A158" s="910">
        <v>121</v>
      </c>
      <c r="B158" s="766" t="s">
        <v>1790</v>
      </c>
      <c r="C158" s="763">
        <v>5</v>
      </c>
      <c r="D158" s="764">
        <v>21</v>
      </c>
      <c r="E158" s="764">
        <f t="shared" si="42"/>
        <v>26</v>
      </c>
      <c r="F158" s="763">
        <v>10</v>
      </c>
      <c r="G158" s="764">
        <v>90</v>
      </c>
      <c r="H158" s="765">
        <f>G158+F158</f>
        <v>100</v>
      </c>
      <c r="I158" s="764">
        <f>+I159</f>
        <v>1</v>
      </c>
      <c r="J158" s="764">
        <v>90</v>
      </c>
      <c r="K158" s="765">
        <f>J158+I158</f>
        <v>91</v>
      </c>
      <c r="L158" s="74" t="s">
        <v>1789</v>
      </c>
      <c r="M158" s="910">
        <v>121</v>
      </c>
    </row>
    <row r="159" spans="1:15" ht="50.1" customHeight="1">
      <c r="A159" s="916">
        <v>122</v>
      </c>
      <c r="B159" s="779" t="s">
        <v>1791</v>
      </c>
      <c r="C159" s="778">
        <v>3</v>
      </c>
      <c r="D159" s="774">
        <v>28</v>
      </c>
      <c r="E159" s="774">
        <f>D159+C159</f>
        <v>31</v>
      </c>
      <c r="F159" s="778">
        <v>1</v>
      </c>
      <c r="G159" s="774">
        <v>38</v>
      </c>
      <c r="H159" s="777">
        <f>G159+F159</f>
        <v>39</v>
      </c>
      <c r="I159" s="774">
        <v>1</v>
      </c>
      <c r="J159" s="774">
        <v>38</v>
      </c>
      <c r="K159" s="777">
        <f>J159+I159</f>
        <v>39</v>
      </c>
      <c r="L159" s="681" t="s">
        <v>1914</v>
      </c>
      <c r="M159" s="916">
        <v>122</v>
      </c>
    </row>
    <row r="160" spans="1:15" ht="24.95" customHeight="1">
      <c r="B160" s="792" t="s">
        <v>27</v>
      </c>
      <c r="F160" s="767"/>
      <c r="G160" s="767"/>
      <c r="H160" s="767" t="s">
        <v>670</v>
      </c>
      <c r="I160" s="767"/>
      <c r="J160" s="784"/>
      <c r="K160" s="784"/>
      <c r="L160" s="784" t="s">
        <v>460</v>
      </c>
    </row>
  </sheetData>
  <mergeCells count="85">
    <mergeCell ref="A129:F130"/>
    <mergeCell ref="G129:M129"/>
    <mergeCell ref="G130:M130"/>
    <mergeCell ref="A131:A135"/>
    <mergeCell ref="M131:M135"/>
    <mergeCell ref="L131:L135"/>
    <mergeCell ref="C132:E132"/>
    <mergeCell ref="F132:H132"/>
    <mergeCell ref="I132:K132"/>
    <mergeCell ref="B131:B135"/>
    <mergeCell ref="C131:E131"/>
    <mergeCell ref="F131:H131"/>
    <mergeCell ref="I131:K131"/>
    <mergeCell ref="A1:M1"/>
    <mergeCell ref="A2:M2"/>
    <mergeCell ref="A3:M3"/>
    <mergeCell ref="A4:A8"/>
    <mergeCell ref="M4:M8"/>
    <mergeCell ref="L4:L8"/>
    <mergeCell ref="B4:B8"/>
    <mergeCell ref="C4:E4"/>
    <mergeCell ref="F4:H4"/>
    <mergeCell ref="I4:K4"/>
    <mergeCell ref="F5:H5"/>
    <mergeCell ref="I5:K5"/>
    <mergeCell ref="C5:E5"/>
    <mergeCell ref="W21:W22"/>
    <mergeCell ref="W23:W24"/>
    <mergeCell ref="O23:O24"/>
    <mergeCell ref="L40:L44"/>
    <mergeCell ref="P23:P24"/>
    <mergeCell ref="U23:U24"/>
    <mergeCell ref="V23:V24"/>
    <mergeCell ref="R21:R22"/>
    <mergeCell ref="Q21:Q22"/>
    <mergeCell ref="S21:S22"/>
    <mergeCell ref="Q23:Q24"/>
    <mergeCell ref="U21:U22"/>
    <mergeCell ref="T21:T22"/>
    <mergeCell ref="P21:P22"/>
    <mergeCell ref="O21:O22"/>
    <mergeCell ref="S23:S24"/>
    <mergeCell ref="T23:T24"/>
    <mergeCell ref="V21:V22"/>
    <mergeCell ref="C68:E68"/>
    <mergeCell ref="F68:H68"/>
    <mergeCell ref="I68:K68"/>
    <mergeCell ref="F40:H40"/>
    <mergeCell ref="C40:E40"/>
    <mergeCell ref="N21:N22"/>
    <mergeCell ref="N23:N24"/>
    <mergeCell ref="R23:R24"/>
    <mergeCell ref="G38:M38"/>
    <mergeCell ref="G39:M39"/>
    <mergeCell ref="A38:F39"/>
    <mergeCell ref="A40:A44"/>
    <mergeCell ref="M40:M44"/>
    <mergeCell ref="A67:A71"/>
    <mergeCell ref="B40:B44"/>
    <mergeCell ref="L67:L71"/>
    <mergeCell ref="I67:K67"/>
    <mergeCell ref="F67:H67"/>
    <mergeCell ref="C67:E67"/>
    <mergeCell ref="I40:K40"/>
    <mergeCell ref="C41:E41"/>
    <mergeCell ref="F41:H41"/>
    <mergeCell ref="I41:K41"/>
    <mergeCell ref="B67:B71"/>
    <mergeCell ref="A65:F66"/>
    <mergeCell ref="G65:M65"/>
    <mergeCell ref="G66:M66"/>
    <mergeCell ref="M67:M71"/>
    <mergeCell ref="A94:F95"/>
    <mergeCell ref="G94:M94"/>
    <mergeCell ref="G95:M95"/>
    <mergeCell ref="A96:A100"/>
    <mergeCell ref="M96:M100"/>
    <mergeCell ref="B96:B100"/>
    <mergeCell ref="C96:E96"/>
    <mergeCell ref="F97:H97"/>
    <mergeCell ref="I97:K97"/>
    <mergeCell ref="C97:E97"/>
    <mergeCell ref="L96:L100"/>
    <mergeCell ref="F96:H96"/>
    <mergeCell ref="I96:K96"/>
  </mergeCells>
  <pageMargins left="0.511811023622047" right="0.51" top="0.35433070866141703" bottom="0.66929133858267698" header="0.196850393700787" footer="0.35433070866141703"/>
  <pageSetup paperSize="9" scale="5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9"/>
  <sheetViews>
    <sheetView view="pageBreakPreview" zoomScale="90" zoomScaleSheetLayoutView="90" workbookViewId="0">
      <selection activeCell="A44" sqref="A44:G44"/>
    </sheetView>
  </sheetViews>
  <sheetFormatPr defaultRowHeight="15"/>
  <cols>
    <col min="1" max="1" width="4.42578125" customWidth="1"/>
    <col min="2" max="2" width="41.5703125" customWidth="1"/>
    <col min="3" max="3" width="13" customWidth="1"/>
    <col min="4" max="4" width="13.42578125" customWidth="1"/>
    <col min="5" max="5" width="12.28515625" customWidth="1"/>
    <col min="6" max="6" width="40.42578125" customWidth="1"/>
    <col min="7" max="7" width="5.7109375" customWidth="1"/>
    <col min="10" max="10" width="9.28515625" bestFit="1" customWidth="1"/>
  </cols>
  <sheetData>
    <row r="1" spans="1:19" ht="35.1" customHeight="1">
      <c r="A1" s="1407" t="s">
        <v>803</v>
      </c>
      <c r="B1" s="1407"/>
      <c r="C1" s="1407"/>
      <c r="D1" s="1407"/>
      <c r="E1" s="1407"/>
      <c r="F1" s="1407"/>
      <c r="G1" s="1407"/>
      <c r="H1" s="10"/>
      <c r="I1" s="10"/>
      <c r="J1" s="10"/>
      <c r="K1" s="10"/>
      <c r="L1" s="10"/>
      <c r="P1" t="s">
        <v>1294</v>
      </c>
      <c r="Q1" t="s">
        <v>0</v>
      </c>
      <c r="R1" t="s">
        <v>108</v>
      </c>
      <c r="S1" t="s">
        <v>0</v>
      </c>
    </row>
    <row r="2" spans="1:19" ht="35.1" customHeight="1">
      <c r="A2" s="1407" t="s">
        <v>528</v>
      </c>
      <c r="B2" s="1407"/>
      <c r="C2" s="1407"/>
      <c r="D2" s="1407"/>
      <c r="E2" s="1407"/>
      <c r="F2" s="1407"/>
      <c r="G2" s="1407"/>
      <c r="H2" s="52"/>
      <c r="I2" s="52"/>
      <c r="J2" s="52"/>
      <c r="K2" s="52"/>
      <c r="L2" s="52"/>
      <c r="N2" t="s">
        <v>1015</v>
      </c>
      <c r="P2">
        <v>46469</v>
      </c>
      <c r="Q2">
        <v>7869</v>
      </c>
      <c r="R2" s="51">
        <v>1635</v>
      </c>
      <c r="S2" s="51">
        <v>344</v>
      </c>
    </row>
    <row r="3" spans="1:19" ht="35.1" customHeight="1">
      <c r="A3" s="1521" t="s">
        <v>492</v>
      </c>
      <c r="B3" s="1521"/>
      <c r="C3" s="1521"/>
      <c r="D3" s="1521"/>
      <c r="E3" s="1521"/>
      <c r="F3" s="1521"/>
      <c r="G3" s="1521"/>
      <c r="H3" s="10"/>
      <c r="I3" s="52"/>
      <c r="J3" s="52"/>
      <c r="K3" s="52"/>
      <c r="L3" s="52"/>
      <c r="N3" t="s">
        <v>994</v>
      </c>
      <c r="P3">
        <v>73212</v>
      </c>
      <c r="Q3">
        <v>41041</v>
      </c>
      <c r="R3" s="51">
        <v>2603</v>
      </c>
      <c r="S3" s="51">
        <v>354</v>
      </c>
    </row>
    <row r="4" spans="1:19" ht="35.1" customHeight="1">
      <c r="A4" s="1459" t="s">
        <v>2028</v>
      </c>
      <c r="B4" s="1517" t="s">
        <v>399</v>
      </c>
      <c r="C4" s="1079">
        <v>1396</v>
      </c>
      <c r="D4" s="1079">
        <v>1395</v>
      </c>
      <c r="E4" s="1079">
        <v>1394</v>
      </c>
      <c r="F4" s="1517" t="s">
        <v>398</v>
      </c>
      <c r="G4" s="1459" t="s">
        <v>2027</v>
      </c>
      <c r="H4" s="433">
        <f>D7-C7</f>
        <v>-82</v>
      </c>
      <c r="I4" s="52"/>
      <c r="J4" s="52"/>
      <c r="K4" s="52"/>
      <c r="L4" s="52"/>
      <c r="N4" t="s">
        <v>990</v>
      </c>
      <c r="P4">
        <v>32757</v>
      </c>
      <c r="Q4">
        <v>4287</v>
      </c>
      <c r="R4" s="51">
        <v>1437</v>
      </c>
      <c r="S4" s="51">
        <v>153</v>
      </c>
    </row>
    <row r="5" spans="1:19" ht="35.1" customHeight="1">
      <c r="A5" s="1461"/>
      <c r="B5" s="1518"/>
      <c r="C5" s="1081" t="s">
        <v>1774</v>
      </c>
      <c r="D5" s="1081" t="s">
        <v>1305</v>
      </c>
      <c r="E5" s="1081" t="s">
        <v>1156</v>
      </c>
      <c r="F5" s="1518"/>
      <c r="G5" s="1461"/>
      <c r="H5" s="52"/>
      <c r="I5" s="52"/>
      <c r="J5" s="52"/>
      <c r="K5" s="52"/>
      <c r="L5" s="52"/>
      <c r="N5" t="s">
        <v>1014</v>
      </c>
      <c r="P5">
        <v>8588903</v>
      </c>
      <c r="Q5">
        <v>3430924</v>
      </c>
      <c r="R5" s="51">
        <v>188017</v>
      </c>
      <c r="S5" s="51">
        <v>62086</v>
      </c>
    </row>
    <row r="6" spans="1:19" ht="65.099999999999994" customHeight="1">
      <c r="A6" s="915">
        <v>1</v>
      </c>
      <c r="B6" s="853" t="s">
        <v>360</v>
      </c>
      <c r="C6" s="1076">
        <f>C7+C11</f>
        <v>16046</v>
      </c>
      <c r="D6" s="1077">
        <f>D7+D11</f>
        <v>15709</v>
      </c>
      <c r="E6" s="734">
        <f>E7+E11</f>
        <v>15384</v>
      </c>
      <c r="F6" s="851" t="s">
        <v>749</v>
      </c>
      <c r="G6" s="915">
        <v>1</v>
      </c>
      <c r="H6" s="10">
        <f>15709+157</f>
        <v>15866</v>
      </c>
      <c r="I6" s="10"/>
      <c r="J6" s="52"/>
      <c r="K6" s="52"/>
      <c r="L6" s="52"/>
      <c r="N6" t="s">
        <v>1013</v>
      </c>
      <c r="P6">
        <v>19825</v>
      </c>
      <c r="Q6">
        <v>3530</v>
      </c>
      <c r="R6">
        <v>0</v>
      </c>
      <c r="S6">
        <v>0</v>
      </c>
    </row>
    <row r="7" spans="1:19" ht="65.099999999999994" customHeight="1">
      <c r="A7" s="910">
        <v>2</v>
      </c>
      <c r="B7" s="193" t="s">
        <v>361</v>
      </c>
      <c r="C7" s="552">
        <f>C8+C9+C10</f>
        <v>14740</v>
      </c>
      <c r="D7" s="549">
        <f>D8+D9+D10</f>
        <v>14658</v>
      </c>
      <c r="E7" s="553">
        <f>E8+E9+E10</f>
        <v>14479</v>
      </c>
      <c r="F7" s="194" t="s">
        <v>738</v>
      </c>
      <c r="G7" s="910">
        <v>2</v>
      </c>
      <c r="H7" s="52"/>
      <c r="I7" s="52"/>
      <c r="J7" s="52">
        <f>C8+C12</f>
        <v>6695</v>
      </c>
      <c r="K7" s="52">
        <f>C9+C10+C13+C14</f>
        <v>9351</v>
      </c>
      <c r="L7" s="52"/>
      <c r="N7" t="s">
        <v>1012</v>
      </c>
      <c r="P7">
        <v>295203</v>
      </c>
      <c r="Q7">
        <v>51478</v>
      </c>
      <c r="R7">
        <v>7396</v>
      </c>
      <c r="S7">
        <v>479</v>
      </c>
    </row>
    <row r="8" spans="1:19" ht="65.099999999999994" customHeight="1">
      <c r="A8" s="914">
        <v>3</v>
      </c>
      <c r="B8" s="628" t="s">
        <v>362</v>
      </c>
      <c r="C8" s="656">
        <v>6171</v>
      </c>
      <c r="D8" s="657">
        <v>6182</v>
      </c>
      <c r="E8" s="626">
        <v>6174</v>
      </c>
      <c r="F8" s="632" t="s">
        <v>739</v>
      </c>
      <c r="G8" s="914">
        <v>3</v>
      </c>
      <c r="H8" s="10"/>
      <c r="I8" s="10"/>
      <c r="J8" s="10">
        <f>C17+C25</f>
        <v>6142767</v>
      </c>
      <c r="K8" s="10">
        <f>C18+C19+C26+C27</f>
        <v>2795805</v>
      </c>
      <c r="L8" s="10"/>
      <c r="P8">
        <f>SUM(P2:P7)</f>
        <v>9056369</v>
      </c>
      <c r="Q8">
        <f>SUM(Q2:Q7)</f>
        <v>3539129</v>
      </c>
      <c r="R8">
        <f>SUM(R2:R7)</f>
        <v>201088</v>
      </c>
      <c r="S8">
        <f>SUM(S2:S7)</f>
        <v>63416</v>
      </c>
    </row>
    <row r="9" spans="1:19" ht="65.099999999999994" customHeight="1">
      <c r="A9" s="910">
        <v>4</v>
      </c>
      <c r="B9" s="193" t="s">
        <v>1297</v>
      </c>
      <c r="C9" s="552">
        <v>3852</v>
      </c>
      <c r="D9" s="549">
        <v>3843</v>
      </c>
      <c r="E9" s="553">
        <v>3800</v>
      </c>
      <c r="F9" s="88" t="s">
        <v>1299</v>
      </c>
      <c r="G9" s="910">
        <v>4</v>
      </c>
      <c r="H9" s="10"/>
      <c r="I9" s="10"/>
      <c r="J9" s="200"/>
      <c r="K9" s="10"/>
      <c r="L9" s="10"/>
    </row>
    <row r="10" spans="1:19" ht="65.099999999999994" customHeight="1">
      <c r="A10" s="914">
        <v>5</v>
      </c>
      <c r="B10" s="628" t="s">
        <v>1298</v>
      </c>
      <c r="C10" s="656">
        <v>4717</v>
      </c>
      <c r="D10" s="657">
        <v>4633</v>
      </c>
      <c r="E10" s="626">
        <v>4505</v>
      </c>
      <c r="F10" s="683" t="s">
        <v>1300</v>
      </c>
      <c r="G10" s="914">
        <v>5</v>
      </c>
      <c r="H10" s="10"/>
      <c r="I10" s="10"/>
      <c r="J10" s="10"/>
      <c r="K10" s="10"/>
      <c r="L10" s="10"/>
      <c r="N10" s="49">
        <f>J8/Q8*100-100</f>
        <v>73.567196900706364</v>
      </c>
    </row>
    <row r="11" spans="1:19" ht="65.099999999999994" customHeight="1">
      <c r="A11" s="910">
        <v>6</v>
      </c>
      <c r="B11" s="193" t="s">
        <v>363</v>
      </c>
      <c r="C11" s="560">
        <f>C12+C13+C14</f>
        <v>1306</v>
      </c>
      <c r="D11" s="559">
        <f>D12+D13+D14</f>
        <v>1051</v>
      </c>
      <c r="E11" s="568">
        <f>E12+E13+E14</f>
        <v>905</v>
      </c>
      <c r="F11" s="194" t="s">
        <v>742</v>
      </c>
      <c r="G11" s="910">
        <v>6</v>
      </c>
      <c r="H11" s="10"/>
      <c r="I11" s="10"/>
      <c r="J11" s="10"/>
      <c r="K11" s="10"/>
      <c r="L11" s="10"/>
    </row>
    <row r="12" spans="1:19" ht="65.099999999999994" customHeight="1">
      <c r="A12" s="914">
        <v>7</v>
      </c>
      <c r="B12" s="628" t="s">
        <v>362</v>
      </c>
      <c r="C12" s="640">
        <v>524</v>
      </c>
      <c r="D12" s="641">
        <v>367</v>
      </c>
      <c r="E12" s="642">
        <v>282</v>
      </c>
      <c r="F12" s="632" t="s">
        <v>739</v>
      </c>
      <c r="G12" s="914">
        <v>7</v>
      </c>
      <c r="H12" s="10"/>
      <c r="I12" s="10"/>
      <c r="J12" s="10"/>
      <c r="K12" s="10"/>
      <c r="L12" s="10"/>
    </row>
    <row r="13" spans="1:19" ht="65.099999999999994" customHeight="1">
      <c r="A13" s="910">
        <v>8</v>
      </c>
      <c r="B13" s="193" t="s">
        <v>476</v>
      </c>
      <c r="C13" s="560">
        <v>315</v>
      </c>
      <c r="D13" s="559">
        <v>252</v>
      </c>
      <c r="E13" s="568">
        <v>202</v>
      </c>
      <c r="F13" s="194" t="s">
        <v>740</v>
      </c>
      <c r="G13" s="910">
        <v>8</v>
      </c>
      <c r="H13" s="10"/>
      <c r="I13" s="10"/>
      <c r="J13" s="10"/>
      <c r="K13" s="10"/>
      <c r="L13" s="10"/>
    </row>
    <row r="14" spans="1:19" ht="65.099999999999994" customHeight="1">
      <c r="A14" s="914">
        <v>9</v>
      </c>
      <c r="B14" s="628" t="s">
        <v>479</v>
      </c>
      <c r="C14" s="640">
        <v>467</v>
      </c>
      <c r="D14" s="641">
        <v>432</v>
      </c>
      <c r="E14" s="642">
        <v>421</v>
      </c>
      <c r="F14" s="632" t="s">
        <v>741</v>
      </c>
      <c r="G14" s="914">
        <v>9</v>
      </c>
      <c r="H14">
        <f>8395836+13818</f>
        <v>8409654</v>
      </c>
      <c r="I14" s="49">
        <f>8938227/1000000</f>
        <v>8.9382269999999995</v>
      </c>
    </row>
    <row r="15" spans="1:19" ht="65.099999999999994" customHeight="1">
      <c r="A15" s="910">
        <v>10</v>
      </c>
      <c r="B15" s="193" t="s">
        <v>493</v>
      </c>
      <c r="C15" s="552">
        <f>C16+C21</f>
        <v>8938572</v>
      </c>
      <c r="D15" s="549">
        <f>D16+D20+D21</f>
        <v>8938227</v>
      </c>
      <c r="E15" s="553">
        <f>E16+E20+E21</f>
        <v>9198819</v>
      </c>
      <c r="F15" s="194" t="s">
        <v>1052</v>
      </c>
      <c r="G15" s="910">
        <v>10</v>
      </c>
      <c r="I15">
        <f>D15-C15</f>
        <v>-345</v>
      </c>
      <c r="N15" s="49"/>
    </row>
    <row r="16" spans="1:19" ht="65.099999999999994" customHeight="1">
      <c r="A16" s="914">
        <v>11</v>
      </c>
      <c r="B16" s="628" t="s">
        <v>494</v>
      </c>
      <c r="C16" s="656">
        <f>C17+C18+C19</f>
        <v>8533303</v>
      </c>
      <c r="D16" s="657">
        <f>D17+D18+D19</f>
        <v>8395836</v>
      </c>
      <c r="E16" s="626">
        <f>E17+E18+E19</f>
        <v>8726387</v>
      </c>
      <c r="F16" s="632" t="s">
        <v>802</v>
      </c>
      <c r="G16" s="914">
        <v>11</v>
      </c>
      <c r="I16">
        <f>D16-C16</f>
        <v>-137467</v>
      </c>
    </row>
    <row r="17" spans="1:12" ht="65.099999999999994" customHeight="1">
      <c r="A17" s="910">
        <v>12</v>
      </c>
      <c r="B17" s="193" t="s">
        <v>364</v>
      </c>
      <c r="C17" s="552">
        <v>5841757</v>
      </c>
      <c r="D17" s="549">
        <v>5848539</v>
      </c>
      <c r="E17" s="553">
        <v>6213003</v>
      </c>
      <c r="F17" s="194" t="s">
        <v>743</v>
      </c>
      <c r="G17" s="910">
        <v>12</v>
      </c>
      <c r="I17">
        <f>C16+C20</f>
        <v>8749589</v>
      </c>
    </row>
    <row r="18" spans="1:12" ht="65.099999999999994" customHeight="1">
      <c r="A18" s="914">
        <v>13</v>
      </c>
      <c r="B18" s="628" t="s">
        <v>477</v>
      </c>
      <c r="C18" s="656">
        <v>1744305</v>
      </c>
      <c r="D18" s="657">
        <v>1655306</v>
      </c>
      <c r="E18" s="626">
        <v>1612926</v>
      </c>
      <c r="F18" s="632" t="s">
        <v>744</v>
      </c>
      <c r="G18" s="914">
        <v>13</v>
      </c>
      <c r="J18">
        <f>1738+1252+135+330+15+27+28</f>
        <v>3525</v>
      </c>
      <c r="K18">
        <f>5937+172+350+621+60493+43333+105380</f>
        <v>216286</v>
      </c>
    </row>
    <row r="19" spans="1:12" ht="65.099999999999994" customHeight="1">
      <c r="A19" s="910">
        <v>14</v>
      </c>
      <c r="B19" s="193" t="s">
        <v>480</v>
      </c>
      <c r="C19" s="552">
        <v>947241</v>
      </c>
      <c r="D19" s="549">
        <v>891991</v>
      </c>
      <c r="E19" s="553">
        <v>900458</v>
      </c>
      <c r="F19" s="194" t="s">
        <v>806</v>
      </c>
      <c r="G19" s="910">
        <v>14</v>
      </c>
      <c r="I19">
        <f>C21+C16</f>
        <v>8938572</v>
      </c>
      <c r="K19">
        <f>179+98+9+44+3</f>
        <v>333</v>
      </c>
    </row>
    <row r="20" spans="1:12" ht="65.099999999999994" customHeight="1">
      <c r="A20" s="914">
        <v>15</v>
      </c>
      <c r="B20" s="628" t="s">
        <v>1019</v>
      </c>
      <c r="C20" s="656">
        <v>216286</v>
      </c>
      <c r="D20" s="657">
        <f>171303+33068+172+550+120</f>
        <v>205213</v>
      </c>
      <c r="E20" s="626">
        <v>189086</v>
      </c>
      <c r="F20" s="632" t="s">
        <v>1000</v>
      </c>
      <c r="G20" s="914">
        <v>15</v>
      </c>
      <c r="I20">
        <f>60493+43333+105380</f>
        <v>209206</v>
      </c>
    </row>
    <row r="21" spans="1:12" ht="65.099999999999994" customHeight="1">
      <c r="A21" s="904">
        <v>16</v>
      </c>
      <c r="B21" s="864" t="s">
        <v>495</v>
      </c>
      <c r="C21" s="868">
        <f>C25+C26+C27</f>
        <v>405269</v>
      </c>
      <c r="D21" s="862">
        <f>D25+D26+D27</f>
        <v>337178</v>
      </c>
      <c r="E21" s="863">
        <f>E25+E26+E27</f>
        <v>283346</v>
      </c>
      <c r="F21" s="863" t="s">
        <v>820</v>
      </c>
      <c r="G21" s="904">
        <v>16</v>
      </c>
      <c r="I21">
        <f>53+5+115+6+98+9</f>
        <v>286</v>
      </c>
      <c r="J21">
        <f>1738+1252+135</f>
        <v>3125</v>
      </c>
    </row>
    <row r="22" spans="1:12" ht="35.1" customHeight="1">
      <c r="A22" s="10"/>
      <c r="B22" s="845" t="s">
        <v>531</v>
      </c>
      <c r="C22" s="1519" t="s">
        <v>530</v>
      </c>
      <c r="D22" s="1519"/>
      <c r="E22" s="1519"/>
      <c r="F22" s="848" t="s">
        <v>529</v>
      </c>
      <c r="G22" s="10"/>
      <c r="J22">
        <v>33068</v>
      </c>
    </row>
    <row r="23" spans="1:12" ht="35.1" customHeight="1">
      <c r="A23" s="1459" t="s">
        <v>2028</v>
      </c>
      <c r="B23" s="1517" t="s">
        <v>399</v>
      </c>
      <c r="C23" s="1079">
        <v>1396</v>
      </c>
      <c r="D23" s="1079">
        <v>1395</v>
      </c>
      <c r="E23" s="1079">
        <v>1394</v>
      </c>
      <c r="F23" s="1517" t="s">
        <v>398</v>
      </c>
      <c r="G23" s="1459" t="s">
        <v>2027</v>
      </c>
      <c r="J23">
        <v>172</v>
      </c>
    </row>
    <row r="24" spans="1:12" ht="35.1" customHeight="1">
      <c r="A24" s="1461"/>
      <c r="B24" s="1518"/>
      <c r="C24" s="1081" t="s">
        <v>1774</v>
      </c>
      <c r="D24" s="1081" t="s">
        <v>1305</v>
      </c>
      <c r="E24" s="1081" t="s">
        <v>1156</v>
      </c>
      <c r="F24" s="1518"/>
      <c r="G24" s="1461"/>
      <c r="J24">
        <v>550</v>
      </c>
    </row>
    <row r="25" spans="1:12" ht="54.95" customHeight="1">
      <c r="A25" s="915">
        <v>17</v>
      </c>
      <c r="B25" s="650" t="s">
        <v>364</v>
      </c>
      <c r="C25" s="651">
        <v>301010</v>
      </c>
      <c r="D25" s="652">
        <v>251462</v>
      </c>
      <c r="E25" s="653">
        <v>209075</v>
      </c>
      <c r="F25" s="653" t="s">
        <v>743</v>
      </c>
      <c r="G25" s="915">
        <v>17</v>
      </c>
      <c r="J25">
        <v>120</v>
      </c>
    </row>
    <row r="26" spans="1:12" ht="54.95" customHeight="1">
      <c r="A26" s="1082">
        <v>18</v>
      </c>
      <c r="B26" s="123" t="s">
        <v>478</v>
      </c>
      <c r="C26" s="556">
        <v>72418</v>
      </c>
      <c r="D26" s="557">
        <v>59081</v>
      </c>
      <c r="E26" s="555">
        <v>51881</v>
      </c>
      <c r="F26" s="124" t="s">
        <v>744</v>
      </c>
      <c r="G26" s="1082">
        <v>18</v>
      </c>
      <c r="J26">
        <v>90932</v>
      </c>
    </row>
    <row r="27" spans="1:12" ht="54.95" customHeight="1">
      <c r="A27" s="914">
        <v>19</v>
      </c>
      <c r="B27" s="628" t="s">
        <v>480</v>
      </c>
      <c r="C27" s="654">
        <v>31841</v>
      </c>
      <c r="D27" s="655">
        <v>26635</v>
      </c>
      <c r="E27" s="632">
        <v>22390</v>
      </c>
      <c r="F27" s="632" t="s">
        <v>1001</v>
      </c>
      <c r="G27" s="914">
        <v>19</v>
      </c>
      <c r="J27" s="39">
        <v>16378</v>
      </c>
    </row>
    <row r="28" spans="1:12" ht="54.95" customHeight="1">
      <c r="A28" s="1082">
        <v>20</v>
      </c>
      <c r="B28" s="123" t="s">
        <v>365</v>
      </c>
      <c r="C28" s="552">
        <v>250979</v>
      </c>
      <c r="D28" s="549">
        <v>208401</v>
      </c>
      <c r="E28" s="553">
        <v>205445</v>
      </c>
      <c r="F28" s="134" t="s">
        <v>804</v>
      </c>
      <c r="G28" s="1082">
        <v>20</v>
      </c>
      <c r="J28">
        <v>61993</v>
      </c>
      <c r="L28" s="39">
        <f>J26+J27+J28+1482+518</f>
        <v>171303</v>
      </c>
    </row>
    <row r="29" spans="1:12" ht="54.95" customHeight="1">
      <c r="A29" s="914">
        <v>21</v>
      </c>
      <c r="B29" s="628" t="s">
        <v>366</v>
      </c>
      <c r="C29" s="656">
        <f>C30+C31</f>
        <v>206221</v>
      </c>
      <c r="D29" s="657">
        <f>D30+D31</f>
        <v>203315</v>
      </c>
      <c r="E29" s="626">
        <f>E30+E31</f>
        <v>203496</v>
      </c>
      <c r="F29" s="632" t="s">
        <v>805</v>
      </c>
      <c r="G29" s="914">
        <v>21</v>
      </c>
      <c r="I29" s="51" t="e">
        <f>C16+C37</f>
        <v>#VALUE!</v>
      </c>
      <c r="J29">
        <f>SUM(J22:J28)</f>
        <v>203213</v>
      </c>
    </row>
    <row r="30" spans="1:12" ht="54.95" customHeight="1">
      <c r="A30" s="1082">
        <v>22</v>
      </c>
      <c r="B30" s="123" t="s">
        <v>367</v>
      </c>
      <c r="C30" s="552">
        <v>183053</v>
      </c>
      <c r="D30" s="549">
        <v>184541</v>
      </c>
      <c r="E30" s="553">
        <v>188037</v>
      </c>
      <c r="F30" s="134" t="s">
        <v>1002</v>
      </c>
      <c r="G30" s="1082">
        <v>22</v>
      </c>
    </row>
    <row r="31" spans="1:12" ht="54.95" customHeight="1">
      <c r="A31" s="914">
        <v>23</v>
      </c>
      <c r="B31" s="628" t="s">
        <v>368</v>
      </c>
      <c r="C31" s="654">
        <v>23168</v>
      </c>
      <c r="D31" s="655">
        <v>18774</v>
      </c>
      <c r="E31" s="632">
        <v>15459</v>
      </c>
      <c r="F31" s="632" t="s">
        <v>1003</v>
      </c>
      <c r="G31" s="914">
        <v>23</v>
      </c>
      <c r="L31" s="49"/>
    </row>
    <row r="32" spans="1:12" ht="54.95" customHeight="1">
      <c r="A32" s="1082">
        <v>24</v>
      </c>
      <c r="B32" s="123" t="s">
        <v>369</v>
      </c>
      <c r="C32" s="231">
        <v>1084247</v>
      </c>
      <c r="D32" s="120">
        <v>823107</v>
      </c>
      <c r="E32" s="205">
        <v>970187</v>
      </c>
      <c r="F32" s="134" t="s">
        <v>807</v>
      </c>
      <c r="G32" s="1082">
        <v>24</v>
      </c>
      <c r="J32">
        <v>974</v>
      </c>
      <c r="L32">
        <v>21592</v>
      </c>
    </row>
    <row r="33" spans="1:14" ht="54.95" customHeight="1">
      <c r="A33" s="914">
        <v>25</v>
      </c>
      <c r="B33" s="628" t="s">
        <v>224</v>
      </c>
      <c r="C33" s="684">
        <v>157</v>
      </c>
      <c r="D33" s="685">
        <v>157</v>
      </c>
      <c r="E33" s="686">
        <v>141</v>
      </c>
      <c r="F33" s="642" t="s">
        <v>745</v>
      </c>
      <c r="G33" s="914">
        <v>25</v>
      </c>
      <c r="I33" s="51"/>
      <c r="J33">
        <v>6990</v>
      </c>
      <c r="L33">
        <v>308574</v>
      </c>
    </row>
    <row r="34" spans="1:14" ht="54.95" customHeight="1">
      <c r="A34" s="1082">
        <v>26</v>
      </c>
      <c r="B34" s="123" t="s">
        <v>370</v>
      </c>
      <c r="C34" s="231">
        <v>13479</v>
      </c>
      <c r="D34" s="7">
        <v>13818</v>
      </c>
      <c r="E34" s="558">
        <v>21565</v>
      </c>
      <c r="F34" s="125" t="s">
        <v>746</v>
      </c>
      <c r="G34" s="1082">
        <v>26</v>
      </c>
      <c r="I34" s="51"/>
      <c r="J34">
        <v>188037</v>
      </c>
      <c r="L34">
        <v>8726387</v>
      </c>
    </row>
    <row r="35" spans="1:14" ht="54.95" customHeight="1">
      <c r="A35" s="914">
        <v>27</v>
      </c>
      <c r="B35" s="628" t="s">
        <v>371</v>
      </c>
      <c r="C35" s="684">
        <v>758</v>
      </c>
      <c r="D35" s="685">
        <v>687</v>
      </c>
      <c r="E35" s="686">
        <v>942</v>
      </c>
      <c r="F35" s="642" t="s">
        <v>747</v>
      </c>
      <c r="G35" s="914">
        <v>27</v>
      </c>
      <c r="I35" s="51"/>
      <c r="J35">
        <v>15459</v>
      </c>
      <c r="L35">
        <v>283346</v>
      </c>
    </row>
    <row r="36" spans="1:14" ht="54.95" customHeight="1">
      <c r="A36" s="1082">
        <v>28</v>
      </c>
      <c r="B36" s="123" t="s">
        <v>372</v>
      </c>
      <c r="C36" s="231" t="s">
        <v>1811</v>
      </c>
      <c r="D36" s="7">
        <v>32</v>
      </c>
      <c r="E36" s="558">
        <v>14</v>
      </c>
      <c r="F36" s="138" t="s">
        <v>808</v>
      </c>
      <c r="G36" s="1082">
        <v>28</v>
      </c>
      <c r="I36" s="51"/>
      <c r="J36">
        <v>0</v>
      </c>
      <c r="L36">
        <v>189086</v>
      </c>
    </row>
    <row r="37" spans="1:14" ht="54.95" customHeight="1">
      <c r="A37" s="914">
        <v>29</v>
      </c>
      <c r="B37" s="628" t="s">
        <v>373</v>
      </c>
      <c r="C37" s="684" t="s">
        <v>1811</v>
      </c>
      <c r="D37" s="685">
        <v>22934</v>
      </c>
      <c r="E37" s="686">
        <v>21592</v>
      </c>
      <c r="F37" s="642" t="s">
        <v>748</v>
      </c>
      <c r="G37" s="914">
        <v>29</v>
      </c>
      <c r="I37" s="51"/>
      <c r="J37">
        <v>2660</v>
      </c>
      <c r="L37">
        <v>21565</v>
      </c>
    </row>
    <row r="38" spans="1:14" ht="54.95" customHeight="1">
      <c r="A38" s="1082">
        <v>30</v>
      </c>
      <c r="B38" s="121" t="s">
        <v>374</v>
      </c>
      <c r="C38" s="567">
        <f>C39+C40</f>
        <v>333876</v>
      </c>
      <c r="D38" s="550">
        <f>D39+D40</f>
        <v>332782</v>
      </c>
      <c r="E38" s="566">
        <f>E39+E40</f>
        <v>315948</v>
      </c>
      <c r="F38" s="134" t="s">
        <v>809</v>
      </c>
      <c r="G38" s="1082">
        <v>30</v>
      </c>
      <c r="I38" s="51"/>
      <c r="J38">
        <v>894</v>
      </c>
      <c r="L38">
        <v>80487</v>
      </c>
    </row>
    <row r="39" spans="1:14" ht="54.95" customHeight="1">
      <c r="A39" s="914">
        <v>31</v>
      </c>
      <c r="B39" s="687" t="s">
        <v>375</v>
      </c>
      <c r="C39" s="648">
        <v>329762</v>
      </c>
      <c r="D39" s="649">
        <v>321858</v>
      </c>
      <c r="E39" s="664">
        <v>308574</v>
      </c>
      <c r="F39" s="632" t="s">
        <v>810</v>
      </c>
      <c r="G39" s="914">
        <v>31</v>
      </c>
      <c r="I39" s="51"/>
      <c r="J39">
        <f>SUM(J32:J38)</f>
        <v>215014</v>
      </c>
      <c r="L39">
        <v>22889</v>
      </c>
    </row>
    <row r="40" spans="1:14" ht="54.95" customHeight="1">
      <c r="A40" s="1083">
        <v>32</v>
      </c>
      <c r="B40" s="122" t="s">
        <v>376</v>
      </c>
      <c r="C40" s="562">
        <v>4114</v>
      </c>
      <c r="D40" s="561">
        <v>10924</v>
      </c>
      <c r="E40" s="569">
        <v>7374</v>
      </c>
      <c r="F40" s="135" t="s">
        <v>811</v>
      </c>
      <c r="G40" s="1083">
        <v>32</v>
      </c>
      <c r="I40" s="51"/>
      <c r="L40">
        <f>SUM(L32:L39)</f>
        <v>9653926</v>
      </c>
      <c r="N40">
        <v>9477614</v>
      </c>
    </row>
    <row r="41" spans="1:14" ht="30" customHeight="1">
      <c r="B41" s="95" t="s">
        <v>456</v>
      </c>
      <c r="C41" s="1520" t="s">
        <v>786</v>
      </c>
      <c r="D41" s="1520"/>
      <c r="E41" s="1520"/>
      <c r="F41" s="1515" t="s">
        <v>377</v>
      </c>
      <c r="G41" s="1515"/>
      <c r="I41" s="51"/>
      <c r="M41" s="49">
        <f>L40/N40*100-100</f>
        <v>1.8602994382341365</v>
      </c>
    </row>
    <row r="42" spans="1:14" ht="30" customHeight="1">
      <c r="B42" s="1516" t="s">
        <v>1050</v>
      </c>
      <c r="C42" s="1516"/>
      <c r="D42" s="1516"/>
      <c r="E42" s="1516"/>
      <c r="F42" s="1516"/>
      <c r="G42" s="1516"/>
    </row>
    <row r="43" spans="1:14" ht="30" customHeight="1">
      <c r="B43" s="1482" t="s">
        <v>1051</v>
      </c>
      <c r="C43" s="1482"/>
      <c r="D43" s="1482"/>
      <c r="E43" s="1482"/>
      <c r="F43" s="1482"/>
      <c r="G43" s="1482"/>
    </row>
    <row r="44" spans="1:14" ht="30" customHeight="1">
      <c r="A44" s="1512" t="s">
        <v>1049</v>
      </c>
      <c r="B44" s="1512"/>
      <c r="C44" s="1512"/>
      <c r="D44" s="1512"/>
      <c r="E44" s="1512"/>
      <c r="F44" s="1512"/>
      <c r="G44" s="1512"/>
    </row>
    <row r="45" spans="1:14" ht="30" customHeight="1">
      <c r="B45" s="343"/>
      <c r="C45" s="343"/>
      <c r="D45" s="343"/>
      <c r="E45" s="1513" t="s">
        <v>1301</v>
      </c>
      <c r="F45" s="1513"/>
      <c r="G45" s="1513"/>
    </row>
    <row r="46" spans="1:14" ht="30" customHeight="1">
      <c r="A46" s="1084" t="s">
        <v>1303</v>
      </c>
      <c r="B46" s="1084"/>
      <c r="C46" s="343"/>
      <c r="D46" s="343"/>
      <c r="E46" s="1513" t="s">
        <v>1302</v>
      </c>
      <c r="F46" s="1513"/>
      <c r="G46" s="1513"/>
    </row>
    <row r="47" spans="1:14" ht="30" customHeight="1">
      <c r="A47" s="1514" t="s">
        <v>1304</v>
      </c>
      <c r="B47" s="1514"/>
      <c r="C47" s="1514"/>
      <c r="D47" s="1514"/>
      <c r="E47" s="1513" t="s">
        <v>1972</v>
      </c>
      <c r="F47" s="1513"/>
      <c r="G47" s="1513"/>
    </row>
    <row r="48" spans="1:14" ht="30" customHeight="1">
      <c r="B48" s="343"/>
      <c r="C48" s="343"/>
      <c r="D48" s="343"/>
      <c r="E48" s="1513" t="s">
        <v>1973</v>
      </c>
      <c r="F48" s="1513"/>
      <c r="G48" s="1513"/>
    </row>
    <row r="49" spans="5:6">
      <c r="E49" s="10"/>
      <c r="F49" s="10"/>
    </row>
  </sheetData>
  <mergeCells count="22">
    <mergeCell ref="A1:G1"/>
    <mergeCell ref="A2:G2"/>
    <mergeCell ref="A3:G3"/>
    <mergeCell ref="G4:G5"/>
    <mergeCell ref="A4:A5"/>
    <mergeCell ref="C22:E22"/>
    <mergeCell ref="B23:B24"/>
    <mergeCell ref="C41:E41"/>
    <mergeCell ref="B4:B5"/>
    <mergeCell ref="F4:F5"/>
    <mergeCell ref="A23:A24"/>
    <mergeCell ref="G23:G24"/>
    <mergeCell ref="F41:G41"/>
    <mergeCell ref="B42:G42"/>
    <mergeCell ref="B43:G43"/>
    <mergeCell ref="F23:F24"/>
    <mergeCell ref="A44:G44"/>
    <mergeCell ref="E45:G45"/>
    <mergeCell ref="E46:G46"/>
    <mergeCell ref="E47:G47"/>
    <mergeCell ref="E48:G48"/>
    <mergeCell ref="A47:D47"/>
  </mergeCells>
  <pageMargins left="0.44" right="0.46" top="0.35433070866141703" bottom="0.55118110236220497" header="0.196850393700787" footer="0.39370078740157499"/>
  <pageSetup paperSize="9" scale="66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743"/>
  <sheetViews>
    <sheetView view="pageBreakPreview" topLeftCell="A103" zoomScale="80" zoomScaleNormal="70" zoomScaleSheetLayoutView="80" workbookViewId="0">
      <selection activeCell="K295" sqref="K295:K296"/>
    </sheetView>
  </sheetViews>
  <sheetFormatPr defaultColWidth="9.140625" defaultRowHeight="15"/>
  <cols>
    <col min="1" max="1" width="5.42578125" style="132" customWidth="1"/>
    <col min="2" max="2" width="24.140625" style="132" customWidth="1"/>
    <col min="3" max="6" width="7.42578125" style="132" customWidth="1"/>
    <col min="7" max="8" width="8.5703125" style="132" customWidth="1"/>
    <col min="9" max="9" width="7.42578125" style="132" customWidth="1"/>
    <col min="10" max="10" width="8.5703125" style="132" customWidth="1"/>
    <col min="11" max="11" width="8.42578125" style="132" customWidth="1"/>
    <col min="12" max="12" width="8.5703125" style="132" customWidth="1"/>
    <col min="13" max="13" width="8.85546875" style="132" customWidth="1"/>
    <col min="14" max="14" width="8.7109375" style="132" customWidth="1"/>
    <col min="15" max="15" width="31.140625" style="132" customWidth="1"/>
    <col min="16" max="16" width="5.5703125" style="132" customWidth="1"/>
    <col min="17" max="18" width="11" style="132" customWidth="1"/>
    <col min="19" max="20" width="9.140625" style="132"/>
    <col min="21" max="21" width="13" style="132" bestFit="1" customWidth="1"/>
    <col min="22" max="16384" width="9.140625" style="132"/>
  </cols>
  <sheetData>
    <row r="1" spans="1:24" ht="24.95" customHeight="1">
      <c r="A1" s="1538" t="s">
        <v>1850</v>
      </c>
      <c r="B1" s="1538"/>
      <c r="C1" s="1538"/>
      <c r="D1" s="1538"/>
      <c r="E1" s="1538"/>
      <c r="F1" s="1538"/>
      <c r="G1" s="1538"/>
      <c r="H1" s="1538"/>
      <c r="I1" s="1538"/>
      <c r="J1" s="1538"/>
      <c r="K1" s="1538"/>
      <c r="L1" s="1538"/>
      <c r="M1" s="1538"/>
      <c r="N1" s="1538"/>
      <c r="O1" s="1538"/>
      <c r="P1" s="1538"/>
      <c r="S1" s="133"/>
      <c r="T1" s="133"/>
      <c r="U1" s="133"/>
      <c r="V1" s="133"/>
      <c r="W1" s="133"/>
      <c r="X1" s="133"/>
    </row>
    <row r="2" spans="1:24" ht="24.95" customHeight="1">
      <c r="A2" s="1511" t="s">
        <v>1851</v>
      </c>
      <c r="B2" s="1511"/>
      <c r="C2" s="1511"/>
      <c r="D2" s="1511"/>
      <c r="E2" s="1511"/>
      <c r="F2" s="1511"/>
      <c r="G2" s="1511"/>
      <c r="H2" s="1511"/>
      <c r="I2" s="1511"/>
      <c r="J2" s="1511"/>
      <c r="K2" s="1511"/>
      <c r="L2" s="1511"/>
      <c r="M2" s="1511"/>
      <c r="N2" s="1511"/>
      <c r="O2" s="1511"/>
      <c r="P2" s="1511"/>
      <c r="Q2" s="132">
        <f>G10+F10</f>
        <v>16867</v>
      </c>
      <c r="S2" s="133"/>
      <c r="T2" s="133"/>
      <c r="U2" s="133"/>
      <c r="V2" s="133"/>
      <c r="W2" s="133"/>
      <c r="X2" s="133"/>
    </row>
    <row r="3" spans="1:24" ht="24.95" customHeight="1">
      <c r="A3" s="1511" t="s">
        <v>1852</v>
      </c>
      <c r="B3" s="1511"/>
      <c r="C3" s="1511"/>
      <c r="D3" s="1511"/>
      <c r="E3" s="1511"/>
      <c r="F3" s="1511"/>
      <c r="G3" s="1511"/>
      <c r="H3" s="1511"/>
      <c r="I3" s="1511"/>
      <c r="J3" s="1511"/>
      <c r="K3" s="1511"/>
      <c r="L3" s="1511"/>
      <c r="M3" s="1511"/>
      <c r="N3" s="1511"/>
      <c r="O3" s="1511"/>
      <c r="P3" s="1511"/>
      <c r="S3" s="133"/>
      <c r="T3" s="133"/>
      <c r="U3" s="133"/>
      <c r="V3" s="133"/>
      <c r="W3" s="133"/>
      <c r="X3" s="133"/>
    </row>
    <row r="4" spans="1:24" ht="24.95" customHeight="1">
      <c r="A4" s="1522" t="s">
        <v>2028</v>
      </c>
      <c r="B4" s="1495" t="s">
        <v>407</v>
      </c>
      <c r="C4" s="1549" t="s">
        <v>123</v>
      </c>
      <c r="D4" s="1550"/>
      <c r="E4" s="1557"/>
      <c r="F4" s="1549" t="s">
        <v>882</v>
      </c>
      <c r="G4" s="1550"/>
      <c r="H4" s="1557"/>
      <c r="I4" s="1549" t="s">
        <v>105</v>
      </c>
      <c r="J4" s="1550"/>
      <c r="K4" s="1550"/>
      <c r="L4" s="1495" t="s">
        <v>881</v>
      </c>
      <c r="M4" s="1498"/>
      <c r="N4" s="1499"/>
      <c r="O4" s="1499" t="s">
        <v>408</v>
      </c>
      <c r="P4" s="1522" t="s">
        <v>2027</v>
      </c>
      <c r="S4" s="133"/>
      <c r="T4" s="133"/>
      <c r="U4" s="133"/>
      <c r="V4" s="133"/>
      <c r="W4" s="133"/>
      <c r="X4" s="133"/>
    </row>
    <row r="5" spans="1:24" ht="24.95" customHeight="1">
      <c r="A5" s="1523"/>
      <c r="B5" s="1496"/>
      <c r="C5" s="1541" t="s">
        <v>546</v>
      </c>
      <c r="D5" s="1542"/>
      <c r="E5" s="1543"/>
      <c r="F5" s="1544" t="s">
        <v>506</v>
      </c>
      <c r="G5" s="1545"/>
      <c r="H5" s="1546"/>
      <c r="I5" s="1544" t="s">
        <v>505</v>
      </c>
      <c r="J5" s="1545"/>
      <c r="K5" s="1545"/>
      <c r="L5" s="1496" t="s">
        <v>883</v>
      </c>
      <c r="M5" s="1547"/>
      <c r="N5" s="1505"/>
      <c r="O5" s="1505"/>
      <c r="P5" s="1523"/>
      <c r="S5" s="133"/>
      <c r="T5" s="133"/>
      <c r="U5" s="133"/>
      <c r="V5" s="133"/>
      <c r="W5" s="133"/>
      <c r="X5" s="133"/>
    </row>
    <row r="6" spans="1:24" ht="24.95" customHeight="1">
      <c r="A6" s="1523"/>
      <c r="B6" s="1496"/>
      <c r="C6" s="1500" t="s">
        <v>73</v>
      </c>
      <c r="D6" s="1501"/>
      <c r="E6" s="1502"/>
      <c r="F6" s="1500" t="s">
        <v>126</v>
      </c>
      <c r="G6" s="1501"/>
      <c r="H6" s="1502"/>
      <c r="I6" s="1500" t="s">
        <v>127</v>
      </c>
      <c r="J6" s="1501"/>
      <c r="K6" s="1501"/>
      <c r="L6" s="1497" t="s">
        <v>62</v>
      </c>
      <c r="M6" s="1503"/>
      <c r="N6" s="1504"/>
      <c r="O6" s="1505"/>
      <c r="P6" s="1523"/>
      <c r="S6" s="463">
        <f>L10/M10</f>
        <v>0.24230919003115264</v>
      </c>
      <c r="T6" s="133"/>
      <c r="U6" s="133"/>
      <c r="V6" s="133"/>
      <c r="W6" s="133"/>
      <c r="X6" s="133"/>
    </row>
    <row r="7" spans="1:24" ht="24.95" customHeight="1">
      <c r="A7" s="1523"/>
      <c r="B7" s="1496"/>
      <c r="C7" s="877" t="s">
        <v>0</v>
      </c>
      <c r="D7" s="1065" t="s">
        <v>1</v>
      </c>
      <c r="E7" s="1067" t="s">
        <v>2</v>
      </c>
      <c r="F7" s="877" t="s">
        <v>0</v>
      </c>
      <c r="G7" s="1065" t="s">
        <v>1</v>
      </c>
      <c r="H7" s="1067" t="s">
        <v>2</v>
      </c>
      <c r="I7" s="877" t="s">
        <v>0</v>
      </c>
      <c r="J7" s="1065" t="s">
        <v>1</v>
      </c>
      <c r="K7" s="1067" t="s">
        <v>2</v>
      </c>
      <c r="L7" s="877" t="s">
        <v>0</v>
      </c>
      <c r="M7" s="1065" t="s">
        <v>1</v>
      </c>
      <c r="N7" s="1067" t="s">
        <v>2</v>
      </c>
      <c r="O7" s="1505"/>
      <c r="P7" s="1523"/>
      <c r="Q7" s="141"/>
      <c r="R7" s="141"/>
      <c r="S7" s="133"/>
      <c r="T7" s="141"/>
      <c r="U7" s="141"/>
      <c r="V7" s="133"/>
      <c r="W7" s="133"/>
      <c r="X7" s="133"/>
    </row>
    <row r="8" spans="1:24" ht="24.95" customHeight="1">
      <c r="A8" s="1523"/>
      <c r="B8" s="1496"/>
      <c r="C8" s="1089" t="s">
        <v>500</v>
      </c>
      <c r="D8" s="1090" t="s">
        <v>501</v>
      </c>
      <c r="E8" s="1067" t="s">
        <v>502</v>
      </c>
      <c r="F8" s="1089" t="s">
        <v>500</v>
      </c>
      <c r="G8" s="1090" t="s">
        <v>501</v>
      </c>
      <c r="H8" s="1067" t="s">
        <v>502</v>
      </c>
      <c r="I8" s="1089" t="s">
        <v>500</v>
      </c>
      <c r="J8" s="1090" t="s">
        <v>501</v>
      </c>
      <c r="K8" s="1067" t="s">
        <v>502</v>
      </c>
      <c r="L8" s="1089" t="s">
        <v>500</v>
      </c>
      <c r="M8" s="1090" t="s">
        <v>501</v>
      </c>
      <c r="N8" s="1067" t="s">
        <v>502</v>
      </c>
      <c r="O8" s="1505"/>
      <c r="P8" s="1523"/>
      <c r="Q8" s="141"/>
      <c r="R8" s="141"/>
      <c r="S8" s="133"/>
      <c r="T8" s="141"/>
      <c r="U8" s="141"/>
      <c r="V8" s="133"/>
      <c r="W8" s="133"/>
      <c r="X8" s="133"/>
    </row>
    <row r="9" spans="1:24" ht="24.95" customHeight="1">
      <c r="A9" s="1524"/>
      <c r="B9" s="1496"/>
      <c r="C9" s="877" t="s">
        <v>52</v>
      </c>
      <c r="D9" s="1065" t="s">
        <v>53</v>
      </c>
      <c r="E9" s="1067" t="s">
        <v>28</v>
      </c>
      <c r="F9" s="877" t="s">
        <v>52</v>
      </c>
      <c r="G9" s="1065" t="s">
        <v>53</v>
      </c>
      <c r="H9" s="1067" t="s">
        <v>28</v>
      </c>
      <c r="I9" s="877" t="s">
        <v>52</v>
      </c>
      <c r="J9" s="1065" t="s">
        <v>53</v>
      </c>
      <c r="K9" s="1067" t="s">
        <v>28</v>
      </c>
      <c r="L9" s="877" t="s">
        <v>52</v>
      </c>
      <c r="M9" s="1065" t="s">
        <v>53</v>
      </c>
      <c r="N9" s="1067" t="s">
        <v>28</v>
      </c>
      <c r="O9" s="1505"/>
      <c r="P9" s="1523"/>
      <c r="Q9" s="141"/>
      <c r="R9" s="141"/>
      <c r="S9" s="133"/>
      <c r="T9" s="141"/>
      <c r="U9" s="141"/>
      <c r="V9" s="133"/>
      <c r="W9" s="133"/>
      <c r="X9" s="133"/>
    </row>
    <row r="10" spans="1:24" ht="26.1" customHeight="1">
      <c r="A10" s="713"/>
      <c r="B10" s="650" t="s">
        <v>26</v>
      </c>
      <c r="C10" s="651">
        <f>C11+C13+C15+C17+C19+C21+C23+C25+C27+C29+C31+C33+C35+C37+C39+C43+C45+C49+C51+C53+C55+C77+C85+C89+C141+C145+C153+C157+C159+C199+C207+C209+C213+C215+C217+C219+C221+C225+C227+C237+C239+C263+C265+C267+C269+C271+C273+C277+C283+C285+C287+C289</f>
        <v>494</v>
      </c>
      <c r="D10" s="652">
        <f>D11+D13+D15+D17+D19+D21+D23+D25+D27+D29+D31+D33+D35+D37+D39+D43+D45+D47+D49+D51+D53+D55+D57+D67+D69+D71+D73+D75+D77+D79+D81+D83+D85+D87+D89+D91+D93+D95+D97+D99+D101+D103+D105+D107+D109+D111+D113+D115+D125+D127+D129+D131+D133+D135+D137+D139+D141+D143+D145+D147+D149+D151+D153+D155+D157+D159+D161+D163+D165+D167+D169+D171+D173+D175+D177+D187+D189+D191+D193+D195+D197+D199+D201+D203+D205+D207+D209+D211+D213+D215+D217+D219+D221+D223+D225+D227+D229+D231+D233+D235+D237+D241+D239+D251+D253+D255+D257+D259+D261+D263+D265+D267+D269+D271+D273+D277+D275+D279+D281+D283+D285+D287+D289+D291+D293+D295</f>
        <v>2500</v>
      </c>
      <c r="E10" s="653">
        <f>E11+E13+E15+E17+E19+E21+E23+E25+E27+E29+E31+E33+E35+E37+E39+E43+E45+E47+E49+E51+E53+E55+E57+E67+E69+E71+E73+E75+E77+E79+E81+E83+E85+E87+E89+E91+E93+E95+E97+E99+E101+E103+E105+E107+E109+E111+E113+E115+E125+E127+E129+E131+E133+E135+E137+E139+E141+E143+E145+E147+E149+E151+E153+E155+E157+E159+E161+E163+E165+E167+E169+E171+E173+E175+E177+E187+E189+E191+E193+E195+E197+E199+E201+E203+E205+E207+E209+E211+E213+E215+E217+E219+E221+E223+E225+E227+E229+E231+E233+E235+E237+E241+E239+E251+E253+E255+E257+E259+E261+E263+E265+E267+E269+E271+E273+E277+E275+E279+E281+E283+E285+E287+E289+E291+E293+E295</f>
        <v>2994</v>
      </c>
      <c r="F10" s="651">
        <f>F11+F15+F17+F19+F21+F23+F27+F29+F33+F35+F37+F39+F41+F43+F45+F49+F51+F53+F55+F57+F77+F89+F101+F137+F139+F141+F143+F145+F147+F151+F153+F155+F157+F159+F167+F175+F199+F201+F203+F207+F211+F213+F215+F217+F219+F221+F223+F225+F227+F229+F237+F239+F257+F263+F265+F267+F269+F273+F279+F283+F285+F287+F289+F295</f>
        <v>3348</v>
      </c>
      <c r="G10" s="652">
        <f>G11+G13+G15+G17+G19+G21+G23+G27+G29+G31+G33+G35+G37+G39+G41+G43+G45+G47+G51+G53+G55+G57+G67+G69+G71+G73+G75+G77+G79+G81+G83+G85+G87+G89+G91+G93+G95+G97+G99+G101+G105+G107+G109+G111+G113+G115+G125+G127+G129+G131+G133+G135+G137+G139+G141+G143+G147+G149+G151+G153+G155+G157+G159+G161+G163+G165+G169+G171+G173+G175+G177+G187+G191+G193+G195+G197+G199+G201+G203+G205+G207+G209+G211+G213+G215+G217+G219+G221+G223+G225+G227+G229+G231+G233+G235+G237+G239+G241+G251+G253+G257+G259+G255+G261+G263+G265+G267+G269+G273+G275+G277+G279+G281+G283+G285+G287+G289+G291+G293+G295</f>
        <v>13519</v>
      </c>
      <c r="H10" s="652">
        <f>H11+H13+H15+H17+H19+H21+H23+H27+H29+H31+H33+H35+H37+H39+H41+H43+H45+H47+H49+H51+H53+H55+H57+H67+H69+H71+H73+H75+H77+H79+H81+H83+H85+H87+H89+H91+H93+H95+H97+H99+H101+H105+H107+H109+H111+H113+H115+H125+H127+H129+H131+H133+H135+H137+H139+H141+H143+H145+H147+H149+H151+H153+H155+H157+H159+H161+H163+H165+H167+H169+H173+H171+H175+H177+H187+H191+H193+H195+H197+H199+H201+H203+H205+H207+H209+H211+H213+H215+H217+H219+H221+H223+H225+H227+H229+H231+H233+H235+H237+H239+H241+H251+H253+H255+H257+H259+H261+H263+H265+H267+H269+H273+H275+H277+H279+H281+H283+H285+H287+H289+H291+H293+H295</f>
        <v>16867</v>
      </c>
      <c r="I10" s="674">
        <f>I11+I13+I15+I17+I19+I21+I23+I25+I27+I29+I31+I33+I35+I37+I39+I45+I49+I53+I55+I57+I71+I73+I77+I79+I83+I85+I89+I93+I101+I137+I139+I141+I145+I147+I151+I153+I155+I157+I159+I167+I175+I197+I199+I201+I205+I207+I209+I211+I213+I215+I217+I219+I221+I223+I225+I227+I229+I231+I235+I237+I239+I255+I257+I263+I265+I267+I269+I271+I283+I285+I287+I289+I291+I295</f>
        <v>4778</v>
      </c>
      <c r="J10" s="675">
        <f>J11+J13+J15+J17+J19+J21+J23+J25+J27+J29+J31+J33+J37+J39+J43+J45+J47+J51+J53+J55+J57+J67+J69+J71+J73+J75+J77+J79+J81+J83+J85+J87+J89+J91+J93+J95+J97+J99+J101+J103+J105+J107+J109+J111+J113+J115+J125+J127+J129+J131+J133+J135+J137+J139+J141+J143+J147+J149+J151+J153+J155+J157+J159+J161+J163+J165+J169+J171+J173+J175+J177+J187+J189+J191+J193+J195+J197+J199+J201+J203+J205+J207+J209+J211+J213+J215+J217+J219+J221+J223+J225+J227+J229+J231+J233+J235+J237+J239+J241+J251+J253+J255+J257+J259+J261+J263+J265+J267+J269+J271+J273+J275+J277+J279+J281+J283+J285+J287+J289+J291+J293+J295</f>
        <v>18249</v>
      </c>
      <c r="K10" s="627">
        <f>K11+K13+K15+K17+K19+K21+K23+K25+K27+K29+K31+K33+K35+K37+K39+K43+K45+K47+K49+K51+K53+K55+K57+K67+K69+K71+K73+K75+K77+K79+K81+K83+K85+K87+K89+K91+K93+K95+K97+K99+K101+K103+K105+K107+K109+K111+K113+K115+K125+K127+K129+K131+K133+K135+K137+K139+K141+K143+K145+K147+K149+K151+K153+K155+K157+K159+K161+K163+K165+K167+K169+K171+K173+K175+K177+K187+K189+K191+K193+K195+K197+K199+K201+K203+K205+K207+K209+K211+K213+K215+K217+K219+K221+K223+K225+K227+K229+K231+K233+K235+K237+K239+K241+K251+K253+K255+K257+K259+K261+K263+K265+K267+K269+K271+K273+K275+K277+K279+K281+K283+K285+K287+K289+K291+K293+K295</f>
        <v>23027</v>
      </c>
      <c r="L10" s="675">
        <f>L11+L13+L15+L17+L19+L21+L23+L25+L27+L29+L31+L33+L35+L37+L39+L43+L45+L49+L51+L53+L55+L57+L71+L73+L77+L79+L83+L85+L89+L93+L101+L137+L139+L141+L143+L145+L147+L151+L153+L155+L157+L159+L167+L175+L197+L199+L201+L203+L205+L207+L209+L211+L213+L215+L217+L219+L221+L223+L225+L227+L229+L231+L235+L237+L239+L255+L257+L263+L265+L267+L269+L271+L273+L279+L281+L283+L285+L287+L289+L291+L295</f>
        <v>9956</v>
      </c>
      <c r="M10" s="675">
        <f>M11+M13+M15+M17+M19+M21+M23+M25+M27+M29+M31+M33+M35+M37+M39+M43+M45+M47+M51+M53+M55+M57+M67+M69+M71+M73+M75+M77+M79+M81+M83+M85+M87+M89+M91+M93+M95+M97+M99+M101+M103+M105+M107+M109+M111+M113+M115+M125+M127+M129+M131+M133+M135+M137+M139+M141+M143+M147+M149+M151+M153+M155+M157+M159+M161+M163+M165+M169+M171+M173+M175+M177+M187+M189+M191+M193+M195+M197+M199+M201+M203+M205+M207+M209+M211+M213+M215+M217+M219+M221+M223+M225+M227+M229+M231+M233+M235+M237+M239+M241+M251+M253+M255+M257+M259+M261+M263+M265+M267+M269+M271+M273+M275+M277+M279+M281+M283+M285+M287+M289+M291+M293+M295</f>
        <v>41088</v>
      </c>
      <c r="N10" s="627">
        <f>N11+N13+N15+N17+N19+N21+N23+N25+N27+N29+N31+N33+N35+N37+N39+N43+N45+N47+N49+N51+N53+N55+N57+N67+N69+N71+N73+N75+N77+N79+N81+N83+N85+N87+N89+N91+N93+N95+N97+N99+N101+N103+N105+N107+N109+N111+N113+N115+N125+N127+N129+N131+N133+N135+N137+N139+N141+N143+N145+N147+N149+N151+N153+N155+N157+N159+N161+N163+N165+N167+N169+N171+N173+N175+N177+N187+N189+N191+N193+N195+N197+N199+N201+N203+N205+N207+N209+N211+N213+N215+N217+N219+N221+N223+N225+N227+N229+N231+N233+N235+N237+N239+N241+N251+N253+N255+N257+N259+N261+N263+N265+N267+N269+N271+N273+N275+N277+N279+N281+N283+N285+N287+N289+N291+N293+N295</f>
        <v>51044</v>
      </c>
      <c r="O10" s="857" t="s">
        <v>812</v>
      </c>
      <c r="P10" s="713"/>
      <c r="Q10" s="141"/>
      <c r="R10" s="141"/>
      <c r="S10" s="133" t="s">
        <v>1109</v>
      </c>
      <c r="T10" s="141"/>
      <c r="U10" s="141"/>
      <c r="V10" s="133"/>
      <c r="W10" s="133"/>
      <c r="X10" s="133"/>
    </row>
    <row r="11" spans="1:24" ht="26.1" customHeight="1">
      <c r="A11" s="1527">
        <v>1</v>
      </c>
      <c r="B11" s="1539" t="s">
        <v>80</v>
      </c>
      <c r="C11" s="1509">
        <v>6</v>
      </c>
      <c r="D11" s="1507">
        <v>26</v>
      </c>
      <c r="E11" s="1519">
        <f>D11+C11</f>
        <v>32</v>
      </c>
      <c r="F11" s="1509">
        <v>2</v>
      </c>
      <c r="G11" s="1507">
        <v>165</v>
      </c>
      <c r="H11" s="1507">
        <f>G11+F11</f>
        <v>167</v>
      </c>
      <c r="I11" s="1509">
        <v>5</v>
      </c>
      <c r="J11" s="1507">
        <v>251</v>
      </c>
      <c r="K11" s="1506">
        <f>I11+J11</f>
        <v>256</v>
      </c>
      <c r="L11" s="1507">
        <v>11</v>
      </c>
      <c r="M11" s="1507">
        <v>478</v>
      </c>
      <c r="N11" s="1506">
        <f>M11+L11</f>
        <v>489</v>
      </c>
      <c r="O11" s="131" t="s">
        <v>81</v>
      </c>
      <c r="P11" s="1527">
        <v>1</v>
      </c>
      <c r="Q11" s="334"/>
      <c r="R11" s="334"/>
      <c r="S11" s="133"/>
      <c r="T11" s="334"/>
      <c r="U11" s="334"/>
      <c r="V11" s="133"/>
      <c r="W11" s="133"/>
      <c r="X11" s="133"/>
    </row>
    <row r="12" spans="1:24" ht="26.1" customHeight="1">
      <c r="A12" s="1527"/>
      <c r="B12" s="1539"/>
      <c r="C12" s="1509"/>
      <c r="D12" s="1507"/>
      <c r="E12" s="1519"/>
      <c r="F12" s="1509"/>
      <c r="G12" s="1507"/>
      <c r="H12" s="1507"/>
      <c r="I12" s="1509"/>
      <c r="J12" s="1507"/>
      <c r="K12" s="1506"/>
      <c r="L12" s="1507"/>
      <c r="M12" s="1507"/>
      <c r="N12" s="1506"/>
      <c r="O12" s="131" t="s">
        <v>533</v>
      </c>
      <c r="P12" s="1527"/>
      <c r="Q12" s="334">
        <v>1437</v>
      </c>
      <c r="R12" s="334">
        <v>32</v>
      </c>
      <c r="S12" s="133">
        <f>119/849*100</f>
        <v>14.016489988221437</v>
      </c>
      <c r="T12" s="334"/>
      <c r="U12" s="334">
        <v>153</v>
      </c>
      <c r="V12" s="133">
        <v>1437</v>
      </c>
      <c r="W12" s="133"/>
      <c r="X12" s="133"/>
    </row>
    <row r="13" spans="1:24" ht="26.1" customHeight="1">
      <c r="A13" s="1534">
        <v>2</v>
      </c>
      <c r="B13" s="1553" t="s">
        <v>83</v>
      </c>
      <c r="C13" s="1537">
        <v>1</v>
      </c>
      <c r="D13" s="1532">
        <v>17</v>
      </c>
      <c r="E13" s="1554">
        <f t="shared" ref="E13" si="0">D13+C13</f>
        <v>18</v>
      </c>
      <c r="F13" s="1537" t="s">
        <v>14</v>
      </c>
      <c r="G13" s="1532">
        <v>29</v>
      </c>
      <c r="H13" s="1532">
        <f>G13</f>
        <v>29</v>
      </c>
      <c r="I13" s="1537">
        <v>5</v>
      </c>
      <c r="J13" s="1532">
        <v>45</v>
      </c>
      <c r="K13" s="1531">
        <f t="shared" ref="K13" si="1">I13+J13</f>
        <v>50</v>
      </c>
      <c r="L13" s="1532">
        <v>5</v>
      </c>
      <c r="M13" s="1532">
        <v>74</v>
      </c>
      <c r="N13" s="1531">
        <f t="shared" ref="N13" si="2">M13+L13</f>
        <v>79</v>
      </c>
      <c r="O13" s="852" t="s">
        <v>84</v>
      </c>
      <c r="P13" s="1534">
        <v>2</v>
      </c>
      <c r="Q13" s="334">
        <v>849</v>
      </c>
      <c r="R13" s="334">
        <v>119</v>
      </c>
      <c r="S13" s="133"/>
      <c r="T13" s="334"/>
      <c r="U13" s="334">
        <v>344</v>
      </c>
      <c r="V13" s="133">
        <v>1635</v>
      </c>
      <c r="W13" s="133"/>
      <c r="X13" s="133"/>
    </row>
    <row r="14" spans="1:24" ht="26.1" customHeight="1">
      <c r="A14" s="1534"/>
      <c r="B14" s="1553"/>
      <c r="C14" s="1537"/>
      <c r="D14" s="1532"/>
      <c r="E14" s="1554"/>
      <c r="F14" s="1537"/>
      <c r="G14" s="1532"/>
      <c r="H14" s="1532"/>
      <c r="I14" s="1537"/>
      <c r="J14" s="1532"/>
      <c r="K14" s="1531"/>
      <c r="L14" s="1532"/>
      <c r="M14" s="1532"/>
      <c r="N14" s="1531"/>
      <c r="O14" s="852" t="s">
        <v>534</v>
      </c>
      <c r="P14" s="1534"/>
      <c r="Q14" s="334">
        <f>SUM(Q12:Q13)</f>
        <v>2286</v>
      </c>
      <c r="R14" s="334">
        <f>SUM(R12:R13)</f>
        <v>151</v>
      </c>
      <c r="S14" s="448">
        <f>R14/Q14*100</f>
        <v>6.605424321959755</v>
      </c>
      <c r="T14" s="334"/>
      <c r="U14" s="334">
        <f>SUM(U12:U13)</f>
        <v>497</v>
      </c>
      <c r="V14" s="133">
        <f>SUM(V12:V13)</f>
        <v>3072</v>
      </c>
      <c r="W14" s="133"/>
      <c r="X14" s="133"/>
    </row>
    <row r="15" spans="1:24" ht="26.1" customHeight="1">
      <c r="A15" s="1527">
        <v>3</v>
      </c>
      <c r="B15" s="1539" t="s">
        <v>1520</v>
      </c>
      <c r="C15" s="1567">
        <v>28</v>
      </c>
      <c r="D15" s="1548">
        <v>36</v>
      </c>
      <c r="E15" s="1519">
        <f t="shared" ref="E15" si="3">D15+C15</f>
        <v>64</v>
      </c>
      <c r="F15" s="1509">
        <v>106</v>
      </c>
      <c r="G15" s="1507">
        <v>214</v>
      </c>
      <c r="H15" s="1507">
        <f>F15+G15</f>
        <v>320</v>
      </c>
      <c r="I15" s="1509">
        <v>219</v>
      </c>
      <c r="J15" s="1507">
        <v>538</v>
      </c>
      <c r="K15" s="1506">
        <f t="shared" ref="K15" si="4">I15+J15</f>
        <v>757</v>
      </c>
      <c r="L15" s="1507">
        <v>346</v>
      </c>
      <c r="M15" s="1507">
        <v>1072</v>
      </c>
      <c r="N15" s="1506">
        <f>M15+L15</f>
        <v>1418</v>
      </c>
      <c r="O15" s="1592" t="s">
        <v>1519</v>
      </c>
      <c r="P15" s="1527">
        <v>3</v>
      </c>
      <c r="Q15" s="383"/>
      <c r="R15" s="383"/>
      <c r="S15" s="133"/>
      <c r="T15" s="383"/>
      <c r="U15" s="383"/>
      <c r="V15" s="133"/>
      <c r="W15" s="133"/>
      <c r="X15" s="133"/>
    </row>
    <row r="16" spans="1:24" ht="26.1" customHeight="1">
      <c r="A16" s="1527"/>
      <c r="B16" s="1539"/>
      <c r="C16" s="1567"/>
      <c r="D16" s="1548"/>
      <c r="E16" s="1519"/>
      <c r="F16" s="1509"/>
      <c r="G16" s="1507"/>
      <c r="H16" s="1507"/>
      <c r="I16" s="1509"/>
      <c r="J16" s="1507"/>
      <c r="K16" s="1506"/>
      <c r="L16" s="1507"/>
      <c r="M16" s="1507"/>
      <c r="N16" s="1506"/>
      <c r="O16" s="1592"/>
      <c r="P16" s="1527"/>
      <c r="Q16" s="383"/>
      <c r="R16" s="383"/>
      <c r="S16" s="133"/>
      <c r="T16" s="383"/>
      <c r="U16" s="449">
        <f>U14/V14*100</f>
        <v>16.178385416666664</v>
      </c>
      <c r="V16" s="133"/>
      <c r="W16" s="133"/>
      <c r="X16" s="133"/>
    </row>
    <row r="17" spans="1:24" ht="26.1" customHeight="1">
      <c r="A17" s="1534">
        <v>4</v>
      </c>
      <c r="B17" s="1553" t="s">
        <v>76</v>
      </c>
      <c r="C17" s="1537">
        <f>19+19</f>
        <v>38</v>
      </c>
      <c r="D17" s="1532">
        <f>76+73</f>
        <v>149</v>
      </c>
      <c r="E17" s="1554">
        <f t="shared" ref="E17" si="5">D17+C17</f>
        <v>187</v>
      </c>
      <c r="F17" s="1537">
        <v>27</v>
      </c>
      <c r="G17" s="1532">
        <v>166</v>
      </c>
      <c r="H17" s="1532">
        <f t="shared" ref="H17" si="6">F17+G17</f>
        <v>193</v>
      </c>
      <c r="I17" s="1537">
        <v>3</v>
      </c>
      <c r="J17" s="1532">
        <v>403</v>
      </c>
      <c r="K17" s="1531">
        <f t="shared" ref="K17" si="7">I17+J17</f>
        <v>406</v>
      </c>
      <c r="L17" s="1532">
        <v>32</v>
      </c>
      <c r="M17" s="1532">
        <v>1325</v>
      </c>
      <c r="N17" s="1531">
        <f>M17+L17</f>
        <v>1357</v>
      </c>
      <c r="O17" s="1532" t="s">
        <v>1115</v>
      </c>
      <c r="P17" s="1534">
        <v>4</v>
      </c>
      <c r="Q17" s="383">
        <v>25889</v>
      </c>
      <c r="R17" s="383">
        <v>3348</v>
      </c>
      <c r="S17" s="133"/>
      <c r="T17" s="383"/>
      <c r="U17" s="383">
        <v>4287</v>
      </c>
      <c r="V17" s="133">
        <v>32757</v>
      </c>
      <c r="W17" s="133"/>
      <c r="X17" s="133"/>
    </row>
    <row r="18" spans="1:24" ht="26.1" customHeight="1">
      <c r="A18" s="1534"/>
      <c r="B18" s="1553"/>
      <c r="C18" s="1537"/>
      <c r="D18" s="1532"/>
      <c r="E18" s="1554"/>
      <c r="F18" s="1537"/>
      <c r="G18" s="1532"/>
      <c r="H18" s="1532"/>
      <c r="I18" s="1537"/>
      <c r="J18" s="1532"/>
      <c r="K18" s="1531"/>
      <c r="L18" s="1532"/>
      <c r="M18" s="1532"/>
      <c r="N18" s="1531"/>
      <c r="O18" s="1532"/>
      <c r="P18" s="1534"/>
      <c r="Q18" s="383">
        <v>21565</v>
      </c>
      <c r="R18" s="383">
        <v>1641</v>
      </c>
      <c r="S18" s="448">
        <f>R19/Q19*100</f>
        <v>10.513339233784297</v>
      </c>
      <c r="T18" s="383"/>
      <c r="U18" s="383">
        <v>7869</v>
      </c>
      <c r="V18" s="133">
        <v>46469</v>
      </c>
      <c r="W18" s="133"/>
      <c r="X18" s="133"/>
    </row>
    <row r="19" spans="1:24" ht="26.1" customHeight="1">
      <c r="A19" s="1527">
        <v>5</v>
      </c>
      <c r="B19" s="1539" t="s">
        <v>482</v>
      </c>
      <c r="C19" s="1509">
        <v>7</v>
      </c>
      <c r="D19" s="1507">
        <v>25</v>
      </c>
      <c r="E19" s="1519">
        <f t="shared" ref="E19" si="8">D19+C19</f>
        <v>32</v>
      </c>
      <c r="F19" s="1509">
        <v>30</v>
      </c>
      <c r="G19" s="1507">
        <v>77</v>
      </c>
      <c r="H19" s="1507">
        <f t="shared" ref="H19" si="9">F19+G19</f>
        <v>107</v>
      </c>
      <c r="I19" s="1509">
        <v>37</v>
      </c>
      <c r="J19" s="1507">
        <v>116</v>
      </c>
      <c r="K19" s="1506">
        <f t="shared" ref="K19" si="10">I19+J19</f>
        <v>153</v>
      </c>
      <c r="L19" s="1507">
        <v>78</v>
      </c>
      <c r="M19" s="1507">
        <v>218</v>
      </c>
      <c r="N19" s="1506">
        <f>M19+L19</f>
        <v>296</v>
      </c>
      <c r="O19" s="131" t="s">
        <v>481</v>
      </c>
      <c r="P19" s="1527">
        <v>5</v>
      </c>
      <c r="Q19" s="383">
        <f>SUM(Q17:Q18)</f>
        <v>47454</v>
      </c>
      <c r="R19" s="383">
        <f>SUM(R17:R18)</f>
        <v>4989</v>
      </c>
      <c r="S19" s="133"/>
      <c r="T19" s="383"/>
      <c r="U19" s="383">
        <f>SUM(U17:U18)</f>
        <v>12156</v>
      </c>
      <c r="V19" s="133">
        <f>SUM(V17:V18)</f>
        <v>79226</v>
      </c>
      <c r="W19" s="133"/>
      <c r="X19" s="133"/>
    </row>
    <row r="20" spans="1:24" ht="26.1" customHeight="1">
      <c r="A20" s="1527"/>
      <c r="B20" s="1539"/>
      <c r="C20" s="1509"/>
      <c r="D20" s="1507"/>
      <c r="E20" s="1519"/>
      <c r="F20" s="1509"/>
      <c r="G20" s="1507"/>
      <c r="H20" s="1507"/>
      <c r="I20" s="1509"/>
      <c r="J20" s="1507"/>
      <c r="K20" s="1506"/>
      <c r="L20" s="1507"/>
      <c r="M20" s="1507"/>
      <c r="N20" s="1506"/>
      <c r="O20" s="131" t="s">
        <v>535</v>
      </c>
      <c r="P20" s="1527"/>
      <c r="Q20" s="383"/>
      <c r="R20" s="383"/>
      <c r="S20" s="133"/>
      <c r="T20" s="383"/>
      <c r="U20" s="383"/>
      <c r="V20" s="448">
        <f>U19/V19*100</f>
        <v>15.343447858026405</v>
      </c>
      <c r="W20" s="133"/>
      <c r="X20" s="133"/>
    </row>
    <row r="21" spans="1:24" ht="26.1" customHeight="1">
      <c r="A21" s="1534">
        <v>6</v>
      </c>
      <c r="B21" s="1553" t="s">
        <v>1523</v>
      </c>
      <c r="C21" s="1537">
        <f>16+41</f>
        <v>57</v>
      </c>
      <c r="D21" s="1532">
        <v>189</v>
      </c>
      <c r="E21" s="1554">
        <f t="shared" ref="E21" si="11">D21+C21</f>
        <v>246</v>
      </c>
      <c r="F21" s="1537">
        <v>149</v>
      </c>
      <c r="G21" s="1532">
        <v>472</v>
      </c>
      <c r="H21" s="1532">
        <f t="shared" ref="H21" si="12">F21+G21</f>
        <v>621</v>
      </c>
      <c r="I21" s="1537">
        <v>163</v>
      </c>
      <c r="J21" s="1532">
        <v>1026</v>
      </c>
      <c r="K21" s="1531">
        <f t="shared" ref="K21" si="13">I21+J21</f>
        <v>1189</v>
      </c>
      <c r="L21" s="1532">
        <v>359</v>
      </c>
      <c r="M21" s="1532">
        <v>1957</v>
      </c>
      <c r="N21" s="1531">
        <f t="shared" ref="N21" si="14">M21+L21</f>
        <v>2316</v>
      </c>
      <c r="O21" s="852" t="s">
        <v>1521</v>
      </c>
      <c r="P21" s="1534">
        <v>6</v>
      </c>
      <c r="Q21" s="383"/>
      <c r="R21" s="383"/>
      <c r="S21" s="133"/>
      <c r="T21" s="383"/>
      <c r="U21" s="383"/>
      <c r="V21" s="133"/>
      <c r="W21" s="133"/>
      <c r="X21" s="133"/>
    </row>
    <row r="22" spans="1:24" ht="26.1" customHeight="1">
      <c r="A22" s="1534"/>
      <c r="B22" s="1553"/>
      <c r="C22" s="1537"/>
      <c r="D22" s="1532"/>
      <c r="E22" s="1554"/>
      <c r="F22" s="1537"/>
      <c r="G22" s="1532"/>
      <c r="H22" s="1532"/>
      <c r="I22" s="1537"/>
      <c r="J22" s="1532"/>
      <c r="K22" s="1531"/>
      <c r="L22" s="1532"/>
      <c r="M22" s="1532"/>
      <c r="N22" s="1531"/>
      <c r="O22" s="852" t="s">
        <v>1522</v>
      </c>
      <c r="P22" s="1534"/>
      <c r="Q22" s="383"/>
      <c r="R22" s="383"/>
      <c r="S22" s="133"/>
      <c r="T22" s="383"/>
      <c r="U22" s="383"/>
      <c r="V22" s="133"/>
      <c r="W22" s="133"/>
      <c r="X22" s="133"/>
    </row>
    <row r="23" spans="1:24" ht="26.1" customHeight="1">
      <c r="A23" s="1527">
        <v>7</v>
      </c>
      <c r="B23" s="1539" t="s">
        <v>878</v>
      </c>
      <c r="C23" s="1598">
        <v>22</v>
      </c>
      <c r="D23" s="1519">
        <v>36</v>
      </c>
      <c r="E23" s="1519">
        <f t="shared" ref="E23" si="15">D23+C23</f>
        <v>58</v>
      </c>
      <c r="F23" s="1509">
        <v>19</v>
      </c>
      <c r="G23" s="1507">
        <v>279</v>
      </c>
      <c r="H23" s="1507">
        <f t="shared" ref="H23" si="16">F23+G23</f>
        <v>298</v>
      </c>
      <c r="I23" s="1509">
        <v>43</v>
      </c>
      <c r="J23" s="1507">
        <v>275</v>
      </c>
      <c r="K23" s="1506">
        <f t="shared" ref="K23" si="17">I23+J23</f>
        <v>318</v>
      </c>
      <c r="L23" s="1507">
        <v>88</v>
      </c>
      <c r="M23" s="1507">
        <v>842</v>
      </c>
      <c r="N23" s="1506">
        <f t="shared" ref="N23" si="18">M23+L23</f>
        <v>930</v>
      </c>
      <c r="O23" s="1592" t="s">
        <v>1114</v>
      </c>
      <c r="P23" s="1527">
        <v>7</v>
      </c>
      <c r="Q23" s="383"/>
      <c r="R23" s="383"/>
      <c r="S23" s="133"/>
      <c r="T23" s="383"/>
      <c r="U23" s="383"/>
      <c r="V23" s="133"/>
      <c r="W23" s="133"/>
      <c r="X23" s="133"/>
    </row>
    <row r="24" spans="1:24" ht="26.1" customHeight="1">
      <c r="A24" s="1527"/>
      <c r="B24" s="1539"/>
      <c r="C24" s="1598"/>
      <c r="D24" s="1519"/>
      <c r="E24" s="1519"/>
      <c r="F24" s="1509"/>
      <c r="G24" s="1507"/>
      <c r="H24" s="1507"/>
      <c r="I24" s="1509"/>
      <c r="J24" s="1507"/>
      <c r="K24" s="1506"/>
      <c r="L24" s="1507"/>
      <c r="M24" s="1507"/>
      <c r="N24" s="1506"/>
      <c r="O24" s="1592"/>
      <c r="P24" s="1527"/>
      <c r="Q24" s="383"/>
      <c r="R24" s="383"/>
      <c r="S24" s="133"/>
      <c r="T24" s="383"/>
      <c r="U24" s="383"/>
      <c r="V24" s="133"/>
      <c r="W24" s="133"/>
      <c r="X24" s="133"/>
    </row>
    <row r="25" spans="1:24" ht="26.1" customHeight="1">
      <c r="A25" s="1534">
        <v>8</v>
      </c>
      <c r="B25" s="1553" t="s">
        <v>85</v>
      </c>
      <c r="C25" s="1537">
        <v>20</v>
      </c>
      <c r="D25" s="1532">
        <f>22+13</f>
        <v>35</v>
      </c>
      <c r="E25" s="1554">
        <f>D25+C25</f>
        <v>55</v>
      </c>
      <c r="F25" s="1537" t="s">
        <v>486</v>
      </c>
      <c r="G25" s="1532" t="s">
        <v>486</v>
      </c>
      <c r="H25" s="1532" t="str">
        <f>G25</f>
        <v>...</v>
      </c>
      <c r="I25" s="1537">
        <v>9</v>
      </c>
      <c r="J25" s="1532">
        <v>39</v>
      </c>
      <c r="K25" s="1531">
        <f>I25+J25</f>
        <v>48</v>
      </c>
      <c r="L25" s="1532">
        <v>60</v>
      </c>
      <c r="M25" s="1532">
        <v>166</v>
      </c>
      <c r="N25" s="1531">
        <f t="shared" ref="N25" si="19">M25+L25</f>
        <v>226</v>
      </c>
      <c r="O25" s="1532" t="s">
        <v>1117</v>
      </c>
      <c r="P25" s="1534">
        <v>8</v>
      </c>
      <c r="Q25" s="383"/>
      <c r="R25" s="383"/>
      <c r="S25" s="133"/>
      <c r="T25" s="383"/>
      <c r="U25" s="383"/>
      <c r="V25" s="133"/>
      <c r="W25" s="133"/>
      <c r="X25" s="133"/>
    </row>
    <row r="26" spans="1:24" ht="26.1" customHeight="1">
      <c r="A26" s="1534"/>
      <c r="B26" s="1553"/>
      <c r="C26" s="1537"/>
      <c r="D26" s="1532"/>
      <c r="E26" s="1554"/>
      <c r="F26" s="1537"/>
      <c r="G26" s="1532"/>
      <c r="H26" s="1532"/>
      <c r="I26" s="1537"/>
      <c r="J26" s="1532"/>
      <c r="K26" s="1531"/>
      <c r="L26" s="1532"/>
      <c r="M26" s="1532"/>
      <c r="N26" s="1531"/>
      <c r="O26" s="1532"/>
      <c r="P26" s="1534"/>
      <c r="Q26" s="383"/>
      <c r="R26" s="383"/>
      <c r="S26" s="133"/>
      <c r="T26" s="383"/>
      <c r="U26" s="383"/>
      <c r="V26" s="133"/>
      <c r="W26" s="133"/>
      <c r="X26" s="133"/>
    </row>
    <row r="27" spans="1:24" ht="26.1" customHeight="1">
      <c r="A27" s="1527">
        <v>9</v>
      </c>
      <c r="B27" s="1539" t="s">
        <v>78</v>
      </c>
      <c r="C27" s="1509">
        <v>10</v>
      </c>
      <c r="D27" s="1507">
        <v>42</v>
      </c>
      <c r="E27" s="1519">
        <f t="shared" ref="E27" si="20">D27+C27</f>
        <v>52</v>
      </c>
      <c r="F27" s="1509">
        <v>144</v>
      </c>
      <c r="G27" s="1507">
        <v>476</v>
      </c>
      <c r="H27" s="1507">
        <f>G27+F27</f>
        <v>620</v>
      </c>
      <c r="I27" s="1509">
        <v>43</v>
      </c>
      <c r="J27" s="1507">
        <v>150</v>
      </c>
      <c r="K27" s="1506">
        <f t="shared" ref="K27" si="21">I27+J27</f>
        <v>193</v>
      </c>
      <c r="L27" s="1507">
        <v>195</v>
      </c>
      <c r="M27" s="1507">
        <v>718</v>
      </c>
      <c r="N27" s="1506">
        <f t="shared" ref="N27" si="22">M27+L27</f>
        <v>913</v>
      </c>
      <c r="O27" s="131" t="s">
        <v>813</v>
      </c>
      <c r="P27" s="1527">
        <v>9</v>
      </c>
      <c r="Q27" s="383"/>
      <c r="R27" s="383"/>
      <c r="S27" s="133"/>
      <c r="T27" s="383"/>
      <c r="U27" s="383"/>
      <c r="V27" s="133"/>
      <c r="W27" s="133"/>
      <c r="X27" s="133"/>
    </row>
    <row r="28" spans="1:24" ht="26.1" customHeight="1">
      <c r="A28" s="1527"/>
      <c r="B28" s="1539"/>
      <c r="C28" s="1509"/>
      <c r="D28" s="1507"/>
      <c r="E28" s="1519"/>
      <c r="F28" s="1509"/>
      <c r="G28" s="1507"/>
      <c r="H28" s="1507"/>
      <c r="I28" s="1509"/>
      <c r="J28" s="1507"/>
      <c r="K28" s="1506"/>
      <c r="L28" s="1507"/>
      <c r="M28" s="1507"/>
      <c r="N28" s="1506"/>
      <c r="O28" s="131" t="s">
        <v>814</v>
      </c>
      <c r="P28" s="1527"/>
      <c r="Q28" s="383"/>
      <c r="R28" s="383"/>
      <c r="S28" s="133"/>
      <c r="T28" s="383"/>
      <c r="U28" s="383"/>
      <c r="V28" s="133"/>
      <c r="W28" s="133"/>
      <c r="X28" s="133"/>
    </row>
    <row r="29" spans="1:24" ht="26.1" customHeight="1">
      <c r="A29" s="1534">
        <v>10</v>
      </c>
      <c r="B29" s="1553" t="s">
        <v>877</v>
      </c>
      <c r="C29" s="1537">
        <v>14</v>
      </c>
      <c r="D29" s="1532">
        <v>35</v>
      </c>
      <c r="E29" s="1554">
        <f t="shared" ref="E29" si="23">D29+C29</f>
        <v>49</v>
      </c>
      <c r="F29" s="1537">
        <v>64</v>
      </c>
      <c r="G29" s="1532">
        <v>53</v>
      </c>
      <c r="H29" s="1532">
        <f t="shared" ref="H29" si="24">G29+F29</f>
        <v>117</v>
      </c>
      <c r="I29" s="1537">
        <v>103</v>
      </c>
      <c r="J29" s="1532">
        <v>131</v>
      </c>
      <c r="K29" s="1531">
        <f t="shared" ref="K29" si="25">I29+J29</f>
        <v>234</v>
      </c>
      <c r="L29" s="1532">
        <v>196</v>
      </c>
      <c r="M29" s="1532">
        <v>228</v>
      </c>
      <c r="N29" s="1531">
        <f t="shared" ref="N29" si="26">M29+L29</f>
        <v>424</v>
      </c>
      <c r="O29" s="852" t="s">
        <v>875</v>
      </c>
      <c r="P29" s="1534">
        <v>10</v>
      </c>
      <c r="Q29" s="383"/>
      <c r="R29" s="383"/>
      <c r="S29" s="133"/>
      <c r="T29" s="383"/>
      <c r="U29" s="383"/>
      <c r="V29" s="133"/>
      <c r="W29" s="133"/>
      <c r="X29" s="133"/>
    </row>
    <row r="30" spans="1:24" ht="26.1" customHeight="1">
      <c r="A30" s="1534"/>
      <c r="B30" s="1553"/>
      <c r="C30" s="1537"/>
      <c r="D30" s="1532"/>
      <c r="E30" s="1554"/>
      <c r="F30" s="1537"/>
      <c r="G30" s="1532"/>
      <c r="H30" s="1532"/>
      <c r="I30" s="1537"/>
      <c r="J30" s="1532"/>
      <c r="K30" s="1531"/>
      <c r="L30" s="1532"/>
      <c r="M30" s="1532"/>
      <c r="N30" s="1531"/>
      <c r="O30" s="852" t="s">
        <v>876</v>
      </c>
      <c r="P30" s="1534"/>
      <c r="Q30" s="383"/>
      <c r="R30" s="383"/>
      <c r="S30" s="133"/>
      <c r="T30" s="383"/>
      <c r="U30" s="383"/>
      <c r="V30" s="133"/>
      <c r="W30" s="133"/>
      <c r="X30" s="133"/>
    </row>
    <row r="31" spans="1:24" ht="26.1" customHeight="1">
      <c r="A31" s="1527">
        <v>11</v>
      </c>
      <c r="B31" s="1539" t="s">
        <v>82</v>
      </c>
      <c r="C31" s="1509">
        <v>3</v>
      </c>
      <c r="D31" s="1507">
        <v>17</v>
      </c>
      <c r="E31" s="1519">
        <f t="shared" ref="E31" si="27">D31+C31</f>
        <v>20</v>
      </c>
      <c r="F31" s="1509" t="s">
        <v>14</v>
      </c>
      <c r="G31" s="1507">
        <v>45</v>
      </c>
      <c r="H31" s="1507">
        <f>G31</f>
        <v>45</v>
      </c>
      <c r="I31" s="1509">
        <v>56</v>
      </c>
      <c r="J31" s="1507">
        <v>60</v>
      </c>
      <c r="K31" s="1506">
        <f t="shared" ref="K31" si="28">I31+J31</f>
        <v>116</v>
      </c>
      <c r="L31" s="1507">
        <v>46</v>
      </c>
      <c r="M31" s="1507">
        <v>192</v>
      </c>
      <c r="N31" s="1506">
        <f t="shared" ref="N31" si="29">M31+L31</f>
        <v>238</v>
      </c>
      <c r="O31" s="131" t="s">
        <v>818</v>
      </c>
      <c r="P31" s="1527">
        <v>11</v>
      </c>
      <c r="Q31" s="383"/>
      <c r="R31" s="383"/>
      <c r="S31" s="133"/>
      <c r="T31" s="383"/>
      <c r="U31" s="383"/>
      <c r="V31" s="133"/>
      <c r="W31" s="133"/>
      <c r="X31" s="133"/>
    </row>
    <row r="32" spans="1:24" ht="26.1" customHeight="1">
      <c r="A32" s="1527"/>
      <c r="B32" s="1539"/>
      <c r="C32" s="1509"/>
      <c r="D32" s="1507"/>
      <c r="E32" s="1519"/>
      <c r="F32" s="1509"/>
      <c r="G32" s="1507"/>
      <c r="H32" s="1507"/>
      <c r="I32" s="1509"/>
      <c r="J32" s="1507"/>
      <c r="K32" s="1506"/>
      <c r="L32" s="1507"/>
      <c r="M32" s="1507"/>
      <c r="N32" s="1506"/>
      <c r="O32" s="131" t="s">
        <v>819</v>
      </c>
      <c r="P32" s="1527"/>
      <c r="Q32" s="383"/>
      <c r="R32" s="383"/>
      <c r="S32" s="133"/>
      <c r="T32" s="383"/>
      <c r="U32" s="383"/>
      <c r="V32" s="133"/>
      <c r="W32" s="133"/>
      <c r="X32" s="133"/>
    </row>
    <row r="33" spans="1:24" ht="26.1" customHeight="1">
      <c r="A33" s="1534">
        <v>12</v>
      </c>
      <c r="B33" s="1553" t="s">
        <v>1526</v>
      </c>
      <c r="C33" s="1537">
        <v>20</v>
      </c>
      <c r="D33" s="1532">
        <v>26</v>
      </c>
      <c r="E33" s="1554">
        <f t="shared" ref="E33" si="30">D33+C33</f>
        <v>46</v>
      </c>
      <c r="F33" s="1537">
        <v>147</v>
      </c>
      <c r="G33" s="1532">
        <v>270</v>
      </c>
      <c r="H33" s="1532">
        <f>G33+F33</f>
        <v>417</v>
      </c>
      <c r="I33" s="1537">
        <v>228</v>
      </c>
      <c r="J33" s="1532">
        <v>585</v>
      </c>
      <c r="K33" s="1531">
        <f t="shared" ref="K33" si="31">I33+J33</f>
        <v>813</v>
      </c>
      <c r="L33" s="1532">
        <v>389</v>
      </c>
      <c r="M33" s="1532">
        <v>933</v>
      </c>
      <c r="N33" s="1531">
        <f t="shared" ref="N33" si="32">M33+L33</f>
        <v>1322</v>
      </c>
      <c r="O33" s="852" t="s">
        <v>1524</v>
      </c>
      <c r="P33" s="1534">
        <v>12</v>
      </c>
      <c r="Q33" s="383"/>
      <c r="R33" s="383"/>
      <c r="S33" s="133"/>
      <c r="T33" s="383"/>
      <c r="U33" s="383"/>
      <c r="V33" s="133"/>
      <c r="W33" s="133"/>
      <c r="X33" s="133"/>
    </row>
    <row r="34" spans="1:24" ht="26.1" customHeight="1">
      <c r="A34" s="1534"/>
      <c r="B34" s="1553"/>
      <c r="C34" s="1537"/>
      <c r="D34" s="1532"/>
      <c r="E34" s="1554"/>
      <c r="F34" s="1537"/>
      <c r="G34" s="1532"/>
      <c r="H34" s="1532"/>
      <c r="I34" s="1537"/>
      <c r="J34" s="1532"/>
      <c r="K34" s="1531"/>
      <c r="L34" s="1532"/>
      <c r="M34" s="1532"/>
      <c r="N34" s="1531"/>
      <c r="O34" s="852" t="s">
        <v>1525</v>
      </c>
      <c r="P34" s="1534"/>
      <c r="Q34" s="383"/>
      <c r="R34" s="383"/>
      <c r="S34" s="133"/>
      <c r="T34" s="383"/>
      <c r="U34" s="383"/>
      <c r="V34" s="133"/>
      <c r="W34" s="133"/>
      <c r="X34" s="133"/>
    </row>
    <row r="35" spans="1:24" ht="26.1" customHeight="1">
      <c r="A35" s="1527">
        <v>13</v>
      </c>
      <c r="B35" s="1539" t="s">
        <v>1529</v>
      </c>
      <c r="C35" s="1509">
        <v>6</v>
      </c>
      <c r="D35" s="1507">
        <v>3</v>
      </c>
      <c r="E35" s="1519">
        <f>D35+C35</f>
        <v>9</v>
      </c>
      <c r="F35" s="1509">
        <v>52</v>
      </c>
      <c r="G35" s="1507">
        <v>40</v>
      </c>
      <c r="H35" s="1507">
        <f t="shared" ref="H35" si="33">G35+F35</f>
        <v>92</v>
      </c>
      <c r="I35" s="1509">
        <v>86</v>
      </c>
      <c r="J35" s="1507" t="s">
        <v>14</v>
      </c>
      <c r="K35" s="1506">
        <f>I35</f>
        <v>86</v>
      </c>
      <c r="L35" s="1507">
        <v>206</v>
      </c>
      <c r="M35" s="1507">
        <v>336</v>
      </c>
      <c r="N35" s="1506">
        <f t="shared" ref="N35" si="34">M35+L35</f>
        <v>542</v>
      </c>
      <c r="O35" s="131" t="s">
        <v>1527</v>
      </c>
      <c r="P35" s="1527">
        <v>13</v>
      </c>
      <c r="Q35" s="383"/>
      <c r="R35" s="383"/>
      <c r="S35" s="133"/>
      <c r="T35" s="383"/>
      <c r="U35" s="383"/>
      <c r="V35" s="133"/>
      <c r="W35" s="133"/>
      <c r="X35" s="133"/>
    </row>
    <row r="36" spans="1:24" ht="26.1" customHeight="1">
      <c r="A36" s="1527"/>
      <c r="B36" s="1539"/>
      <c r="C36" s="1509"/>
      <c r="D36" s="1507"/>
      <c r="E36" s="1519"/>
      <c r="F36" s="1509"/>
      <c r="G36" s="1507"/>
      <c r="H36" s="1507"/>
      <c r="I36" s="1509"/>
      <c r="J36" s="1507"/>
      <c r="K36" s="1506"/>
      <c r="L36" s="1507"/>
      <c r="M36" s="1507"/>
      <c r="N36" s="1506"/>
      <c r="O36" s="131" t="s">
        <v>1528</v>
      </c>
      <c r="P36" s="1527"/>
      <c r="Q36" s="383"/>
      <c r="R36" s="383"/>
      <c r="S36" s="133"/>
      <c r="T36" s="383"/>
      <c r="U36" s="383"/>
      <c r="V36" s="133"/>
      <c r="W36" s="133"/>
      <c r="X36" s="133"/>
    </row>
    <row r="37" spans="1:24" ht="26.1" customHeight="1">
      <c r="A37" s="1534">
        <v>14</v>
      </c>
      <c r="B37" s="1553" t="s">
        <v>1076</v>
      </c>
      <c r="C37" s="1552">
        <v>5</v>
      </c>
      <c r="D37" s="1533">
        <v>12</v>
      </c>
      <c r="E37" s="1554">
        <f t="shared" ref="E37" si="35">D37+C37</f>
        <v>17</v>
      </c>
      <c r="F37" s="1537">
        <v>37</v>
      </c>
      <c r="G37" s="1532">
        <v>78</v>
      </c>
      <c r="H37" s="1532">
        <f t="shared" ref="H37" si="36">G37+F37</f>
        <v>115</v>
      </c>
      <c r="I37" s="1537">
        <v>22</v>
      </c>
      <c r="J37" s="1532">
        <v>68</v>
      </c>
      <c r="K37" s="1531">
        <f>I37+J37</f>
        <v>90</v>
      </c>
      <c r="L37" s="1532">
        <v>67</v>
      </c>
      <c r="M37" s="1532">
        <v>137</v>
      </c>
      <c r="N37" s="1531">
        <f t="shared" ref="N37" si="37">M37+L37</f>
        <v>204</v>
      </c>
      <c r="O37" s="852" t="s">
        <v>1075</v>
      </c>
      <c r="P37" s="1534">
        <v>14</v>
      </c>
      <c r="Q37" s="383"/>
      <c r="R37" s="383"/>
      <c r="S37" s="133"/>
      <c r="T37" s="383"/>
      <c r="U37" s="383"/>
      <c r="V37" s="133"/>
      <c r="W37" s="133"/>
      <c r="X37" s="133"/>
    </row>
    <row r="38" spans="1:24" ht="26.1" customHeight="1">
      <c r="A38" s="1534"/>
      <c r="B38" s="1553"/>
      <c r="C38" s="1552"/>
      <c r="D38" s="1533"/>
      <c r="E38" s="1554"/>
      <c r="F38" s="1537"/>
      <c r="G38" s="1532"/>
      <c r="H38" s="1532"/>
      <c r="I38" s="1537"/>
      <c r="J38" s="1532"/>
      <c r="K38" s="1531"/>
      <c r="L38" s="1532"/>
      <c r="M38" s="1532"/>
      <c r="N38" s="1531"/>
      <c r="O38" s="852" t="s">
        <v>1077</v>
      </c>
      <c r="P38" s="1534"/>
      <c r="Q38" s="383"/>
      <c r="R38" s="383"/>
      <c r="S38" s="133"/>
      <c r="T38" s="383"/>
      <c r="U38" s="383"/>
      <c r="V38" s="133"/>
      <c r="W38" s="133"/>
      <c r="X38" s="133"/>
    </row>
    <row r="39" spans="1:24" ht="26.1" customHeight="1">
      <c r="A39" s="1527">
        <v>15</v>
      </c>
      <c r="B39" s="1539" t="s">
        <v>1533</v>
      </c>
      <c r="C39" s="1509">
        <v>22</v>
      </c>
      <c r="D39" s="1507">
        <v>73</v>
      </c>
      <c r="E39" s="1519">
        <f t="shared" ref="E39" si="38">D39+C39</f>
        <v>95</v>
      </c>
      <c r="F39" s="1509">
        <v>210</v>
      </c>
      <c r="G39" s="1507">
        <v>232</v>
      </c>
      <c r="H39" s="1507">
        <f t="shared" ref="H39" si="39">G39+F39</f>
        <v>442</v>
      </c>
      <c r="I39" s="1509">
        <v>227</v>
      </c>
      <c r="J39" s="1507">
        <v>385</v>
      </c>
      <c r="K39" s="1506">
        <f>I39+J39</f>
        <v>612</v>
      </c>
      <c r="L39" s="1507">
        <v>594</v>
      </c>
      <c r="M39" s="1507">
        <v>791</v>
      </c>
      <c r="N39" s="1506">
        <f t="shared" ref="N39" si="40">M39+L39</f>
        <v>1385</v>
      </c>
      <c r="O39" s="131" t="s">
        <v>816</v>
      </c>
      <c r="P39" s="1527">
        <v>15</v>
      </c>
      <c r="Q39" s="383"/>
      <c r="R39" s="383"/>
      <c r="S39" s="133"/>
      <c r="T39" s="383"/>
      <c r="U39" s="383"/>
      <c r="V39" s="133"/>
      <c r="W39" s="133"/>
      <c r="X39" s="133"/>
    </row>
    <row r="40" spans="1:24" ht="26.1" customHeight="1">
      <c r="A40" s="1527"/>
      <c r="B40" s="1539"/>
      <c r="C40" s="1509"/>
      <c r="D40" s="1507"/>
      <c r="E40" s="1519"/>
      <c r="F40" s="1509"/>
      <c r="G40" s="1507"/>
      <c r="H40" s="1507"/>
      <c r="I40" s="1509"/>
      <c r="J40" s="1507"/>
      <c r="K40" s="1506"/>
      <c r="L40" s="1507"/>
      <c r="M40" s="1507"/>
      <c r="N40" s="1506"/>
      <c r="O40" s="131" t="s">
        <v>815</v>
      </c>
      <c r="P40" s="1527"/>
      <c r="Q40" s="383"/>
      <c r="R40" s="383"/>
      <c r="S40" s="133"/>
      <c r="T40" s="383"/>
      <c r="U40" s="383"/>
      <c r="V40" s="133"/>
      <c r="W40" s="133"/>
      <c r="X40" s="133"/>
    </row>
    <row r="41" spans="1:24" ht="26.1" customHeight="1">
      <c r="A41" s="1534">
        <v>16</v>
      </c>
      <c r="B41" s="1553" t="s">
        <v>87</v>
      </c>
      <c r="C41" s="1537" t="s">
        <v>485</v>
      </c>
      <c r="D41" s="1532" t="s">
        <v>485</v>
      </c>
      <c r="E41" s="1554" t="s">
        <v>485</v>
      </c>
      <c r="F41" s="1537">
        <v>11</v>
      </c>
      <c r="G41" s="1532">
        <v>52</v>
      </c>
      <c r="H41" s="1532">
        <f t="shared" ref="H41" si="41">G41+F41</f>
        <v>63</v>
      </c>
      <c r="I41" s="1537" t="s">
        <v>485</v>
      </c>
      <c r="J41" s="1532" t="s">
        <v>485</v>
      </c>
      <c r="K41" s="1531" t="s">
        <v>485</v>
      </c>
      <c r="L41" s="1532" t="s">
        <v>485</v>
      </c>
      <c r="M41" s="1532" t="s">
        <v>485</v>
      </c>
      <c r="N41" s="1531" t="s">
        <v>485</v>
      </c>
      <c r="O41" s="852" t="s">
        <v>88</v>
      </c>
      <c r="P41" s="1534">
        <v>16</v>
      </c>
      <c r="Q41" s="383"/>
      <c r="R41" s="383"/>
      <c r="S41" s="133"/>
      <c r="T41" s="383"/>
      <c r="U41" s="383"/>
      <c r="V41" s="133"/>
      <c r="W41" s="133"/>
      <c r="X41" s="133"/>
    </row>
    <row r="42" spans="1:24" ht="26.1" customHeight="1">
      <c r="A42" s="1534"/>
      <c r="B42" s="1553"/>
      <c r="C42" s="1537"/>
      <c r="D42" s="1532"/>
      <c r="E42" s="1554"/>
      <c r="F42" s="1537"/>
      <c r="G42" s="1532"/>
      <c r="H42" s="1532"/>
      <c r="I42" s="1537"/>
      <c r="J42" s="1532"/>
      <c r="K42" s="1531"/>
      <c r="L42" s="1532"/>
      <c r="M42" s="1532"/>
      <c r="N42" s="1531"/>
      <c r="O42" s="852" t="s">
        <v>537</v>
      </c>
      <c r="P42" s="1534"/>
      <c r="Q42" s="383"/>
      <c r="R42" s="383"/>
      <c r="S42" s="133"/>
      <c r="T42" s="383"/>
      <c r="U42" s="383"/>
      <c r="V42" s="133"/>
      <c r="W42" s="133"/>
      <c r="X42" s="133"/>
    </row>
    <row r="43" spans="1:24" ht="26.1" customHeight="1">
      <c r="A43" s="1527">
        <v>17</v>
      </c>
      <c r="B43" s="1539" t="s">
        <v>77</v>
      </c>
      <c r="C43" s="1509">
        <v>14</v>
      </c>
      <c r="D43" s="1507">
        <v>70</v>
      </c>
      <c r="E43" s="1519">
        <f>C43+D43</f>
        <v>84</v>
      </c>
      <c r="F43" s="1509">
        <v>14</v>
      </c>
      <c r="G43" s="1507">
        <v>373</v>
      </c>
      <c r="H43" s="1507">
        <f>G43+F43</f>
        <v>387</v>
      </c>
      <c r="I43" s="1509" t="s">
        <v>14</v>
      </c>
      <c r="J43" s="1507">
        <v>288</v>
      </c>
      <c r="K43" s="1506">
        <f>J43</f>
        <v>288</v>
      </c>
      <c r="L43" s="1507">
        <v>20</v>
      </c>
      <c r="M43" s="1507">
        <v>878</v>
      </c>
      <c r="N43" s="1506">
        <f>M43+L43</f>
        <v>898</v>
      </c>
      <c r="O43" s="1592" t="s">
        <v>1116</v>
      </c>
      <c r="P43" s="1527">
        <v>17</v>
      </c>
      <c r="Q43" s="383"/>
      <c r="R43" s="383"/>
      <c r="S43" s="133"/>
      <c r="T43" s="383"/>
      <c r="U43" s="383"/>
      <c r="V43" s="133"/>
      <c r="W43" s="133"/>
      <c r="X43" s="133"/>
    </row>
    <row r="44" spans="1:24" ht="26.1" customHeight="1">
      <c r="A44" s="1527"/>
      <c r="B44" s="1539"/>
      <c r="C44" s="1509"/>
      <c r="D44" s="1507"/>
      <c r="E44" s="1519"/>
      <c r="F44" s="1509"/>
      <c r="G44" s="1507"/>
      <c r="H44" s="1507"/>
      <c r="I44" s="1509"/>
      <c r="J44" s="1507"/>
      <c r="K44" s="1506"/>
      <c r="L44" s="1507"/>
      <c r="M44" s="1507"/>
      <c r="N44" s="1506"/>
      <c r="O44" s="1592"/>
      <c r="P44" s="1527"/>
      <c r="Q44" s="383"/>
      <c r="R44" s="383"/>
      <c r="S44" s="133"/>
      <c r="T44" s="383"/>
      <c r="U44" s="383"/>
      <c r="V44" s="133"/>
      <c r="W44" s="133"/>
      <c r="X44" s="133"/>
    </row>
    <row r="45" spans="1:24" ht="26.1" customHeight="1">
      <c r="A45" s="1534">
        <v>18</v>
      </c>
      <c r="B45" s="1553" t="s">
        <v>77</v>
      </c>
      <c r="C45" s="1537">
        <v>7</v>
      </c>
      <c r="D45" s="1532">
        <v>34</v>
      </c>
      <c r="E45" s="1554">
        <f>C45+D45</f>
        <v>41</v>
      </c>
      <c r="F45" s="1537">
        <v>31</v>
      </c>
      <c r="G45" s="1532">
        <v>192</v>
      </c>
      <c r="H45" s="1532">
        <f t="shared" ref="H45" si="42">G45+F45</f>
        <v>223</v>
      </c>
      <c r="I45" s="1537">
        <v>49</v>
      </c>
      <c r="J45" s="1532">
        <v>151</v>
      </c>
      <c r="K45" s="1531">
        <f>J45+I45</f>
        <v>200</v>
      </c>
      <c r="L45" s="1532">
        <v>79</v>
      </c>
      <c r="M45" s="1532">
        <v>345</v>
      </c>
      <c r="N45" s="1531">
        <f>M45+L45</f>
        <v>424</v>
      </c>
      <c r="O45" s="1532" t="s">
        <v>1530</v>
      </c>
      <c r="P45" s="1534">
        <v>18</v>
      </c>
      <c r="Q45" s="383"/>
      <c r="R45" s="383"/>
      <c r="S45" s="133"/>
      <c r="T45" s="383"/>
      <c r="U45" s="383"/>
      <c r="V45" s="133"/>
      <c r="W45" s="133"/>
      <c r="X45" s="133"/>
    </row>
    <row r="46" spans="1:24" ht="26.1" customHeight="1">
      <c r="A46" s="1534"/>
      <c r="B46" s="1553"/>
      <c r="C46" s="1537"/>
      <c r="D46" s="1532"/>
      <c r="E46" s="1554"/>
      <c r="F46" s="1537"/>
      <c r="G46" s="1532"/>
      <c r="H46" s="1532"/>
      <c r="I46" s="1537"/>
      <c r="J46" s="1532"/>
      <c r="K46" s="1531"/>
      <c r="L46" s="1532"/>
      <c r="M46" s="1532"/>
      <c r="N46" s="1531"/>
      <c r="O46" s="1532"/>
      <c r="P46" s="1534"/>
      <c r="Q46" s="383"/>
      <c r="R46" s="383"/>
      <c r="S46" s="133"/>
      <c r="T46" s="383"/>
      <c r="U46" s="383"/>
      <c r="V46" s="133"/>
      <c r="W46" s="133"/>
      <c r="X46" s="133"/>
    </row>
    <row r="47" spans="1:24" ht="26.1" customHeight="1">
      <c r="A47" s="1527">
        <v>19</v>
      </c>
      <c r="B47" s="1539" t="s">
        <v>1532</v>
      </c>
      <c r="C47" s="1509" t="s">
        <v>14</v>
      </c>
      <c r="D47" s="1507">
        <v>18</v>
      </c>
      <c r="E47" s="1519">
        <f>D47</f>
        <v>18</v>
      </c>
      <c r="F47" s="1509" t="s">
        <v>14</v>
      </c>
      <c r="G47" s="1507">
        <v>104</v>
      </c>
      <c r="H47" s="1507">
        <f>G47</f>
        <v>104</v>
      </c>
      <c r="I47" s="1509" t="s">
        <v>14</v>
      </c>
      <c r="J47" s="1507">
        <v>197</v>
      </c>
      <c r="K47" s="1506">
        <f>J47</f>
        <v>197</v>
      </c>
      <c r="L47" s="1507" t="s">
        <v>14</v>
      </c>
      <c r="M47" s="1507">
        <v>392</v>
      </c>
      <c r="N47" s="1506">
        <f>M47</f>
        <v>392</v>
      </c>
      <c r="O47" s="1592" t="s">
        <v>1531</v>
      </c>
      <c r="P47" s="1527">
        <v>19</v>
      </c>
      <c r="Q47" s="383"/>
      <c r="R47" s="383"/>
      <c r="S47" s="133"/>
      <c r="T47" s="383"/>
      <c r="U47" s="383"/>
      <c r="V47" s="133"/>
      <c r="W47" s="133"/>
      <c r="X47" s="133"/>
    </row>
    <row r="48" spans="1:24" ht="26.1" customHeight="1">
      <c r="A48" s="1527"/>
      <c r="B48" s="1539"/>
      <c r="C48" s="1509"/>
      <c r="D48" s="1507"/>
      <c r="E48" s="1519"/>
      <c r="F48" s="1509"/>
      <c r="G48" s="1507"/>
      <c r="H48" s="1507"/>
      <c r="I48" s="1509"/>
      <c r="J48" s="1507"/>
      <c r="K48" s="1506"/>
      <c r="L48" s="1507"/>
      <c r="M48" s="1507"/>
      <c r="N48" s="1506"/>
      <c r="O48" s="1592"/>
      <c r="P48" s="1527"/>
      <c r="Q48" s="383"/>
      <c r="R48" s="383"/>
      <c r="S48" s="133"/>
      <c r="T48" s="383"/>
      <c r="U48" s="383"/>
      <c r="V48" s="133"/>
      <c r="W48" s="133"/>
      <c r="X48" s="133"/>
    </row>
    <row r="49" spans="1:24" ht="26.1" customHeight="1">
      <c r="A49" s="1534">
        <v>20</v>
      </c>
      <c r="B49" s="1553" t="s">
        <v>1536</v>
      </c>
      <c r="C49" s="1537">
        <v>35</v>
      </c>
      <c r="D49" s="1532">
        <v>1</v>
      </c>
      <c r="E49" s="1554">
        <f>C49+D49</f>
        <v>36</v>
      </c>
      <c r="F49" s="1537">
        <v>305</v>
      </c>
      <c r="G49" s="1532" t="s">
        <v>14</v>
      </c>
      <c r="H49" s="1532">
        <f>F49</f>
        <v>305</v>
      </c>
      <c r="I49" s="1537">
        <v>532</v>
      </c>
      <c r="J49" s="1532" t="s">
        <v>14</v>
      </c>
      <c r="K49" s="1531">
        <f>I49</f>
        <v>532</v>
      </c>
      <c r="L49" s="1532">
        <v>1000</v>
      </c>
      <c r="M49" s="1532" t="s">
        <v>14</v>
      </c>
      <c r="N49" s="1531">
        <f>L49</f>
        <v>1000</v>
      </c>
      <c r="O49" s="852" t="s">
        <v>1534</v>
      </c>
      <c r="P49" s="1534">
        <v>20</v>
      </c>
      <c r="Q49" s="383"/>
      <c r="R49" s="383"/>
      <c r="S49" s="133"/>
      <c r="T49" s="383"/>
      <c r="U49" s="383"/>
      <c r="V49" s="133"/>
      <c r="W49" s="133"/>
      <c r="X49" s="133"/>
    </row>
    <row r="50" spans="1:24" ht="26.1" customHeight="1">
      <c r="A50" s="1534"/>
      <c r="B50" s="1553"/>
      <c r="C50" s="1537"/>
      <c r="D50" s="1532"/>
      <c r="E50" s="1554"/>
      <c r="F50" s="1537"/>
      <c r="G50" s="1532"/>
      <c r="H50" s="1532"/>
      <c r="I50" s="1537"/>
      <c r="J50" s="1532"/>
      <c r="K50" s="1531"/>
      <c r="L50" s="1532"/>
      <c r="M50" s="1532"/>
      <c r="N50" s="1531"/>
      <c r="O50" s="852" t="s">
        <v>1535</v>
      </c>
      <c r="P50" s="1534"/>
      <c r="Q50" s="383"/>
      <c r="R50" s="383"/>
      <c r="S50" s="133"/>
      <c r="T50" s="383"/>
      <c r="U50" s="383"/>
      <c r="V50" s="133"/>
      <c r="W50" s="133"/>
      <c r="X50" s="133"/>
    </row>
    <row r="51" spans="1:24" ht="26.1" customHeight="1">
      <c r="A51" s="1527">
        <v>21</v>
      </c>
      <c r="B51" s="1539" t="s">
        <v>1537</v>
      </c>
      <c r="C51" s="1509">
        <v>8</v>
      </c>
      <c r="D51" s="1507">
        <v>9</v>
      </c>
      <c r="E51" s="1519">
        <f t="shared" ref="E51" si="43">C51+D51</f>
        <v>17</v>
      </c>
      <c r="F51" s="1509">
        <v>74</v>
      </c>
      <c r="G51" s="1507">
        <v>84</v>
      </c>
      <c r="H51" s="1507">
        <f>G51+F51</f>
        <v>158</v>
      </c>
      <c r="I51" s="1509" t="s">
        <v>14</v>
      </c>
      <c r="J51" s="1507">
        <v>135</v>
      </c>
      <c r="K51" s="1506">
        <f>J51</f>
        <v>135</v>
      </c>
      <c r="L51" s="1507">
        <v>156</v>
      </c>
      <c r="M51" s="1507">
        <v>122</v>
      </c>
      <c r="N51" s="1506">
        <f>M51+L51</f>
        <v>278</v>
      </c>
      <c r="O51" s="131" t="s">
        <v>1538</v>
      </c>
      <c r="P51" s="1527">
        <v>21</v>
      </c>
      <c r="Q51" s="413"/>
      <c r="R51" s="413"/>
      <c r="S51" s="133"/>
      <c r="T51" s="413"/>
      <c r="U51" s="413"/>
      <c r="V51" s="133"/>
      <c r="W51" s="133"/>
      <c r="X51" s="133"/>
    </row>
    <row r="52" spans="1:24" ht="26.1" customHeight="1">
      <c r="A52" s="1527"/>
      <c r="B52" s="1539"/>
      <c r="C52" s="1509"/>
      <c r="D52" s="1507"/>
      <c r="E52" s="1519"/>
      <c r="F52" s="1509"/>
      <c r="G52" s="1507"/>
      <c r="H52" s="1507"/>
      <c r="I52" s="1509"/>
      <c r="J52" s="1507"/>
      <c r="K52" s="1506"/>
      <c r="L52" s="1507"/>
      <c r="M52" s="1507"/>
      <c r="N52" s="1506"/>
      <c r="O52" s="131" t="s">
        <v>1539</v>
      </c>
      <c r="P52" s="1527"/>
      <c r="Q52" s="413"/>
      <c r="R52" s="413"/>
      <c r="S52" s="133"/>
      <c r="T52" s="413"/>
      <c r="U52" s="413"/>
      <c r="V52" s="133"/>
      <c r="W52" s="133"/>
      <c r="X52" s="133"/>
    </row>
    <row r="53" spans="1:24" ht="26.1" customHeight="1">
      <c r="A53" s="1534">
        <v>22</v>
      </c>
      <c r="B53" s="1553" t="s">
        <v>1542</v>
      </c>
      <c r="C53" s="1537">
        <v>4</v>
      </c>
      <c r="D53" s="1532">
        <v>12</v>
      </c>
      <c r="E53" s="1554">
        <f t="shared" ref="E53" si="44">C53+D53</f>
        <v>16</v>
      </c>
      <c r="F53" s="1537">
        <v>33</v>
      </c>
      <c r="G53" s="1532">
        <v>61</v>
      </c>
      <c r="H53" s="1532">
        <f t="shared" ref="H53" si="45">G53+F53</f>
        <v>94</v>
      </c>
      <c r="I53" s="1537">
        <v>38</v>
      </c>
      <c r="J53" s="1532">
        <v>76</v>
      </c>
      <c r="K53" s="1531">
        <f>J53+I53</f>
        <v>114</v>
      </c>
      <c r="L53" s="1532">
        <v>98</v>
      </c>
      <c r="M53" s="1532">
        <v>246</v>
      </c>
      <c r="N53" s="1531">
        <f t="shared" ref="N53" si="46">M53+L53</f>
        <v>344</v>
      </c>
      <c r="O53" s="852" t="s">
        <v>1540</v>
      </c>
      <c r="P53" s="1534">
        <v>22</v>
      </c>
      <c r="Q53" s="413"/>
      <c r="R53" s="413"/>
      <c r="S53" s="133"/>
      <c r="T53" s="413"/>
      <c r="U53" s="413"/>
      <c r="V53" s="133"/>
      <c r="W53" s="133"/>
      <c r="X53" s="133"/>
    </row>
    <row r="54" spans="1:24" ht="26.1" customHeight="1">
      <c r="A54" s="1534"/>
      <c r="B54" s="1553"/>
      <c r="C54" s="1537"/>
      <c r="D54" s="1532"/>
      <c r="E54" s="1554"/>
      <c r="F54" s="1537"/>
      <c r="G54" s="1532"/>
      <c r="H54" s="1532"/>
      <c r="I54" s="1537"/>
      <c r="J54" s="1532"/>
      <c r="K54" s="1531"/>
      <c r="L54" s="1532"/>
      <c r="M54" s="1532"/>
      <c r="N54" s="1531"/>
      <c r="O54" s="852" t="s">
        <v>1541</v>
      </c>
      <c r="P54" s="1534"/>
      <c r="Q54" s="413"/>
      <c r="R54" s="413"/>
      <c r="S54" s="133"/>
      <c r="T54" s="413"/>
      <c r="U54" s="413"/>
      <c r="V54" s="133"/>
      <c r="W54" s="133"/>
      <c r="X54" s="133"/>
    </row>
    <row r="55" spans="1:24" ht="26.1" customHeight="1">
      <c r="A55" s="1527">
        <v>23</v>
      </c>
      <c r="B55" s="1539" t="s">
        <v>1543</v>
      </c>
      <c r="C55" s="1567">
        <v>3</v>
      </c>
      <c r="D55" s="1548">
        <f>19+12</f>
        <v>31</v>
      </c>
      <c r="E55" s="1519">
        <f t="shared" ref="E55" si="47">C55+D55</f>
        <v>34</v>
      </c>
      <c r="F55" s="1509">
        <v>176</v>
      </c>
      <c r="G55" s="1507">
        <v>254</v>
      </c>
      <c r="H55" s="1507">
        <f t="shared" ref="H55" si="48">G55+F55</f>
        <v>430</v>
      </c>
      <c r="I55" s="1509">
        <v>61</v>
      </c>
      <c r="J55" s="1507">
        <v>209</v>
      </c>
      <c r="K55" s="1506">
        <f>J55+I55</f>
        <v>270</v>
      </c>
      <c r="L55" s="1507">
        <v>206</v>
      </c>
      <c r="M55" s="1507">
        <v>404</v>
      </c>
      <c r="N55" s="1506">
        <f t="shared" ref="N55" si="49">M55+L55</f>
        <v>610</v>
      </c>
      <c r="O55" s="131" t="s">
        <v>1544</v>
      </c>
      <c r="P55" s="1527">
        <v>23</v>
      </c>
      <c r="Q55" s="413"/>
      <c r="R55" s="413"/>
      <c r="S55" s="133"/>
      <c r="T55" s="413"/>
      <c r="U55" s="413"/>
      <c r="V55" s="133"/>
      <c r="W55" s="133"/>
      <c r="X55" s="133"/>
    </row>
    <row r="56" spans="1:24" ht="26.1" customHeight="1">
      <c r="A56" s="1527"/>
      <c r="B56" s="1539"/>
      <c r="C56" s="1567"/>
      <c r="D56" s="1548"/>
      <c r="E56" s="1519"/>
      <c r="F56" s="1509"/>
      <c r="G56" s="1507"/>
      <c r="H56" s="1507"/>
      <c r="I56" s="1509"/>
      <c r="J56" s="1507"/>
      <c r="K56" s="1506"/>
      <c r="L56" s="1507"/>
      <c r="M56" s="1507"/>
      <c r="N56" s="1506"/>
      <c r="O56" s="131" t="s">
        <v>1545</v>
      </c>
      <c r="P56" s="1527"/>
      <c r="Q56" s="413"/>
      <c r="R56" s="413"/>
      <c r="S56" s="133"/>
      <c r="T56" s="413"/>
      <c r="U56" s="413"/>
      <c r="V56" s="133"/>
      <c r="W56" s="133"/>
      <c r="X56" s="133"/>
    </row>
    <row r="57" spans="1:24" ht="26.1" customHeight="1">
      <c r="A57" s="1534">
        <v>24</v>
      </c>
      <c r="B57" s="1553" t="s">
        <v>868</v>
      </c>
      <c r="C57" s="1552" t="s">
        <v>14</v>
      </c>
      <c r="D57" s="1533">
        <v>17</v>
      </c>
      <c r="E57" s="1533">
        <f>D57</f>
        <v>17</v>
      </c>
      <c r="F57" s="1537">
        <v>70</v>
      </c>
      <c r="G57" s="1532">
        <v>160</v>
      </c>
      <c r="H57" s="1532">
        <f>G57+F57</f>
        <v>230</v>
      </c>
      <c r="I57" s="1537">
        <v>36</v>
      </c>
      <c r="J57" s="1532">
        <v>88</v>
      </c>
      <c r="K57" s="1531">
        <f>J57+I57</f>
        <v>124</v>
      </c>
      <c r="L57" s="1532">
        <v>90</v>
      </c>
      <c r="M57" s="1532">
        <v>188</v>
      </c>
      <c r="N57" s="1531">
        <f>M57+L57</f>
        <v>278</v>
      </c>
      <c r="O57" s="963" t="s">
        <v>752</v>
      </c>
      <c r="P57" s="1534">
        <v>24</v>
      </c>
      <c r="Q57" s="413"/>
      <c r="R57" s="413"/>
      <c r="S57" s="133"/>
      <c r="T57" s="413"/>
      <c r="U57" s="413"/>
      <c r="V57" s="133"/>
      <c r="W57" s="133"/>
      <c r="X57" s="133"/>
    </row>
    <row r="58" spans="1:24" ht="26.1" customHeight="1">
      <c r="A58" s="1535"/>
      <c r="B58" s="1560"/>
      <c r="C58" s="1566"/>
      <c r="D58" s="1551"/>
      <c r="E58" s="1551"/>
      <c r="F58" s="1556"/>
      <c r="G58" s="1536"/>
      <c r="H58" s="1536"/>
      <c r="I58" s="1556"/>
      <c r="J58" s="1536"/>
      <c r="K58" s="1555"/>
      <c r="L58" s="1536"/>
      <c r="M58" s="1536"/>
      <c r="N58" s="1555"/>
      <c r="O58" s="973" t="s">
        <v>763</v>
      </c>
      <c r="P58" s="1535"/>
      <c r="Q58" s="413"/>
      <c r="R58" s="413"/>
      <c r="S58" s="133"/>
      <c r="T58" s="413"/>
      <c r="U58" s="413"/>
      <c r="V58" s="133"/>
      <c r="W58" s="133"/>
      <c r="X58" s="133"/>
    </row>
    <row r="59" spans="1:24" ht="20.100000000000001" customHeight="1">
      <c r="A59" s="1525" t="s">
        <v>884</v>
      </c>
      <c r="B59" s="1525"/>
      <c r="C59" s="1525"/>
      <c r="D59" s="1525"/>
      <c r="E59" s="1525"/>
      <c r="F59" s="1525"/>
      <c r="G59" s="1525"/>
      <c r="H59" s="1525"/>
      <c r="I59" s="1525"/>
      <c r="J59" s="1525"/>
      <c r="K59" s="1526" t="s">
        <v>885</v>
      </c>
      <c r="L59" s="1526"/>
      <c r="M59" s="1526"/>
      <c r="N59" s="1526"/>
      <c r="O59" s="1526"/>
      <c r="P59" s="1526"/>
      <c r="Q59" s="383"/>
      <c r="R59" s="383"/>
      <c r="S59" s="133"/>
      <c r="T59" s="383"/>
      <c r="U59" s="383"/>
      <c r="V59" s="133"/>
      <c r="W59" s="133"/>
      <c r="X59" s="133"/>
    </row>
    <row r="60" spans="1:24" ht="20.100000000000001" customHeight="1">
      <c r="A60" s="1525"/>
      <c r="B60" s="1525"/>
      <c r="C60" s="1525"/>
      <c r="D60" s="1525"/>
      <c r="E60" s="1525"/>
      <c r="F60" s="1525"/>
      <c r="G60" s="1525"/>
      <c r="H60" s="1525"/>
      <c r="I60" s="1525"/>
      <c r="J60" s="1525"/>
      <c r="K60" s="1526" t="s">
        <v>1113</v>
      </c>
      <c r="L60" s="1526"/>
      <c r="M60" s="1526"/>
      <c r="N60" s="1526"/>
      <c r="O60" s="1526"/>
      <c r="P60" s="1526"/>
      <c r="Q60" s="383"/>
      <c r="R60" s="1507">
        <v>18</v>
      </c>
      <c r="S60" s="1507">
        <v>475</v>
      </c>
      <c r="T60" s="1506">
        <f>S60+R60</f>
        <v>493</v>
      </c>
      <c r="U60" s="383"/>
      <c r="V60" s="133"/>
      <c r="W60" s="133"/>
      <c r="X60" s="133"/>
    </row>
    <row r="61" spans="1:24" ht="20.100000000000001" customHeight="1">
      <c r="A61" s="1522" t="s">
        <v>2028</v>
      </c>
      <c r="B61" s="1495" t="s">
        <v>407</v>
      </c>
      <c r="C61" s="1549" t="s">
        <v>123</v>
      </c>
      <c r="D61" s="1550"/>
      <c r="E61" s="1557"/>
      <c r="F61" s="1549" t="s">
        <v>882</v>
      </c>
      <c r="G61" s="1550"/>
      <c r="H61" s="1557"/>
      <c r="I61" s="1549" t="s">
        <v>105</v>
      </c>
      <c r="J61" s="1550"/>
      <c r="K61" s="1550"/>
      <c r="L61" s="1495" t="s">
        <v>881</v>
      </c>
      <c r="M61" s="1498"/>
      <c r="N61" s="1499"/>
      <c r="O61" s="1499" t="s">
        <v>408</v>
      </c>
      <c r="P61" s="1522" t="s">
        <v>2027</v>
      </c>
      <c r="Q61" s="383"/>
      <c r="R61" s="1507"/>
      <c r="S61" s="1507"/>
      <c r="T61" s="1506"/>
      <c r="U61" s="383"/>
      <c r="V61" s="133"/>
      <c r="W61" s="133"/>
      <c r="X61" s="133"/>
    </row>
    <row r="62" spans="1:24" ht="20.100000000000001" customHeight="1">
      <c r="A62" s="1523"/>
      <c r="B62" s="1496"/>
      <c r="C62" s="1541" t="s">
        <v>546</v>
      </c>
      <c r="D62" s="1542"/>
      <c r="E62" s="1543"/>
      <c r="F62" s="1544" t="s">
        <v>506</v>
      </c>
      <c r="G62" s="1545"/>
      <c r="H62" s="1546"/>
      <c r="I62" s="1544" t="s">
        <v>505</v>
      </c>
      <c r="J62" s="1545"/>
      <c r="K62" s="1545"/>
      <c r="L62" s="1496" t="s">
        <v>883</v>
      </c>
      <c r="M62" s="1547"/>
      <c r="N62" s="1505"/>
      <c r="O62" s="1505"/>
      <c r="P62" s="1523"/>
      <c r="Q62" s="383"/>
      <c r="R62" s="1507">
        <v>5</v>
      </c>
      <c r="S62" s="1507">
        <v>67</v>
      </c>
      <c r="T62" s="1506">
        <f t="shared" ref="T62" si="50">S62+R62</f>
        <v>72</v>
      </c>
      <c r="U62" s="383"/>
      <c r="V62" s="133"/>
      <c r="W62" s="133"/>
      <c r="X62" s="133"/>
    </row>
    <row r="63" spans="1:24" ht="20.100000000000001" customHeight="1">
      <c r="A63" s="1523"/>
      <c r="B63" s="1496"/>
      <c r="C63" s="1500" t="s">
        <v>73</v>
      </c>
      <c r="D63" s="1501"/>
      <c r="E63" s="1502"/>
      <c r="F63" s="1500" t="s">
        <v>126</v>
      </c>
      <c r="G63" s="1501"/>
      <c r="H63" s="1502"/>
      <c r="I63" s="1500" t="s">
        <v>127</v>
      </c>
      <c r="J63" s="1501"/>
      <c r="K63" s="1501"/>
      <c r="L63" s="1497" t="s">
        <v>62</v>
      </c>
      <c r="M63" s="1503"/>
      <c r="N63" s="1504"/>
      <c r="O63" s="1505"/>
      <c r="P63" s="1523"/>
      <c r="Q63" s="383"/>
      <c r="R63" s="1507"/>
      <c r="S63" s="1507"/>
      <c r="T63" s="1506"/>
      <c r="U63" s="383"/>
      <c r="V63" s="133"/>
      <c r="W63" s="133"/>
      <c r="X63" s="133"/>
    </row>
    <row r="64" spans="1:24" ht="20.100000000000001" customHeight="1">
      <c r="A64" s="1523"/>
      <c r="B64" s="1496"/>
      <c r="C64" s="994" t="s">
        <v>0</v>
      </c>
      <c r="D64" s="1088" t="s">
        <v>1</v>
      </c>
      <c r="E64" s="1067" t="s">
        <v>2</v>
      </c>
      <c r="F64" s="994" t="s">
        <v>0</v>
      </c>
      <c r="G64" s="1088" t="s">
        <v>1</v>
      </c>
      <c r="H64" s="1067" t="s">
        <v>2</v>
      </c>
      <c r="I64" s="994" t="s">
        <v>0</v>
      </c>
      <c r="J64" s="1088" t="s">
        <v>1</v>
      </c>
      <c r="K64" s="1067" t="s">
        <v>2</v>
      </c>
      <c r="L64" s="994" t="s">
        <v>0</v>
      </c>
      <c r="M64" s="1088" t="s">
        <v>1</v>
      </c>
      <c r="N64" s="1067" t="s">
        <v>2</v>
      </c>
      <c r="O64" s="1505"/>
      <c r="P64" s="1523"/>
      <c r="Q64" s="383"/>
      <c r="R64" s="1507">
        <v>346</v>
      </c>
      <c r="S64" s="1507">
        <v>1072</v>
      </c>
      <c r="T64" s="1506">
        <f t="shared" ref="T64" si="51">S64+R64</f>
        <v>1418</v>
      </c>
      <c r="U64" s="383"/>
      <c r="V64" s="133"/>
      <c r="W64" s="133"/>
      <c r="X64" s="133"/>
    </row>
    <row r="65" spans="1:24" ht="20.100000000000001" customHeight="1">
      <c r="A65" s="1523"/>
      <c r="B65" s="1496"/>
      <c r="C65" s="1089" t="s">
        <v>500</v>
      </c>
      <c r="D65" s="1090" t="s">
        <v>501</v>
      </c>
      <c r="E65" s="1067" t="s">
        <v>502</v>
      </c>
      <c r="F65" s="1089" t="s">
        <v>500</v>
      </c>
      <c r="G65" s="1090" t="s">
        <v>501</v>
      </c>
      <c r="H65" s="1067" t="s">
        <v>502</v>
      </c>
      <c r="I65" s="1089" t="s">
        <v>500</v>
      </c>
      <c r="J65" s="1090" t="s">
        <v>501</v>
      </c>
      <c r="K65" s="1067" t="s">
        <v>502</v>
      </c>
      <c r="L65" s="1089" t="s">
        <v>500</v>
      </c>
      <c r="M65" s="1090" t="s">
        <v>501</v>
      </c>
      <c r="N65" s="1067" t="s">
        <v>502</v>
      </c>
      <c r="O65" s="1505"/>
      <c r="P65" s="1523"/>
      <c r="Q65" s="383"/>
      <c r="R65" s="1507"/>
      <c r="S65" s="1507"/>
      <c r="T65" s="1506"/>
      <c r="U65" s="383"/>
      <c r="V65" s="133"/>
      <c r="W65" s="133"/>
      <c r="X65" s="133"/>
    </row>
    <row r="66" spans="1:24" ht="20.100000000000001" customHeight="1">
      <c r="A66" s="1524"/>
      <c r="B66" s="1497"/>
      <c r="C66" s="1061" t="s">
        <v>52</v>
      </c>
      <c r="D66" s="1091" t="s">
        <v>53</v>
      </c>
      <c r="E66" s="1069" t="s">
        <v>28</v>
      </c>
      <c r="F66" s="1061" t="s">
        <v>52</v>
      </c>
      <c r="G66" s="1091" t="s">
        <v>53</v>
      </c>
      <c r="H66" s="1069" t="s">
        <v>28</v>
      </c>
      <c r="I66" s="1061" t="s">
        <v>52</v>
      </c>
      <c r="J66" s="1091" t="s">
        <v>53</v>
      </c>
      <c r="K66" s="1069" t="s">
        <v>28</v>
      </c>
      <c r="L66" s="1061" t="s">
        <v>52</v>
      </c>
      <c r="M66" s="1091" t="s">
        <v>53</v>
      </c>
      <c r="N66" s="1069" t="s">
        <v>28</v>
      </c>
      <c r="O66" s="1504"/>
      <c r="P66" s="1524"/>
      <c r="Q66" s="383"/>
      <c r="R66" s="1507">
        <v>62</v>
      </c>
      <c r="S66" s="1507">
        <v>1282</v>
      </c>
      <c r="T66" s="1506">
        <f t="shared" ref="T66" si="52">S66+R66</f>
        <v>1344</v>
      </c>
      <c r="U66" s="383"/>
      <c r="V66" s="133"/>
      <c r="W66" s="133"/>
      <c r="X66" s="133"/>
    </row>
    <row r="67" spans="1:24" ht="26.1" customHeight="1">
      <c r="A67" s="1530">
        <v>25</v>
      </c>
      <c r="B67" s="1558" t="s">
        <v>869</v>
      </c>
      <c r="C67" s="1552" t="s">
        <v>14</v>
      </c>
      <c r="D67" s="1533">
        <v>7</v>
      </c>
      <c r="E67" s="1533">
        <f>D67</f>
        <v>7</v>
      </c>
      <c r="F67" s="1552" t="s">
        <v>14</v>
      </c>
      <c r="G67" s="1533">
        <v>36</v>
      </c>
      <c r="H67" s="1532">
        <f>G67</f>
        <v>36</v>
      </c>
      <c r="I67" s="1552" t="s">
        <v>14</v>
      </c>
      <c r="J67" s="1533">
        <v>40</v>
      </c>
      <c r="K67" s="1531">
        <f>J67</f>
        <v>40</v>
      </c>
      <c r="L67" s="1533" t="s">
        <v>14</v>
      </c>
      <c r="M67" s="1533">
        <v>137</v>
      </c>
      <c r="N67" s="1531">
        <f>M67</f>
        <v>137</v>
      </c>
      <c r="O67" s="851" t="s">
        <v>753</v>
      </c>
      <c r="P67" s="1530">
        <v>25</v>
      </c>
      <c r="R67" s="1507"/>
      <c r="S67" s="1507"/>
      <c r="T67" s="1506"/>
    </row>
    <row r="68" spans="1:24" ht="26.1" customHeight="1">
      <c r="A68" s="1528"/>
      <c r="B68" s="1558"/>
      <c r="C68" s="1552"/>
      <c r="D68" s="1533"/>
      <c r="E68" s="1533"/>
      <c r="F68" s="1552"/>
      <c r="G68" s="1533"/>
      <c r="H68" s="1532"/>
      <c r="I68" s="1552"/>
      <c r="J68" s="1533"/>
      <c r="K68" s="1531"/>
      <c r="L68" s="1533"/>
      <c r="M68" s="1533"/>
      <c r="N68" s="1531"/>
      <c r="O68" s="632" t="s">
        <v>764</v>
      </c>
      <c r="P68" s="1528"/>
      <c r="R68" s="1507">
        <v>228</v>
      </c>
      <c r="S68" s="1507">
        <v>416</v>
      </c>
      <c r="T68" s="1506">
        <f t="shared" ref="T68" si="53">S68+R68</f>
        <v>644</v>
      </c>
    </row>
    <row r="69" spans="1:24" ht="26.1" customHeight="1">
      <c r="A69" s="1527">
        <v>26</v>
      </c>
      <c r="B69" s="1508" t="s">
        <v>941</v>
      </c>
      <c r="C69" s="1567" t="s">
        <v>14</v>
      </c>
      <c r="D69" s="1548">
        <v>14</v>
      </c>
      <c r="E69" s="1548">
        <f>D69</f>
        <v>14</v>
      </c>
      <c r="F69" s="1509" t="s">
        <v>14</v>
      </c>
      <c r="G69" s="1507">
        <v>109</v>
      </c>
      <c r="H69" s="1507">
        <f>G69</f>
        <v>109</v>
      </c>
      <c r="I69" s="1509" t="s">
        <v>14</v>
      </c>
      <c r="J69" s="1507">
        <v>163</v>
      </c>
      <c r="K69" s="1506">
        <f>J69</f>
        <v>163</v>
      </c>
      <c r="L69" s="1507" t="s">
        <v>14</v>
      </c>
      <c r="M69" s="1507">
        <v>295</v>
      </c>
      <c r="N69" s="1506">
        <f>M69</f>
        <v>295</v>
      </c>
      <c r="O69" s="590" t="s">
        <v>939</v>
      </c>
      <c r="P69" s="1527">
        <v>26</v>
      </c>
      <c r="R69" s="1507"/>
      <c r="S69" s="1507"/>
      <c r="T69" s="1506"/>
    </row>
    <row r="70" spans="1:24" ht="26.1" customHeight="1">
      <c r="A70" s="1527"/>
      <c r="B70" s="1508"/>
      <c r="C70" s="1567"/>
      <c r="D70" s="1548"/>
      <c r="E70" s="1548"/>
      <c r="F70" s="1509"/>
      <c r="G70" s="1507"/>
      <c r="H70" s="1507"/>
      <c r="I70" s="1509"/>
      <c r="J70" s="1507"/>
      <c r="K70" s="1506"/>
      <c r="L70" s="1507"/>
      <c r="M70" s="1507"/>
      <c r="N70" s="1506"/>
      <c r="O70" s="590" t="s">
        <v>940</v>
      </c>
      <c r="P70" s="1527"/>
      <c r="R70" s="1507">
        <v>488</v>
      </c>
      <c r="S70" s="1507">
        <v>2154</v>
      </c>
      <c r="T70" s="1506">
        <f>S70+R70</f>
        <v>2642</v>
      </c>
    </row>
    <row r="71" spans="1:24" ht="26.1" customHeight="1">
      <c r="A71" s="1528">
        <v>27</v>
      </c>
      <c r="B71" s="1558" t="s">
        <v>1254</v>
      </c>
      <c r="C71" s="1552" t="s">
        <v>14</v>
      </c>
      <c r="D71" s="1533">
        <v>13</v>
      </c>
      <c r="E71" s="1533">
        <f t="shared" ref="E71" si="54">D71</f>
        <v>13</v>
      </c>
      <c r="F71" s="1537" t="s">
        <v>14</v>
      </c>
      <c r="G71" s="1532">
        <v>172</v>
      </c>
      <c r="H71" s="1532">
        <f t="shared" ref="H71" si="55">G71</f>
        <v>172</v>
      </c>
      <c r="I71" s="1537">
        <v>8</v>
      </c>
      <c r="J71" s="1532">
        <v>115</v>
      </c>
      <c r="K71" s="1531">
        <f>J71+I71</f>
        <v>123</v>
      </c>
      <c r="L71" s="1532">
        <v>13</v>
      </c>
      <c r="M71" s="1532">
        <v>294</v>
      </c>
      <c r="N71" s="1531">
        <f>M71+L71</f>
        <v>307</v>
      </c>
      <c r="O71" s="632" t="s">
        <v>1252</v>
      </c>
      <c r="P71" s="1528">
        <v>27</v>
      </c>
      <c r="R71" s="1507"/>
      <c r="S71" s="1507"/>
      <c r="T71" s="1506"/>
    </row>
    <row r="72" spans="1:24" ht="26.1" customHeight="1">
      <c r="A72" s="1528"/>
      <c r="B72" s="1558"/>
      <c r="C72" s="1552"/>
      <c r="D72" s="1533"/>
      <c r="E72" s="1533"/>
      <c r="F72" s="1537"/>
      <c r="G72" s="1532"/>
      <c r="H72" s="1532"/>
      <c r="I72" s="1537"/>
      <c r="J72" s="1532"/>
      <c r="K72" s="1531"/>
      <c r="L72" s="1532"/>
      <c r="M72" s="1532"/>
      <c r="N72" s="1531"/>
      <c r="O72" s="632" t="s">
        <v>1253</v>
      </c>
      <c r="P72" s="1528"/>
      <c r="R72" s="1507">
        <v>55</v>
      </c>
      <c r="S72" s="1507">
        <v>1162</v>
      </c>
      <c r="T72" s="1506">
        <f t="shared" ref="T72" si="56">S72+R72</f>
        <v>1217</v>
      </c>
    </row>
    <row r="73" spans="1:24" ht="33" customHeight="1">
      <c r="A73" s="1527">
        <v>28</v>
      </c>
      <c r="B73" s="1508" t="s">
        <v>1289</v>
      </c>
      <c r="C73" s="1567" t="s">
        <v>14</v>
      </c>
      <c r="D73" s="1548">
        <v>6</v>
      </c>
      <c r="E73" s="1548">
        <f t="shared" ref="E73" si="57">D73</f>
        <v>6</v>
      </c>
      <c r="F73" s="1509" t="s">
        <v>14</v>
      </c>
      <c r="G73" s="1507">
        <v>74</v>
      </c>
      <c r="H73" s="1507">
        <f t="shared" ref="H73" si="58">G73</f>
        <v>74</v>
      </c>
      <c r="I73" s="1509">
        <v>21</v>
      </c>
      <c r="J73" s="1507">
        <v>90</v>
      </c>
      <c r="K73" s="1506">
        <f>J73+I73</f>
        <v>111</v>
      </c>
      <c r="L73" s="1507">
        <v>21</v>
      </c>
      <c r="M73" s="1507">
        <v>218</v>
      </c>
      <c r="N73" s="1506">
        <f>M73+L73</f>
        <v>239</v>
      </c>
      <c r="O73" s="590" t="s">
        <v>1283</v>
      </c>
      <c r="P73" s="1527">
        <v>28</v>
      </c>
      <c r="R73" s="1507"/>
      <c r="S73" s="1507"/>
      <c r="T73" s="1506"/>
    </row>
    <row r="74" spans="1:24" ht="26.1" customHeight="1">
      <c r="A74" s="1527"/>
      <c r="B74" s="1508"/>
      <c r="C74" s="1567"/>
      <c r="D74" s="1548"/>
      <c r="E74" s="1548"/>
      <c r="F74" s="1509"/>
      <c r="G74" s="1507"/>
      <c r="H74" s="1507"/>
      <c r="I74" s="1509"/>
      <c r="J74" s="1507"/>
      <c r="K74" s="1506"/>
      <c r="L74" s="1507"/>
      <c r="M74" s="1507"/>
      <c r="N74" s="1506"/>
      <c r="O74" s="590" t="s">
        <v>1284</v>
      </c>
      <c r="P74" s="1527"/>
      <c r="R74" s="1507">
        <v>58</v>
      </c>
      <c r="S74" s="1507">
        <v>163</v>
      </c>
      <c r="T74" s="1506">
        <f t="shared" ref="T74" si="59">S74+R74</f>
        <v>221</v>
      </c>
    </row>
    <row r="75" spans="1:24" ht="26.1" customHeight="1">
      <c r="A75" s="1528">
        <v>29</v>
      </c>
      <c r="B75" s="1558" t="s">
        <v>1364</v>
      </c>
      <c r="C75" s="1552" t="s">
        <v>14</v>
      </c>
      <c r="D75" s="1533">
        <v>7</v>
      </c>
      <c r="E75" s="1533">
        <f t="shared" ref="E75" si="60">D75</f>
        <v>7</v>
      </c>
      <c r="F75" s="1537" t="s">
        <v>14</v>
      </c>
      <c r="G75" s="1532">
        <v>42</v>
      </c>
      <c r="H75" s="1532">
        <f t="shared" ref="H75" si="61">G75</f>
        <v>42</v>
      </c>
      <c r="I75" s="1537" t="s">
        <v>14</v>
      </c>
      <c r="J75" s="1532">
        <v>40</v>
      </c>
      <c r="K75" s="1531">
        <f>J75</f>
        <v>40</v>
      </c>
      <c r="L75" s="1532" t="s">
        <v>14</v>
      </c>
      <c r="M75" s="1532">
        <v>83</v>
      </c>
      <c r="N75" s="1531">
        <f>M75</f>
        <v>83</v>
      </c>
      <c r="O75" s="632" t="s">
        <v>1362</v>
      </c>
      <c r="P75" s="1528">
        <v>29</v>
      </c>
      <c r="R75" s="1507"/>
      <c r="S75" s="1507"/>
      <c r="T75" s="1506"/>
    </row>
    <row r="76" spans="1:24" ht="26.1" customHeight="1">
      <c r="A76" s="1528"/>
      <c r="B76" s="1558"/>
      <c r="C76" s="1552"/>
      <c r="D76" s="1533"/>
      <c r="E76" s="1533"/>
      <c r="F76" s="1537"/>
      <c r="G76" s="1532"/>
      <c r="H76" s="1532"/>
      <c r="I76" s="1537"/>
      <c r="J76" s="1532"/>
      <c r="K76" s="1531"/>
      <c r="L76" s="1532"/>
      <c r="M76" s="1532"/>
      <c r="N76" s="1531"/>
      <c r="O76" s="632" t="s">
        <v>1363</v>
      </c>
      <c r="P76" s="1528"/>
      <c r="R76" s="1507">
        <v>326</v>
      </c>
      <c r="S76" s="1507">
        <v>1284</v>
      </c>
      <c r="T76" s="1506">
        <f t="shared" ref="T76" si="62">S76+R76</f>
        <v>1610</v>
      </c>
    </row>
    <row r="77" spans="1:24" ht="26.1" customHeight="1">
      <c r="A77" s="1527">
        <v>30</v>
      </c>
      <c r="B77" s="1508" t="s">
        <v>1412</v>
      </c>
      <c r="C77" s="1567">
        <v>1</v>
      </c>
      <c r="D77" s="1548">
        <v>49</v>
      </c>
      <c r="E77" s="1548">
        <f>D77+C77</f>
        <v>50</v>
      </c>
      <c r="F77" s="1509">
        <v>2</v>
      </c>
      <c r="G77" s="1507">
        <v>323</v>
      </c>
      <c r="H77" s="1507">
        <f>G77+F77</f>
        <v>325</v>
      </c>
      <c r="I77" s="1509">
        <v>13</v>
      </c>
      <c r="J77" s="1507">
        <v>414</v>
      </c>
      <c r="K77" s="1506">
        <f>J77+I77</f>
        <v>427</v>
      </c>
      <c r="L77" s="1507">
        <v>24</v>
      </c>
      <c r="M77" s="1507">
        <v>831</v>
      </c>
      <c r="N77" s="1506">
        <f>M77+L77</f>
        <v>855</v>
      </c>
      <c r="O77" s="590" t="s">
        <v>1410</v>
      </c>
      <c r="P77" s="1527">
        <v>30</v>
      </c>
      <c r="R77" s="1507"/>
      <c r="S77" s="1507"/>
      <c r="T77" s="1506"/>
    </row>
    <row r="78" spans="1:24" ht="26.1" customHeight="1">
      <c r="A78" s="1527"/>
      <c r="B78" s="1508"/>
      <c r="C78" s="1567"/>
      <c r="D78" s="1548"/>
      <c r="E78" s="1548"/>
      <c r="F78" s="1509"/>
      <c r="G78" s="1507"/>
      <c r="H78" s="1507"/>
      <c r="I78" s="1509"/>
      <c r="J78" s="1507"/>
      <c r="K78" s="1506"/>
      <c r="L78" s="1507"/>
      <c r="M78" s="1507"/>
      <c r="N78" s="1506"/>
      <c r="O78" s="590" t="s">
        <v>1411</v>
      </c>
      <c r="P78" s="1527"/>
      <c r="R78" s="1507">
        <v>52</v>
      </c>
      <c r="S78" s="1507">
        <v>258</v>
      </c>
      <c r="T78" s="1506">
        <f>S78+R78</f>
        <v>310</v>
      </c>
    </row>
    <row r="79" spans="1:24" ht="26.1" customHeight="1">
      <c r="A79" s="1528">
        <v>31</v>
      </c>
      <c r="B79" s="1558" t="s">
        <v>1413</v>
      </c>
      <c r="C79" s="1552" t="s">
        <v>14</v>
      </c>
      <c r="D79" s="1533">
        <v>8</v>
      </c>
      <c r="E79" s="1533">
        <f>D79</f>
        <v>8</v>
      </c>
      <c r="F79" s="1537" t="s">
        <v>14</v>
      </c>
      <c r="G79" s="1532">
        <v>57</v>
      </c>
      <c r="H79" s="1532">
        <f>G79</f>
        <v>57</v>
      </c>
      <c r="I79" s="1537">
        <v>19</v>
      </c>
      <c r="J79" s="1532">
        <v>23</v>
      </c>
      <c r="K79" s="1531">
        <f>J79+I79</f>
        <v>42</v>
      </c>
      <c r="L79" s="1532">
        <v>53</v>
      </c>
      <c r="M79" s="1532">
        <v>116</v>
      </c>
      <c r="N79" s="1531">
        <f>M79+L79</f>
        <v>169</v>
      </c>
      <c r="O79" s="1531" t="s">
        <v>1414</v>
      </c>
      <c r="P79" s="1528">
        <v>31</v>
      </c>
      <c r="R79" s="1507"/>
      <c r="S79" s="1507"/>
      <c r="T79" s="1506"/>
    </row>
    <row r="80" spans="1:24" ht="26.1" customHeight="1">
      <c r="A80" s="1528"/>
      <c r="B80" s="1558"/>
      <c r="C80" s="1552"/>
      <c r="D80" s="1533"/>
      <c r="E80" s="1533"/>
      <c r="F80" s="1537"/>
      <c r="G80" s="1532"/>
      <c r="H80" s="1532"/>
      <c r="I80" s="1537"/>
      <c r="J80" s="1532"/>
      <c r="K80" s="1531"/>
      <c r="L80" s="1532"/>
      <c r="M80" s="1532"/>
      <c r="N80" s="1531"/>
      <c r="O80" s="1531"/>
      <c r="P80" s="1528"/>
      <c r="R80" s="1507">
        <v>3</v>
      </c>
      <c r="S80" s="1507">
        <v>200</v>
      </c>
      <c r="T80" s="1506">
        <f t="shared" ref="T80" si="63">S80+R80</f>
        <v>203</v>
      </c>
    </row>
    <row r="81" spans="1:20" ht="26.1" customHeight="1">
      <c r="A81" s="1527">
        <v>32</v>
      </c>
      <c r="B81" s="1508" t="s">
        <v>1470</v>
      </c>
      <c r="C81" s="1509" t="s">
        <v>14</v>
      </c>
      <c r="D81" s="1507">
        <v>14</v>
      </c>
      <c r="E81" s="1548">
        <f t="shared" ref="E81" si="64">D81</f>
        <v>14</v>
      </c>
      <c r="F81" s="1509" t="s">
        <v>14</v>
      </c>
      <c r="G81" s="1507">
        <v>65</v>
      </c>
      <c r="H81" s="1507">
        <f>G81</f>
        <v>65</v>
      </c>
      <c r="I81" s="1509" t="s">
        <v>14</v>
      </c>
      <c r="J81" s="1507">
        <v>93</v>
      </c>
      <c r="K81" s="1506">
        <f>J81</f>
        <v>93</v>
      </c>
      <c r="L81" s="1507" t="s">
        <v>14</v>
      </c>
      <c r="M81" s="1507">
        <v>250</v>
      </c>
      <c r="N81" s="1506">
        <f>M81</f>
        <v>250</v>
      </c>
      <c r="O81" s="590" t="s">
        <v>1468</v>
      </c>
      <c r="P81" s="1527">
        <v>32</v>
      </c>
      <c r="R81" s="1507"/>
      <c r="S81" s="1507"/>
      <c r="T81" s="1506"/>
    </row>
    <row r="82" spans="1:20" ht="26.1" customHeight="1">
      <c r="A82" s="1527"/>
      <c r="B82" s="1508"/>
      <c r="C82" s="1509"/>
      <c r="D82" s="1507"/>
      <c r="E82" s="1548"/>
      <c r="F82" s="1509"/>
      <c r="G82" s="1507"/>
      <c r="H82" s="1507"/>
      <c r="I82" s="1509"/>
      <c r="J82" s="1507"/>
      <c r="K82" s="1506"/>
      <c r="L82" s="1507"/>
      <c r="M82" s="1507"/>
      <c r="N82" s="1506"/>
      <c r="O82" s="590" t="s">
        <v>1469</v>
      </c>
      <c r="P82" s="1527"/>
      <c r="R82" s="1507">
        <v>389</v>
      </c>
      <c r="S82" s="1507">
        <v>933</v>
      </c>
      <c r="T82" s="1506">
        <f t="shared" ref="T82" si="65">S82+R82</f>
        <v>1322</v>
      </c>
    </row>
    <row r="83" spans="1:20" ht="26.1" customHeight="1">
      <c r="A83" s="1528">
        <v>33</v>
      </c>
      <c r="B83" s="1558" t="s">
        <v>1458</v>
      </c>
      <c r="C83" s="1552" t="s">
        <v>14</v>
      </c>
      <c r="D83" s="1533">
        <v>9</v>
      </c>
      <c r="E83" s="1533">
        <f t="shared" ref="E83" si="66">D83</f>
        <v>9</v>
      </c>
      <c r="F83" s="1537" t="s">
        <v>14</v>
      </c>
      <c r="G83" s="1532">
        <v>56</v>
      </c>
      <c r="H83" s="1532">
        <f t="shared" ref="H83" si="67">G83</f>
        <v>56</v>
      </c>
      <c r="I83" s="1537">
        <v>40</v>
      </c>
      <c r="J83" s="1532">
        <v>49</v>
      </c>
      <c r="K83" s="1531">
        <f>J83+I83</f>
        <v>89</v>
      </c>
      <c r="L83" s="1532">
        <v>40</v>
      </c>
      <c r="M83" s="1532">
        <v>122</v>
      </c>
      <c r="N83" s="1531">
        <f>M83+L83</f>
        <v>162</v>
      </c>
      <c r="O83" s="632" t="s">
        <v>1456</v>
      </c>
      <c r="P83" s="1528">
        <v>33</v>
      </c>
      <c r="R83" s="1507"/>
      <c r="S83" s="1507"/>
      <c r="T83" s="1506"/>
    </row>
    <row r="84" spans="1:20" ht="26.1" customHeight="1">
      <c r="A84" s="1528"/>
      <c r="B84" s="1558"/>
      <c r="C84" s="1552"/>
      <c r="D84" s="1533"/>
      <c r="E84" s="1533"/>
      <c r="F84" s="1537"/>
      <c r="G84" s="1532"/>
      <c r="H84" s="1532"/>
      <c r="I84" s="1537"/>
      <c r="J84" s="1532"/>
      <c r="K84" s="1531"/>
      <c r="L84" s="1532"/>
      <c r="M84" s="1532"/>
      <c r="N84" s="1531"/>
      <c r="O84" s="632" t="s">
        <v>1457</v>
      </c>
      <c r="P84" s="1528"/>
      <c r="R84" s="1507">
        <v>137</v>
      </c>
      <c r="S84" s="1507">
        <v>304</v>
      </c>
      <c r="T84" s="1506">
        <f t="shared" ref="T84" si="68">S84+R84</f>
        <v>441</v>
      </c>
    </row>
    <row r="85" spans="1:20" ht="26.1" customHeight="1">
      <c r="A85" s="1527">
        <v>34</v>
      </c>
      <c r="B85" s="1508" t="s">
        <v>474</v>
      </c>
      <c r="C85" s="1509">
        <v>2</v>
      </c>
      <c r="D85" s="1507">
        <v>39</v>
      </c>
      <c r="E85" s="1507">
        <f>D85+C85</f>
        <v>41</v>
      </c>
      <c r="F85" s="1509" t="s">
        <v>14</v>
      </c>
      <c r="G85" s="1507">
        <v>157</v>
      </c>
      <c r="H85" s="1507">
        <f t="shared" ref="H85" si="69">G85</f>
        <v>157</v>
      </c>
      <c r="I85" s="1509">
        <v>10</v>
      </c>
      <c r="J85" s="1507">
        <v>248</v>
      </c>
      <c r="K85" s="1506">
        <f>J85+I85</f>
        <v>258</v>
      </c>
      <c r="L85" s="1507">
        <v>10</v>
      </c>
      <c r="M85" s="1507">
        <v>446</v>
      </c>
      <c r="N85" s="1506">
        <f>M85+L85</f>
        <v>456</v>
      </c>
      <c r="O85" s="590" t="s">
        <v>473</v>
      </c>
      <c r="P85" s="1527">
        <v>34</v>
      </c>
      <c r="R85" s="1507"/>
      <c r="S85" s="1507"/>
      <c r="T85" s="1506"/>
    </row>
    <row r="86" spans="1:20" ht="26.1" customHeight="1">
      <c r="A86" s="1527"/>
      <c r="B86" s="1508"/>
      <c r="C86" s="1509"/>
      <c r="D86" s="1507"/>
      <c r="E86" s="1507"/>
      <c r="F86" s="1509"/>
      <c r="G86" s="1507"/>
      <c r="H86" s="1507"/>
      <c r="I86" s="1509"/>
      <c r="J86" s="1507"/>
      <c r="K86" s="1506"/>
      <c r="L86" s="1507"/>
      <c r="M86" s="1507"/>
      <c r="N86" s="1506"/>
      <c r="O86" s="590" t="s">
        <v>536</v>
      </c>
      <c r="P86" s="1527"/>
      <c r="R86" s="1507">
        <v>113</v>
      </c>
      <c r="S86" s="1507">
        <v>278</v>
      </c>
      <c r="T86" s="1506">
        <f>S86+R86</f>
        <v>391</v>
      </c>
    </row>
    <row r="87" spans="1:20" ht="26.1" customHeight="1">
      <c r="A87" s="1528">
        <v>35</v>
      </c>
      <c r="B87" s="1558" t="s">
        <v>1459</v>
      </c>
      <c r="C87" s="1552" t="s">
        <v>14</v>
      </c>
      <c r="D87" s="1533">
        <v>12</v>
      </c>
      <c r="E87" s="1533">
        <f>D87</f>
        <v>12</v>
      </c>
      <c r="F87" s="1537" t="s">
        <v>14</v>
      </c>
      <c r="G87" s="1532">
        <v>95</v>
      </c>
      <c r="H87" s="1532">
        <f>G87</f>
        <v>95</v>
      </c>
      <c r="I87" s="1537" t="s">
        <v>14</v>
      </c>
      <c r="J87" s="1532">
        <v>59</v>
      </c>
      <c r="K87" s="1531">
        <f>J87</f>
        <v>59</v>
      </c>
      <c r="L87" s="1532" t="s">
        <v>14</v>
      </c>
      <c r="M87" s="1532">
        <v>180</v>
      </c>
      <c r="N87" s="1531">
        <f>M87</f>
        <v>180</v>
      </c>
      <c r="O87" s="632" t="s">
        <v>1460</v>
      </c>
      <c r="P87" s="1528">
        <v>35</v>
      </c>
      <c r="R87" s="1507"/>
      <c r="S87" s="1507"/>
      <c r="T87" s="1506"/>
    </row>
    <row r="88" spans="1:20" ht="26.1" customHeight="1">
      <c r="A88" s="1528"/>
      <c r="B88" s="1558"/>
      <c r="C88" s="1552"/>
      <c r="D88" s="1533"/>
      <c r="E88" s="1533"/>
      <c r="F88" s="1537"/>
      <c r="G88" s="1532"/>
      <c r="H88" s="1532"/>
      <c r="I88" s="1537"/>
      <c r="J88" s="1532"/>
      <c r="K88" s="1531"/>
      <c r="L88" s="1532"/>
      <c r="M88" s="1532"/>
      <c r="N88" s="1531"/>
      <c r="O88" s="632" t="s">
        <v>1461</v>
      </c>
      <c r="P88" s="1528"/>
      <c r="R88" s="1507">
        <v>759</v>
      </c>
      <c r="S88" s="1507">
        <v>957</v>
      </c>
      <c r="T88" s="1506">
        <f t="shared" ref="T88" si="70">S88+R88</f>
        <v>1716</v>
      </c>
    </row>
    <row r="89" spans="1:20" ht="26.1" customHeight="1">
      <c r="A89" s="1527">
        <v>36</v>
      </c>
      <c r="B89" s="1508" t="s">
        <v>474</v>
      </c>
      <c r="C89" s="1509">
        <v>3</v>
      </c>
      <c r="D89" s="1507">
        <v>22</v>
      </c>
      <c r="E89" s="1507">
        <f>D89+C89</f>
        <v>25</v>
      </c>
      <c r="F89" s="1509">
        <v>37</v>
      </c>
      <c r="G89" s="1507">
        <v>233</v>
      </c>
      <c r="H89" s="1507">
        <f>G89+F89</f>
        <v>270</v>
      </c>
      <c r="I89" s="1509">
        <v>31</v>
      </c>
      <c r="J89" s="1507">
        <v>78</v>
      </c>
      <c r="K89" s="1506">
        <f>J89+I89</f>
        <v>109</v>
      </c>
      <c r="L89" s="1507">
        <v>53</v>
      </c>
      <c r="M89" s="1507">
        <v>321</v>
      </c>
      <c r="N89" s="1506">
        <f>M89+L89</f>
        <v>374</v>
      </c>
      <c r="O89" s="590" t="s">
        <v>1255</v>
      </c>
      <c r="P89" s="1527">
        <v>36</v>
      </c>
      <c r="R89" s="1507"/>
      <c r="S89" s="1507"/>
      <c r="T89" s="1506"/>
    </row>
    <row r="90" spans="1:20" ht="26.1" customHeight="1">
      <c r="A90" s="1527"/>
      <c r="B90" s="1508"/>
      <c r="C90" s="1509"/>
      <c r="D90" s="1507"/>
      <c r="E90" s="1507"/>
      <c r="F90" s="1509"/>
      <c r="G90" s="1507"/>
      <c r="H90" s="1507"/>
      <c r="I90" s="1509"/>
      <c r="J90" s="1507"/>
      <c r="K90" s="1506"/>
      <c r="L90" s="1507"/>
      <c r="M90" s="1507"/>
      <c r="N90" s="1506"/>
      <c r="O90" s="590" t="s">
        <v>1256</v>
      </c>
      <c r="P90" s="1527"/>
      <c r="R90" s="1507">
        <v>139</v>
      </c>
      <c r="S90" s="1507">
        <v>225</v>
      </c>
      <c r="T90" s="1506">
        <f t="shared" ref="T90" si="71">S90+R90</f>
        <v>364</v>
      </c>
    </row>
    <row r="91" spans="1:20" ht="26.1" customHeight="1">
      <c r="A91" s="1528">
        <v>37</v>
      </c>
      <c r="B91" s="1558" t="s">
        <v>965</v>
      </c>
      <c r="C91" s="1537" t="s">
        <v>14</v>
      </c>
      <c r="D91" s="1533">
        <v>16</v>
      </c>
      <c r="E91" s="1533">
        <f>D91</f>
        <v>16</v>
      </c>
      <c r="F91" s="1537" t="s">
        <v>14</v>
      </c>
      <c r="G91" s="1532">
        <v>100</v>
      </c>
      <c r="H91" s="1532">
        <f>G91</f>
        <v>100</v>
      </c>
      <c r="I91" s="1537" t="s">
        <v>14</v>
      </c>
      <c r="J91" s="1532">
        <v>122</v>
      </c>
      <c r="K91" s="1531">
        <f>J91</f>
        <v>122</v>
      </c>
      <c r="L91" s="1532" t="s">
        <v>14</v>
      </c>
      <c r="M91" s="1532">
        <v>309</v>
      </c>
      <c r="N91" s="1531">
        <f>M91</f>
        <v>309</v>
      </c>
      <c r="O91" s="632" t="s">
        <v>937</v>
      </c>
      <c r="P91" s="1528">
        <v>37</v>
      </c>
      <c r="R91" s="1507"/>
      <c r="S91" s="1507"/>
      <c r="T91" s="1506"/>
    </row>
    <row r="92" spans="1:20" ht="26.1" customHeight="1">
      <c r="A92" s="1528"/>
      <c r="B92" s="1558"/>
      <c r="C92" s="1537"/>
      <c r="D92" s="1533"/>
      <c r="E92" s="1533"/>
      <c r="F92" s="1537"/>
      <c r="G92" s="1532"/>
      <c r="H92" s="1532"/>
      <c r="I92" s="1537"/>
      <c r="J92" s="1532"/>
      <c r="K92" s="1531"/>
      <c r="L92" s="1532"/>
      <c r="M92" s="1532"/>
      <c r="N92" s="1531"/>
      <c r="O92" s="632" t="s">
        <v>938</v>
      </c>
      <c r="P92" s="1528"/>
      <c r="R92" s="1507">
        <v>73</v>
      </c>
      <c r="S92" s="1507">
        <v>1809</v>
      </c>
      <c r="T92" s="1506">
        <f>S92+R92</f>
        <v>1882</v>
      </c>
    </row>
    <row r="93" spans="1:20" ht="26.1" customHeight="1">
      <c r="A93" s="1527">
        <v>38</v>
      </c>
      <c r="B93" s="1508" t="s">
        <v>1056</v>
      </c>
      <c r="C93" s="1509" t="s">
        <v>14</v>
      </c>
      <c r="D93" s="1507">
        <v>16</v>
      </c>
      <c r="E93" s="1548">
        <f t="shared" ref="E93" si="72">D93</f>
        <v>16</v>
      </c>
      <c r="F93" s="1509" t="s">
        <v>14</v>
      </c>
      <c r="G93" s="1507">
        <v>29</v>
      </c>
      <c r="H93" s="1507">
        <f>G93</f>
        <v>29</v>
      </c>
      <c r="I93" s="1509">
        <v>1</v>
      </c>
      <c r="J93" s="1507">
        <v>60</v>
      </c>
      <c r="K93" s="1506">
        <f>J93+I93</f>
        <v>61</v>
      </c>
      <c r="L93" s="1507">
        <v>1</v>
      </c>
      <c r="M93" s="1507">
        <v>155</v>
      </c>
      <c r="N93" s="1506">
        <f>M93+L93</f>
        <v>156</v>
      </c>
      <c r="O93" s="590" t="s">
        <v>1057</v>
      </c>
      <c r="P93" s="1527">
        <v>38</v>
      </c>
      <c r="R93" s="1507"/>
      <c r="S93" s="1507"/>
      <c r="T93" s="1506"/>
    </row>
    <row r="94" spans="1:20" ht="26.1" customHeight="1">
      <c r="A94" s="1527"/>
      <c r="B94" s="1508"/>
      <c r="C94" s="1509"/>
      <c r="D94" s="1507"/>
      <c r="E94" s="1548"/>
      <c r="F94" s="1509"/>
      <c r="G94" s="1507"/>
      <c r="H94" s="1507"/>
      <c r="I94" s="1509"/>
      <c r="J94" s="1507"/>
      <c r="K94" s="1506"/>
      <c r="L94" s="1507"/>
      <c r="M94" s="1507"/>
      <c r="N94" s="1506"/>
      <c r="O94" s="590" t="s">
        <v>1058</v>
      </c>
      <c r="P94" s="1527"/>
      <c r="R94" s="1507">
        <v>79</v>
      </c>
      <c r="S94" s="1507">
        <v>345</v>
      </c>
      <c r="T94" s="1506">
        <f>S94+R94</f>
        <v>424</v>
      </c>
    </row>
    <row r="95" spans="1:20" ht="26.1" customHeight="1">
      <c r="A95" s="1528">
        <v>39</v>
      </c>
      <c r="B95" s="1558" t="s">
        <v>1059</v>
      </c>
      <c r="C95" s="1537" t="s">
        <v>14</v>
      </c>
      <c r="D95" s="1532">
        <v>16</v>
      </c>
      <c r="E95" s="1533">
        <f t="shared" ref="E95" si="73">D95</f>
        <v>16</v>
      </c>
      <c r="F95" s="1537" t="s">
        <v>14</v>
      </c>
      <c r="G95" s="1532">
        <v>51</v>
      </c>
      <c r="H95" s="1532">
        <f t="shared" ref="H95" si="74">G95</f>
        <v>51</v>
      </c>
      <c r="I95" s="1537" t="s">
        <v>14</v>
      </c>
      <c r="J95" s="1532">
        <v>99</v>
      </c>
      <c r="K95" s="1531">
        <f>J95</f>
        <v>99</v>
      </c>
      <c r="L95" s="1532" t="s">
        <v>14</v>
      </c>
      <c r="M95" s="1532">
        <v>182</v>
      </c>
      <c r="N95" s="1531">
        <f>M95</f>
        <v>182</v>
      </c>
      <c r="O95" s="632" t="s">
        <v>1060</v>
      </c>
      <c r="P95" s="1528">
        <v>39</v>
      </c>
      <c r="R95" s="1507"/>
      <c r="S95" s="1507"/>
      <c r="T95" s="1506"/>
    </row>
    <row r="96" spans="1:20" ht="26.1" customHeight="1">
      <c r="A96" s="1528"/>
      <c r="B96" s="1558"/>
      <c r="C96" s="1537"/>
      <c r="D96" s="1532"/>
      <c r="E96" s="1533"/>
      <c r="F96" s="1537"/>
      <c r="G96" s="1532"/>
      <c r="H96" s="1532"/>
      <c r="I96" s="1537"/>
      <c r="J96" s="1532"/>
      <c r="K96" s="1531"/>
      <c r="L96" s="1532"/>
      <c r="M96" s="1532"/>
      <c r="N96" s="1531"/>
      <c r="O96" s="632" t="s">
        <v>1061</v>
      </c>
      <c r="P96" s="1528"/>
      <c r="R96" s="1507" t="s">
        <v>14</v>
      </c>
      <c r="S96" s="1507">
        <v>280</v>
      </c>
      <c r="T96" s="1506">
        <f>S96</f>
        <v>280</v>
      </c>
    </row>
    <row r="97" spans="1:20" ht="26.1" customHeight="1">
      <c r="A97" s="1527">
        <v>40</v>
      </c>
      <c r="B97" s="1508" t="s">
        <v>1349</v>
      </c>
      <c r="C97" s="1509" t="s">
        <v>14</v>
      </c>
      <c r="D97" s="1507">
        <v>10</v>
      </c>
      <c r="E97" s="1548">
        <f t="shared" ref="E97" si="75">D97</f>
        <v>10</v>
      </c>
      <c r="F97" s="1509" t="s">
        <v>14</v>
      </c>
      <c r="G97" s="1507">
        <v>117</v>
      </c>
      <c r="H97" s="1507">
        <f t="shared" ref="H97" si="76">G97</f>
        <v>117</v>
      </c>
      <c r="I97" s="1509" t="s">
        <v>14</v>
      </c>
      <c r="J97" s="1507">
        <v>101</v>
      </c>
      <c r="K97" s="1506">
        <f t="shared" ref="K97" si="77">J97</f>
        <v>101</v>
      </c>
      <c r="L97" s="1507" t="s">
        <v>14</v>
      </c>
      <c r="M97" s="1507">
        <v>185</v>
      </c>
      <c r="N97" s="1506">
        <f>M97</f>
        <v>185</v>
      </c>
      <c r="O97" s="590" t="s">
        <v>1347</v>
      </c>
      <c r="P97" s="1527">
        <v>40</v>
      </c>
      <c r="R97" s="1507"/>
      <c r="S97" s="1507"/>
      <c r="T97" s="1506"/>
    </row>
    <row r="98" spans="1:20" ht="26.1" customHeight="1">
      <c r="A98" s="1527"/>
      <c r="B98" s="1508"/>
      <c r="C98" s="1509"/>
      <c r="D98" s="1507"/>
      <c r="E98" s="1548"/>
      <c r="F98" s="1509"/>
      <c r="G98" s="1507"/>
      <c r="H98" s="1507"/>
      <c r="I98" s="1509"/>
      <c r="J98" s="1507"/>
      <c r="K98" s="1506"/>
      <c r="L98" s="1507"/>
      <c r="M98" s="1507"/>
      <c r="N98" s="1506"/>
      <c r="O98" s="590" t="s">
        <v>1348</v>
      </c>
      <c r="P98" s="1527"/>
      <c r="R98" s="1507">
        <v>815</v>
      </c>
      <c r="S98" s="1507" t="s">
        <v>14</v>
      </c>
      <c r="T98" s="1506">
        <f>R98</f>
        <v>815</v>
      </c>
    </row>
    <row r="99" spans="1:20" ht="26.1" customHeight="1">
      <c r="A99" s="1528">
        <v>41</v>
      </c>
      <c r="B99" s="1558" t="s">
        <v>1062</v>
      </c>
      <c r="C99" s="1537" t="s">
        <v>14</v>
      </c>
      <c r="D99" s="1532">
        <v>6</v>
      </c>
      <c r="E99" s="1533">
        <f t="shared" ref="E99" si="78">D99</f>
        <v>6</v>
      </c>
      <c r="F99" s="1537" t="s">
        <v>14</v>
      </c>
      <c r="G99" s="1532">
        <v>23</v>
      </c>
      <c r="H99" s="1532">
        <f t="shared" ref="H99" si="79">G99</f>
        <v>23</v>
      </c>
      <c r="I99" s="1537" t="s">
        <v>14</v>
      </c>
      <c r="J99" s="1532">
        <v>45</v>
      </c>
      <c r="K99" s="1531">
        <f t="shared" ref="K99" si="80">J99</f>
        <v>45</v>
      </c>
      <c r="L99" s="1532" t="s">
        <v>14</v>
      </c>
      <c r="M99" s="1532">
        <v>113</v>
      </c>
      <c r="N99" s="1531">
        <f>M99</f>
        <v>113</v>
      </c>
      <c r="O99" s="632" t="s">
        <v>1257</v>
      </c>
      <c r="P99" s="1528">
        <v>41</v>
      </c>
      <c r="R99" s="1507"/>
      <c r="S99" s="1507"/>
      <c r="T99" s="1506"/>
    </row>
    <row r="100" spans="1:20" ht="26.1" customHeight="1">
      <c r="A100" s="1528"/>
      <c r="B100" s="1558"/>
      <c r="C100" s="1537"/>
      <c r="D100" s="1532"/>
      <c r="E100" s="1533"/>
      <c r="F100" s="1537"/>
      <c r="G100" s="1532"/>
      <c r="H100" s="1532"/>
      <c r="I100" s="1537"/>
      <c r="J100" s="1532"/>
      <c r="K100" s="1531"/>
      <c r="L100" s="1532"/>
      <c r="M100" s="1532"/>
      <c r="N100" s="1531"/>
      <c r="O100" s="632" t="s">
        <v>1258</v>
      </c>
      <c r="P100" s="1528"/>
      <c r="R100" s="1507">
        <v>265</v>
      </c>
      <c r="S100" s="1507">
        <v>159</v>
      </c>
      <c r="T100" s="1506">
        <f>S100+R100</f>
        <v>424</v>
      </c>
    </row>
    <row r="101" spans="1:20" ht="26.1" customHeight="1">
      <c r="A101" s="1527">
        <v>42</v>
      </c>
      <c r="B101" s="1508" t="s">
        <v>1346</v>
      </c>
      <c r="C101" s="1509" t="s">
        <v>14</v>
      </c>
      <c r="D101" s="1507">
        <v>7</v>
      </c>
      <c r="E101" s="1548">
        <f>D101</f>
        <v>7</v>
      </c>
      <c r="F101" s="1509">
        <v>2</v>
      </c>
      <c r="G101" s="1507">
        <v>18</v>
      </c>
      <c r="H101" s="1507">
        <f>G101+F101</f>
        <v>20</v>
      </c>
      <c r="I101" s="1509">
        <v>27</v>
      </c>
      <c r="J101" s="1507">
        <v>45</v>
      </c>
      <c r="K101" s="1506">
        <f>J101+I101</f>
        <v>72</v>
      </c>
      <c r="L101" s="1507">
        <v>38</v>
      </c>
      <c r="M101" s="1507">
        <v>78</v>
      </c>
      <c r="N101" s="1506">
        <f>M101+L101</f>
        <v>116</v>
      </c>
      <c r="O101" s="590" t="s">
        <v>1344</v>
      </c>
      <c r="P101" s="1527">
        <v>42</v>
      </c>
      <c r="R101" s="1507"/>
      <c r="S101" s="1507"/>
      <c r="T101" s="1506"/>
    </row>
    <row r="102" spans="1:20" ht="26.1" customHeight="1">
      <c r="A102" s="1527"/>
      <c r="B102" s="1508"/>
      <c r="C102" s="1509"/>
      <c r="D102" s="1507"/>
      <c r="E102" s="1548"/>
      <c r="F102" s="1509"/>
      <c r="G102" s="1507"/>
      <c r="H102" s="1507"/>
      <c r="I102" s="1509"/>
      <c r="J102" s="1507"/>
      <c r="K102" s="1506"/>
      <c r="L102" s="1507"/>
      <c r="M102" s="1507"/>
      <c r="N102" s="1506"/>
      <c r="O102" s="590" t="s">
        <v>1345</v>
      </c>
      <c r="P102" s="1527"/>
      <c r="R102" s="1507">
        <v>98</v>
      </c>
      <c r="S102" s="1507">
        <v>246</v>
      </c>
      <c r="T102" s="1506">
        <f t="shared" ref="T102" si="81">S102+R102</f>
        <v>344</v>
      </c>
    </row>
    <row r="103" spans="1:20" ht="26.1" customHeight="1">
      <c r="A103" s="1528">
        <v>43</v>
      </c>
      <c r="B103" s="1558" t="s">
        <v>1494</v>
      </c>
      <c r="C103" s="1537" t="s">
        <v>14</v>
      </c>
      <c r="D103" s="1533">
        <v>12</v>
      </c>
      <c r="E103" s="1533">
        <f t="shared" ref="E103" si="82">D103</f>
        <v>12</v>
      </c>
      <c r="F103" s="1537" t="s">
        <v>14</v>
      </c>
      <c r="G103" s="1532" t="s">
        <v>14</v>
      </c>
      <c r="H103" s="1532" t="s">
        <v>14</v>
      </c>
      <c r="I103" s="1537" t="s">
        <v>14</v>
      </c>
      <c r="J103" s="1532">
        <v>156</v>
      </c>
      <c r="K103" s="1531">
        <f>J103+0</f>
        <v>156</v>
      </c>
      <c r="L103" s="1532" t="s">
        <v>14</v>
      </c>
      <c r="M103" s="1532">
        <v>452</v>
      </c>
      <c r="N103" s="1531">
        <f>M103</f>
        <v>452</v>
      </c>
      <c r="O103" s="632" t="s">
        <v>1492</v>
      </c>
      <c r="P103" s="1528">
        <v>43</v>
      </c>
      <c r="R103" s="1507"/>
      <c r="S103" s="1507"/>
      <c r="T103" s="1506"/>
    </row>
    <row r="104" spans="1:20" ht="26.1" customHeight="1">
      <c r="A104" s="1528"/>
      <c r="B104" s="1558"/>
      <c r="C104" s="1537"/>
      <c r="D104" s="1533"/>
      <c r="E104" s="1533"/>
      <c r="F104" s="1537"/>
      <c r="G104" s="1532"/>
      <c r="H104" s="1532"/>
      <c r="I104" s="1537"/>
      <c r="J104" s="1532"/>
      <c r="K104" s="1531"/>
      <c r="L104" s="1532"/>
      <c r="M104" s="1532"/>
      <c r="N104" s="1531"/>
      <c r="O104" s="632" t="s">
        <v>1493</v>
      </c>
      <c r="P104" s="1528"/>
      <c r="R104" s="1507">
        <v>351</v>
      </c>
      <c r="S104" s="1507">
        <v>581</v>
      </c>
      <c r="T104" s="1506">
        <f t="shared" ref="T104" si="83">S104+R104</f>
        <v>932</v>
      </c>
    </row>
    <row r="105" spans="1:20" ht="26.1" customHeight="1">
      <c r="A105" s="1527">
        <v>44</v>
      </c>
      <c r="B105" s="1508" t="s">
        <v>800</v>
      </c>
      <c r="C105" s="1509" t="s">
        <v>14</v>
      </c>
      <c r="D105" s="1548">
        <v>4</v>
      </c>
      <c r="E105" s="1548">
        <f t="shared" ref="E105" si="84">D105</f>
        <v>4</v>
      </c>
      <c r="F105" s="1509" t="s">
        <v>14</v>
      </c>
      <c r="G105" s="1507">
        <v>71</v>
      </c>
      <c r="H105" s="1507">
        <f>G105</f>
        <v>71</v>
      </c>
      <c r="I105" s="1509" t="s">
        <v>14</v>
      </c>
      <c r="J105" s="1507">
        <v>31</v>
      </c>
      <c r="K105" s="1506">
        <f t="shared" ref="K105" si="85">J105+0</f>
        <v>31</v>
      </c>
      <c r="L105" s="1507" t="s">
        <v>14</v>
      </c>
      <c r="M105" s="1507">
        <v>73</v>
      </c>
      <c r="N105" s="1506">
        <f t="shared" ref="N105" si="86">M105</f>
        <v>73</v>
      </c>
      <c r="O105" s="590" t="s">
        <v>754</v>
      </c>
      <c r="P105" s="1527">
        <v>44</v>
      </c>
      <c r="R105" s="1507"/>
      <c r="S105" s="1507"/>
      <c r="T105" s="1506"/>
    </row>
    <row r="106" spans="1:20" ht="26.1" customHeight="1">
      <c r="A106" s="1527"/>
      <c r="B106" s="1508"/>
      <c r="C106" s="1509"/>
      <c r="D106" s="1548"/>
      <c r="E106" s="1548"/>
      <c r="F106" s="1509"/>
      <c r="G106" s="1507"/>
      <c r="H106" s="1507"/>
      <c r="I106" s="1509"/>
      <c r="J106" s="1507"/>
      <c r="K106" s="1506"/>
      <c r="L106" s="1507"/>
      <c r="M106" s="1507"/>
      <c r="N106" s="1506"/>
      <c r="O106" s="590" t="s">
        <v>799</v>
      </c>
      <c r="P106" s="1527"/>
      <c r="R106" s="1507">
        <v>159</v>
      </c>
      <c r="S106" s="1507">
        <v>445</v>
      </c>
      <c r="T106" s="1506">
        <f>S106+R106</f>
        <v>604</v>
      </c>
    </row>
    <row r="107" spans="1:20" ht="26.1" customHeight="1">
      <c r="A107" s="1528">
        <v>45</v>
      </c>
      <c r="B107" s="1558" t="s">
        <v>1352</v>
      </c>
      <c r="C107" s="1537" t="s">
        <v>14</v>
      </c>
      <c r="D107" s="1533">
        <v>10</v>
      </c>
      <c r="E107" s="1533">
        <f t="shared" ref="E107" si="87">D107</f>
        <v>10</v>
      </c>
      <c r="F107" s="1537" t="s">
        <v>14</v>
      </c>
      <c r="G107" s="1532">
        <v>85</v>
      </c>
      <c r="H107" s="1532">
        <f t="shared" ref="H107" si="88">G107</f>
        <v>85</v>
      </c>
      <c r="I107" s="1537" t="s">
        <v>14</v>
      </c>
      <c r="J107" s="1532">
        <v>47</v>
      </c>
      <c r="K107" s="1531">
        <f t="shared" ref="K107" si="89">J107+0</f>
        <v>47</v>
      </c>
      <c r="L107" s="1532" t="s">
        <v>14</v>
      </c>
      <c r="M107" s="1532">
        <v>151</v>
      </c>
      <c r="N107" s="1531">
        <f t="shared" ref="N107" si="90">M107</f>
        <v>151</v>
      </c>
      <c r="O107" s="632" t="s">
        <v>1350</v>
      </c>
      <c r="P107" s="1528">
        <v>45</v>
      </c>
      <c r="R107" s="1561"/>
      <c r="S107" s="1561"/>
      <c r="T107" s="1562"/>
    </row>
    <row r="108" spans="1:20" ht="26.1" customHeight="1">
      <c r="A108" s="1528"/>
      <c r="B108" s="1558"/>
      <c r="C108" s="1537"/>
      <c r="D108" s="1533"/>
      <c r="E108" s="1533"/>
      <c r="F108" s="1537"/>
      <c r="G108" s="1532"/>
      <c r="H108" s="1532"/>
      <c r="I108" s="1537"/>
      <c r="J108" s="1532"/>
      <c r="K108" s="1531"/>
      <c r="L108" s="1532"/>
      <c r="M108" s="1532"/>
      <c r="N108" s="1531"/>
      <c r="O108" s="632" t="s">
        <v>1351</v>
      </c>
      <c r="P108" s="1528"/>
      <c r="R108" s="1588" t="s">
        <v>14</v>
      </c>
      <c r="S108" s="1588">
        <v>159</v>
      </c>
      <c r="T108" s="1587">
        <f>S108</f>
        <v>159</v>
      </c>
    </row>
    <row r="109" spans="1:20" ht="26.1" customHeight="1">
      <c r="A109" s="1527">
        <v>46</v>
      </c>
      <c r="B109" s="1508" t="s">
        <v>1355</v>
      </c>
      <c r="C109" s="1509" t="s">
        <v>14</v>
      </c>
      <c r="D109" s="1507">
        <v>29</v>
      </c>
      <c r="E109" s="1548">
        <f t="shared" ref="E109" si="91">D109</f>
        <v>29</v>
      </c>
      <c r="F109" s="1509" t="s">
        <v>14</v>
      </c>
      <c r="G109" s="1507">
        <v>107</v>
      </c>
      <c r="H109" s="1507">
        <f t="shared" ref="H109" si="92">G109</f>
        <v>107</v>
      </c>
      <c r="I109" s="1509" t="s">
        <v>14</v>
      </c>
      <c r="J109" s="1507">
        <v>256</v>
      </c>
      <c r="K109" s="1506">
        <f t="shared" ref="K109" si="93">J109+0</f>
        <v>256</v>
      </c>
      <c r="L109" s="1507" t="s">
        <v>14</v>
      </c>
      <c r="M109" s="1507">
        <v>505</v>
      </c>
      <c r="N109" s="1506">
        <f t="shared" ref="N109" si="94">M109</f>
        <v>505</v>
      </c>
      <c r="O109" s="590" t="s">
        <v>1353</v>
      </c>
      <c r="P109" s="1527">
        <v>46</v>
      </c>
      <c r="R109" s="1548"/>
      <c r="S109" s="1548"/>
      <c r="T109" s="1506"/>
    </row>
    <row r="110" spans="1:20" ht="26.1" customHeight="1">
      <c r="A110" s="1527"/>
      <c r="B110" s="1508"/>
      <c r="C110" s="1509"/>
      <c r="D110" s="1507"/>
      <c r="E110" s="1548"/>
      <c r="F110" s="1509"/>
      <c r="G110" s="1507"/>
      <c r="H110" s="1507"/>
      <c r="I110" s="1509"/>
      <c r="J110" s="1507"/>
      <c r="K110" s="1506"/>
      <c r="L110" s="1507"/>
      <c r="M110" s="1507"/>
      <c r="N110" s="1506"/>
      <c r="O110" s="590" t="s">
        <v>1354</v>
      </c>
      <c r="P110" s="1527"/>
      <c r="R110" s="1507" t="s">
        <v>14</v>
      </c>
      <c r="S110" s="1507">
        <v>355</v>
      </c>
      <c r="T110" s="1506">
        <f>S110</f>
        <v>355</v>
      </c>
    </row>
    <row r="111" spans="1:20" ht="26.1" customHeight="1">
      <c r="A111" s="1528">
        <v>47</v>
      </c>
      <c r="B111" s="1558" t="s">
        <v>1356</v>
      </c>
      <c r="C111" s="1537" t="s">
        <v>14</v>
      </c>
      <c r="D111" s="1532">
        <v>14</v>
      </c>
      <c r="E111" s="1533">
        <f>D111</f>
        <v>14</v>
      </c>
      <c r="F111" s="1537" t="s">
        <v>14</v>
      </c>
      <c r="G111" s="1532">
        <v>49</v>
      </c>
      <c r="H111" s="1532">
        <f t="shared" ref="H111" si="95">G111</f>
        <v>49</v>
      </c>
      <c r="I111" s="1537" t="s">
        <v>14</v>
      </c>
      <c r="J111" s="1532">
        <v>273</v>
      </c>
      <c r="K111" s="1531">
        <f>J111+0</f>
        <v>273</v>
      </c>
      <c r="L111" s="1532" t="s">
        <v>14</v>
      </c>
      <c r="M111" s="1532">
        <v>625</v>
      </c>
      <c r="N111" s="1531">
        <f t="shared" ref="N111" si="96">M111</f>
        <v>625</v>
      </c>
      <c r="O111" s="632" t="s">
        <v>1357</v>
      </c>
      <c r="P111" s="1528">
        <v>47</v>
      </c>
      <c r="R111" s="1507"/>
      <c r="S111" s="1507"/>
      <c r="T111" s="1506"/>
    </row>
    <row r="112" spans="1:20" ht="26.1" customHeight="1">
      <c r="A112" s="1528"/>
      <c r="B112" s="1558"/>
      <c r="C112" s="1537"/>
      <c r="D112" s="1532"/>
      <c r="E112" s="1533"/>
      <c r="F112" s="1537"/>
      <c r="G112" s="1532"/>
      <c r="H112" s="1532"/>
      <c r="I112" s="1537"/>
      <c r="J112" s="1532"/>
      <c r="K112" s="1531"/>
      <c r="L112" s="1532"/>
      <c r="M112" s="1532"/>
      <c r="N112" s="1531"/>
      <c r="O112" s="632" t="s">
        <v>1358</v>
      </c>
      <c r="P112" s="1528"/>
      <c r="R112" s="1507">
        <v>5</v>
      </c>
      <c r="S112" s="1507">
        <v>418</v>
      </c>
      <c r="T112" s="1506">
        <f>S112+R112</f>
        <v>423</v>
      </c>
    </row>
    <row r="113" spans="1:20" ht="26.1" customHeight="1">
      <c r="A113" s="1527">
        <v>48</v>
      </c>
      <c r="B113" s="1508" t="s">
        <v>1504</v>
      </c>
      <c r="C113" s="1509" t="s">
        <v>14</v>
      </c>
      <c r="D113" s="1507">
        <v>45</v>
      </c>
      <c r="E113" s="1548">
        <f t="shared" ref="E113" si="97">D113</f>
        <v>45</v>
      </c>
      <c r="F113" s="1509" t="s">
        <v>14</v>
      </c>
      <c r="G113" s="1507">
        <v>135</v>
      </c>
      <c r="H113" s="1507">
        <f>G113</f>
        <v>135</v>
      </c>
      <c r="I113" s="1509" t="s">
        <v>14</v>
      </c>
      <c r="J113" s="1507">
        <v>354</v>
      </c>
      <c r="K113" s="1506">
        <f t="shared" ref="K113" si="98">J113+0</f>
        <v>354</v>
      </c>
      <c r="L113" s="1507" t="s">
        <v>14</v>
      </c>
      <c r="M113" s="1507">
        <v>596</v>
      </c>
      <c r="N113" s="1506">
        <f t="shared" ref="N113" si="99">M113</f>
        <v>596</v>
      </c>
      <c r="O113" s="590" t="s">
        <v>1505</v>
      </c>
      <c r="P113" s="1527">
        <v>48</v>
      </c>
      <c r="R113" s="1507"/>
      <c r="S113" s="1507"/>
      <c r="T113" s="1506"/>
    </row>
    <row r="114" spans="1:20" ht="26.1" customHeight="1">
      <c r="A114" s="1527"/>
      <c r="B114" s="1508"/>
      <c r="C114" s="1509"/>
      <c r="D114" s="1507"/>
      <c r="E114" s="1548"/>
      <c r="F114" s="1509"/>
      <c r="G114" s="1507"/>
      <c r="H114" s="1507"/>
      <c r="I114" s="1509"/>
      <c r="J114" s="1507"/>
      <c r="K114" s="1506"/>
      <c r="L114" s="1507"/>
      <c r="M114" s="1507"/>
      <c r="N114" s="1506"/>
      <c r="O114" s="590" t="s">
        <v>1506</v>
      </c>
      <c r="P114" s="1527"/>
      <c r="R114" s="1507" t="s">
        <v>14</v>
      </c>
      <c r="S114" s="1507">
        <v>265</v>
      </c>
      <c r="T114" s="1506">
        <f>S114</f>
        <v>265</v>
      </c>
    </row>
    <row r="115" spans="1:20" ht="26.1" customHeight="1">
      <c r="A115" s="1528">
        <v>49</v>
      </c>
      <c r="B115" s="1558" t="s">
        <v>1071</v>
      </c>
      <c r="C115" s="1537" t="s">
        <v>14</v>
      </c>
      <c r="D115" s="1533">
        <v>22</v>
      </c>
      <c r="E115" s="1533">
        <f>D115</f>
        <v>22</v>
      </c>
      <c r="F115" s="1537" t="s">
        <v>14</v>
      </c>
      <c r="G115" s="1532">
        <v>304</v>
      </c>
      <c r="H115" s="1532">
        <f>G115</f>
        <v>304</v>
      </c>
      <c r="I115" s="1537" t="s">
        <v>14</v>
      </c>
      <c r="J115" s="1532">
        <v>376</v>
      </c>
      <c r="K115" s="1531">
        <f>J115</f>
        <v>376</v>
      </c>
      <c r="L115" s="1532" t="s">
        <v>14</v>
      </c>
      <c r="M115" s="1532">
        <v>547</v>
      </c>
      <c r="N115" s="1531">
        <f>M115</f>
        <v>547</v>
      </c>
      <c r="O115" s="964" t="s">
        <v>1069</v>
      </c>
      <c r="P115" s="1528">
        <v>49</v>
      </c>
      <c r="R115" s="1507"/>
      <c r="S115" s="1507"/>
      <c r="T115" s="1506"/>
    </row>
    <row r="116" spans="1:20" ht="32.25" customHeight="1">
      <c r="A116" s="1529"/>
      <c r="B116" s="1596"/>
      <c r="C116" s="1556"/>
      <c r="D116" s="1551"/>
      <c r="E116" s="1551"/>
      <c r="F116" s="1556"/>
      <c r="G116" s="1536"/>
      <c r="H116" s="1536"/>
      <c r="I116" s="1556"/>
      <c r="J116" s="1536"/>
      <c r="K116" s="1555"/>
      <c r="L116" s="1536"/>
      <c r="M116" s="1536"/>
      <c r="N116" s="1555"/>
      <c r="O116" s="974" t="s">
        <v>1070</v>
      </c>
      <c r="P116" s="1529"/>
      <c r="R116" s="1507" t="s">
        <v>14</v>
      </c>
      <c r="S116" s="1507">
        <v>148</v>
      </c>
      <c r="T116" s="1506">
        <f>S116</f>
        <v>148</v>
      </c>
    </row>
    <row r="117" spans="1:20" ht="20.100000000000001" customHeight="1">
      <c r="A117" s="1525" t="s">
        <v>884</v>
      </c>
      <c r="B117" s="1525"/>
      <c r="C117" s="1525"/>
      <c r="D117" s="1525"/>
      <c r="E117" s="1525"/>
      <c r="F117" s="1525"/>
      <c r="G117" s="1525"/>
      <c r="H117" s="1525"/>
      <c r="I117" s="1525"/>
      <c r="J117" s="1525"/>
      <c r="K117" s="1526" t="s">
        <v>885</v>
      </c>
      <c r="L117" s="1526"/>
      <c r="M117" s="1526"/>
      <c r="N117" s="1526"/>
      <c r="O117" s="1526"/>
      <c r="P117" s="1526"/>
      <c r="R117" s="1507"/>
      <c r="S117" s="1507"/>
      <c r="T117" s="1506"/>
    </row>
    <row r="118" spans="1:20" ht="20.100000000000001" customHeight="1">
      <c r="A118" s="1525"/>
      <c r="B118" s="1525"/>
      <c r="C118" s="1525"/>
      <c r="D118" s="1525"/>
      <c r="E118" s="1525"/>
      <c r="F118" s="1525"/>
      <c r="G118" s="1525"/>
      <c r="H118" s="1525"/>
      <c r="I118" s="1525"/>
      <c r="J118" s="1525"/>
      <c r="K118" s="1526" t="s">
        <v>1113</v>
      </c>
      <c r="L118" s="1526"/>
      <c r="M118" s="1526"/>
      <c r="N118" s="1526"/>
      <c r="O118" s="1526"/>
      <c r="P118" s="1526"/>
      <c r="R118" s="132">
        <f t="shared" ref="R118:S118" si="100">SUM(R60:R117)</f>
        <v>5023</v>
      </c>
      <c r="S118" s="132">
        <f t="shared" si="100"/>
        <v>16440</v>
      </c>
      <c r="T118" s="132">
        <f>SUM(T60:T117)</f>
        <v>21463</v>
      </c>
    </row>
    <row r="119" spans="1:20" ht="20.100000000000001" customHeight="1">
      <c r="A119" s="1522" t="s">
        <v>2028</v>
      </c>
      <c r="B119" s="1495" t="s">
        <v>407</v>
      </c>
      <c r="C119" s="1549" t="s">
        <v>123</v>
      </c>
      <c r="D119" s="1550"/>
      <c r="E119" s="1557"/>
      <c r="F119" s="1549" t="s">
        <v>882</v>
      </c>
      <c r="G119" s="1550"/>
      <c r="H119" s="1557"/>
      <c r="I119" s="1549" t="s">
        <v>105</v>
      </c>
      <c r="J119" s="1550"/>
      <c r="K119" s="1550"/>
      <c r="L119" s="1495" t="s">
        <v>881</v>
      </c>
      <c r="M119" s="1498"/>
      <c r="N119" s="1499"/>
      <c r="O119" s="1499" t="s">
        <v>408</v>
      </c>
      <c r="P119" s="1522" t="s">
        <v>2027</v>
      </c>
      <c r="R119" s="1599">
        <v>1630</v>
      </c>
      <c r="S119" s="1599">
        <v>180</v>
      </c>
      <c r="T119" s="1600">
        <f>S119+R119</f>
        <v>1810</v>
      </c>
    </row>
    <row r="120" spans="1:20" ht="20.100000000000001" customHeight="1">
      <c r="A120" s="1523"/>
      <c r="B120" s="1496"/>
      <c r="C120" s="1541" t="s">
        <v>546</v>
      </c>
      <c r="D120" s="1542"/>
      <c r="E120" s="1543"/>
      <c r="F120" s="1544" t="s">
        <v>506</v>
      </c>
      <c r="G120" s="1545"/>
      <c r="H120" s="1546"/>
      <c r="I120" s="1544" t="s">
        <v>505</v>
      </c>
      <c r="J120" s="1545"/>
      <c r="K120" s="1545"/>
      <c r="L120" s="1496" t="s">
        <v>883</v>
      </c>
      <c r="M120" s="1547"/>
      <c r="N120" s="1505"/>
      <c r="O120" s="1505"/>
      <c r="P120" s="1523"/>
      <c r="R120" s="1599"/>
      <c r="S120" s="1599"/>
      <c r="T120" s="1600"/>
    </row>
    <row r="121" spans="1:20" ht="20.100000000000001" customHeight="1">
      <c r="A121" s="1523"/>
      <c r="B121" s="1496"/>
      <c r="C121" s="1500" t="s">
        <v>73</v>
      </c>
      <c r="D121" s="1501"/>
      <c r="E121" s="1502"/>
      <c r="F121" s="1500" t="s">
        <v>126</v>
      </c>
      <c r="G121" s="1501"/>
      <c r="H121" s="1502"/>
      <c r="I121" s="1500" t="s">
        <v>127</v>
      </c>
      <c r="J121" s="1501"/>
      <c r="K121" s="1501"/>
      <c r="L121" s="1497" t="s">
        <v>62</v>
      </c>
      <c r="M121" s="1503"/>
      <c r="N121" s="1504"/>
      <c r="O121" s="1505"/>
      <c r="P121" s="1523"/>
      <c r="R121" s="1599">
        <v>352</v>
      </c>
      <c r="S121" s="1599">
        <v>74</v>
      </c>
      <c r="T121" s="1600">
        <f>S121+R121</f>
        <v>426</v>
      </c>
    </row>
    <row r="122" spans="1:20" ht="20.100000000000001" customHeight="1">
      <c r="A122" s="1523"/>
      <c r="B122" s="1496"/>
      <c r="C122" s="994" t="s">
        <v>0</v>
      </c>
      <c r="D122" s="1088" t="s">
        <v>1</v>
      </c>
      <c r="E122" s="1067" t="s">
        <v>2</v>
      </c>
      <c r="F122" s="994" t="s">
        <v>0</v>
      </c>
      <c r="G122" s="1088" t="s">
        <v>1</v>
      </c>
      <c r="H122" s="1067" t="s">
        <v>2</v>
      </c>
      <c r="I122" s="994" t="s">
        <v>0</v>
      </c>
      <c r="J122" s="1088" t="s">
        <v>1</v>
      </c>
      <c r="K122" s="1067" t="s">
        <v>2</v>
      </c>
      <c r="L122" s="994" t="s">
        <v>0</v>
      </c>
      <c r="M122" s="1088" t="s">
        <v>1</v>
      </c>
      <c r="N122" s="1067" t="s">
        <v>2</v>
      </c>
      <c r="O122" s="1505"/>
      <c r="P122" s="1523"/>
      <c r="R122" s="1599"/>
      <c r="S122" s="1599"/>
      <c r="T122" s="1600"/>
    </row>
    <row r="123" spans="1:20" ht="20.100000000000001" customHeight="1">
      <c r="A123" s="1523"/>
      <c r="B123" s="1496"/>
      <c r="C123" s="1089" t="s">
        <v>500</v>
      </c>
      <c r="D123" s="1090" t="s">
        <v>501</v>
      </c>
      <c r="E123" s="1067" t="s">
        <v>502</v>
      </c>
      <c r="F123" s="1089" t="s">
        <v>500</v>
      </c>
      <c r="G123" s="1090" t="s">
        <v>501</v>
      </c>
      <c r="H123" s="1067" t="s">
        <v>502</v>
      </c>
      <c r="I123" s="1089" t="s">
        <v>500</v>
      </c>
      <c r="J123" s="1090" t="s">
        <v>501</v>
      </c>
      <c r="K123" s="1067" t="s">
        <v>502</v>
      </c>
      <c r="L123" s="1089" t="s">
        <v>500</v>
      </c>
      <c r="M123" s="1090" t="s">
        <v>501</v>
      </c>
      <c r="N123" s="1067" t="s">
        <v>502</v>
      </c>
      <c r="O123" s="1505"/>
      <c r="P123" s="1523"/>
      <c r="R123" s="132">
        <f t="shared" ref="R123:S123" si="101">R121+R119+R118</f>
        <v>7005</v>
      </c>
      <c r="S123" s="132">
        <f t="shared" si="101"/>
        <v>16694</v>
      </c>
      <c r="T123" s="132">
        <f>T121+T119+T118</f>
        <v>23699</v>
      </c>
    </row>
    <row r="124" spans="1:20" ht="20.100000000000001" customHeight="1">
      <c r="A124" s="1524"/>
      <c r="B124" s="1497"/>
      <c r="C124" s="1061" t="s">
        <v>52</v>
      </c>
      <c r="D124" s="1091" t="s">
        <v>53</v>
      </c>
      <c r="E124" s="1069" t="s">
        <v>28</v>
      </c>
      <c r="F124" s="1061" t="s">
        <v>52</v>
      </c>
      <c r="G124" s="1091" t="s">
        <v>53</v>
      </c>
      <c r="H124" s="1069" t="s">
        <v>28</v>
      </c>
      <c r="I124" s="1061" t="s">
        <v>52</v>
      </c>
      <c r="J124" s="1091" t="s">
        <v>53</v>
      </c>
      <c r="K124" s="1069" t="s">
        <v>28</v>
      </c>
      <c r="L124" s="1061" t="s">
        <v>52</v>
      </c>
      <c r="M124" s="1091" t="s">
        <v>53</v>
      </c>
      <c r="N124" s="1069" t="s">
        <v>28</v>
      </c>
      <c r="O124" s="1504"/>
      <c r="P124" s="1524"/>
      <c r="R124" s="132">
        <v>430</v>
      </c>
      <c r="S124" s="132">
        <v>2600</v>
      </c>
      <c r="T124" s="132">
        <f>S124+R124</f>
        <v>3030</v>
      </c>
    </row>
    <row r="125" spans="1:20" ht="24" customHeight="1">
      <c r="A125" s="1602">
        <v>50</v>
      </c>
      <c r="B125" s="1595" t="s">
        <v>1508</v>
      </c>
      <c r="C125" s="1589" t="s">
        <v>14</v>
      </c>
      <c r="D125" s="1588">
        <v>7</v>
      </c>
      <c r="E125" s="1588">
        <f>D125</f>
        <v>7</v>
      </c>
      <c r="F125" s="1589" t="s">
        <v>14</v>
      </c>
      <c r="G125" s="1590">
        <v>97</v>
      </c>
      <c r="H125" s="1590">
        <f>G125</f>
        <v>97</v>
      </c>
      <c r="I125" s="1589" t="s">
        <v>14</v>
      </c>
      <c r="J125" s="1590">
        <v>106</v>
      </c>
      <c r="K125" s="1587">
        <f>J125</f>
        <v>106</v>
      </c>
      <c r="L125" s="1590" t="s">
        <v>14</v>
      </c>
      <c r="M125" s="1590">
        <v>249</v>
      </c>
      <c r="N125" s="1587">
        <f>M125</f>
        <v>249</v>
      </c>
      <c r="O125" s="1140" t="s">
        <v>1507</v>
      </c>
      <c r="P125" s="1602">
        <v>50</v>
      </c>
      <c r="R125" s="132">
        <f>SUM(R123:R124)</f>
        <v>7435</v>
      </c>
      <c r="S125" s="132">
        <f>SUM(S123:S124)</f>
        <v>19294</v>
      </c>
      <c r="T125" s="132">
        <f>SUM(T123:T124)</f>
        <v>26729</v>
      </c>
    </row>
    <row r="126" spans="1:20" ht="24" customHeight="1">
      <c r="A126" s="1601"/>
      <c r="B126" s="1539"/>
      <c r="C126" s="1509"/>
      <c r="D126" s="1548"/>
      <c r="E126" s="1548"/>
      <c r="F126" s="1509"/>
      <c r="G126" s="1507"/>
      <c r="H126" s="1507"/>
      <c r="I126" s="1509"/>
      <c r="J126" s="1507"/>
      <c r="K126" s="1506"/>
      <c r="L126" s="1507"/>
      <c r="M126" s="1507"/>
      <c r="N126" s="1506"/>
      <c r="O126" s="1092" t="s">
        <v>1513</v>
      </c>
      <c r="P126" s="1601"/>
    </row>
    <row r="127" spans="1:20" ht="24" customHeight="1">
      <c r="A127" s="1534">
        <v>51</v>
      </c>
      <c r="B127" s="1553" t="s">
        <v>1509</v>
      </c>
      <c r="C127" s="1537" t="s">
        <v>14</v>
      </c>
      <c r="D127" s="1533">
        <v>26</v>
      </c>
      <c r="E127" s="1533">
        <f>D127</f>
        <v>26</v>
      </c>
      <c r="F127" s="1537" t="s">
        <v>14</v>
      </c>
      <c r="G127" s="1532">
        <v>156</v>
      </c>
      <c r="H127" s="1532">
        <f>G127</f>
        <v>156</v>
      </c>
      <c r="I127" s="1537" t="s">
        <v>14</v>
      </c>
      <c r="J127" s="1532">
        <v>195</v>
      </c>
      <c r="K127" s="1531">
        <f>J127</f>
        <v>195</v>
      </c>
      <c r="L127" s="1532" t="s">
        <v>14</v>
      </c>
      <c r="M127" s="1532">
        <v>420</v>
      </c>
      <c r="N127" s="1531">
        <f>M127</f>
        <v>420</v>
      </c>
      <c r="O127" s="963" t="s">
        <v>1510</v>
      </c>
      <c r="P127" s="1534">
        <v>51</v>
      </c>
      <c r="S127" s="232">
        <f>R125/S125</f>
        <v>0.38535295946926507</v>
      </c>
    </row>
    <row r="128" spans="1:20" ht="24" customHeight="1">
      <c r="A128" s="1534"/>
      <c r="B128" s="1553"/>
      <c r="C128" s="1537"/>
      <c r="D128" s="1533"/>
      <c r="E128" s="1533"/>
      <c r="F128" s="1537"/>
      <c r="G128" s="1532"/>
      <c r="H128" s="1532"/>
      <c r="I128" s="1537"/>
      <c r="J128" s="1532"/>
      <c r="K128" s="1531"/>
      <c r="L128" s="1532"/>
      <c r="M128" s="1532"/>
      <c r="N128" s="1531"/>
      <c r="O128" s="963" t="s">
        <v>1514</v>
      </c>
      <c r="P128" s="1534"/>
    </row>
    <row r="129" spans="1:16" ht="24" customHeight="1">
      <c r="A129" s="1601">
        <v>52</v>
      </c>
      <c r="B129" s="1539" t="s">
        <v>1511</v>
      </c>
      <c r="C129" s="1509" t="s">
        <v>14</v>
      </c>
      <c r="D129" s="1548">
        <v>5</v>
      </c>
      <c r="E129" s="1548">
        <f t="shared" ref="E129" si="102">D129</f>
        <v>5</v>
      </c>
      <c r="F129" s="1509" t="s">
        <v>14</v>
      </c>
      <c r="G129" s="1507">
        <v>37</v>
      </c>
      <c r="H129" s="1507">
        <f t="shared" ref="H129" si="103">G129</f>
        <v>37</v>
      </c>
      <c r="I129" s="1509" t="s">
        <v>14</v>
      </c>
      <c r="J129" s="1507">
        <v>81</v>
      </c>
      <c r="K129" s="1506">
        <f t="shared" ref="K129" si="104">J129</f>
        <v>81</v>
      </c>
      <c r="L129" s="1507" t="s">
        <v>14</v>
      </c>
      <c r="M129" s="1507">
        <v>168</v>
      </c>
      <c r="N129" s="1506">
        <f t="shared" ref="N129" si="105">M129</f>
        <v>168</v>
      </c>
      <c r="O129" s="1092" t="s">
        <v>1512</v>
      </c>
      <c r="P129" s="1601">
        <v>52</v>
      </c>
    </row>
    <row r="130" spans="1:16" ht="24" customHeight="1">
      <c r="A130" s="1601"/>
      <c r="B130" s="1539"/>
      <c r="C130" s="1509"/>
      <c r="D130" s="1548"/>
      <c r="E130" s="1548"/>
      <c r="F130" s="1509"/>
      <c r="G130" s="1507"/>
      <c r="H130" s="1507"/>
      <c r="I130" s="1509"/>
      <c r="J130" s="1507"/>
      <c r="K130" s="1506"/>
      <c r="L130" s="1507"/>
      <c r="M130" s="1507"/>
      <c r="N130" s="1506"/>
      <c r="O130" s="1092" t="s">
        <v>1515</v>
      </c>
      <c r="P130" s="1601"/>
    </row>
    <row r="131" spans="1:16" ht="24" customHeight="1">
      <c r="A131" s="1534">
        <v>53</v>
      </c>
      <c r="B131" s="1553" t="s">
        <v>793</v>
      </c>
      <c r="C131" s="1537" t="s">
        <v>14</v>
      </c>
      <c r="D131" s="1533">
        <v>11</v>
      </c>
      <c r="E131" s="1533">
        <f t="shared" ref="E131" si="106">D131</f>
        <v>11</v>
      </c>
      <c r="F131" s="1537" t="s">
        <v>14</v>
      </c>
      <c r="G131" s="1532">
        <v>102</v>
      </c>
      <c r="H131" s="1532">
        <f t="shared" ref="H131" si="107">G131</f>
        <v>102</v>
      </c>
      <c r="I131" s="1537" t="s">
        <v>14</v>
      </c>
      <c r="J131" s="1532">
        <v>68</v>
      </c>
      <c r="K131" s="1531">
        <f t="shared" ref="K131" si="108">J131</f>
        <v>68</v>
      </c>
      <c r="L131" s="1532" t="s">
        <v>14</v>
      </c>
      <c r="M131" s="1532">
        <v>207</v>
      </c>
      <c r="N131" s="1531">
        <f t="shared" ref="N131" si="109">M131</f>
        <v>207</v>
      </c>
      <c r="O131" s="963" t="s">
        <v>768</v>
      </c>
      <c r="P131" s="1534">
        <v>53</v>
      </c>
    </row>
    <row r="132" spans="1:16" ht="24" customHeight="1">
      <c r="A132" s="1534"/>
      <c r="B132" s="1553"/>
      <c r="C132" s="1537"/>
      <c r="D132" s="1533"/>
      <c r="E132" s="1533"/>
      <c r="F132" s="1537"/>
      <c r="G132" s="1532"/>
      <c r="H132" s="1532"/>
      <c r="I132" s="1537"/>
      <c r="J132" s="1532"/>
      <c r="K132" s="1531"/>
      <c r="L132" s="1532"/>
      <c r="M132" s="1532"/>
      <c r="N132" s="1531"/>
      <c r="O132" s="963" t="s">
        <v>769</v>
      </c>
      <c r="P132" s="1534"/>
    </row>
    <row r="133" spans="1:16" ht="24" customHeight="1">
      <c r="A133" s="1601">
        <v>54</v>
      </c>
      <c r="B133" s="1539" t="s">
        <v>1072</v>
      </c>
      <c r="C133" s="1509" t="s">
        <v>14</v>
      </c>
      <c r="D133" s="1548">
        <v>17</v>
      </c>
      <c r="E133" s="1548">
        <f t="shared" ref="E133" si="110">D133</f>
        <v>17</v>
      </c>
      <c r="F133" s="1509" t="s">
        <v>14</v>
      </c>
      <c r="G133" s="1507">
        <v>80</v>
      </c>
      <c r="H133" s="1507">
        <f t="shared" ref="H133" si="111">G133</f>
        <v>80</v>
      </c>
      <c r="I133" s="1509" t="s">
        <v>14</v>
      </c>
      <c r="J133" s="1507">
        <v>117</v>
      </c>
      <c r="K133" s="1506">
        <f t="shared" ref="K133" si="112">J133</f>
        <v>117</v>
      </c>
      <c r="L133" s="1507" t="s">
        <v>14</v>
      </c>
      <c r="M133" s="1507">
        <v>257</v>
      </c>
      <c r="N133" s="1506">
        <f t="shared" ref="N133" si="113">M133</f>
        <v>257</v>
      </c>
      <c r="O133" s="1092" t="s">
        <v>1073</v>
      </c>
      <c r="P133" s="1601">
        <v>54</v>
      </c>
    </row>
    <row r="134" spans="1:16" ht="24" customHeight="1">
      <c r="A134" s="1601"/>
      <c r="B134" s="1539"/>
      <c r="C134" s="1509"/>
      <c r="D134" s="1548"/>
      <c r="E134" s="1548"/>
      <c r="F134" s="1509"/>
      <c r="G134" s="1507"/>
      <c r="H134" s="1507"/>
      <c r="I134" s="1509"/>
      <c r="J134" s="1507"/>
      <c r="K134" s="1506"/>
      <c r="L134" s="1507"/>
      <c r="M134" s="1507"/>
      <c r="N134" s="1506"/>
      <c r="O134" s="1092" t="s">
        <v>1074</v>
      </c>
      <c r="P134" s="1601"/>
    </row>
    <row r="135" spans="1:16" ht="24" customHeight="1">
      <c r="A135" s="1534">
        <v>55</v>
      </c>
      <c r="B135" s="1553" t="s">
        <v>1483</v>
      </c>
      <c r="C135" s="1537" t="s">
        <v>14</v>
      </c>
      <c r="D135" s="1533">
        <v>15</v>
      </c>
      <c r="E135" s="1533">
        <f t="shared" ref="E135" si="114">D135</f>
        <v>15</v>
      </c>
      <c r="F135" s="1537" t="s">
        <v>14</v>
      </c>
      <c r="G135" s="1532">
        <v>105</v>
      </c>
      <c r="H135" s="1532">
        <f>G135</f>
        <v>105</v>
      </c>
      <c r="I135" s="1537" t="s">
        <v>14</v>
      </c>
      <c r="J135" s="1532">
        <v>195</v>
      </c>
      <c r="K135" s="1531">
        <f t="shared" ref="K135" si="115">J135</f>
        <v>195</v>
      </c>
      <c r="L135" s="1532" t="s">
        <v>14</v>
      </c>
      <c r="M135" s="1532">
        <v>332</v>
      </c>
      <c r="N135" s="1531">
        <f t="shared" ref="N135" si="116">M135</f>
        <v>332</v>
      </c>
      <c r="O135" s="963" t="s">
        <v>1484</v>
      </c>
      <c r="P135" s="1534">
        <v>55</v>
      </c>
    </row>
    <row r="136" spans="1:16" ht="24" customHeight="1">
      <c r="A136" s="1534"/>
      <c r="B136" s="1553"/>
      <c r="C136" s="1537"/>
      <c r="D136" s="1533"/>
      <c r="E136" s="1533"/>
      <c r="F136" s="1537"/>
      <c r="G136" s="1532"/>
      <c r="H136" s="1532"/>
      <c r="I136" s="1537"/>
      <c r="J136" s="1532"/>
      <c r="K136" s="1531"/>
      <c r="L136" s="1532"/>
      <c r="M136" s="1532"/>
      <c r="N136" s="1531"/>
      <c r="O136" s="963" t="s">
        <v>1485</v>
      </c>
      <c r="P136" s="1534"/>
    </row>
    <row r="137" spans="1:16" ht="24" customHeight="1">
      <c r="A137" s="1601">
        <v>56</v>
      </c>
      <c r="B137" s="1539" t="s">
        <v>1063</v>
      </c>
      <c r="C137" s="1509" t="s">
        <v>14</v>
      </c>
      <c r="D137" s="1548">
        <v>13</v>
      </c>
      <c r="E137" s="1548">
        <f t="shared" ref="E137" si="117">D137</f>
        <v>13</v>
      </c>
      <c r="F137" s="1509">
        <v>12</v>
      </c>
      <c r="G137" s="1507">
        <v>66</v>
      </c>
      <c r="H137" s="1507">
        <f>G137+F137</f>
        <v>78</v>
      </c>
      <c r="I137" s="1509">
        <v>86</v>
      </c>
      <c r="J137" s="1507">
        <v>83</v>
      </c>
      <c r="K137" s="1506">
        <f>J137+I137</f>
        <v>169</v>
      </c>
      <c r="L137" s="1507">
        <v>124</v>
      </c>
      <c r="M137" s="1507">
        <v>153</v>
      </c>
      <c r="N137" s="1506">
        <f>M137+L137</f>
        <v>277</v>
      </c>
      <c r="O137" s="1092" t="s">
        <v>1064</v>
      </c>
      <c r="P137" s="1601">
        <v>56</v>
      </c>
    </row>
    <row r="138" spans="1:16" ht="24" customHeight="1">
      <c r="A138" s="1601"/>
      <c r="B138" s="1539"/>
      <c r="C138" s="1509"/>
      <c r="D138" s="1548"/>
      <c r="E138" s="1548"/>
      <c r="F138" s="1509"/>
      <c r="G138" s="1507"/>
      <c r="H138" s="1507"/>
      <c r="I138" s="1509"/>
      <c r="J138" s="1507"/>
      <c r="K138" s="1506"/>
      <c r="L138" s="1507"/>
      <c r="M138" s="1507"/>
      <c r="N138" s="1506"/>
      <c r="O138" s="1092" t="s">
        <v>1065</v>
      </c>
      <c r="P138" s="1601"/>
    </row>
    <row r="139" spans="1:16" ht="24" customHeight="1">
      <c r="A139" s="1534">
        <v>57</v>
      </c>
      <c r="B139" s="1553" t="s">
        <v>1066</v>
      </c>
      <c r="C139" s="1537" t="s">
        <v>14</v>
      </c>
      <c r="D139" s="1533">
        <v>19</v>
      </c>
      <c r="E139" s="1533">
        <f t="shared" ref="E139" si="118">D139</f>
        <v>19</v>
      </c>
      <c r="F139" s="1537">
        <v>85</v>
      </c>
      <c r="G139" s="1532">
        <v>217</v>
      </c>
      <c r="H139" s="1532">
        <f t="shared" ref="H139" si="119">G139+F139</f>
        <v>302</v>
      </c>
      <c r="I139" s="1537">
        <v>62</v>
      </c>
      <c r="J139" s="1532">
        <v>56</v>
      </c>
      <c r="K139" s="1531">
        <f t="shared" ref="K139" si="120">J139+I139</f>
        <v>118</v>
      </c>
      <c r="L139" s="1532">
        <v>148</v>
      </c>
      <c r="M139" s="1532">
        <v>166</v>
      </c>
      <c r="N139" s="1531">
        <f t="shared" ref="N139" si="121">M139+L139</f>
        <v>314</v>
      </c>
      <c r="O139" s="963" t="s">
        <v>1067</v>
      </c>
      <c r="P139" s="1534">
        <v>57</v>
      </c>
    </row>
    <row r="140" spans="1:16" ht="24" customHeight="1">
      <c r="A140" s="1534"/>
      <c r="B140" s="1553"/>
      <c r="C140" s="1537"/>
      <c r="D140" s="1533"/>
      <c r="E140" s="1533"/>
      <c r="F140" s="1537"/>
      <c r="G140" s="1532"/>
      <c r="H140" s="1532"/>
      <c r="I140" s="1537"/>
      <c r="J140" s="1532"/>
      <c r="K140" s="1531"/>
      <c r="L140" s="1532"/>
      <c r="M140" s="1532"/>
      <c r="N140" s="1531"/>
      <c r="O140" s="963" t="s">
        <v>1068</v>
      </c>
      <c r="P140" s="1534"/>
    </row>
    <row r="141" spans="1:16" ht="24" customHeight="1">
      <c r="A141" s="1601">
        <v>58</v>
      </c>
      <c r="B141" s="1539" t="s">
        <v>1495</v>
      </c>
      <c r="C141" s="1509">
        <v>2</v>
      </c>
      <c r="D141" s="1548">
        <v>28</v>
      </c>
      <c r="E141" s="1548">
        <f>D141+C141</f>
        <v>30</v>
      </c>
      <c r="F141" s="1509">
        <v>16</v>
      </c>
      <c r="G141" s="1507">
        <v>69</v>
      </c>
      <c r="H141" s="1507">
        <f t="shared" ref="H141" si="122">G141+F141</f>
        <v>85</v>
      </c>
      <c r="I141" s="1509">
        <v>58</v>
      </c>
      <c r="J141" s="1507">
        <v>91</v>
      </c>
      <c r="K141" s="1506">
        <f t="shared" ref="K141" si="123">J141+I141</f>
        <v>149</v>
      </c>
      <c r="L141" s="1507">
        <v>93</v>
      </c>
      <c r="M141" s="1507">
        <v>201</v>
      </c>
      <c r="N141" s="1506">
        <f t="shared" ref="N141" si="124">M141+L141</f>
        <v>294</v>
      </c>
      <c r="O141" s="1092" t="s">
        <v>1496</v>
      </c>
      <c r="P141" s="1601">
        <v>58</v>
      </c>
    </row>
    <row r="142" spans="1:16" ht="24" customHeight="1">
      <c r="A142" s="1601"/>
      <c r="B142" s="1539"/>
      <c r="C142" s="1509"/>
      <c r="D142" s="1548"/>
      <c r="E142" s="1548"/>
      <c r="F142" s="1509"/>
      <c r="G142" s="1507"/>
      <c r="H142" s="1507"/>
      <c r="I142" s="1509"/>
      <c r="J142" s="1507"/>
      <c r="K142" s="1506"/>
      <c r="L142" s="1507"/>
      <c r="M142" s="1507"/>
      <c r="N142" s="1506"/>
      <c r="O142" s="1092" t="s">
        <v>1497</v>
      </c>
      <c r="P142" s="1601"/>
    </row>
    <row r="143" spans="1:16" ht="24" customHeight="1">
      <c r="A143" s="1534">
        <v>59</v>
      </c>
      <c r="B143" s="1553" t="s">
        <v>874</v>
      </c>
      <c r="C143" s="1537" t="s">
        <v>14</v>
      </c>
      <c r="D143" s="1533">
        <v>19</v>
      </c>
      <c r="E143" s="1533">
        <f>D143</f>
        <v>19</v>
      </c>
      <c r="F143" s="1537">
        <v>5</v>
      </c>
      <c r="G143" s="1532">
        <v>85</v>
      </c>
      <c r="H143" s="1532">
        <f t="shared" ref="H143" si="125">G143+F143</f>
        <v>90</v>
      </c>
      <c r="I143" s="1537" t="s">
        <v>14</v>
      </c>
      <c r="J143" s="1532">
        <v>193</v>
      </c>
      <c r="K143" s="1531">
        <f>J143</f>
        <v>193</v>
      </c>
      <c r="L143" s="1532">
        <v>1</v>
      </c>
      <c r="M143" s="1532">
        <v>367</v>
      </c>
      <c r="N143" s="1531">
        <f t="shared" ref="N143" si="126">M143+L143</f>
        <v>368</v>
      </c>
      <c r="O143" s="963" t="s">
        <v>879</v>
      </c>
      <c r="P143" s="1534">
        <v>59</v>
      </c>
    </row>
    <row r="144" spans="1:16" ht="24" customHeight="1">
      <c r="A144" s="1534"/>
      <c r="B144" s="1553"/>
      <c r="C144" s="1537"/>
      <c r="D144" s="1533"/>
      <c r="E144" s="1533"/>
      <c r="F144" s="1537"/>
      <c r="G144" s="1532"/>
      <c r="H144" s="1532"/>
      <c r="I144" s="1537"/>
      <c r="J144" s="1532"/>
      <c r="K144" s="1531"/>
      <c r="L144" s="1532"/>
      <c r="M144" s="1532"/>
      <c r="N144" s="1531"/>
      <c r="O144" s="963" t="s">
        <v>873</v>
      </c>
      <c r="P144" s="1534"/>
    </row>
    <row r="145" spans="1:16" ht="24" customHeight="1">
      <c r="A145" s="1601">
        <v>60</v>
      </c>
      <c r="B145" s="1539" t="s">
        <v>1374</v>
      </c>
      <c r="C145" s="1509">
        <v>8</v>
      </c>
      <c r="D145" s="1548">
        <v>2</v>
      </c>
      <c r="E145" s="1548">
        <f>D145+C145</f>
        <v>10</v>
      </c>
      <c r="F145" s="1509">
        <v>100</v>
      </c>
      <c r="G145" s="1507" t="s">
        <v>14</v>
      </c>
      <c r="H145" s="1507">
        <f>F145</f>
        <v>100</v>
      </c>
      <c r="I145" s="1509">
        <v>149</v>
      </c>
      <c r="J145" s="1507" t="s">
        <v>14</v>
      </c>
      <c r="K145" s="1506">
        <f>I145</f>
        <v>149</v>
      </c>
      <c r="L145" s="1507">
        <v>330</v>
      </c>
      <c r="M145" s="1507" t="s">
        <v>14</v>
      </c>
      <c r="N145" s="1506">
        <f>L145</f>
        <v>330</v>
      </c>
      <c r="O145" s="1092" t="s">
        <v>1372</v>
      </c>
      <c r="P145" s="1601">
        <v>60</v>
      </c>
    </row>
    <row r="146" spans="1:16" ht="32.25" customHeight="1">
      <c r="A146" s="1601"/>
      <c r="B146" s="1539"/>
      <c r="C146" s="1509"/>
      <c r="D146" s="1548"/>
      <c r="E146" s="1548"/>
      <c r="F146" s="1509"/>
      <c r="G146" s="1507"/>
      <c r="H146" s="1507"/>
      <c r="I146" s="1509"/>
      <c r="J146" s="1507"/>
      <c r="K146" s="1506"/>
      <c r="L146" s="1507"/>
      <c r="M146" s="1507"/>
      <c r="N146" s="1506"/>
      <c r="O146" s="1092" t="s">
        <v>1373</v>
      </c>
      <c r="P146" s="1601"/>
    </row>
    <row r="147" spans="1:16" ht="24" customHeight="1">
      <c r="A147" s="1534">
        <v>61</v>
      </c>
      <c r="B147" s="1553" t="s">
        <v>1375</v>
      </c>
      <c r="C147" s="1537" t="s">
        <v>14</v>
      </c>
      <c r="D147" s="1533">
        <v>8</v>
      </c>
      <c r="E147" s="1533">
        <f>D147</f>
        <v>8</v>
      </c>
      <c r="F147" s="1537">
        <v>21</v>
      </c>
      <c r="G147" s="1532">
        <v>71</v>
      </c>
      <c r="H147" s="1532">
        <f>G147+F147</f>
        <v>92</v>
      </c>
      <c r="I147" s="1537">
        <v>39</v>
      </c>
      <c r="J147" s="1532">
        <v>128</v>
      </c>
      <c r="K147" s="1531">
        <f>J147+I147</f>
        <v>167</v>
      </c>
      <c r="L147" s="1532">
        <v>62</v>
      </c>
      <c r="M147" s="1532">
        <v>214</v>
      </c>
      <c r="N147" s="1531">
        <f>M147+L147</f>
        <v>276</v>
      </c>
      <c r="O147" s="963" t="s">
        <v>1376</v>
      </c>
      <c r="P147" s="1534">
        <v>61</v>
      </c>
    </row>
    <row r="148" spans="1:16" ht="24" customHeight="1">
      <c r="A148" s="1534"/>
      <c r="B148" s="1553"/>
      <c r="C148" s="1537"/>
      <c r="D148" s="1533"/>
      <c r="E148" s="1533"/>
      <c r="F148" s="1537"/>
      <c r="G148" s="1532"/>
      <c r="H148" s="1532"/>
      <c r="I148" s="1537"/>
      <c r="J148" s="1532"/>
      <c r="K148" s="1531"/>
      <c r="L148" s="1532"/>
      <c r="M148" s="1532"/>
      <c r="N148" s="1531"/>
      <c r="O148" s="963" t="s">
        <v>1377</v>
      </c>
      <c r="P148" s="1534"/>
    </row>
    <row r="149" spans="1:16" ht="24" customHeight="1">
      <c r="A149" s="1601">
        <v>62</v>
      </c>
      <c r="B149" s="1539" t="s">
        <v>1382</v>
      </c>
      <c r="C149" s="1509" t="s">
        <v>14</v>
      </c>
      <c r="D149" s="1548">
        <v>24</v>
      </c>
      <c r="E149" s="1548">
        <f t="shared" ref="E149" si="127">D149</f>
        <v>24</v>
      </c>
      <c r="F149" s="1509" t="s">
        <v>14</v>
      </c>
      <c r="G149" s="1507">
        <v>63</v>
      </c>
      <c r="H149" s="1507">
        <f>G149</f>
        <v>63</v>
      </c>
      <c r="I149" s="1509" t="s">
        <v>14</v>
      </c>
      <c r="J149" s="1507">
        <v>145</v>
      </c>
      <c r="K149" s="1506">
        <f>J149</f>
        <v>145</v>
      </c>
      <c r="L149" s="1507" t="s">
        <v>14</v>
      </c>
      <c r="M149" s="1507">
        <v>335</v>
      </c>
      <c r="N149" s="1506">
        <f>M149</f>
        <v>335</v>
      </c>
      <c r="O149" s="1092" t="s">
        <v>1380</v>
      </c>
      <c r="P149" s="1601">
        <v>62</v>
      </c>
    </row>
    <row r="150" spans="1:16" ht="24" customHeight="1">
      <c r="A150" s="1601"/>
      <c r="B150" s="1539"/>
      <c r="C150" s="1509"/>
      <c r="D150" s="1548"/>
      <c r="E150" s="1548"/>
      <c r="F150" s="1509"/>
      <c r="G150" s="1507"/>
      <c r="H150" s="1507"/>
      <c r="I150" s="1509"/>
      <c r="J150" s="1507"/>
      <c r="K150" s="1506"/>
      <c r="L150" s="1507"/>
      <c r="M150" s="1507"/>
      <c r="N150" s="1506"/>
      <c r="O150" s="1092" t="s">
        <v>1381</v>
      </c>
      <c r="P150" s="1601"/>
    </row>
    <row r="151" spans="1:16" ht="30.75" customHeight="1">
      <c r="A151" s="1534">
        <v>63</v>
      </c>
      <c r="B151" s="1553" t="s">
        <v>1385</v>
      </c>
      <c r="C151" s="1537" t="s">
        <v>14</v>
      </c>
      <c r="D151" s="1533">
        <v>13</v>
      </c>
      <c r="E151" s="1533">
        <f t="shared" ref="E151" si="128">D151</f>
        <v>13</v>
      </c>
      <c r="F151" s="1537">
        <v>30</v>
      </c>
      <c r="G151" s="1532">
        <v>77</v>
      </c>
      <c r="H151" s="1532">
        <f>G151+F151</f>
        <v>107</v>
      </c>
      <c r="I151" s="1537">
        <v>16</v>
      </c>
      <c r="J151" s="1532">
        <v>127</v>
      </c>
      <c r="K151" s="1531">
        <f t="shared" ref="K151" si="129">J151+I151</f>
        <v>143</v>
      </c>
      <c r="L151" s="1532">
        <v>42</v>
      </c>
      <c r="M151" s="1532">
        <v>264</v>
      </c>
      <c r="N151" s="1531">
        <f>M151+L151</f>
        <v>306</v>
      </c>
      <c r="O151" s="963" t="s">
        <v>1383</v>
      </c>
      <c r="P151" s="1534">
        <v>63</v>
      </c>
    </row>
    <row r="152" spans="1:16" ht="30.75" customHeight="1">
      <c r="A152" s="1534"/>
      <c r="B152" s="1553"/>
      <c r="C152" s="1537"/>
      <c r="D152" s="1533"/>
      <c r="E152" s="1533"/>
      <c r="F152" s="1537"/>
      <c r="G152" s="1532"/>
      <c r="H152" s="1532"/>
      <c r="I152" s="1537"/>
      <c r="J152" s="1532"/>
      <c r="K152" s="1531"/>
      <c r="L152" s="1532"/>
      <c r="M152" s="1532"/>
      <c r="N152" s="1531"/>
      <c r="O152" s="963" t="s">
        <v>1384</v>
      </c>
      <c r="P152" s="1534"/>
    </row>
    <row r="153" spans="1:16" ht="24" customHeight="1">
      <c r="A153" s="1601">
        <v>64</v>
      </c>
      <c r="B153" s="1539" t="s">
        <v>1290</v>
      </c>
      <c r="C153" s="1509">
        <v>2</v>
      </c>
      <c r="D153" s="1548">
        <v>18</v>
      </c>
      <c r="E153" s="1548">
        <f>D153+C153</f>
        <v>20</v>
      </c>
      <c r="F153" s="1509">
        <v>35</v>
      </c>
      <c r="G153" s="1507">
        <v>100</v>
      </c>
      <c r="H153" s="1507">
        <f t="shared" ref="H153" si="130">G153+F153</f>
        <v>135</v>
      </c>
      <c r="I153" s="1509">
        <v>211</v>
      </c>
      <c r="J153" s="1507">
        <v>154</v>
      </c>
      <c r="K153" s="1506">
        <f t="shared" ref="K153" si="131">J153+I153</f>
        <v>365</v>
      </c>
      <c r="L153" s="1507">
        <v>382</v>
      </c>
      <c r="M153" s="1507">
        <v>338</v>
      </c>
      <c r="N153" s="1506">
        <f t="shared" ref="N153" si="132">M153+L153</f>
        <v>720</v>
      </c>
      <c r="O153" s="1092" t="s">
        <v>1285</v>
      </c>
      <c r="P153" s="1601">
        <v>64</v>
      </c>
    </row>
    <row r="154" spans="1:16" ht="24" customHeight="1">
      <c r="A154" s="1601"/>
      <c r="B154" s="1539"/>
      <c r="C154" s="1509"/>
      <c r="D154" s="1548"/>
      <c r="E154" s="1548"/>
      <c r="F154" s="1509"/>
      <c r="G154" s="1507"/>
      <c r="H154" s="1507"/>
      <c r="I154" s="1509"/>
      <c r="J154" s="1507"/>
      <c r="K154" s="1506"/>
      <c r="L154" s="1507"/>
      <c r="M154" s="1507"/>
      <c r="N154" s="1506"/>
      <c r="O154" s="1092" t="s">
        <v>1286</v>
      </c>
      <c r="P154" s="1601"/>
    </row>
    <row r="155" spans="1:16" ht="24" customHeight="1">
      <c r="A155" s="1534">
        <v>65</v>
      </c>
      <c r="B155" s="1553" t="s">
        <v>1440</v>
      </c>
      <c r="C155" s="1537" t="s">
        <v>14</v>
      </c>
      <c r="D155" s="1533">
        <v>14</v>
      </c>
      <c r="E155" s="1533">
        <f>D155</f>
        <v>14</v>
      </c>
      <c r="F155" s="1537">
        <v>42</v>
      </c>
      <c r="G155" s="1532">
        <v>54</v>
      </c>
      <c r="H155" s="1532">
        <f t="shared" ref="H155" si="133">G155+F155</f>
        <v>96</v>
      </c>
      <c r="I155" s="1537">
        <v>102</v>
      </c>
      <c r="J155" s="1532">
        <v>52</v>
      </c>
      <c r="K155" s="1531">
        <f t="shared" ref="K155" si="134">J155+I155</f>
        <v>154</v>
      </c>
      <c r="L155" s="1532">
        <v>229</v>
      </c>
      <c r="M155" s="1532">
        <v>160</v>
      </c>
      <c r="N155" s="1531">
        <f t="shared" ref="N155" si="135">M155+L155</f>
        <v>389</v>
      </c>
      <c r="O155" s="963" t="s">
        <v>1438</v>
      </c>
      <c r="P155" s="1534">
        <v>65</v>
      </c>
    </row>
    <row r="156" spans="1:16" ht="24" customHeight="1">
      <c r="A156" s="1534"/>
      <c r="B156" s="1553"/>
      <c r="C156" s="1537"/>
      <c r="D156" s="1533"/>
      <c r="E156" s="1533"/>
      <c r="F156" s="1537"/>
      <c r="G156" s="1532"/>
      <c r="H156" s="1532"/>
      <c r="I156" s="1537"/>
      <c r="J156" s="1532"/>
      <c r="K156" s="1531"/>
      <c r="L156" s="1532"/>
      <c r="M156" s="1532"/>
      <c r="N156" s="1531"/>
      <c r="O156" s="963" t="s">
        <v>1439</v>
      </c>
      <c r="P156" s="1534"/>
    </row>
    <row r="157" spans="1:16" ht="24" customHeight="1">
      <c r="A157" s="1601">
        <v>66</v>
      </c>
      <c r="B157" s="1539" t="s">
        <v>1443</v>
      </c>
      <c r="C157" s="1509">
        <v>1</v>
      </c>
      <c r="D157" s="1548">
        <v>15</v>
      </c>
      <c r="E157" s="1548">
        <f>D157+C157</f>
        <v>16</v>
      </c>
      <c r="F157" s="1509">
        <v>11</v>
      </c>
      <c r="G157" s="1507">
        <v>57</v>
      </c>
      <c r="H157" s="1507">
        <f t="shared" ref="H157" si="136">G157+F157</f>
        <v>68</v>
      </c>
      <c r="I157" s="1509">
        <v>25</v>
      </c>
      <c r="J157" s="1507">
        <v>108</v>
      </c>
      <c r="K157" s="1506">
        <f t="shared" ref="K157" si="137">J157+I157</f>
        <v>133</v>
      </c>
      <c r="L157" s="1507">
        <v>66</v>
      </c>
      <c r="M157" s="1507">
        <v>242</v>
      </c>
      <c r="N157" s="1506">
        <f t="shared" ref="N157" si="138">M157+L157</f>
        <v>308</v>
      </c>
      <c r="O157" s="1092" t="s">
        <v>1441</v>
      </c>
      <c r="P157" s="1601">
        <v>66</v>
      </c>
    </row>
    <row r="158" spans="1:16" ht="24" customHeight="1">
      <c r="A158" s="1601"/>
      <c r="B158" s="1539"/>
      <c r="C158" s="1509"/>
      <c r="D158" s="1548"/>
      <c r="E158" s="1548"/>
      <c r="F158" s="1509"/>
      <c r="G158" s="1507"/>
      <c r="H158" s="1507"/>
      <c r="I158" s="1509"/>
      <c r="J158" s="1507"/>
      <c r="K158" s="1506"/>
      <c r="L158" s="1507"/>
      <c r="M158" s="1507"/>
      <c r="N158" s="1506"/>
      <c r="O158" s="1092" t="s">
        <v>1442</v>
      </c>
      <c r="P158" s="1601"/>
    </row>
    <row r="159" spans="1:16" ht="24" customHeight="1">
      <c r="A159" s="1534">
        <v>67</v>
      </c>
      <c r="B159" s="1553" t="s">
        <v>1446</v>
      </c>
      <c r="C159" s="1537">
        <v>1</v>
      </c>
      <c r="D159" s="1533">
        <v>6</v>
      </c>
      <c r="E159" s="1533">
        <f>D159+C159</f>
        <v>7</v>
      </c>
      <c r="F159" s="1537">
        <v>23</v>
      </c>
      <c r="G159" s="1532">
        <v>41</v>
      </c>
      <c r="H159" s="1532">
        <f t="shared" ref="H159" si="139">G159+F159</f>
        <v>64</v>
      </c>
      <c r="I159" s="1537">
        <v>15</v>
      </c>
      <c r="J159" s="1532">
        <v>12</v>
      </c>
      <c r="K159" s="1531">
        <f>J159+I159</f>
        <v>27</v>
      </c>
      <c r="L159" s="1532">
        <v>55</v>
      </c>
      <c r="M159" s="1532">
        <v>70</v>
      </c>
      <c r="N159" s="1531">
        <f t="shared" ref="N159" si="140">M159+L159</f>
        <v>125</v>
      </c>
      <c r="O159" s="963" t="s">
        <v>1444</v>
      </c>
      <c r="P159" s="1534">
        <v>67</v>
      </c>
    </row>
    <row r="160" spans="1:16" ht="24" customHeight="1">
      <c r="A160" s="1534"/>
      <c r="B160" s="1553"/>
      <c r="C160" s="1537"/>
      <c r="D160" s="1533"/>
      <c r="E160" s="1533"/>
      <c r="F160" s="1537"/>
      <c r="G160" s="1532"/>
      <c r="H160" s="1532"/>
      <c r="I160" s="1537"/>
      <c r="J160" s="1532"/>
      <c r="K160" s="1531"/>
      <c r="L160" s="1532"/>
      <c r="M160" s="1532"/>
      <c r="N160" s="1531"/>
      <c r="O160" s="963" t="s">
        <v>1445</v>
      </c>
      <c r="P160" s="1534"/>
    </row>
    <row r="161" spans="1:18" ht="24" customHeight="1">
      <c r="A161" s="1601">
        <v>68</v>
      </c>
      <c r="B161" s="1539" t="s">
        <v>872</v>
      </c>
      <c r="C161" s="1509" t="s">
        <v>14</v>
      </c>
      <c r="D161" s="1548">
        <v>28</v>
      </c>
      <c r="E161" s="1548">
        <f>D161</f>
        <v>28</v>
      </c>
      <c r="F161" s="1509" t="s">
        <v>14</v>
      </c>
      <c r="G161" s="1507">
        <v>274</v>
      </c>
      <c r="H161" s="1507">
        <f>G161</f>
        <v>274</v>
      </c>
      <c r="I161" s="1509" t="s">
        <v>14</v>
      </c>
      <c r="J161" s="1507">
        <v>491</v>
      </c>
      <c r="K161" s="1506">
        <f>J161</f>
        <v>491</v>
      </c>
      <c r="L161" s="1507" t="s">
        <v>14</v>
      </c>
      <c r="M161" s="1507">
        <v>809</v>
      </c>
      <c r="N161" s="1506">
        <f>M161</f>
        <v>809</v>
      </c>
      <c r="O161" s="1092" t="s">
        <v>775</v>
      </c>
      <c r="P161" s="1601">
        <v>68</v>
      </c>
    </row>
    <row r="162" spans="1:18" ht="24" customHeight="1">
      <c r="A162" s="1601"/>
      <c r="B162" s="1539"/>
      <c r="C162" s="1509"/>
      <c r="D162" s="1548"/>
      <c r="E162" s="1548"/>
      <c r="F162" s="1509"/>
      <c r="G162" s="1507"/>
      <c r="H162" s="1507"/>
      <c r="I162" s="1509"/>
      <c r="J162" s="1507"/>
      <c r="K162" s="1506"/>
      <c r="L162" s="1507"/>
      <c r="M162" s="1507"/>
      <c r="N162" s="1506"/>
      <c r="O162" s="1092" t="s">
        <v>776</v>
      </c>
      <c r="P162" s="1601"/>
    </row>
    <row r="163" spans="1:18" ht="24" customHeight="1">
      <c r="A163" s="1534">
        <v>69</v>
      </c>
      <c r="B163" s="1553" t="s">
        <v>1361</v>
      </c>
      <c r="C163" s="1537" t="s">
        <v>14</v>
      </c>
      <c r="D163" s="1533">
        <v>15</v>
      </c>
      <c r="E163" s="1533">
        <f t="shared" ref="E163" si="141">D163</f>
        <v>15</v>
      </c>
      <c r="F163" s="1537" t="s">
        <v>14</v>
      </c>
      <c r="G163" s="1532">
        <v>43</v>
      </c>
      <c r="H163" s="1532">
        <f t="shared" ref="H163" si="142">G163</f>
        <v>43</v>
      </c>
      <c r="I163" s="1537" t="s">
        <v>14</v>
      </c>
      <c r="J163" s="1532">
        <v>83</v>
      </c>
      <c r="K163" s="1531">
        <f t="shared" ref="K163" si="143">J163</f>
        <v>83</v>
      </c>
      <c r="L163" s="1532" t="s">
        <v>14</v>
      </c>
      <c r="M163" s="1532">
        <v>222</v>
      </c>
      <c r="N163" s="1531">
        <f t="shared" ref="N163" si="144">M163</f>
        <v>222</v>
      </c>
      <c r="O163" s="963" t="s">
        <v>1359</v>
      </c>
      <c r="P163" s="1534">
        <v>69</v>
      </c>
    </row>
    <row r="164" spans="1:18" ht="24" customHeight="1">
      <c r="A164" s="1534"/>
      <c r="B164" s="1553"/>
      <c r="C164" s="1537"/>
      <c r="D164" s="1533"/>
      <c r="E164" s="1533"/>
      <c r="F164" s="1537"/>
      <c r="G164" s="1532"/>
      <c r="H164" s="1532"/>
      <c r="I164" s="1537"/>
      <c r="J164" s="1532"/>
      <c r="K164" s="1531"/>
      <c r="L164" s="1532"/>
      <c r="M164" s="1532"/>
      <c r="N164" s="1531"/>
      <c r="O164" s="963" t="s">
        <v>1360</v>
      </c>
      <c r="P164" s="1534"/>
    </row>
    <row r="165" spans="1:18" ht="24" customHeight="1">
      <c r="A165" s="1601">
        <v>70</v>
      </c>
      <c r="B165" s="1539" t="s">
        <v>1498</v>
      </c>
      <c r="C165" s="1509" t="s">
        <v>14</v>
      </c>
      <c r="D165" s="1548">
        <v>13</v>
      </c>
      <c r="E165" s="1548">
        <f t="shared" ref="E165" si="145">D165</f>
        <v>13</v>
      </c>
      <c r="F165" s="1509" t="s">
        <v>14</v>
      </c>
      <c r="G165" s="1507">
        <v>38</v>
      </c>
      <c r="H165" s="1507">
        <f t="shared" ref="H165" si="146">G165</f>
        <v>38</v>
      </c>
      <c r="I165" s="1509" t="s">
        <v>14</v>
      </c>
      <c r="J165" s="1507">
        <v>70</v>
      </c>
      <c r="K165" s="1506">
        <f t="shared" ref="K165" si="147">J165</f>
        <v>70</v>
      </c>
      <c r="L165" s="1507" t="s">
        <v>14</v>
      </c>
      <c r="M165" s="1507">
        <v>147</v>
      </c>
      <c r="N165" s="1506">
        <f t="shared" ref="N165" si="148">M165</f>
        <v>147</v>
      </c>
      <c r="O165" s="1092" t="s">
        <v>1499</v>
      </c>
      <c r="P165" s="1601">
        <v>70</v>
      </c>
    </row>
    <row r="166" spans="1:18" ht="24" customHeight="1">
      <c r="A166" s="1601"/>
      <c r="B166" s="1539"/>
      <c r="C166" s="1509"/>
      <c r="D166" s="1548"/>
      <c r="E166" s="1548"/>
      <c r="F166" s="1509"/>
      <c r="G166" s="1507"/>
      <c r="H166" s="1507"/>
      <c r="I166" s="1509"/>
      <c r="J166" s="1507"/>
      <c r="K166" s="1506"/>
      <c r="L166" s="1507"/>
      <c r="M166" s="1507"/>
      <c r="N166" s="1506"/>
      <c r="O166" s="1092" t="s">
        <v>1500</v>
      </c>
      <c r="P166" s="1601"/>
    </row>
    <row r="167" spans="1:18" ht="24" customHeight="1">
      <c r="A167" s="1534">
        <v>71</v>
      </c>
      <c r="B167" s="1553" t="s">
        <v>1503</v>
      </c>
      <c r="C167" s="1537" t="s">
        <v>14</v>
      </c>
      <c r="D167" s="1533">
        <v>3</v>
      </c>
      <c r="E167" s="1533">
        <f>D167</f>
        <v>3</v>
      </c>
      <c r="F167" s="1537">
        <v>9</v>
      </c>
      <c r="G167" s="1532" t="s">
        <v>14</v>
      </c>
      <c r="H167" s="1532">
        <f>F167</f>
        <v>9</v>
      </c>
      <c r="I167" s="1537">
        <v>11</v>
      </c>
      <c r="J167" s="1532" t="s">
        <v>14</v>
      </c>
      <c r="K167" s="1531">
        <f>I167</f>
        <v>11</v>
      </c>
      <c r="L167" s="1532">
        <v>22</v>
      </c>
      <c r="M167" s="1532" t="s">
        <v>14</v>
      </c>
      <c r="N167" s="1531">
        <f>L167</f>
        <v>22</v>
      </c>
      <c r="O167" s="963" t="s">
        <v>1501</v>
      </c>
      <c r="P167" s="1534">
        <v>71</v>
      </c>
    </row>
    <row r="168" spans="1:18" ht="24" customHeight="1">
      <c r="A168" s="1534"/>
      <c r="B168" s="1553"/>
      <c r="C168" s="1537"/>
      <c r="D168" s="1533"/>
      <c r="E168" s="1533"/>
      <c r="F168" s="1537"/>
      <c r="G168" s="1532"/>
      <c r="H168" s="1532"/>
      <c r="I168" s="1537"/>
      <c r="J168" s="1532"/>
      <c r="K168" s="1531"/>
      <c r="L168" s="1532"/>
      <c r="M168" s="1532"/>
      <c r="N168" s="1531"/>
      <c r="O168" s="963" t="s">
        <v>1502</v>
      </c>
      <c r="P168" s="1534"/>
    </row>
    <row r="169" spans="1:18" ht="24" customHeight="1">
      <c r="A169" s="1601">
        <v>72</v>
      </c>
      <c r="B169" s="1539" t="s">
        <v>1449</v>
      </c>
      <c r="C169" s="1509" t="s">
        <v>14</v>
      </c>
      <c r="D169" s="1548">
        <v>13</v>
      </c>
      <c r="E169" s="1548">
        <f>D169</f>
        <v>13</v>
      </c>
      <c r="F169" s="1509" t="s">
        <v>14</v>
      </c>
      <c r="G169" s="1507">
        <v>157</v>
      </c>
      <c r="H169" s="1507">
        <f>G169</f>
        <v>157</v>
      </c>
      <c r="I169" s="1509" t="s">
        <v>14</v>
      </c>
      <c r="J169" s="1507">
        <f>91+78</f>
        <v>169</v>
      </c>
      <c r="K169" s="1506">
        <f>J169</f>
        <v>169</v>
      </c>
      <c r="L169" s="1507" t="s">
        <v>14</v>
      </c>
      <c r="M169" s="1507">
        <f>91+301</f>
        <v>392</v>
      </c>
      <c r="N169" s="1506">
        <f>M169</f>
        <v>392</v>
      </c>
      <c r="O169" s="1092" t="s">
        <v>1447</v>
      </c>
      <c r="P169" s="1601">
        <v>72</v>
      </c>
      <c r="R169" s="132" t="s">
        <v>1853</v>
      </c>
    </row>
    <row r="170" spans="1:18" ht="24" customHeight="1">
      <c r="A170" s="1601"/>
      <c r="B170" s="1539"/>
      <c r="C170" s="1509"/>
      <c r="D170" s="1548"/>
      <c r="E170" s="1548"/>
      <c r="F170" s="1509"/>
      <c r="G170" s="1507"/>
      <c r="H170" s="1507"/>
      <c r="I170" s="1509"/>
      <c r="J170" s="1507"/>
      <c r="K170" s="1506"/>
      <c r="L170" s="1507"/>
      <c r="M170" s="1507"/>
      <c r="N170" s="1506"/>
      <c r="O170" s="1092" t="s">
        <v>1448</v>
      </c>
      <c r="P170" s="1601"/>
    </row>
    <row r="171" spans="1:18" ht="24" customHeight="1">
      <c r="A171" s="1534">
        <v>73</v>
      </c>
      <c r="B171" s="1553" t="s">
        <v>1452</v>
      </c>
      <c r="C171" s="1537" t="s">
        <v>14</v>
      </c>
      <c r="D171" s="1533">
        <v>9</v>
      </c>
      <c r="E171" s="1533">
        <f t="shared" ref="E171" si="149">D171</f>
        <v>9</v>
      </c>
      <c r="F171" s="1537" t="s">
        <v>14</v>
      </c>
      <c r="G171" s="1532">
        <v>47</v>
      </c>
      <c r="H171" s="1532">
        <f t="shared" ref="H171" si="150">G171</f>
        <v>47</v>
      </c>
      <c r="I171" s="1537" t="s">
        <v>14</v>
      </c>
      <c r="J171" s="1532">
        <v>31</v>
      </c>
      <c r="K171" s="1531">
        <f t="shared" ref="K171" si="151">J171</f>
        <v>31</v>
      </c>
      <c r="L171" s="1532" t="s">
        <v>14</v>
      </c>
      <c r="M171" s="1532">
        <v>104</v>
      </c>
      <c r="N171" s="1531">
        <f>M171</f>
        <v>104</v>
      </c>
      <c r="O171" s="963" t="s">
        <v>1450</v>
      </c>
      <c r="P171" s="1534">
        <v>73</v>
      </c>
    </row>
    <row r="172" spans="1:18" ht="24" customHeight="1">
      <c r="A172" s="1534"/>
      <c r="B172" s="1553"/>
      <c r="C172" s="1537"/>
      <c r="D172" s="1533"/>
      <c r="E172" s="1533"/>
      <c r="F172" s="1537"/>
      <c r="G172" s="1532"/>
      <c r="H172" s="1532"/>
      <c r="I172" s="1537"/>
      <c r="J172" s="1532"/>
      <c r="K172" s="1531"/>
      <c r="L172" s="1532"/>
      <c r="M172" s="1532"/>
      <c r="N172" s="1531"/>
      <c r="O172" s="963" t="s">
        <v>1451</v>
      </c>
      <c r="P172" s="1534"/>
    </row>
    <row r="173" spans="1:18" ht="24" customHeight="1">
      <c r="A173" s="1601">
        <v>74</v>
      </c>
      <c r="B173" s="1539" t="s">
        <v>870</v>
      </c>
      <c r="C173" s="1509" t="s">
        <v>14</v>
      </c>
      <c r="D173" s="1548">
        <v>43</v>
      </c>
      <c r="E173" s="1548">
        <f t="shared" ref="E173" si="152">D173</f>
        <v>43</v>
      </c>
      <c r="F173" s="1509" t="s">
        <v>14</v>
      </c>
      <c r="G173" s="1507">
        <v>156</v>
      </c>
      <c r="H173" s="1507">
        <f t="shared" ref="H173" si="153">G173</f>
        <v>156</v>
      </c>
      <c r="I173" s="1509" t="s">
        <v>14</v>
      </c>
      <c r="J173" s="1507">
        <v>331</v>
      </c>
      <c r="K173" s="1506">
        <f t="shared" ref="K173" si="154">J173</f>
        <v>331</v>
      </c>
      <c r="L173" s="1507" t="s">
        <v>14</v>
      </c>
      <c r="M173" s="1507">
        <v>796</v>
      </c>
      <c r="N173" s="1506">
        <f>M173</f>
        <v>796</v>
      </c>
      <c r="O173" s="1092" t="s">
        <v>758</v>
      </c>
      <c r="P173" s="1601">
        <v>74</v>
      </c>
    </row>
    <row r="174" spans="1:18" ht="24" customHeight="1">
      <c r="A174" s="1601"/>
      <c r="B174" s="1539"/>
      <c r="C174" s="1509"/>
      <c r="D174" s="1548"/>
      <c r="E174" s="1548"/>
      <c r="F174" s="1509"/>
      <c r="G174" s="1507"/>
      <c r="H174" s="1507"/>
      <c r="I174" s="1509"/>
      <c r="J174" s="1507"/>
      <c r="K174" s="1506"/>
      <c r="L174" s="1507"/>
      <c r="M174" s="1507"/>
      <c r="N174" s="1506"/>
      <c r="O174" s="1092" t="s">
        <v>759</v>
      </c>
      <c r="P174" s="1601"/>
    </row>
    <row r="175" spans="1:18" ht="24" customHeight="1">
      <c r="A175" s="1534">
        <v>75</v>
      </c>
      <c r="B175" s="1553" t="s">
        <v>1473</v>
      </c>
      <c r="C175" s="1537" t="s">
        <v>14</v>
      </c>
      <c r="D175" s="1533">
        <v>15</v>
      </c>
      <c r="E175" s="1533">
        <f t="shared" ref="E175" si="155">D175</f>
        <v>15</v>
      </c>
      <c r="F175" s="1537">
        <v>2</v>
      </c>
      <c r="G175" s="1532">
        <v>116</v>
      </c>
      <c r="H175" s="1532">
        <f>G175+F175</f>
        <v>118</v>
      </c>
      <c r="I175" s="1537">
        <v>13</v>
      </c>
      <c r="J175" s="1532">
        <v>222</v>
      </c>
      <c r="K175" s="1531">
        <f>J175+I175</f>
        <v>235</v>
      </c>
      <c r="L175" s="1532">
        <v>30</v>
      </c>
      <c r="M175" s="1532">
        <v>383</v>
      </c>
      <c r="N175" s="1531">
        <f>M175+L175</f>
        <v>413</v>
      </c>
      <c r="O175" s="963" t="s">
        <v>1471</v>
      </c>
      <c r="P175" s="1534">
        <v>75</v>
      </c>
    </row>
    <row r="176" spans="1:18" ht="24" customHeight="1">
      <c r="A176" s="1534"/>
      <c r="B176" s="1553"/>
      <c r="C176" s="1537"/>
      <c r="D176" s="1533"/>
      <c r="E176" s="1533"/>
      <c r="F176" s="1537"/>
      <c r="G176" s="1532"/>
      <c r="H176" s="1532"/>
      <c r="I176" s="1537"/>
      <c r="J176" s="1532"/>
      <c r="K176" s="1531"/>
      <c r="L176" s="1532"/>
      <c r="M176" s="1532"/>
      <c r="N176" s="1531"/>
      <c r="O176" s="963" t="s">
        <v>1472</v>
      </c>
      <c r="P176" s="1534"/>
    </row>
    <row r="177" spans="1:16" ht="24" customHeight="1">
      <c r="A177" s="1601">
        <v>76</v>
      </c>
      <c r="B177" s="1539" t="s">
        <v>1474</v>
      </c>
      <c r="C177" s="1509" t="s">
        <v>14</v>
      </c>
      <c r="D177" s="1548">
        <v>11</v>
      </c>
      <c r="E177" s="1548">
        <f>D177</f>
        <v>11</v>
      </c>
      <c r="F177" s="1509" t="s">
        <v>14</v>
      </c>
      <c r="G177" s="1507">
        <v>151</v>
      </c>
      <c r="H177" s="1507">
        <f>G177</f>
        <v>151</v>
      </c>
      <c r="I177" s="1509" t="s">
        <v>14</v>
      </c>
      <c r="J177" s="1507">
        <v>245</v>
      </c>
      <c r="K177" s="1506">
        <f>J177+0</f>
        <v>245</v>
      </c>
      <c r="L177" s="1507" t="s">
        <v>14</v>
      </c>
      <c r="M177" s="1507">
        <v>661</v>
      </c>
      <c r="N177" s="1506">
        <f>M177</f>
        <v>661</v>
      </c>
      <c r="O177" s="1092" t="s">
        <v>1476</v>
      </c>
      <c r="P177" s="1601">
        <v>76</v>
      </c>
    </row>
    <row r="178" spans="1:16" ht="32.25" customHeight="1">
      <c r="A178" s="1603"/>
      <c r="B178" s="1593"/>
      <c r="C178" s="1574"/>
      <c r="D178" s="1594"/>
      <c r="E178" s="1594"/>
      <c r="F178" s="1574"/>
      <c r="G178" s="1561"/>
      <c r="H178" s="1561"/>
      <c r="I178" s="1574"/>
      <c r="J178" s="1561"/>
      <c r="K178" s="1562"/>
      <c r="L178" s="1561"/>
      <c r="M178" s="1561"/>
      <c r="N178" s="1562"/>
      <c r="O178" s="359" t="s">
        <v>1475</v>
      </c>
      <c r="P178" s="1603"/>
    </row>
    <row r="179" spans="1:16" ht="20.100000000000001" customHeight="1">
      <c r="A179" s="1525" t="s">
        <v>884</v>
      </c>
      <c r="B179" s="1525"/>
      <c r="C179" s="1525"/>
      <c r="D179" s="1525"/>
      <c r="E179" s="1525"/>
      <c r="F179" s="1525"/>
      <c r="G179" s="1525"/>
      <c r="H179" s="1525"/>
      <c r="I179" s="1525"/>
      <c r="J179" s="1525"/>
      <c r="K179" s="1526" t="s">
        <v>885</v>
      </c>
      <c r="L179" s="1526"/>
      <c r="M179" s="1526"/>
      <c r="N179" s="1526"/>
      <c r="O179" s="1526"/>
      <c r="P179" s="1526"/>
    </row>
    <row r="180" spans="1:16" ht="20.100000000000001" customHeight="1">
      <c r="A180" s="1525"/>
      <c r="B180" s="1525"/>
      <c r="C180" s="1525"/>
      <c r="D180" s="1525"/>
      <c r="E180" s="1525"/>
      <c r="F180" s="1525"/>
      <c r="G180" s="1525"/>
      <c r="H180" s="1525"/>
      <c r="I180" s="1525"/>
      <c r="J180" s="1525"/>
      <c r="K180" s="1526" t="s">
        <v>1113</v>
      </c>
      <c r="L180" s="1526"/>
      <c r="M180" s="1526"/>
      <c r="N180" s="1526"/>
      <c r="O180" s="1526"/>
      <c r="P180" s="1526"/>
    </row>
    <row r="181" spans="1:16" ht="20.100000000000001" customHeight="1">
      <c r="A181" s="1522" t="s">
        <v>2028</v>
      </c>
      <c r="B181" s="1495" t="s">
        <v>407</v>
      </c>
      <c r="C181" s="1549" t="s">
        <v>123</v>
      </c>
      <c r="D181" s="1550"/>
      <c r="E181" s="1557"/>
      <c r="F181" s="1549" t="s">
        <v>882</v>
      </c>
      <c r="G181" s="1550"/>
      <c r="H181" s="1557"/>
      <c r="I181" s="1549" t="s">
        <v>105</v>
      </c>
      <c r="J181" s="1550"/>
      <c r="K181" s="1550"/>
      <c r="L181" s="1495" t="s">
        <v>881</v>
      </c>
      <c r="M181" s="1498"/>
      <c r="N181" s="1499"/>
      <c r="O181" s="1499" t="s">
        <v>408</v>
      </c>
      <c r="P181" s="1522" t="s">
        <v>2027</v>
      </c>
    </row>
    <row r="182" spans="1:16" ht="20.100000000000001" customHeight="1">
      <c r="A182" s="1523"/>
      <c r="B182" s="1496"/>
      <c r="C182" s="1541" t="s">
        <v>546</v>
      </c>
      <c r="D182" s="1542"/>
      <c r="E182" s="1543"/>
      <c r="F182" s="1544" t="s">
        <v>506</v>
      </c>
      <c r="G182" s="1545"/>
      <c r="H182" s="1546"/>
      <c r="I182" s="1544" t="s">
        <v>505</v>
      </c>
      <c r="J182" s="1545"/>
      <c r="K182" s="1545"/>
      <c r="L182" s="1496" t="s">
        <v>883</v>
      </c>
      <c r="M182" s="1547"/>
      <c r="N182" s="1505"/>
      <c r="O182" s="1505"/>
      <c r="P182" s="1523"/>
    </row>
    <row r="183" spans="1:16" ht="20.100000000000001" customHeight="1">
      <c r="A183" s="1523"/>
      <c r="B183" s="1496"/>
      <c r="C183" s="1500" t="s">
        <v>73</v>
      </c>
      <c r="D183" s="1501"/>
      <c r="E183" s="1502"/>
      <c r="F183" s="1500" t="s">
        <v>126</v>
      </c>
      <c r="G183" s="1501"/>
      <c r="H183" s="1502"/>
      <c r="I183" s="1500" t="s">
        <v>127</v>
      </c>
      <c r="J183" s="1501"/>
      <c r="K183" s="1501"/>
      <c r="L183" s="1497" t="s">
        <v>62</v>
      </c>
      <c r="M183" s="1503"/>
      <c r="N183" s="1504"/>
      <c r="O183" s="1505"/>
      <c r="P183" s="1523"/>
    </row>
    <row r="184" spans="1:16" ht="20.100000000000001" customHeight="1">
      <c r="A184" s="1523"/>
      <c r="B184" s="1496"/>
      <c r="C184" s="994" t="s">
        <v>0</v>
      </c>
      <c r="D184" s="1088" t="s">
        <v>1</v>
      </c>
      <c r="E184" s="1067" t="s">
        <v>2</v>
      </c>
      <c r="F184" s="994" t="s">
        <v>0</v>
      </c>
      <c r="G184" s="1088" t="s">
        <v>1</v>
      </c>
      <c r="H184" s="1067" t="s">
        <v>2</v>
      </c>
      <c r="I184" s="994" t="s">
        <v>0</v>
      </c>
      <c r="J184" s="1088" t="s">
        <v>1</v>
      </c>
      <c r="K184" s="1067" t="s">
        <v>2</v>
      </c>
      <c r="L184" s="994" t="s">
        <v>0</v>
      </c>
      <c r="M184" s="1088" t="s">
        <v>1</v>
      </c>
      <c r="N184" s="1067" t="s">
        <v>2</v>
      </c>
      <c r="O184" s="1505"/>
      <c r="P184" s="1523"/>
    </row>
    <row r="185" spans="1:16" ht="20.100000000000001" customHeight="1">
      <c r="A185" s="1523"/>
      <c r="B185" s="1496"/>
      <c r="C185" s="1089" t="s">
        <v>500</v>
      </c>
      <c r="D185" s="1090" t="s">
        <v>501</v>
      </c>
      <c r="E185" s="1067" t="s">
        <v>502</v>
      </c>
      <c r="F185" s="1089" t="s">
        <v>500</v>
      </c>
      <c r="G185" s="1090" t="s">
        <v>501</v>
      </c>
      <c r="H185" s="1067" t="s">
        <v>502</v>
      </c>
      <c r="I185" s="1089" t="s">
        <v>500</v>
      </c>
      <c r="J185" s="1090" t="s">
        <v>501</v>
      </c>
      <c r="K185" s="1067" t="s">
        <v>502</v>
      </c>
      <c r="L185" s="1089" t="s">
        <v>500</v>
      </c>
      <c r="M185" s="1090" t="s">
        <v>501</v>
      </c>
      <c r="N185" s="1067" t="s">
        <v>502</v>
      </c>
      <c r="O185" s="1505"/>
      <c r="P185" s="1523"/>
    </row>
    <row r="186" spans="1:16" ht="20.100000000000001" customHeight="1">
      <c r="A186" s="1524"/>
      <c r="B186" s="1497"/>
      <c r="C186" s="1061" t="s">
        <v>52</v>
      </c>
      <c r="D186" s="1091" t="s">
        <v>53</v>
      </c>
      <c r="E186" s="1069" t="s">
        <v>28</v>
      </c>
      <c r="F186" s="1061" t="s">
        <v>52</v>
      </c>
      <c r="G186" s="1091" t="s">
        <v>53</v>
      </c>
      <c r="H186" s="1069" t="s">
        <v>28</v>
      </c>
      <c r="I186" s="1061" t="s">
        <v>52</v>
      </c>
      <c r="J186" s="1091" t="s">
        <v>53</v>
      </c>
      <c r="K186" s="1069" t="s">
        <v>28</v>
      </c>
      <c r="L186" s="1061" t="s">
        <v>52</v>
      </c>
      <c r="M186" s="1091" t="s">
        <v>53</v>
      </c>
      <c r="N186" s="1069" t="s">
        <v>28</v>
      </c>
      <c r="O186" s="1504"/>
      <c r="P186" s="1524"/>
    </row>
    <row r="187" spans="1:16" ht="21.95" customHeight="1">
      <c r="A187" s="1530">
        <v>77</v>
      </c>
      <c r="B187" s="1597" t="s">
        <v>1477</v>
      </c>
      <c r="C187" s="1559" t="s">
        <v>14</v>
      </c>
      <c r="D187" s="1591">
        <v>11</v>
      </c>
      <c r="E187" s="1591">
        <f>D187</f>
        <v>11</v>
      </c>
      <c r="F187" s="1559" t="s">
        <v>14</v>
      </c>
      <c r="G187" s="1540">
        <v>43</v>
      </c>
      <c r="H187" s="1565">
        <f>G187</f>
        <v>43</v>
      </c>
      <c r="I187" s="1540" t="s">
        <v>14</v>
      </c>
      <c r="J187" s="1540">
        <v>104</v>
      </c>
      <c r="K187" s="1565">
        <f>J187+0</f>
        <v>104</v>
      </c>
      <c r="L187" s="1540" t="s">
        <v>14</v>
      </c>
      <c r="M187" s="1540">
        <v>206</v>
      </c>
      <c r="N187" s="1565">
        <f>M187</f>
        <v>206</v>
      </c>
      <c r="O187" s="653" t="s">
        <v>1479</v>
      </c>
      <c r="P187" s="1530">
        <v>77</v>
      </c>
    </row>
    <row r="188" spans="1:16" ht="21.95" customHeight="1">
      <c r="A188" s="1528"/>
      <c r="B188" s="1558"/>
      <c r="C188" s="1537"/>
      <c r="D188" s="1533"/>
      <c r="E188" s="1533"/>
      <c r="F188" s="1537"/>
      <c r="G188" s="1532"/>
      <c r="H188" s="1531"/>
      <c r="I188" s="1532"/>
      <c r="J188" s="1532"/>
      <c r="K188" s="1531"/>
      <c r="L188" s="1532"/>
      <c r="M188" s="1532"/>
      <c r="N188" s="1531"/>
      <c r="O188" s="632" t="s">
        <v>1478</v>
      </c>
      <c r="P188" s="1528"/>
    </row>
    <row r="189" spans="1:16" ht="21.95" customHeight="1">
      <c r="A189" s="1604">
        <v>78</v>
      </c>
      <c r="B189" s="1508" t="s">
        <v>1480</v>
      </c>
      <c r="C189" s="1509" t="s">
        <v>14</v>
      </c>
      <c r="D189" s="1548">
        <v>6</v>
      </c>
      <c r="E189" s="1548">
        <f>D189</f>
        <v>6</v>
      </c>
      <c r="F189" s="1509" t="s">
        <v>14</v>
      </c>
      <c r="G189" s="1507" t="s">
        <v>14</v>
      </c>
      <c r="H189" s="1506" t="str">
        <f>G189</f>
        <v>-</v>
      </c>
      <c r="I189" s="1507" t="s">
        <v>14</v>
      </c>
      <c r="J189" s="1507">
        <v>43</v>
      </c>
      <c r="K189" s="1506">
        <f>J189+0</f>
        <v>43</v>
      </c>
      <c r="L189" s="1507" t="s">
        <v>14</v>
      </c>
      <c r="M189" s="1507">
        <v>82</v>
      </c>
      <c r="N189" s="1506">
        <f>M189</f>
        <v>82</v>
      </c>
      <c r="O189" s="590" t="s">
        <v>1481</v>
      </c>
      <c r="P189" s="1604">
        <v>78</v>
      </c>
    </row>
    <row r="190" spans="1:16" ht="21.95" customHeight="1">
      <c r="A190" s="1604"/>
      <c r="B190" s="1508"/>
      <c r="C190" s="1509"/>
      <c r="D190" s="1548"/>
      <c r="E190" s="1548"/>
      <c r="F190" s="1509"/>
      <c r="G190" s="1507"/>
      <c r="H190" s="1506"/>
      <c r="I190" s="1507"/>
      <c r="J190" s="1507"/>
      <c r="K190" s="1506"/>
      <c r="L190" s="1507"/>
      <c r="M190" s="1507"/>
      <c r="N190" s="1506"/>
      <c r="O190" s="590" t="s">
        <v>1482</v>
      </c>
      <c r="P190" s="1604"/>
    </row>
    <row r="191" spans="1:16" ht="21.95" customHeight="1">
      <c r="A191" s="1528">
        <v>79</v>
      </c>
      <c r="B191" s="1558" t="s">
        <v>788</v>
      </c>
      <c r="C191" s="1537" t="s">
        <v>14</v>
      </c>
      <c r="D191" s="1533">
        <v>21</v>
      </c>
      <c r="E191" s="1533">
        <f t="shared" ref="E191" si="156">D191</f>
        <v>21</v>
      </c>
      <c r="F191" s="1537" t="s">
        <v>14</v>
      </c>
      <c r="G191" s="1532">
        <v>151</v>
      </c>
      <c r="H191" s="1531">
        <f>G191</f>
        <v>151</v>
      </c>
      <c r="I191" s="1532" t="s">
        <v>14</v>
      </c>
      <c r="J191" s="1532">
        <v>173</v>
      </c>
      <c r="K191" s="1531">
        <f t="shared" ref="K191" si="157">J191+0</f>
        <v>173</v>
      </c>
      <c r="L191" s="1532" t="s">
        <v>14</v>
      </c>
      <c r="M191" s="1532">
        <v>385</v>
      </c>
      <c r="N191" s="1531">
        <f t="shared" ref="N191" si="158">M191</f>
        <v>385</v>
      </c>
      <c r="O191" s="632" t="s">
        <v>756</v>
      </c>
      <c r="P191" s="1528">
        <v>79</v>
      </c>
    </row>
    <row r="192" spans="1:16" ht="29.25" customHeight="1">
      <c r="A192" s="1528"/>
      <c r="B192" s="1558"/>
      <c r="C192" s="1537"/>
      <c r="D192" s="1533"/>
      <c r="E192" s="1533"/>
      <c r="F192" s="1537"/>
      <c r="G192" s="1532"/>
      <c r="H192" s="1531"/>
      <c r="I192" s="1532"/>
      <c r="J192" s="1532"/>
      <c r="K192" s="1531"/>
      <c r="L192" s="1532"/>
      <c r="M192" s="1532"/>
      <c r="N192" s="1531"/>
      <c r="O192" s="632" t="s">
        <v>755</v>
      </c>
      <c r="P192" s="1528"/>
    </row>
    <row r="193" spans="1:16" ht="23.1" customHeight="1">
      <c r="A193" s="1604">
        <v>80</v>
      </c>
      <c r="B193" s="1508" t="s">
        <v>1518</v>
      </c>
      <c r="C193" s="1509" t="s">
        <v>14</v>
      </c>
      <c r="D193" s="1548">
        <v>17</v>
      </c>
      <c r="E193" s="1548">
        <f t="shared" ref="E193" si="159">D193</f>
        <v>17</v>
      </c>
      <c r="F193" s="1509" t="s">
        <v>14</v>
      </c>
      <c r="G193" s="1507">
        <v>82</v>
      </c>
      <c r="H193" s="1506">
        <f t="shared" ref="H193" si="160">G193</f>
        <v>82</v>
      </c>
      <c r="I193" s="1507" t="s">
        <v>14</v>
      </c>
      <c r="J193" s="1507">
        <v>133</v>
      </c>
      <c r="K193" s="1506">
        <f t="shared" ref="K193" si="161">J193+0</f>
        <v>133</v>
      </c>
      <c r="L193" s="1507" t="s">
        <v>14</v>
      </c>
      <c r="M193" s="1507">
        <v>355</v>
      </c>
      <c r="N193" s="1506">
        <f t="shared" ref="N193" si="162">M193</f>
        <v>355</v>
      </c>
      <c r="O193" s="590" t="s">
        <v>1516</v>
      </c>
      <c r="P193" s="1604">
        <v>80</v>
      </c>
    </row>
    <row r="194" spans="1:16" ht="23.1" customHeight="1">
      <c r="A194" s="1604"/>
      <c r="B194" s="1508"/>
      <c r="C194" s="1509"/>
      <c r="D194" s="1548"/>
      <c r="E194" s="1548"/>
      <c r="F194" s="1509"/>
      <c r="G194" s="1507"/>
      <c r="H194" s="1506"/>
      <c r="I194" s="1507"/>
      <c r="J194" s="1507"/>
      <c r="K194" s="1506"/>
      <c r="L194" s="1507"/>
      <c r="M194" s="1507"/>
      <c r="N194" s="1506"/>
      <c r="O194" s="590" t="s">
        <v>1517</v>
      </c>
      <c r="P194" s="1604"/>
    </row>
    <row r="195" spans="1:16" ht="23.1" customHeight="1">
      <c r="A195" s="1528">
        <v>81</v>
      </c>
      <c r="B195" s="1558" t="s">
        <v>1453</v>
      </c>
      <c r="C195" s="1537" t="s">
        <v>14</v>
      </c>
      <c r="D195" s="1533">
        <v>6</v>
      </c>
      <c r="E195" s="1533">
        <f t="shared" ref="E195" si="163">D195</f>
        <v>6</v>
      </c>
      <c r="F195" s="1537" t="s">
        <v>14</v>
      </c>
      <c r="G195" s="1532">
        <v>45</v>
      </c>
      <c r="H195" s="1531">
        <f t="shared" ref="H195" si="164">G195</f>
        <v>45</v>
      </c>
      <c r="I195" s="1532" t="s">
        <v>14</v>
      </c>
      <c r="J195" s="1532">
        <v>42</v>
      </c>
      <c r="K195" s="1531">
        <f t="shared" ref="K195" si="165">J195+0</f>
        <v>42</v>
      </c>
      <c r="L195" s="1532" t="s">
        <v>14</v>
      </c>
      <c r="M195" s="1532">
        <v>79</v>
      </c>
      <c r="N195" s="1531">
        <f t="shared" ref="N195" si="166">M195</f>
        <v>79</v>
      </c>
      <c r="O195" s="632" t="s">
        <v>1454</v>
      </c>
      <c r="P195" s="1528">
        <v>81</v>
      </c>
    </row>
    <row r="196" spans="1:16" ht="32.25" customHeight="1">
      <c r="A196" s="1528"/>
      <c r="B196" s="1558"/>
      <c r="C196" s="1537"/>
      <c r="D196" s="1533"/>
      <c r="E196" s="1533"/>
      <c r="F196" s="1537"/>
      <c r="G196" s="1532"/>
      <c r="H196" s="1531"/>
      <c r="I196" s="1532"/>
      <c r="J196" s="1532"/>
      <c r="K196" s="1531"/>
      <c r="L196" s="1532"/>
      <c r="M196" s="1532"/>
      <c r="N196" s="1531"/>
      <c r="O196" s="632" t="s">
        <v>1455</v>
      </c>
      <c r="P196" s="1528"/>
    </row>
    <row r="197" spans="1:16" ht="21.95" customHeight="1">
      <c r="A197" s="1604">
        <v>82</v>
      </c>
      <c r="B197" s="1558" t="s">
        <v>89</v>
      </c>
      <c r="C197" s="1537" t="s">
        <v>14</v>
      </c>
      <c r="D197" s="1532">
        <v>11</v>
      </c>
      <c r="E197" s="1533">
        <f t="shared" ref="E197" si="167">D197</f>
        <v>11</v>
      </c>
      <c r="F197" s="1537" t="s">
        <v>14</v>
      </c>
      <c r="G197" s="1532">
        <v>60</v>
      </c>
      <c r="H197" s="1531">
        <f t="shared" ref="H197" si="168">G197</f>
        <v>60</v>
      </c>
      <c r="I197" s="1532">
        <v>55</v>
      </c>
      <c r="J197" s="1532">
        <v>56</v>
      </c>
      <c r="K197" s="1531">
        <f>J197+I197</f>
        <v>111</v>
      </c>
      <c r="L197" s="1532">
        <v>72</v>
      </c>
      <c r="M197" s="1532">
        <v>185</v>
      </c>
      <c r="N197" s="1531">
        <f>M197+L197</f>
        <v>257</v>
      </c>
      <c r="O197" s="632" t="s">
        <v>90</v>
      </c>
      <c r="P197" s="1604">
        <v>82</v>
      </c>
    </row>
    <row r="198" spans="1:16" ht="21.95" customHeight="1">
      <c r="A198" s="1604"/>
      <c r="B198" s="1558"/>
      <c r="C198" s="1537"/>
      <c r="D198" s="1532"/>
      <c r="E198" s="1533"/>
      <c r="F198" s="1537"/>
      <c r="G198" s="1532"/>
      <c r="H198" s="1531"/>
      <c r="I198" s="1532"/>
      <c r="J198" s="1532"/>
      <c r="K198" s="1531"/>
      <c r="L198" s="1532"/>
      <c r="M198" s="1532"/>
      <c r="N198" s="1531"/>
      <c r="O198" s="632" t="s">
        <v>538</v>
      </c>
      <c r="P198" s="1604"/>
    </row>
    <row r="199" spans="1:16" ht="21.95" customHeight="1">
      <c r="A199" s="1528">
        <v>83</v>
      </c>
      <c r="B199" s="1558" t="s">
        <v>1368</v>
      </c>
      <c r="C199" s="1537">
        <v>1</v>
      </c>
      <c r="D199" s="1532">
        <v>23</v>
      </c>
      <c r="E199" s="1533">
        <f>D199+C199</f>
        <v>24</v>
      </c>
      <c r="F199" s="1537">
        <v>37</v>
      </c>
      <c r="G199" s="1532">
        <v>145</v>
      </c>
      <c r="H199" s="1531">
        <f>G199+F199</f>
        <v>182</v>
      </c>
      <c r="I199" s="1532">
        <v>37</v>
      </c>
      <c r="J199" s="1532">
        <v>95</v>
      </c>
      <c r="K199" s="1531">
        <f t="shared" ref="K199" si="169">J199+I199</f>
        <v>132</v>
      </c>
      <c r="L199" s="1532">
        <v>87</v>
      </c>
      <c r="M199" s="1532">
        <v>240</v>
      </c>
      <c r="N199" s="1531">
        <f t="shared" ref="N199" si="170">M199+L199</f>
        <v>327</v>
      </c>
      <c r="O199" s="632" t="s">
        <v>1378</v>
      </c>
      <c r="P199" s="1528">
        <v>83</v>
      </c>
    </row>
    <row r="200" spans="1:16" ht="21.95" customHeight="1">
      <c r="A200" s="1528"/>
      <c r="B200" s="1558"/>
      <c r="C200" s="1537"/>
      <c r="D200" s="1532"/>
      <c r="E200" s="1533"/>
      <c r="F200" s="1537"/>
      <c r="G200" s="1532"/>
      <c r="H200" s="1531"/>
      <c r="I200" s="1532"/>
      <c r="J200" s="1532"/>
      <c r="K200" s="1531"/>
      <c r="L200" s="1532"/>
      <c r="M200" s="1532"/>
      <c r="N200" s="1531"/>
      <c r="O200" s="632" t="s">
        <v>1379</v>
      </c>
      <c r="P200" s="1528"/>
    </row>
    <row r="201" spans="1:16" ht="21.95" customHeight="1">
      <c r="A201" s="1604">
        <v>84</v>
      </c>
      <c r="B201" s="1508" t="s">
        <v>1365</v>
      </c>
      <c r="C201" s="1509" t="s">
        <v>14</v>
      </c>
      <c r="D201" s="1507">
        <v>10</v>
      </c>
      <c r="E201" s="1548">
        <f>D201</f>
        <v>10</v>
      </c>
      <c r="F201" s="1509">
        <v>30</v>
      </c>
      <c r="G201" s="1507">
        <v>59</v>
      </c>
      <c r="H201" s="1506">
        <f t="shared" ref="H201" si="171">G201+F201</f>
        <v>89</v>
      </c>
      <c r="I201" s="1507">
        <v>20</v>
      </c>
      <c r="J201" s="1507">
        <v>76</v>
      </c>
      <c r="K201" s="1506">
        <f t="shared" ref="K201" si="172">J201+I201</f>
        <v>96</v>
      </c>
      <c r="L201" s="1507">
        <v>39</v>
      </c>
      <c r="M201" s="1507">
        <v>133</v>
      </c>
      <c r="N201" s="1506">
        <f t="shared" ref="N201" si="173">M201+L201</f>
        <v>172</v>
      </c>
      <c r="O201" s="590" t="s">
        <v>1367</v>
      </c>
      <c r="P201" s="1604">
        <v>84</v>
      </c>
    </row>
    <row r="202" spans="1:16" ht="30.75" customHeight="1">
      <c r="A202" s="1604"/>
      <c r="B202" s="1508"/>
      <c r="C202" s="1509"/>
      <c r="D202" s="1507"/>
      <c r="E202" s="1548"/>
      <c r="F202" s="1509"/>
      <c r="G202" s="1507"/>
      <c r="H202" s="1506"/>
      <c r="I202" s="1507"/>
      <c r="J202" s="1507"/>
      <c r="K202" s="1506"/>
      <c r="L202" s="1507"/>
      <c r="M202" s="1507"/>
      <c r="N202" s="1506"/>
      <c r="O202" s="590" t="s">
        <v>1366</v>
      </c>
      <c r="P202" s="1604"/>
    </row>
    <row r="203" spans="1:16" ht="23.1" customHeight="1">
      <c r="A203" s="1528">
        <v>85</v>
      </c>
      <c r="B203" s="1558" t="s">
        <v>796</v>
      </c>
      <c r="C203" s="1537" t="s">
        <v>14</v>
      </c>
      <c r="D203" s="1533">
        <v>21</v>
      </c>
      <c r="E203" s="1533">
        <f t="shared" ref="E203" si="174">D203</f>
        <v>21</v>
      </c>
      <c r="F203" s="1537">
        <v>18</v>
      </c>
      <c r="G203" s="1532">
        <v>196</v>
      </c>
      <c r="H203" s="1531">
        <f t="shared" ref="H203" si="175">G203+F203</f>
        <v>214</v>
      </c>
      <c r="I203" s="1532" t="s">
        <v>14</v>
      </c>
      <c r="J203" s="1532">
        <v>197</v>
      </c>
      <c r="K203" s="1531">
        <f>J203</f>
        <v>197</v>
      </c>
      <c r="L203" s="1532">
        <v>5</v>
      </c>
      <c r="M203" s="1532">
        <v>359</v>
      </c>
      <c r="N203" s="1531">
        <f t="shared" ref="N203" si="176">M203+L203</f>
        <v>364</v>
      </c>
      <c r="O203" s="632" t="s">
        <v>777</v>
      </c>
      <c r="P203" s="1528">
        <v>85</v>
      </c>
    </row>
    <row r="204" spans="1:16" ht="23.1" customHeight="1">
      <c r="A204" s="1528"/>
      <c r="B204" s="1558"/>
      <c r="C204" s="1537"/>
      <c r="D204" s="1533"/>
      <c r="E204" s="1533"/>
      <c r="F204" s="1537"/>
      <c r="G204" s="1532"/>
      <c r="H204" s="1531"/>
      <c r="I204" s="1532"/>
      <c r="J204" s="1532"/>
      <c r="K204" s="1531"/>
      <c r="L204" s="1532"/>
      <c r="M204" s="1532"/>
      <c r="N204" s="1531"/>
      <c r="O204" s="632" t="s">
        <v>778</v>
      </c>
      <c r="P204" s="1528"/>
    </row>
    <row r="205" spans="1:16" ht="23.1" customHeight="1">
      <c r="A205" s="1604">
        <v>86</v>
      </c>
      <c r="B205" s="1508" t="s">
        <v>1369</v>
      </c>
      <c r="C205" s="1509" t="s">
        <v>14</v>
      </c>
      <c r="D205" s="1548">
        <v>5</v>
      </c>
      <c r="E205" s="1548">
        <f t="shared" ref="E205" si="177">D205</f>
        <v>5</v>
      </c>
      <c r="F205" s="1509" t="s">
        <v>14</v>
      </c>
      <c r="G205" s="1507">
        <v>63</v>
      </c>
      <c r="H205" s="1506">
        <f>G205</f>
        <v>63</v>
      </c>
      <c r="I205" s="1507">
        <v>56</v>
      </c>
      <c r="J205" s="1507">
        <v>63</v>
      </c>
      <c r="K205" s="1506">
        <f>J205+I205</f>
        <v>119</v>
      </c>
      <c r="L205" s="1507">
        <v>78</v>
      </c>
      <c r="M205" s="1507">
        <v>106</v>
      </c>
      <c r="N205" s="1506">
        <f t="shared" ref="N205" si="178">M205+L205</f>
        <v>184</v>
      </c>
      <c r="O205" s="590" t="s">
        <v>1370</v>
      </c>
      <c r="P205" s="1604">
        <v>86</v>
      </c>
    </row>
    <row r="206" spans="1:16" ht="23.1" customHeight="1">
      <c r="A206" s="1604"/>
      <c r="B206" s="1508"/>
      <c r="C206" s="1509"/>
      <c r="D206" s="1548"/>
      <c r="E206" s="1548"/>
      <c r="F206" s="1509"/>
      <c r="G206" s="1507"/>
      <c r="H206" s="1506"/>
      <c r="I206" s="1507"/>
      <c r="J206" s="1507"/>
      <c r="K206" s="1506"/>
      <c r="L206" s="1507"/>
      <c r="M206" s="1507"/>
      <c r="N206" s="1506"/>
      <c r="O206" s="590" t="s">
        <v>1371</v>
      </c>
      <c r="P206" s="1604"/>
    </row>
    <row r="207" spans="1:16" ht="23.1" customHeight="1">
      <c r="A207" s="1528">
        <v>87</v>
      </c>
      <c r="B207" s="1558" t="s">
        <v>790</v>
      </c>
      <c r="C207" s="1537">
        <v>1</v>
      </c>
      <c r="D207" s="1533">
        <v>33</v>
      </c>
      <c r="E207" s="1533">
        <f>D207+C207</f>
        <v>34</v>
      </c>
      <c r="F207" s="1537">
        <v>53</v>
      </c>
      <c r="G207" s="1532">
        <v>145</v>
      </c>
      <c r="H207" s="1531">
        <f>G207+F207</f>
        <v>198</v>
      </c>
      <c r="I207" s="1532">
        <v>26</v>
      </c>
      <c r="J207" s="1532">
        <v>206</v>
      </c>
      <c r="K207" s="1531">
        <f t="shared" ref="K207" si="179">J207+I207</f>
        <v>232</v>
      </c>
      <c r="L207" s="1532">
        <v>53</v>
      </c>
      <c r="M207" s="1532">
        <v>552</v>
      </c>
      <c r="N207" s="1531">
        <f>M207+L207</f>
        <v>605</v>
      </c>
      <c r="O207" s="632" t="s">
        <v>760</v>
      </c>
      <c r="P207" s="1528">
        <v>87</v>
      </c>
    </row>
    <row r="208" spans="1:16" ht="23.1" customHeight="1">
      <c r="A208" s="1528"/>
      <c r="B208" s="1558"/>
      <c r="C208" s="1537"/>
      <c r="D208" s="1533"/>
      <c r="E208" s="1533"/>
      <c r="F208" s="1537"/>
      <c r="G208" s="1532"/>
      <c r="H208" s="1531"/>
      <c r="I208" s="1532"/>
      <c r="J208" s="1532"/>
      <c r="K208" s="1531"/>
      <c r="L208" s="1532"/>
      <c r="M208" s="1532"/>
      <c r="N208" s="1531"/>
      <c r="O208" s="632" t="s">
        <v>761</v>
      </c>
      <c r="P208" s="1528"/>
    </row>
    <row r="209" spans="1:16" ht="23.1" customHeight="1">
      <c r="A209" s="1604">
        <v>88</v>
      </c>
      <c r="B209" s="1583" t="s">
        <v>1388</v>
      </c>
      <c r="C209" s="1509">
        <v>2</v>
      </c>
      <c r="D209" s="1548">
        <v>11</v>
      </c>
      <c r="E209" s="1548">
        <f>D209+C209</f>
        <v>13</v>
      </c>
      <c r="F209" s="1509" t="s">
        <v>14</v>
      </c>
      <c r="G209" s="1507">
        <v>175</v>
      </c>
      <c r="H209" s="1506">
        <f>G209</f>
        <v>175</v>
      </c>
      <c r="I209" s="1507">
        <v>65</v>
      </c>
      <c r="J209" s="1507">
        <v>367</v>
      </c>
      <c r="K209" s="1506">
        <f t="shared" ref="K209" si="180">J209+I209</f>
        <v>432</v>
      </c>
      <c r="L209" s="1507">
        <v>65</v>
      </c>
      <c r="M209" s="1507">
        <v>589</v>
      </c>
      <c r="N209" s="1506">
        <f t="shared" ref="N209" si="181">M209+L209</f>
        <v>654</v>
      </c>
      <c r="O209" s="590" t="s">
        <v>1386</v>
      </c>
      <c r="P209" s="1604">
        <v>88</v>
      </c>
    </row>
    <row r="210" spans="1:16" ht="23.1" customHeight="1">
      <c r="A210" s="1604"/>
      <c r="B210" s="1583"/>
      <c r="C210" s="1509"/>
      <c r="D210" s="1548"/>
      <c r="E210" s="1548"/>
      <c r="F210" s="1509"/>
      <c r="G210" s="1507"/>
      <c r="H210" s="1506"/>
      <c r="I210" s="1507"/>
      <c r="J210" s="1507"/>
      <c r="K210" s="1506"/>
      <c r="L210" s="1507"/>
      <c r="M210" s="1507"/>
      <c r="N210" s="1506"/>
      <c r="O210" s="590" t="s">
        <v>1387</v>
      </c>
      <c r="P210" s="1604"/>
    </row>
    <row r="211" spans="1:16" ht="23.1" customHeight="1">
      <c r="A211" s="1528">
        <v>89</v>
      </c>
      <c r="B211" s="1558" t="s">
        <v>792</v>
      </c>
      <c r="C211" s="1537" t="s">
        <v>14</v>
      </c>
      <c r="D211" s="1533">
        <v>12</v>
      </c>
      <c r="E211" s="1533">
        <f>D211</f>
        <v>12</v>
      </c>
      <c r="F211" s="1537">
        <v>3</v>
      </c>
      <c r="G211" s="1532">
        <v>84</v>
      </c>
      <c r="H211" s="1531">
        <f>G211+F211</f>
        <v>87</v>
      </c>
      <c r="I211" s="1532">
        <v>3</v>
      </c>
      <c r="J211" s="1532">
        <v>78</v>
      </c>
      <c r="K211" s="1531">
        <f t="shared" ref="K211" si="182">J211+I211</f>
        <v>81</v>
      </c>
      <c r="L211" s="1532">
        <v>4</v>
      </c>
      <c r="M211" s="1532">
        <v>228</v>
      </c>
      <c r="N211" s="1531">
        <f t="shared" ref="N211" si="183">M211+L211</f>
        <v>232</v>
      </c>
      <c r="O211" s="632" t="s">
        <v>770</v>
      </c>
      <c r="P211" s="1528">
        <v>89</v>
      </c>
    </row>
    <row r="212" spans="1:16" ht="22.5" customHeight="1">
      <c r="A212" s="1528"/>
      <c r="B212" s="1558"/>
      <c r="C212" s="1537"/>
      <c r="D212" s="1533"/>
      <c r="E212" s="1533"/>
      <c r="F212" s="1537"/>
      <c r="G212" s="1532"/>
      <c r="H212" s="1531"/>
      <c r="I212" s="1532"/>
      <c r="J212" s="1532"/>
      <c r="K212" s="1531"/>
      <c r="L212" s="1532"/>
      <c r="M212" s="1532"/>
      <c r="N212" s="1531"/>
      <c r="O212" s="632" t="s">
        <v>771</v>
      </c>
      <c r="P212" s="1528"/>
    </row>
    <row r="213" spans="1:16" ht="31.5" customHeight="1">
      <c r="A213" s="1604">
        <v>90</v>
      </c>
      <c r="B213" s="1583" t="s">
        <v>1336</v>
      </c>
      <c r="C213" s="1509">
        <v>10</v>
      </c>
      <c r="D213" s="1548">
        <v>6</v>
      </c>
      <c r="E213" s="1548">
        <f>D213+C213</f>
        <v>16</v>
      </c>
      <c r="F213" s="1509">
        <v>86</v>
      </c>
      <c r="G213" s="1507">
        <v>111</v>
      </c>
      <c r="H213" s="1506">
        <f t="shared" ref="H213" si="184">G213+F213</f>
        <v>197</v>
      </c>
      <c r="I213" s="1507">
        <v>67</v>
      </c>
      <c r="J213" s="1507">
        <v>45</v>
      </c>
      <c r="K213" s="1506">
        <f t="shared" ref="K213" si="185">J213+I213</f>
        <v>112</v>
      </c>
      <c r="L213" s="1507">
        <v>143</v>
      </c>
      <c r="M213" s="1507">
        <v>218</v>
      </c>
      <c r="N213" s="1506">
        <f t="shared" ref="N213" si="186">M213+L213</f>
        <v>361</v>
      </c>
      <c r="O213" s="590" t="s">
        <v>1334</v>
      </c>
      <c r="P213" s="1604">
        <v>90</v>
      </c>
    </row>
    <row r="214" spans="1:16" ht="30" customHeight="1">
      <c r="A214" s="1604"/>
      <c r="B214" s="1583"/>
      <c r="C214" s="1509"/>
      <c r="D214" s="1548"/>
      <c r="E214" s="1548"/>
      <c r="F214" s="1509"/>
      <c r="G214" s="1507"/>
      <c r="H214" s="1506"/>
      <c r="I214" s="1507"/>
      <c r="J214" s="1507"/>
      <c r="K214" s="1506"/>
      <c r="L214" s="1507"/>
      <c r="M214" s="1507"/>
      <c r="N214" s="1506"/>
      <c r="O214" s="590" t="s">
        <v>1335</v>
      </c>
      <c r="P214" s="1604"/>
    </row>
    <row r="215" spans="1:16" ht="23.1" customHeight="1">
      <c r="A215" s="1528">
        <v>91</v>
      </c>
      <c r="B215" s="1558" t="s">
        <v>1389</v>
      </c>
      <c r="C215" s="1537">
        <v>3</v>
      </c>
      <c r="D215" s="1533">
        <v>13</v>
      </c>
      <c r="E215" s="1533">
        <f t="shared" ref="E215" si="187">D215+C215</f>
        <v>16</v>
      </c>
      <c r="F215" s="1537">
        <v>18</v>
      </c>
      <c r="G215" s="1532">
        <v>104</v>
      </c>
      <c r="H215" s="1531">
        <f t="shared" ref="H215" si="188">G215+F215</f>
        <v>122</v>
      </c>
      <c r="I215" s="1532">
        <v>20</v>
      </c>
      <c r="J215" s="1532">
        <v>58</v>
      </c>
      <c r="K215" s="1531">
        <f t="shared" ref="K215" si="189">J215+I215</f>
        <v>78</v>
      </c>
      <c r="L215" s="1532">
        <v>40</v>
      </c>
      <c r="M215" s="1532">
        <v>315</v>
      </c>
      <c r="N215" s="1531">
        <f t="shared" ref="N215" si="190">M215+L215</f>
        <v>355</v>
      </c>
      <c r="O215" s="632" t="s">
        <v>1390</v>
      </c>
      <c r="P215" s="1528">
        <v>91</v>
      </c>
    </row>
    <row r="216" spans="1:16" ht="23.1" customHeight="1">
      <c r="A216" s="1528"/>
      <c r="B216" s="1558"/>
      <c r="C216" s="1537"/>
      <c r="D216" s="1533"/>
      <c r="E216" s="1533"/>
      <c r="F216" s="1537"/>
      <c r="G216" s="1532"/>
      <c r="H216" s="1531"/>
      <c r="I216" s="1532"/>
      <c r="J216" s="1532"/>
      <c r="K216" s="1531"/>
      <c r="L216" s="1532"/>
      <c r="M216" s="1532"/>
      <c r="N216" s="1531"/>
      <c r="O216" s="632" t="s">
        <v>1391</v>
      </c>
      <c r="P216" s="1528"/>
    </row>
    <row r="217" spans="1:16" ht="23.1" customHeight="1">
      <c r="A217" s="1604">
        <v>92</v>
      </c>
      <c r="B217" s="1508" t="s">
        <v>91</v>
      </c>
      <c r="C217" s="1509">
        <v>7</v>
      </c>
      <c r="D217" s="1507">
        <v>28</v>
      </c>
      <c r="E217" s="1548">
        <f t="shared" ref="E217" si="191">D217+C217</f>
        <v>35</v>
      </c>
      <c r="F217" s="1509">
        <v>47</v>
      </c>
      <c r="G217" s="1507">
        <v>179</v>
      </c>
      <c r="H217" s="1506">
        <f t="shared" ref="H217" si="192">G217+F217</f>
        <v>226</v>
      </c>
      <c r="I217" s="1507">
        <v>52</v>
      </c>
      <c r="J217" s="1507">
        <v>170</v>
      </c>
      <c r="K217" s="1506">
        <f>J217+I217</f>
        <v>222</v>
      </c>
      <c r="L217" s="1507">
        <v>116</v>
      </c>
      <c r="M217" s="1507">
        <v>512</v>
      </c>
      <c r="N217" s="1506">
        <f t="shared" ref="N217" si="193">M217+L217</f>
        <v>628</v>
      </c>
      <c r="O217" s="590" t="s">
        <v>92</v>
      </c>
      <c r="P217" s="1604">
        <v>92</v>
      </c>
    </row>
    <row r="218" spans="1:16" ht="23.1" customHeight="1">
      <c r="A218" s="1604"/>
      <c r="B218" s="1508"/>
      <c r="C218" s="1509"/>
      <c r="D218" s="1507"/>
      <c r="E218" s="1548"/>
      <c r="F218" s="1509"/>
      <c r="G218" s="1507"/>
      <c r="H218" s="1506"/>
      <c r="I218" s="1507"/>
      <c r="J218" s="1507"/>
      <c r="K218" s="1506"/>
      <c r="L218" s="1507"/>
      <c r="M218" s="1507"/>
      <c r="N218" s="1506"/>
      <c r="O218" s="590" t="s">
        <v>539</v>
      </c>
      <c r="P218" s="1604"/>
    </row>
    <row r="219" spans="1:16" ht="23.1" customHeight="1">
      <c r="A219" s="1528">
        <v>93</v>
      </c>
      <c r="B219" s="1558" t="s">
        <v>79</v>
      </c>
      <c r="C219" s="1537">
        <v>21</v>
      </c>
      <c r="D219" s="1532">
        <v>39</v>
      </c>
      <c r="E219" s="1533">
        <f t="shared" ref="E219" si="194">D219+C219</f>
        <v>60</v>
      </c>
      <c r="F219" s="1537">
        <v>44</v>
      </c>
      <c r="G219" s="1532">
        <v>169</v>
      </c>
      <c r="H219" s="1531">
        <f t="shared" ref="H219" si="195">G219+F219</f>
        <v>213</v>
      </c>
      <c r="I219" s="1532">
        <v>50</v>
      </c>
      <c r="J219" s="1532">
        <v>264</v>
      </c>
      <c r="K219" s="1531">
        <f t="shared" ref="K219" si="196">J219+I219</f>
        <v>314</v>
      </c>
      <c r="L219" s="1532">
        <v>105</v>
      </c>
      <c r="M219" s="1532">
        <v>767</v>
      </c>
      <c r="N219" s="1531">
        <f t="shared" ref="N219:N231" si="197">M219+L219</f>
        <v>872</v>
      </c>
      <c r="O219" s="632" t="s">
        <v>817</v>
      </c>
      <c r="P219" s="1528">
        <v>93</v>
      </c>
    </row>
    <row r="220" spans="1:16" ht="23.1" customHeight="1">
      <c r="A220" s="1528"/>
      <c r="B220" s="1558"/>
      <c r="C220" s="1537"/>
      <c r="D220" s="1532"/>
      <c r="E220" s="1533"/>
      <c r="F220" s="1537"/>
      <c r="G220" s="1532"/>
      <c r="H220" s="1531"/>
      <c r="I220" s="1532"/>
      <c r="J220" s="1532"/>
      <c r="K220" s="1531"/>
      <c r="L220" s="1532"/>
      <c r="M220" s="1532"/>
      <c r="N220" s="1531"/>
      <c r="O220" s="632" t="s">
        <v>532</v>
      </c>
      <c r="P220" s="1528"/>
    </row>
    <row r="221" spans="1:16" ht="23.1" customHeight="1">
      <c r="A221" s="1604">
        <v>94</v>
      </c>
      <c r="B221" s="1508" t="s">
        <v>441</v>
      </c>
      <c r="C221" s="1509">
        <v>12</v>
      </c>
      <c r="D221" s="1507">
        <v>30</v>
      </c>
      <c r="E221" s="1548">
        <f t="shared" ref="E221" si="198">D221+C221</f>
        <v>42</v>
      </c>
      <c r="F221" s="1509">
        <v>186</v>
      </c>
      <c r="G221" s="1507">
        <v>362</v>
      </c>
      <c r="H221" s="1506">
        <f t="shared" ref="H221" si="199">G221+F221</f>
        <v>548</v>
      </c>
      <c r="I221" s="1507">
        <v>200</v>
      </c>
      <c r="J221" s="1507">
        <v>342</v>
      </c>
      <c r="K221" s="1506">
        <f t="shared" ref="K221" si="200">J221+I221</f>
        <v>542</v>
      </c>
      <c r="L221" s="1507">
        <v>461</v>
      </c>
      <c r="M221" s="1507">
        <v>933</v>
      </c>
      <c r="N221" s="1506">
        <f t="shared" si="197"/>
        <v>1394</v>
      </c>
      <c r="O221" s="590" t="s">
        <v>397</v>
      </c>
      <c r="P221" s="1604">
        <v>94</v>
      </c>
    </row>
    <row r="222" spans="1:16" ht="32.25" customHeight="1">
      <c r="A222" s="1604"/>
      <c r="B222" s="1508"/>
      <c r="C222" s="1509"/>
      <c r="D222" s="1507"/>
      <c r="E222" s="1548"/>
      <c r="F222" s="1509"/>
      <c r="G222" s="1507"/>
      <c r="H222" s="1506"/>
      <c r="I222" s="1507"/>
      <c r="J222" s="1507"/>
      <c r="K222" s="1506"/>
      <c r="L222" s="1507"/>
      <c r="M222" s="1507"/>
      <c r="N222" s="1506"/>
      <c r="O222" s="590" t="s">
        <v>541</v>
      </c>
      <c r="P222" s="1604"/>
    </row>
    <row r="223" spans="1:16" ht="23.1" customHeight="1">
      <c r="A223" s="1528">
        <v>95</v>
      </c>
      <c r="B223" s="1558" t="s">
        <v>1394</v>
      </c>
      <c r="C223" s="1537" t="s">
        <v>14</v>
      </c>
      <c r="D223" s="1532">
        <v>18</v>
      </c>
      <c r="E223" s="1533">
        <f>D223</f>
        <v>18</v>
      </c>
      <c r="F223" s="1537">
        <v>18</v>
      </c>
      <c r="G223" s="1532">
        <v>97</v>
      </c>
      <c r="H223" s="1531">
        <f t="shared" ref="H223" si="201">G223+F223</f>
        <v>115</v>
      </c>
      <c r="I223" s="1532">
        <v>16</v>
      </c>
      <c r="J223" s="1532">
        <v>150</v>
      </c>
      <c r="K223" s="1531">
        <f t="shared" ref="K223" si="202">J223+I223</f>
        <v>166</v>
      </c>
      <c r="L223" s="1532">
        <v>31</v>
      </c>
      <c r="M223" s="1532">
        <v>265</v>
      </c>
      <c r="N223" s="1531">
        <f t="shared" si="197"/>
        <v>296</v>
      </c>
      <c r="O223" s="632" t="s">
        <v>1392</v>
      </c>
      <c r="P223" s="1528">
        <v>95</v>
      </c>
    </row>
    <row r="224" spans="1:16" ht="23.1" customHeight="1">
      <c r="A224" s="1528"/>
      <c r="B224" s="1558"/>
      <c r="C224" s="1537"/>
      <c r="D224" s="1532"/>
      <c r="E224" s="1533"/>
      <c r="F224" s="1537"/>
      <c r="G224" s="1532"/>
      <c r="H224" s="1531"/>
      <c r="I224" s="1532"/>
      <c r="J224" s="1532"/>
      <c r="K224" s="1531"/>
      <c r="L224" s="1532"/>
      <c r="M224" s="1532"/>
      <c r="N224" s="1531"/>
      <c r="O224" s="632" t="s">
        <v>1393</v>
      </c>
      <c r="P224" s="1528"/>
    </row>
    <row r="225" spans="1:20" ht="23.1" customHeight="1">
      <c r="A225" s="1604">
        <v>96</v>
      </c>
      <c r="B225" s="1508" t="s">
        <v>1397</v>
      </c>
      <c r="C225" s="1509">
        <v>4</v>
      </c>
      <c r="D225" s="1507">
        <v>10</v>
      </c>
      <c r="E225" s="1548">
        <f>D225+C225</f>
        <v>14</v>
      </c>
      <c r="F225" s="1509">
        <v>33</v>
      </c>
      <c r="G225" s="1507">
        <v>30</v>
      </c>
      <c r="H225" s="1506">
        <f>G225+F225</f>
        <v>63</v>
      </c>
      <c r="I225" s="1507">
        <v>45</v>
      </c>
      <c r="J225" s="1507">
        <v>51</v>
      </c>
      <c r="K225" s="1506">
        <f t="shared" ref="K225" si="203">J225+I225</f>
        <v>96</v>
      </c>
      <c r="L225" s="1507">
        <v>132</v>
      </c>
      <c r="M225" s="1507">
        <v>170</v>
      </c>
      <c r="N225" s="1506">
        <f t="shared" si="197"/>
        <v>302</v>
      </c>
      <c r="O225" s="590" t="s">
        <v>1395</v>
      </c>
      <c r="P225" s="1604">
        <v>96</v>
      </c>
    </row>
    <row r="226" spans="1:20" ht="30.75" customHeight="1">
      <c r="A226" s="1604"/>
      <c r="B226" s="1508"/>
      <c r="C226" s="1509"/>
      <c r="D226" s="1507"/>
      <c r="E226" s="1548"/>
      <c r="F226" s="1509"/>
      <c r="G226" s="1507"/>
      <c r="H226" s="1506"/>
      <c r="I226" s="1507"/>
      <c r="J226" s="1507"/>
      <c r="K226" s="1506"/>
      <c r="L226" s="1507"/>
      <c r="M226" s="1507"/>
      <c r="N226" s="1506"/>
      <c r="O226" s="590" t="s">
        <v>1396</v>
      </c>
      <c r="P226" s="1604"/>
    </row>
    <row r="227" spans="1:20" ht="23.1" customHeight="1">
      <c r="A227" s="1528">
        <v>97</v>
      </c>
      <c r="B227" s="1558" t="s">
        <v>797</v>
      </c>
      <c r="C227" s="1552">
        <v>1</v>
      </c>
      <c r="D227" s="1533">
        <v>7</v>
      </c>
      <c r="E227" s="1533">
        <f>D227+C227</f>
        <v>8</v>
      </c>
      <c r="F227" s="1537">
        <v>7</v>
      </c>
      <c r="G227" s="1532">
        <v>120</v>
      </c>
      <c r="H227" s="1531">
        <f t="shared" ref="H227" si="204">G227+F227</f>
        <v>127</v>
      </c>
      <c r="I227" s="1532">
        <v>3</v>
      </c>
      <c r="J227" s="1532">
        <v>68</v>
      </c>
      <c r="K227" s="1531">
        <f t="shared" ref="K227" si="205">J227+I227</f>
        <v>71</v>
      </c>
      <c r="L227" s="1532">
        <v>5</v>
      </c>
      <c r="M227" s="1532">
        <v>126</v>
      </c>
      <c r="N227" s="1531">
        <f t="shared" si="197"/>
        <v>131</v>
      </c>
      <c r="O227" s="632" t="s">
        <v>779</v>
      </c>
      <c r="P227" s="1528">
        <v>97</v>
      </c>
      <c r="R227" s="1539" t="s">
        <v>973</v>
      </c>
      <c r="T227" s="230" t="s">
        <v>971</v>
      </c>
    </row>
    <row r="228" spans="1:20" ht="23.1" customHeight="1">
      <c r="A228" s="1528"/>
      <c r="B228" s="1558"/>
      <c r="C228" s="1552"/>
      <c r="D228" s="1533"/>
      <c r="E228" s="1533"/>
      <c r="F228" s="1537"/>
      <c r="G228" s="1532"/>
      <c r="H228" s="1531"/>
      <c r="I228" s="1532"/>
      <c r="J228" s="1532"/>
      <c r="K228" s="1531"/>
      <c r="L228" s="1532"/>
      <c r="M228" s="1532"/>
      <c r="N228" s="1531"/>
      <c r="O228" s="632" t="s">
        <v>780</v>
      </c>
      <c r="P228" s="1528"/>
      <c r="R228" s="1539"/>
      <c r="T228" s="230" t="s">
        <v>972</v>
      </c>
    </row>
    <row r="229" spans="1:20" ht="23.1" customHeight="1">
      <c r="A229" s="1604">
        <v>98</v>
      </c>
      <c r="B229" s="1508" t="s">
        <v>1464</v>
      </c>
      <c r="C229" s="1567" t="s">
        <v>14</v>
      </c>
      <c r="D229" s="1548">
        <v>13</v>
      </c>
      <c r="E229" s="1507">
        <f>D229</f>
        <v>13</v>
      </c>
      <c r="F229" s="1509">
        <v>15</v>
      </c>
      <c r="G229" s="1507">
        <v>79</v>
      </c>
      <c r="H229" s="1506">
        <f t="shared" ref="H229" si="206">G229+F229</f>
        <v>94</v>
      </c>
      <c r="I229" s="1507">
        <v>9</v>
      </c>
      <c r="J229" s="1507">
        <v>69</v>
      </c>
      <c r="K229" s="1506">
        <f>J229+I229</f>
        <v>78</v>
      </c>
      <c r="L229" s="1507">
        <v>19</v>
      </c>
      <c r="M229" s="1507">
        <v>143</v>
      </c>
      <c r="N229" s="1506">
        <f t="shared" si="197"/>
        <v>162</v>
      </c>
      <c r="O229" s="590" t="s">
        <v>1462</v>
      </c>
      <c r="P229" s="1604">
        <v>98</v>
      </c>
      <c r="R229" s="384"/>
      <c r="T229" s="393"/>
    </row>
    <row r="230" spans="1:20" ht="23.1" customHeight="1">
      <c r="A230" s="1604"/>
      <c r="B230" s="1508"/>
      <c r="C230" s="1567"/>
      <c r="D230" s="1548"/>
      <c r="E230" s="1507"/>
      <c r="F230" s="1509"/>
      <c r="G230" s="1507"/>
      <c r="H230" s="1506"/>
      <c r="I230" s="1507"/>
      <c r="J230" s="1507"/>
      <c r="K230" s="1506"/>
      <c r="L230" s="1507"/>
      <c r="M230" s="1507"/>
      <c r="N230" s="1506"/>
      <c r="O230" s="590" t="s">
        <v>1463</v>
      </c>
      <c r="P230" s="1604"/>
      <c r="R230" s="384"/>
      <c r="T230" s="393"/>
    </row>
    <row r="231" spans="1:20" ht="23.1" customHeight="1">
      <c r="A231" s="1528">
        <v>99</v>
      </c>
      <c r="B231" s="1558" t="s">
        <v>1465</v>
      </c>
      <c r="C231" s="1537" t="s">
        <v>14</v>
      </c>
      <c r="D231" s="1532">
        <v>11</v>
      </c>
      <c r="E231" s="1532">
        <f t="shared" ref="E231" si="207">D231</f>
        <v>11</v>
      </c>
      <c r="F231" s="1537" t="s">
        <v>14</v>
      </c>
      <c r="G231" s="1532">
        <v>47</v>
      </c>
      <c r="H231" s="1531">
        <f>G231</f>
        <v>47</v>
      </c>
      <c r="I231" s="1532">
        <v>22</v>
      </c>
      <c r="J231" s="1532">
        <v>44</v>
      </c>
      <c r="K231" s="1531">
        <f t="shared" ref="K231" si="208">J231+I231</f>
        <v>66</v>
      </c>
      <c r="L231" s="1532">
        <v>62</v>
      </c>
      <c r="M231" s="1532">
        <v>116</v>
      </c>
      <c r="N231" s="1531">
        <f t="shared" si="197"/>
        <v>178</v>
      </c>
      <c r="O231" s="632" t="s">
        <v>1466</v>
      </c>
      <c r="P231" s="1528">
        <v>99</v>
      </c>
      <c r="R231" s="416"/>
      <c r="T231" s="393"/>
    </row>
    <row r="232" spans="1:20" ht="30.75" customHeight="1">
      <c r="A232" s="1528"/>
      <c r="B232" s="1558"/>
      <c r="C232" s="1537"/>
      <c r="D232" s="1532"/>
      <c r="E232" s="1532"/>
      <c r="F232" s="1537"/>
      <c r="G232" s="1532"/>
      <c r="H232" s="1531"/>
      <c r="I232" s="1532"/>
      <c r="J232" s="1532"/>
      <c r="K232" s="1531"/>
      <c r="L232" s="1532"/>
      <c r="M232" s="1532"/>
      <c r="N232" s="1531"/>
      <c r="O232" s="632" t="s">
        <v>1467</v>
      </c>
      <c r="P232" s="1528"/>
      <c r="R232" s="416"/>
      <c r="T232" s="393"/>
    </row>
    <row r="233" spans="1:20" ht="21.95" customHeight="1">
      <c r="A233" s="1604">
        <v>100</v>
      </c>
      <c r="B233" s="1508" t="s">
        <v>794</v>
      </c>
      <c r="C233" s="1567" t="s">
        <v>14</v>
      </c>
      <c r="D233" s="1548">
        <v>14</v>
      </c>
      <c r="E233" s="1507">
        <f t="shared" ref="E233" si="209">D233</f>
        <v>14</v>
      </c>
      <c r="F233" s="1509" t="s">
        <v>14</v>
      </c>
      <c r="G233" s="1507">
        <v>94</v>
      </c>
      <c r="H233" s="1506">
        <f t="shared" ref="H233" si="210">G233</f>
        <v>94</v>
      </c>
      <c r="I233" s="1507" t="s">
        <v>14</v>
      </c>
      <c r="J233" s="1507">
        <v>52</v>
      </c>
      <c r="K233" s="1506">
        <f>J233</f>
        <v>52</v>
      </c>
      <c r="L233" s="1507" t="s">
        <v>14</v>
      </c>
      <c r="M233" s="1507">
        <v>134</v>
      </c>
      <c r="N233" s="1506">
        <f>M233</f>
        <v>134</v>
      </c>
      <c r="O233" s="590" t="s">
        <v>1288</v>
      </c>
      <c r="P233" s="1604">
        <v>100</v>
      </c>
      <c r="R233" s="416"/>
      <c r="T233" s="393"/>
    </row>
    <row r="234" spans="1:20" ht="21.95" customHeight="1">
      <c r="A234" s="1604"/>
      <c r="B234" s="1508"/>
      <c r="C234" s="1567"/>
      <c r="D234" s="1548"/>
      <c r="E234" s="1507"/>
      <c r="F234" s="1509"/>
      <c r="G234" s="1507"/>
      <c r="H234" s="1506"/>
      <c r="I234" s="1507"/>
      <c r="J234" s="1507"/>
      <c r="K234" s="1506"/>
      <c r="L234" s="1507"/>
      <c r="M234" s="1507"/>
      <c r="N234" s="1506"/>
      <c r="O234" s="590" t="s">
        <v>772</v>
      </c>
      <c r="P234" s="1604"/>
      <c r="R234" s="416"/>
      <c r="T234" s="393"/>
    </row>
    <row r="235" spans="1:20" ht="21.95" customHeight="1">
      <c r="A235" s="1528">
        <v>101</v>
      </c>
      <c r="B235" s="1558" t="s">
        <v>1437</v>
      </c>
      <c r="C235" s="1552" t="s">
        <v>14</v>
      </c>
      <c r="D235" s="1533">
        <v>24</v>
      </c>
      <c r="E235" s="1532">
        <f t="shared" ref="E235" si="211">D235</f>
        <v>24</v>
      </c>
      <c r="F235" s="1537" t="s">
        <v>14</v>
      </c>
      <c r="G235" s="1532">
        <v>97</v>
      </c>
      <c r="H235" s="1531">
        <f t="shared" ref="H235" si="212">G235</f>
        <v>97</v>
      </c>
      <c r="I235" s="1532">
        <v>1</v>
      </c>
      <c r="J235" s="1532">
        <v>86</v>
      </c>
      <c r="K235" s="1531">
        <f>J235+I235</f>
        <v>87</v>
      </c>
      <c r="L235" s="1532">
        <v>1</v>
      </c>
      <c r="M235" s="1532">
        <v>169</v>
      </c>
      <c r="N235" s="1531">
        <f>M235+L235</f>
        <v>170</v>
      </c>
      <c r="O235" s="632" t="s">
        <v>1435</v>
      </c>
      <c r="P235" s="1528">
        <v>101</v>
      </c>
      <c r="R235" s="416"/>
      <c r="T235" s="393"/>
    </row>
    <row r="236" spans="1:20" ht="21.95" customHeight="1">
      <c r="A236" s="1528"/>
      <c r="B236" s="1558"/>
      <c r="C236" s="1552"/>
      <c r="D236" s="1533"/>
      <c r="E236" s="1532"/>
      <c r="F236" s="1537"/>
      <c r="G236" s="1532"/>
      <c r="H236" s="1531"/>
      <c r="I236" s="1532"/>
      <c r="J236" s="1532"/>
      <c r="K236" s="1531"/>
      <c r="L236" s="1532"/>
      <c r="M236" s="1532"/>
      <c r="N236" s="1531"/>
      <c r="O236" s="632" t="s">
        <v>1436</v>
      </c>
      <c r="P236" s="1528"/>
      <c r="R236" s="416"/>
      <c r="T236" s="393"/>
    </row>
    <row r="237" spans="1:20" ht="21.95" customHeight="1">
      <c r="A237" s="1604">
        <v>102</v>
      </c>
      <c r="B237" s="1508" t="s">
        <v>1488</v>
      </c>
      <c r="C237" s="1563">
        <v>1</v>
      </c>
      <c r="D237" s="1569">
        <v>16</v>
      </c>
      <c r="E237" s="1507">
        <f>D237+C237</f>
        <v>17</v>
      </c>
      <c r="F237" s="1509">
        <v>47</v>
      </c>
      <c r="G237" s="1507">
        <v>70</v>
      </c>
      <c r="H237" s="1506">
        <f>G237+F237</f>
        <v>117</v>
      </c>
      <c r="I237" s="1507">
        <v>106</v>
      </c>
      <c r="J237" s="1507">
        <v>95</v>
      </c>
      <c r="K237" s="1506">
        <f t="shared" ref="K237" si="213">J237+I237</f>
        <v>201</v>
      </c>
      <c r="L237" s="1507">
        <v>179</v>
      </c>
      <c r="M237" s="1507">
        <v>218</v>
      </c>
      <c r="N237" s="1506">
        <f t="shared" ref="N237" si="214">M237+L237</f>
        <v>397</v>
      </c>
      <c r="O237" s="590" t="s">
        <v>1486</v>
      </c>
      <c r="P237" s="1604">
        <v>102</v>
      </c>
      <c r="R237" s="416"/>
      <c r="T237" s="393"/>
    </row>
    <row r="238" spans="1:20" ht="21.95" customHeight="1">
      <c r="A238" s="1604"/>
      <c r="B238" s="1508"/>
      <c r="C238" s="1563"/>
      <c r="D238" s="1569"/>
      <c r="E238" s="1507"/>
      <c r="F238" s="1509"/>
      <c r="G238" s="1507"/>
      <c r="H238" s="1506"/>
      <c r="I238" s="1507"/>
      <c r="J238" s="1507"/>
      <c r="K238" s="1506"/>
      <c r="L238" s="1507"/>
      <c r="M238" s="1507"/>
      <c r="N238" s="1506"/>
      <c r="O238" s="590" t="s">
        <v>1487</v>
      </c>
      <c r="P238" s="1604"/>
      <c r="R238" s="416"/>
      <c r="T238" s="393"/>
    </row>
    <row r="239" spans="1:20" ht="21.95" customHeight="1">
      <c r="A239" s="1528">
        <v>103</v>
      </c>
      <c r="B239" s="1558" t="s">
        <v>1489</v>
      </c>
      <c r="C239" s="1552">
        <v>1</v>
      </c>
      <c r="D239" s="1533">
        <v>24</v>
      </c>
      <c r="E239" s="1532">
        <f>D239+C239</f>
        <v>25</v>
      </c>
      <c r="F239" s="1537">
        <v>43</v>
      </c>
      <c r="G239" s="1532">
        <v>53</v>
      </c>
      <c r="H239" s="1531">
        <f>G239+F239</f>
        <v>96</v>
      </c>
      <c r="I239" s="1532">
        <v>139</v>
      </c>
      <c r="J239" s="1532">
        <v>115</v>
      </c>
      <c r="K239" s="1531">
        <f t="shared" ref="K239" si="215">J239+I239</f>
        <v>254</v>
      </c>
      <c r="L239" s="1532">
        <v>193</v>
      </c>
      <c r="M239" s="1532">
        <v>217</v>
      </c>
      <c r="N239" s="1531">
        <f t="shared" ref="N239" si="216">M239+L239</f>
        <v>410</v>
      </c>
      <c r="O239" s="632" t="s">
        <v>1490</v>
      </c>
      <c r="P239" s="1528">
        <v>103</v>
      </c>
      <c r="R239" s="416"/>
      <c r="T239" s="393"/>
    </row>
    <row r="240" spans="1:20" ht="21.95" customHeight="1">
      <c r="A240" s="1528"/>
      <c r="B240" s="1558"/>
      <c r="C240" s="1552"/>
      <c r="D240" s="1533"/>
      <c r="E240" s="1532"/>
      <c r="F240" s="1537"/>
      <c r="G240" s="1532"/>
      <c r="H240" s="1531"/>
      <c r="I240" s="1532"/>
      <c r="J240" s="1532"/>
      <c r="K240" s="1531"/>
      <c r="L240" s="1532"/>
      <c r="M240" s="1532"/>
      <c r="N240" s="1531"/>
      <c r="O240" s="632" t="s">
        <v>1491</v>
      </c>
      <c r="P240" s="1528"/>
      <c r="R240" s="416"/>
      <c r="T240" s="393"/>
    </row>
    <row r="241" spans="1:20" ht="21.95" customHeight="1">
      <c r="A241" s="1604">
        <v>104</v>
      </c>
      <c r="B241" s="1508" t="s">
        <v>1560</v>
      </c>
      <c r="C241" s="1563" t="s">
        <v>14</v>
      </c>
      <c r="D241" s="1569">
        <v>12</v>
      </c>
      <c r="E241" s="1507">
        <f>D241</f>
        <v>12</v>
      </c>
      <c r="F241" s="1509" t="s">
        <v>14</v>
      </c>
      <c r="G241" s="1507">
        <v>66</v>
      </c>
      <c r="H241" s="1506">
        <f>G241</f>
        <v>66</v>
      </c>
      <c r="I241" s="1507" t="s">
        <v>14</v>
      </c>
      <c r="J241" s="1507">
        <v>69</v>
      </c>
      <c r="K241" s="1506">
        <f>J241</f>
        <v>69</v>
      </c>
      <c r="L241" s="1507" t="s">
        <v>14</v>
      </c>
      <c r="M241" s="1507">
        <v>177</v>
      </c>
      <c r="N241" s="1506">
        <f>M241</f>
        <v>177</v>
      </c>
      <c r="O241" s="965" t="s">
        <v>1558</v>
      </c>
      <c r="P241" s="1604">
        <v>104</v>
      </c>
      <c r="R241" s="416"/>
      <c r="T241" s="393"/>
    </row>
    <row r="242" spans="1:20" ht="21.95" customHeight="1">
      <c r="A242" s="1605"/>
      <c r="B242" s="1568"/>
      <c r="C242" s="1564"/>
      <c r="D242" s="1570"/>
      <c r="E242" s="1561"/>
      <c r="F242" s="1574"/>
      <c r="G242" s="1561"/>
      <c r="H242" s="1562"/>
      <c r="I242" s="1561"/>
      <c r="J242" s="1561"/>
      <c r="K242" s="1562"/>
      <c r="L242" s="1561"/>
      <c r="M242" s="1561"/>
      <c r="N242" s="1562"/>
      <c r="O242" s="15" t="s">
        <v>1559</v>
      </c>
      <c r="P242" s="1605"/>
      <c r="R242" s="416"/>
      <c r="T242" s="393"/>
    </row>
    <row r="243" spans="1:20" ht="18" customHeight="1">
      <c r="A243" s="1525" t="s">
        <v>884</v>
      </c>
      <c r="B243" s="1525"/>
      <c r="C243" s="1525"/>
      <c r="D243" s="1525"/>
      <c r="E243" s="1525"/>
      <c r="F243" s="1525"/>
      <c r="G243" s="1525"/>
      <c r="H243" s="1525"/>
      <c r="I243" s="1525"/>
      <c r="J243" s="1525"/>
      <c r="K243" s="1526" t="s">
        <v>885</v>
      </c>
      <c r="L243" s="1526"/>
      <c r="M243" s="1526"/>
      <c r="N243" s="1526"/>
      <c r="O243" s="1526"/>
      <c r="P243" s="1526"/>
      <c r="R243" s="390"/>
      <c r="T243" s="393"/>
    </row>
    <row r="244" spans="1:20" ht="18" customHeight="1">
      <c r="A244" s="1525"/>
      <c r="B244" s="1525"/>
      <c r="C244" s="1525"/>
      <c r="D244" s="1525"/>
      <c r="E244" s="1525"/>
      <c r="F244" s="1525"/>
      <c r="G244" s="1525"/>
      <c r="H244" s="1525"/>
      <c r="I244" s="1525"/>
      <c r="J244" s="1525"/>
      <c r="K244" s="1526" t="s">
        <v>1113</v>
      </c>
      <c r="L244" s="1526"/>
      <c r="M244" s="1526"/>
      <c r="N244" s="1526"/>
      <c r="O244" s="1526"/>
      <c r="P244" s="1526"/>
      <c r="R244" s="390"/>
      <c r="T244" s="393"/>
    </row>
    <row r="245" spans="1:20" ht="18" customHeight="1">
      <c r="A245" s="1522" t="s">
        <v>2028</v>
      </c>
      <c r="B245" s="1495" t="s">
        <v>407</v>
      </c>
      <c r="C245" s="1549" t="s">
        <v>123</v>
      </c>
      <c r="D245" s="1550"/>
      <c r="E245" s="1557"/>
      <c r="F245" s="1549" t="s">
        <v>882</v>
      </c>
      <c r="G245" s="1550"/>
      <c r="H245" s="1557"/>
      <c r="I245" s="1549" t="s">
        <v>105</v>
      </c>
      <c r="J245" s="1550"/>
      <c r="K245" s="1550"/>
      <c r="L245" s="1495" t="s">
        <v>881</v>
      </c>
      <c r="M245" s="1498"/>
      <c r="N245" s="1499"/>
      <c r="O245" s="1499" t="s">
        <v>408</v>
      </c>
      <c r="P245" s="1522" t="s">
        <v>2027</v>
      </c>
      <c r="R245" s="390"/>
      <c r="T245" s="393"/>
    </row>
    <row r="246" spans="1:20" ht="18" customHeight="1">
      <c r="A246" s="1523"/>
      <c r="B246" s="1496"/>
      <c r="C246" s="1541" t="s">
        <v>546</v>
      </c>
      <c r="D246" s="1542"/>
      <c r="E246" s="1543"/>
      <c r="F246" s="1544" t="s">
        <v>506</v>
      </c>
      <c r="G246" s="1545"/>
      <c r="H246" s="1546"/>
      <c r="I246" s="1544" t="s">
        <v>505</v>
      </c>
      <c r="J246" s="1545"/>
      <c r="K246" s="1545"/>
      <c r="L246" s="1496" t="s">
        <v>883</v>
      </c>
      <c r="M246" s="1547"/>
      <c r="N246" s="1505"/>
      <c r="O246" s="1505"/>
      <c r="P246" s="1523"/>
      <c r="R246" s="390"/>
      <c r="T246" s="393"/>
    </row>
    <row r="247" spans="1:20" ht="18" customHeight="1">
      <c r="A247" s="1523"/>
      <c r="B247" s="1496"/>
      <c r="C247" s="1500" t="s">
        <v>73</v>
      </c>
      <c r="D247" s="1501"/>
      <c r="E247" s="1502"/>
      <c r="F247" s="1500" t="s">
        <v>126</v>
      </c>
      <c r="G247" s="1501"/>
      <c r="H247" s="1502"/>
      <c r="I247" s="1500" t="s">
        <v>127</v>
      </c>
      <c r="J247" s="1501"/>
      <c r="K247" s="1501"/>
      <c r="L247" s="1497" t="s">
        <v>62</v>
      </c>
      <c r="M247" s="1503"/>
      <c r="N247" s="1504"/>
      <c r="O247" s="1505"/>
      <c r="P247" s="1523"/>
      <c r="R247" s="390"/>
      <c r="T247" s="393"/>
    </row>
    <row r="248" spans="1:20" ht="18" customHeight="1">
      <c r="A248" s="1523"/>
      <c r="B248" s="1496"/>
      <c r="C248" s="994" t="s">
        <v>0</v>
      </c>
      <c r="D248" s="1088" t="s">
        <v>1</v>
      </c>
      <c r="E248" s="1067" t="s">
        <v>2</v>
      </c>
      <c r="F248" s="994" t="s">
        <v>0</v>
      </c>
      <c r="G248" s="1088" t="s">
        <v>1</v>
      </c>
      <c r="H248" s="1067" t="s">
        <v>2</v>
      </c>
      <c r="I248" s="994" t="s">
        <v>0</v>
      </c>
      <c r="J248" s="1088" t="s">
        <v>1</v>
      </c>
      <c r="K248" s="1067" t="s">
        <v>2</v>
      </c>
      <c r="L248" s="994" t="s">
        <v>0</v>
      </c>
      <c r="M248" s="1088" t="s">
        <v>1</v>
      </c>
      <c r="N248" s="1067" t="s">
        <v>2</v>
      </c>
      <c r="O248" s="1505"/>
      <c r="P248" s="1523"/>
      <c r="R248" s="390"/>
      <c r="T248" s="393"/>
    </row>
    <row r="249" spans="1:20" ht="18" customHeight="1">
      <c r="A249" s="1523"/>
      <c r="B249" s="1496"/>
      <c r="C249" s="1089" t="s">
        <v>500</v>
      </c>
      <c r="D249" s="1090" t="s">
        <v>501</v>
      </c>
      <c r="E249" s="1067" t="s">
        <v>502</v>
      </c>
      <c r="F249" s="1089" t="s">
        <v>500</v>
      </c>
      <c r="G249" s="1090" t="s">
        <v>501</v>
      </c>
      <c r="H249" s="1067" t="s">
        <v>502</v>
      </c>
      <c r="I249" s="1089" t="s">
        <v>500</v>
      </c>
      <c r="J249" s="1090" t="s">
        <v>501</v>
      </c>
      <c r="K249" s="1067" t="s">
        <v>502</v>
      </c>
      <c r="L249" s="1089" t="s">
        <v>500</v>
      </c>
      <c r="M249" s="1090" t="s">
        <v>501</v>
      </c>
      <c r="N249" s="1067" t="s">
        <v>502</v>
      </c>
      <c r="O249" s="1505"/>
      <c r="P249" s="1523"/>
      <c r="R249" s="390"/>
      <c r="T249" s="393"/>
    </row>
    <row r="250" spans="1:20" ht="18" customHeight="1">
      <c r="A250" s="1524"/>
      <c r="B250" s="1497"/>
      <c r="C250" s="1061" t="s">
        <v>52</v>
      </c>
      <c r="D250" s="1091" t="s">
        <v>53</v>
      </c>
      <c r="E250" s="1069" t="s">
        <v>28</v>
      </c>
      <c r="F250" s="1061" t="s">
        <v>52</v>
      </c>
      <c r="G250" s="1091" t="s">
        <v>53</v>
      </c>
      <c r="H250" s="1069" t="s">
        <v>28</v>
      </c>
      <c r="I250" s="1061" t="s">
        <v>52</v>
      </c>
      <c r="J250" s="1091" t="s">
        <v>53</v>
      </c>
      <c r="K250" s="1069" t="s">
        <v>28</v>
      </c>
      <c r="L250" s="1061" t="s">
        <v>52</v>
      </c>
      <c r="M250" s="1091" t="s">
        <v>53</v>
      </c>
      <c r="N250" s="1069" t="s">
        <v>28</v>
      </c>
      <c r="O250" s="1504"/>
      <c r="P250" s="1524"/>
      <c r="R250" s="390"/>
      <c r="T250" s="393"/>
    </row>
    <row r="251" spans="1:20" ht="27.95" customHeight="1">
      <c r="A251" s="1602">
        <v>105</v>
      </c>
      <c r="B251" s="1571" t="s">
        <v>466</v>
      </c>
      <c r="C251" s="1559" t="s">
        <v>14</v>
      </c>
      <c r="D251" s="1540">
        <v>9</v>
      </c>
      <c r="E251" s="1540">
        <f>D251</f>
        <v>9</v>
      </c>
      <c r="F251" s="1559" t="s">
        <v>14</v>
      </c>
      <c r="G251" s="1540">
        <v>79</v>
      </c>
      <c r="H251" s="1540">
        <f>G251</f>
        <v>79</v>
      </c>
      <c r="I251" s="1559" t="s">
        <v>14</v>
      </c>
      <c r="J251" s="1540">
        <v>60</v>
      </c>
      <c r="K251" s="1565">
        <f>J251</f>
        <v>60</v>
      </c>
      <c r="L251" s="1540" t="s">
        <v>14</v>
      </c>
      <c r="M251" s="1540">
        <v>154</v>
      </c>
      <c r="N251" s="1565">
        <f>M251</f>
        <v>154</v>
      </c>
      <c r="O251" s="971" t="s">
        <v>475</v>
      </c>
      <c r="P251" s="1602">
        <v>105</v>
      </c>
    </row>
    <row r="252" spans="1:20" ht="27.95" customHeight="1">
      <c r="A252" s="1601"/>
      <c r="B252" s="1553"/>
      <c r="C252" s="1537"/>
      <c r="D252" s="1532"/>
      <c r="E252" s="1532"/>
      <c r="F252" s="1537"/>
      <c r="G252" s="1532"/>
      <c r="H252" s="1532"/>
      <c r="I252" s="1537"/>
      <c r="J252" s="1532"/>
      <c r="K252" s="1531"/>
      <c r="L252" s="1532"/>
      <c r="M252" s="1532"/>
      <c r="N252" s="1531"/>
      <c r="O252" s="963" t="s">
        <v>542</v>
      </c>
      <c r="P252" s="1601"/>
    </row>
    <row r="253" spans="1:20" ht="27.95" customHeight="1">
      <c r="A253" s="1604">
        <v>106</v>
      </c>
      <c r="B253" s="1539" t="s">
        <v>1342</v>
      </c>
      <c r="C253" s="1567" t="s">
        <v>14</v>
      </c>
      <c r="D253" s="1548">
        <v>6</v>
      </c>
      <c r="E253" s="1507">
        <f>D253</f>
        <v>6</v>
      </c>
      <c r="F253" s="1509" t="s">
        <v>14</v>
      </c>
      <c r="G253" s="1507">
        <v>26</v>
      </c>
      <c r="H253" s="1507">
        <f>G253</f>
        <v>26</v>
      </c>
      <c r="I253" s="1509" t="s">
        <v>14</v>
      </c>
      <c r="J253" s="1507">
        <v>37</v>
      </c>
      <c r="K253" s="1506">
        <f>J253</f>
        <v>37</v>
      </c>
      <c r="L253" s="1507" t="s">
        <v>14</v>
      </c>
      <c r="M253" s="1507">
        <v>71</v>
      </c>
      <c r="N253" s="1506">
        <f>M253</f>
        <v>71</v>
      </c>
      <c r="O253" s="1092" t="s">
        <v>1339</v>
      </c>
      <c r="P253" s="1604">
        <v>106</v>
      </c>
    </row>
    <row r="254" spans="1:20" ht="27.95" customHeight="1">
      <c r="A254" s="1604"/>
      <c r="B254" s="1539"/>
      <c r="C254" s="1567"/>
      <c r="D254" s="1548"/>
      <c r="E254" s="1507"/>
      <c r="F254" s="1509"/>
      <c r="G254" s="1507"/>
      <c r="H254" s="1507"/>
      <c r="I254" s="1509"/>
      <c r="J254" s="1507"/>
      <c r="K254" s="1506"/>
      <c r="L254" s="1507"/>
      <c r="M254" s="1507"/>
      <c r="N254" s="1506"/>
      <c r="O254" s="1092" t="s">
        <v>1341</v>
      </c>
      <c r="P254" s="1604"/>
    </row>
    <row r="255" spans="1:20" ht="27.95" customHeight="1">
      <c r="A255" s="1601">
        <v>107</v>
      </c>
      <c r="B255" s="1553" t="s">
        <v>1425</v>
      </c>
      <c r="C255" s="1552" t="s">
        <v>14</v>
      </c>
      <c r="D255" s="1533">
        <v>13</v>
      </c>
      <c r="E255" s="1532">
        <f t="shared" ref="E255" si="217">D255</f>
        <v>13</v>
      </c>
      <c r="F255" s="1537" t="s">
        <v>14</v>
      </c>
      <c r="G255" s="1532">
        <v>73</v>
      </c>
      <c r="H255" s="1532">
        <f>G255</f>
        <v>73</v>
      </c>
      <c r="I255" s="1537">
        <v>4</v>
      </c>
      <c r="J255" s="1532">
        <v>145</v>
      </c>
      <c r="K255" s="1531">
        <f>J255+I255</f>
        <v>149</v>
      </c>
      <c r="L255" s="1532">
        <v>4</v>
      </c>
      <c r="M255" s="1532">
        <v>228</v>
      </c>
      <c r="N255" s="1531">
        <f>M255+L255</f>
        <v>232</v>
      </c>
      <c r="O255" s="963" t="s">
        <v>1423</v>
      </c>
      <c r="P255" s="1601">
        <v>107</v>
      </c>
    </row>
    <row r="256" spans="1:20" ht="27.95" customHeight="1">
      <c r="A256" s="1601"/>
      <c r="B256" s="1553"/>
      <c r="C256" s="1552"/>
      <c r="D256" s="1533"/>
      <c r="E256" s="1532"/>
      <c r="F256" s="1537"/>
      <c r="G256" s="1532"/>
      <c r="H256" s="1532"/>
      <c r="I256" s="1537"/>
      <c r="J256" s="1532"/>
      <c r="K256" s="1531"/>
      <c r="L256" s="1532"/>
      <c r="M256" s="1532"/>
      <c r="N256" s="1531"/>
      <c r="O256" s="963" t="s">
        <v>1424</v>
      </c>
      <c r="P256" s="1601"/>
    </row>
    <row r="257" spans="1:16" ht="27.95" customHeight="1">
      <c r="A257" s="1604">
        <v>108</v>
      </c>
      <c r="B257" s="1539" t="s">
        <v>1426</v>
      </c>
      <c r="C257" s="1567" t="s">
        <v>14</v>
      </c>
      <c r="D257" s="1548">
        <v>17</v>
      </c>
      <c r="E257" s="1507">
        <f t="shared" ref="E257" si="218">D257</f>
        <v>17</v>
      </c>
      <c r="F257" s="1509">
        <v>2</v>
      </c>
      <c r="G257" s="1507">
        <v>103</v>
      </c>
      <c r="H257" s="1507">
        <f>G257+F257</f>
        <v>105</v>
      </c>
      <c r="I257" s="1509">
        <v>5</v>
      </c>
      <c r="J257" s="1507">
        <v>425</v>
      </c>
      <c r="K257" s="1506">
        <f>J257+I257</f>
        <v>430</v>
      </c>
      <c r="L257" s="1507">
        <v>8</v>
      </c>
      <c r="M257" s="1507">
        <v>682</v>
      </c>
      <c r="N257" s="1506">
        <f>M257+L257</f>
        <v>690</v>
      </c>
      <c r="O257" s="1092" t="s">
        <v>1427</v>
      </c>
      <c r="P257" s="1604">
        <v>108</v>
      </c>
    </row>
    <row r="258" spans="1:16" ht="27.95" customHeight="1">
      <c r="A258" s="1604"/>
      <c r="B258" s="1539"/>
      <c r="C258" s="1567"/>
      <c r="D258" s="1548"/>
      <c r="E258" s="1507"/>
      <c r="F258" s="1509"/>
      <c r="G258" s="1507"/>
      <c r="H258" s="1507"/>
      <c r="I258" s="1509"/>
      <c r="J258" s="1507"/>
      <c r="K258" s="1506"/>
      <c r="L258" s="1507"/>
      <c r="M258" s="1507"/>
      <c r="N258" s="1506"/>
      <c r="O258" s="1092" t="s">
        <v>1428</v>
      </c>
      <c r="P258" s="1604"/>
    </row>
    <row r="259" spans="1:16" ht="27.95" customHeight="1">
      <c r="A259" s="1601">
        <v>109</v>
      </c>
      <c r="B259" s="1553" t="s">
        <v>1431</v>
      </c>
      <c r="C259" s="1552" t="s">
        <v>14</v>
      </c>
      <c r="D259" s="1533">
        <v>3</v>
      </c>
      <c r="E259" s="1532">
        <f t="shared" ref="E259" si="219">D259</f>
        <v>3</v>
      </c>
      <c r="F259" s="1537" t="s">
        <v>14</v>
      </c>
      <c r="G259" s="1532">
        <v>43</v>
      </c>
      <c r="H259" s="1532">
        <f>G259</f>
        <v>43</v>
      </c>
      <c r="I259" s="1537" t="s">
        <v>14</v>
      </c>
      <c r="J259" s="1532">
        <v>45</v>
      </c>
      <c r="K259" s="1531">
        <f>J259</f>
        <v>45</v>
      </c>
      <c r="L259" s="1532" t="s">
        <v>14</v>
      </c>
      <c r="M259" s="1532">
        <v>90</v>
      </c>
      <c r="N259" s="1531">
        <f>M259</f>
        <v>90</v>
      </c>
      <c r="O259" s="963" t="s">
        <v>1429</v>
      </c>
      <c r="P259" s="1601">
        <v>109</v>
      </c>
    </row>
    <row r="260" spans="1:16" ht="27.95" customHeight="1">
      <c r="A260" s="1601"/>
      <c r="B260" s="1553"/>
      <c r="C260" s="1552"/>
      <c r="D260" s="1533"/>
      <c r="E260" s="1532"/>
      <c r="F260" s="1537"/>
      <c r="G260" s="1532"/>
      <c r="H260" s="1532"/>
      <c r="I260" s="1537"/>
      <c r="J260" s="1532"/>
      <c r="K260" s="1531"/>
      <c r="L260" s="1532"/>
      <c r="M260" s="1532"/>
      <c r="N260" s="1531"/>
      <c r="O260" s="963" t="s">
        <v>1430</v>
      </c>
      <c r="P260" s="1601"/>
    </row>
    <row r="261" spans="1:16" ht="27.95" customHeight="1">
      <c r="A261" s="1604">
        <v>110</v>
      </c>
      <c r="B261" s="1539" t="s">
        <v>1432</v>
      </c>
      <c r="C261" s="1567" t="s">
        <v>14</v>
      </c>
      <c r="D261" s="1548">
        <v>4</v>
      </c>
      <c r="E261" s="1507">
        <f>D261</f>
        <v>4</v>
      </c>
      <c r="F261" s="1509" t="s">
        <v>14</v>
      </c>
      <c r="G261" s="1507">
        <v>25</v>
      </c>
      <c r="H261" s="1507">
        <f>G261</f>
        <v>25</v>
      </c>
      <c r="I261" s="1509" t="s">
        <v>14</v>
      </c>
      <c r="J261" s="1507">
        <v>13</v>
      </c>
      <c r="K261" s="1506">
        <f>J261</f>
        <v>13</v>
      </c>
      <c r="L261" s="1507" t="s">
        <v>14</v>
      </c>
      <c r="M261" s="1507">
        <v>49</v>
      </c>
      <c r="N261" s="1506">
        <f>M261</f>
        <v>49</v>
      </c>
      <c r="O261" s="1092" t="s">
        <v>1433</v>
      </c>
      <c r="P261" s="1604">
        <v>110</v>
      </c>
    </row>
    <row r="262" spans="1:16" ht="27.95" customHeight="1">
      <c r="A262" s="1604"/>
      <c r="B262" s="1539"/>
      <c r="C262" s="1567"/>
      <c r="D262" s="1548"/>
      <c r="E262" s="1507"/>
      <c r="F262" s="1509"/>
      <c r="G262" s="1507"/>
      <c r="H262" s="1507"/>
      <c r="I262" s="1509"/>
      <c r="J262" s="1507"/>
      <c r="K262" s="1506"/>
      <c r="L262" s="1507"/>
      <c r="M262" s="1507"/>
      <c r="N262" s="1506"/>
      <c r="O262" s="1092" t="s">
        <v>1434</v>
      </c>
      <c r="P262" s="1604"/>
    </row>
    <row r="263" spans="1:16" ht="27.95" customHeight="1">
      <c r="A263" s="1601">
        <v>111</v>
      </c>
      <c r="B263" s="1553" t="s">
        <v>396</v>
      </c>
      <c r="C263" s="1537">
        <v>15</v>
      </c>
      <c r="D263" s="1532">
        <v>31</v>
      </c>
      <c r="E263" s="1532">
        <f>D263+C263</f>
        <v>46</v>
      </c>
      <c r="F263" s="1552">
        <v>59</v>
      </c>
      <c r="G263" s="1533">
        <v>243</v>
      </c>
      <c r="H263" s="1533">
        <f>G263+F263</f>
        <v>302</v>
      </c>
      <c r="I263" s="1537">
        <v>26</v>
      </c>
      <c r="J263" s="1532">
        <v>311</v>
      </c>
      <c r="K263" s="1531">
        <f>J263+I263</f>
        <v>337</v>
      </c>
      <c r="L263" s="1532">
        <v>77</v>
      </c>
      <c r="M263" s="1532">
        <v>798</v>
      </c>
      <c r="N263" s="1531">
        <f>M263+L263</f>
        <v>875</v>
      </c>
      <c r="O263" s="963" t="s">
        <v>395</v>
      </c>
      <c r="P263" s="1601">
        <v>111</v>
      </c>
    </row>
    <row r="264" spans="1:16" ht="27.95" customHeight="1">
      <c r="A264" s="1601"/>
      <c r="B264" s="1553"/>
      <c r="C264" s="1537"/>
      <c r="D264" s="1532"/>
      <c r="E264" s="1532"/>
      <c r="F264" s="1552"/>
      <c r="G264" s="1533"/>
      <c r="H264" s="1533"/>
      <c r="I264" s="1537"/>
      <c r="J264" s="1532"/>
      <c r="K264" s="1531"/>
      <c r="L264" s="1532"/>
      <c r="M264" s="1532"/>
      <c r="N264" s="1531"/>
      <c r="O264" s="963" t="s">
        <v>540</v>
      </c>
      <c r="P264" s="1601"/>
    </row>
    <row r="265" spans="1:16" ht="27.95" customHeight="1">
      <c r="A265" s="1604">
        <v>112</v>
      </c>
      <c r="B265" s="1539" t="s">
        <v>791</v>
      </c>
      <c r="C265" s="1567">
        <v>6</v>
      </c>
      <c r="D265" s="1548">
        <v>20</v>
      </c>
      <c r="E265" s="1507">
        <f t="shared" ref="E265" si="220">D265+C265</f>
        <v>26</v>
      </c>
      <c r="F265" s="1509">
        <v>40</v>
      </c>
      <c r="G265" s="1507">
        <v>101</v>
      </c>
      <c r="H265" s="1548">
        <f t="shared" ref="H265" si="221">G265+F265</f>
        <v>141</v>
      </c>
      <c r="I265" s="1509">
        <v>32</v>
      </c>
      <c r="J265" s="1507">
        <v>95</v>
      </c>
      <c r="K265" s="1506">
        <f t="shared" ref="K265" si="222">J265+I265</f>
        <v>127</v>
      </c>
      <c r="L265" s="1507">
        <v>70</v>
      </c>
      <c r="M265" s="1507">
        <v>266</v>
      </c>
      <c r="N265" s="1506">
        <f t="shared" ref="N265" si="223">M265+L265</f>
        <v>336</v>
      </c>
      <c r="O265" s="1092" t="s">
        <v>1340</v>
      </c>
      <c r="P265" s="1604">
        <v>112</v>
      </c>
    </row>
    <row r="266" spans="1:16" ht="27.95" customHeight="1">
      <c r="A266" s="1604"/>
      <c r="B266" s="1539"/>
      <c r="C266" s="1567"/>
      <c r="D266" s="1548"/>
      <c r="E266" s="1507"/>
      <c r="F266" s="1509"/>
      <c r="G266" s="1507"/>
      <c r="H266" s="1548"/>
      <c r="I266" s="1509"/>
      <c r="J266" s="1507"/>
      <c r="K266" s="1506"/>
      <c r="L266" s="1507"/>
      <c r="M266" s="1507"/>
      <c r="N266" s="1506"/>
      <c r="O266" s="1092" t="s">
        <v>762</v>
      </c>
      <c r="P266" s="1604"/>
    </row>
    <row r="267" spans="1:16" ht="27.95" customHeight="1">
      <c r="A267" s="1601">
        <v>113</v>
      </c>
      <c r="B267" s="1553" t="s">
        <v>970</v>
      </c>
      <c r="C267" s="1552">
        <v>7</v>
      </c>
      <c r="D267" s="1533">
        <v>7</v>
      </c>
      <c r="E267" s="1532">
        <f t="shared" ref="E267" si="224">D267+C267</f>
        <v>14</v>
      </c>
      <c r="F267" s="1537">
        <v>106</v>
      </c>
      <c r="G267" s="1532">
        <v>128</v>
      </c>
      <c r="H267" s="1533">
        <f t="shared" ref="H267" si="225">G267+F267</f>
        <v>234</v>
      </c>
      <c r="I267" s="1537">
        <v>65</v>
      </c>
      <c r="J267" s="1532">
        <v>140</v>
      </c>
      <c r="K267" s="1531">
        <f t="shared" ref="K267" si="226">J267+I267</f>
        <v>205</v>
      </c>
      <c r="L267" s="1532">
        <v>183</v>
      </c>
      <c r="M267" s="1532">
        <v>187</v>
      </c>
      <c r="N267" s="1531">
        <f t="shared" ref="N267" si="227">M267+L267</f>
        <v>370</v>
      </c>
      <c r="O267" s="963" t="s">
        <v>968</v>
      </c>
      <c r="P267" s="1601">
        <v>113</v>
      </c>
    </row>
    <row r="268" spans="1:16" ht="27.95" customHeight="1">
      <c r="A268" s="1601"/>
      <c r="B268" s="1553"/>
      <c r="C268" s="1552"/>
      <c r="D268" s="1533"/>
      <c r="E268" s="1532"/>
      <c r="F268" s="1537"/>
      <c r="G268" s="1532"/>
      <c r="H268" s="1533"/>
      <c r="I268" s="1537"/>
      <c r="J268" s="1532"/>
      <c r="K268" s="1531"/>
      <c r="L268" s="1532"/>
      <c r="M268" s="1532"/>
      <c r="N268" s="1531"/>
      <c r="O268" s="963" t="s">
        <v>969</v>
      </c>
      <c r="P268" s="1601"/>
    </row>
    <row r="269" spans="1:16" ht="26.1" customHeight="1">
      <c r="A269" s="1604">
        <v>114</v>
      </c>
      <c r="B269" s="1539" t="s">
        <v>871</v>
      </c>
      <c r="C269" s="1567">
        <v>4</v>
      </c>
      <c r="D269" s="1548">
        <v>14</v>
      </c>
      <c r="E269" s="1507">
        <f t="shared" ref="E269" si="228">D269+C269</f>
        <v>18</v>
      </c>
      <c r="F269" s="1509">
        <v>41</v>
      </c>
      <c r="G269" s="1507">
        <v>69</v>
      </c>
      <c r="H269" s="1548">
        <f t="shared" ref="H269" si="229">G269+F269</f>
        <v>110</v>
      </c>
      <c r="I269" s="1509">
        <v>35</v>
      </c>
      <c r="J269" s="1507">
        <v>85</v>
      </c>
      <c r="K269" s="1506">
        <f t="shared" ref="K269" si="230">J269+I269</f>
        <v>120</v>
      </c>
      <c r="L269" s="1507">
        <v>116</v>
      </c>
      <c r="M269" s="1507">
        <v>284</v>
      </c>
      <c r="N269" s="1506">
        <f t="shared" ref="N269" si="231">M269+L269</f>
        <v>400</v>
      </c>
      <c r="O269" s="1092" t="s">
        <v>766</v>
      </c>
      <c r="P269" s="1604">
        <v>114</v>
      </c>
    </row>
    <row r="270" spans="1:16" ht="26.1" customHeight="1">
      <c r="A270" s="1604"/>
      <c r="B270" s="1539"/>
      <c r="C270" s="1567"/>
      <c r="D270" s="1548"/>
      <c r="E270" s="1507"/>
      <c r="F270" s="1509"/>
      <c r="G270" s="1507"/>
      <c r="H270" s="1548"/>
      <c r="I270" s="1509"/>
      <c r="J270" s="1507"/>
      <c r="K270" s="1506"/>
      <c r="L270" s="1507"/>
      <c r="M270" s="1507"/>
      <c r="N270" s="1506"/>
      <c r="O270" s="1092" t="s">
        <v>767</v>
      </c>
      <c r="P270" s="1604"/>
    </row>
    <row r="271" spans="1:16" ht="26.1" customHeight="1">
      <c r="A271" s="1601">
        <v>115</v>
      </c>
      <c r="B271" s="1553" t="s">
        <v>967</v>
      </c>
      <c r="C271" s="1552">
        <v>1</v>
      </c>
      <c r="D271" s="1533">
        <v>5</v>
      </c>
      <c r="E271" s="1532">
        <f t="shared" ref="E271" si="232">D271+C271</f>
        <v>6</v>
      </c>
      <c r="F271" s="1537" t="s">
        <v>485</v>
      </c>
      <c r="G271" s="1532" t="s">
        <v>485</v>
      </c>
      <c r="H271" s="1532" t="s">
        <v>485</v>
      </c>
      <c r="I271" s="1537">
        <v>174</v>
      </c>
      <c r="J271" s="1532">
        <v>137</v>
      </c>
      <c r="K271" s="1531">
        <f t="shared" ref="K271" si="233">J271+I271</f>
        <v>311</v>
      </c>
      <c r="L271" s="1532">
        <v>375</v>
      </c>
      <c r="M271" s="1532">
        <v>287</v>
      </c>
      <c r="N271" s="1531">
        <f t="shared" ref="N271" si="234">M271+L271</f>
        <v>662</v>
      </c>
      <c r="O271" s="963" t="s">
        <v>1287</v>
      </c>
      <c r="P271" s="1601">
        <v>115</v>
      </c>
    </row>
    <row r="272" spans="1:16" ht="26.1" customHeight="1">
      <c r="A272" s="1601"/>
      <c r="B272" s="1553"/>
      <c r="C272" s="1552"/>
      <c r="D272" s="1533"/>
      <c r="E272" s="1532"/>
      <c r="F272" s="1537"/>
      <c r="G272" s="1532"/>
      <c r="H272" s="1532"/>
      <c r="I272" s="1537"/>
      <c r="J272" s="1532"/>
      <c r="K272" s="1531"/>
      <c r="L272" s="1532"/>
      <c r="M272" s="1532"/>
      <c r="N272" s="1531"/>
      <c r="O272" s="963" t="s">
        <v>966</v>
      </c>
      <c r="P272" s="1601"/>
    </row>
    <row r="273" spans="1:19" ht="26.1" customHeight="1">
      <c r="A273" s="1604">
        <v>116</v>
      </c>
      <c r="B273" s="1539" t="s">
        <v>1400</v>
      </c>
      <c r="C273" s="1567">
        <v>3</v>
      </c>
      <c r="D273" s="1548">
        <v>20</v>
      </c>
      <c r="E273" s="1507">
        <f t="shared" ref="E273" si="235">D273+C273</f>
        <v>23</v>
      </c>
      <c r="F273" s="1509">
        <v>6</v>
      </c>
      <c r="G273" s="1507">
        <v>65</v>
      </c>
      <c r="H273" s="1507">
        <f>G273+F273</f>
        <v>71</v>
      </c>
      <c r="I273" s="1509" t="s">
        <v>14</v>
      </c>
      <c r="J273" s="1507">
        <v>77</v>
      </c>
      <c r="K273" s="1506">
        <f>J273</f>
        <v>77</v>
      </c>
      <c r="L273" s="1507">
        <v>4</v>
      </c>
      <c r="M273" s="1507">
        <v>265</v>
      </c>
      <c r="N273" s="1506">
        <f t="shared" ref="N273" si="236">M273+L273</f>
        <v>269</v>
      </c>
      <c r="O273" s="1092" t="s">
        <v>1398</v>
      </c>
      <c r="P273" s="1604">
        <v>116</v>
      </c>
    </row>
    <row r="274" spans="1:19" ht="26.1" customHeight="1">
      <c r="A274" s="1604"/>
      <c r="B274" s="1539"/>
      <c r="C274" s="1567"/>
      <c r="D274" s="1548"/>
      <c r="E274" s="1507"/>
      <c r="F274" s="1509"/>
      <c r="G274" s="1507"/>
      <c r="H274" s="1507"/>
      <c r="I274" s="1509"/>
      <c r="J274" s="1507"/>
      <c r="K274" s="1506"/>
      <c r="L274" s="1507"/>
      <c r="M274" s="1507"/>
      <c r="N274" s="1506"/>
      <c r="O274" s="1092" t="s">
        <v>1399</v>
      </c>
      <c r="P274" s="1604"/>
    </row>
    <row r="275" spans="1:19" ht="26.1" customHeight="1">
      <c r="A275" s="1601">
        <v>117</v>
      </c>
      <c r="B275" s="1553" t="s">
        <v>1343</v>
      </c>
      <c r="C275" s="1537" t="s">
        <v>14</v>
      </c>
      <c r="D275" s="1532">
        <v>23</v>
      </c>
      <c r="E275" s="1532">
        <f>D275</f>
        <v>23</v>
      </c>
      <c r="F275" s="1537" t="s">
        <v>14</v>
      </c>
      <c r="G275" s="1532">
        <v>81</v>
      </c>
      <c r="H275" s="1532">
        <f>G275</f>
        <v>81</v>
      </c>
      <c r="I275" s="1537" t="s">
        <v>14</v>
      </c>
      <c r="J275" s="1532">
        <v>159</v>
      </c>
      <c r="K275" s="1531">
        <f t="shared" ref="K275" si="237">J275</f>
        <v>159</v>
      </c>
      <c r="L275" s="1532" t="s">
        <v>14</v>
      </c>
      <c r="M275" s="1532">
        <v>254</v>
      </c>
      <c r="N275" s="1531">
        <f>M275</f>
        <v>254</v>
      </c>
      <c r="O275" s="963" t="s">
        <v>1337</v>
      </c>
      <c r="P275" s="1601">
        <v>117</v>
      </c>
    </row>
    <row r="276" spans="1:19" ht="26.1" customHeight="1">
      <c r="A276" s="1601"/>
      <c r="B276" s="1553"/>
      <c r="C276" s="1537"/>
      <c r="D276" s="1532"/>
      <c r="E276" s="1532"/>
      <c r="F276" s="1537"/>
      <c r="G276" s="1532"/>
      <c r="H276" s="1532"/>
      <c r="I276" s="1537"/>
      <c r="J276" s="1532"/>
      <c r="K276" s="1531"/>
      <c r="L276" s="1532"/>
      <c r="M276" s="1532"/>
      <c r="N276" s="1531"/>
      <c r="O276" s="963" t="s">
        <v>1338</v>
      </c>
      <c r="P276" s="1601"/>
    </row>
    <row r="277" spans="1:19" ht="26.1" customHeight="1">
      <c r="A277" s="1604">
        <v>118</v>
      </c>
      <c r="B277" s="1539" t="s">
        <v>1419</v>
      </c>
      <c r="C277" s="1563">
        <v>1</v>
      </c>
      <c r="D277" s="1569">
        <v>10</v>
      </c>
      <c r="E277" s="1507">
        <f>D277+C277</f>
        <v>11</v>
      </c>
      <c r="F277" s="1509" t="s">
        <v>14</v>
      </c>
      <c r="G277" s="1507">
        <v>46</v>
      </c>
      <c r="H277" s="1507">
        <f>G277</f>
        <v>46</v>
      </c>
      <c r="I277" s="1509" t="s">
        <v>14</v>
      </c>
      <c r="J277" s="1507">
        <v>207</v>
      </c>
      <c r="K277" s="1506">
        <f t="shared" ref="K277" si="238">J277</f>
        <v>207</v>
      </c>
      <c r="L277" s="1507" t="s">
        <v>14</v>
      </c>
      <c r="M277" s="1507">
        <v>250</v>
      </c>
      <c r="N277" s="1506">
        <f>M277</f>
        <v>250</v>
      </c>
      <c r="O277" s="1092" t="s">
        <v>1418</v>
      </c>
      <c r="P277" s="1604">
        <v>118</v>
      </c>
    </row>
    <row r="278" spans="1:19" ht="26.1" customHeight="1">
      <c r="A278" s="1604"/>
      <c r="B278" s="1539"/>
      <c r="C278" s="1563"/>
      <c r="D278" s="1569"/>
      <c r="E278" s="1507"/>
      <c r="F278" s="1509"/>
      <c r="G278" s="1507"/>
      <c r="H278" s="1507"/>
      <c r="I278" s="1509"/>
      <c r="J278" s="1507"/>
      <c r="K278" s="1506"/>
      <c r="L278" s="1507"/>
      <c r="M278" s="1507"/>
      <c r="N278" s="1506"/>
      <c r="O278" s="1092" t="s">
        <v>1417</v>
      </c>
      <c r="P278" s="1604"/>
    </row>
    <row r="279" spans="1:19" ht="26.1" customHeight="1">
      <c r="A279" s="1601">
        <v>119</v>
      </c>
      <c r="B279" s="1553" t="s">
        <v>1420</v>
      </c>
      <c r="C279" s="1537" t="s">
        <v>14</v>
      </c>
      <c r="D279" s="1532">
        <v>11</v>
      </c>
      <c r="E279" s="1532">
        <f>D279</f>
        <v>11</v>
      </c>
      <c r="F279" s="1537">
        <v>1</v>
      </c>
      <c r="G279" s="1532">
        <v>103</v>
      </c>
      <c r="H279" s="1532">
        <f>G279+F279</f>
        <v>104</v>
      </c>
      <c r="I279" s="1537" t="s">
        <v>14</v>
      </c>
      <c r="J279" s="1532">
        <v>178</v>
      </c>
      <c r="K279" s="1531">
        <f t="shared" ref="K279" si="239">J279</f>
        <v>178</v>
      </c>
      <c r="L279" s="1532">
        <v>1</v>
      </c>
      <c r="M279" s="1532">
        <v>293</v>
      </c>
      <c r="N279" s="1531">
        <f>M279+L279</f>
        <v>294</v>
      </c>
      <c r="O279" s="963" t="s">
        <v>1421</v>
      </c>
      <c r="P279" s="1601">
        <v>119</v>
      </c>
    </row>
    <row r="280" spans="1:19" ht="26.1" customHeight="1">
      <c r="A280" s="1601"/>
      <c r="B280" s="1553"/>
      <c r="C280" s="1537"/>
      <c r="D280" s="1532"/>
      <c r="E280" s="1532"/>
      <c r="F280" s="1537"/>
      <c r="G280" s="1532"/>
      <c r="H280" s="1532"/>
      <c r="I280" s="1537"/>
      <c r="J280" s="1532"/>
      <c r="K280" s="1531"/>
      <c r="L280" s="1532"/>
      <c r="M280" s="1532"/>
      <c r="N280" s="1531"/>
      <c r="O280" s="963" t="s">
        <v>1422</v>
      </c>
      <c r="P280" s="1601"/>
    </row>
    <row r="281" spans="1:19" ht="26.1" customHeight="1">
      <c r="A281" s="1604">
        <v>120</v>
      </c>
      <c r="B281" s="1539" t="s">
        <v>795</v>
      </c>
      <c r="C281" s="1567" t="s">
        <v>14</v>
      </c>
      <c r="D281" s="1548">
        <v>5</v>
      </c>
      <c r="E281" s="1507">
        <f>D281</f>
        <v>5</v>
      </c>
      <c r="F281" s="1509" t="s">
        <v>14</v>
      </c>
      <c r="G281" s="1507">
        <v>42</v>
      </c>
      <c r="H281" s="1507">
        <f>G281</f>
        <v>42</v>
      </c>
      <c r="I281" s="1509" t="s">
        <v>14</v>
      </c>
      <c r="J281" s="1507">
        <v>24</v>
      </c>
      <c r="K281" s="1506">
        <f t="shared" ref="K281" si="240">J281</f>
        <v>24</v>
      </c>
      <c r="L281" s="1507">
        <v>1</v>
      </c>
      <c r="M281" s="1507">
        <v>62</v>
      </c>
      <c r="N281" s="1506">
        <f t="shared" ref="N281" si="241">M281+L281</f>
        <v>63</v>
      </c>
      <c r="O281" s="1092" t="s">
        <v>773</v>
      </c>
      <c r="P281" s="1604">
        <v>120</v>
      </c>
    </row>
    <row r="282" spans="1:19" ht="26.1" customHeight="1">
      <c r="A282" s="1604"/>
      <c r="B282" s="1539"/>
      <c r="C282" s="1567"/>
      <c r="D282" s="1548"/>
      <c r="E282" s="1507"/>
      <c r="F282" s="1509"/>
      <c r="G282" s="1507"/>
      <c r="H282" s="1507"/>
      <c r="I282" s="1509"/>
      <c r="J282" s="1507"/>
      <c r="K282" s="1506"/>
      <c r="L282" s="1507"/>
      <c r="M282" s="1507"/>
      <c r="N282" s="1506"/>
      <c r="O282" s="1092" t="s">
        <v>774</v>
      </c>
      <c r="P282" s="1604"/>
    </row>
    <row r="283" spans="1:19" ht="27.95" customHeight="1">
      <c r="A283" s="1601">
        <v>121</v>
      </c>
      <c r="B283" s="1553" t="s">
        <v>789</v>
      </c>
      <c r="C283" s="1552">
        <v>16</v>
      </c>
      <c r="D283" s="1533">
        <v>14</v>
      </c>
      <c r="E283" s="1532">
        <f>D283+C283</f>
        <v>30</v>
      </c>
      <c r="F283" s="1537">
        <v>99</v>
      </c>
      <c r="G283" s="1532">
        <v>114</v>
      </c>
      <c r="H283" s="1532">
        <f>G283+F283</f>
        <v>213</v>
      </c>
      <c r="I283" s="1537">
        <v>256</v>
      </c>
      <c r="J283" s="1532">
        <v>141</v>
      </c>
      <c r="K283" s="1531">
        <f>J283+I283</f>
        <v>397</v>
      </c>
      <c r="L283" s="1532">
        <v>432</v>
      </c>
      <c r="M283" s="1532">
        <v>336</v>
      </c>
      <c r="N283" s="1531">
        <f t="shared" ref="N283" si="242">M283+L283</f>
        <v>768</v>
      </c>
      <c r="O283" s="963" t="s">
        <v>757</v>
      </c>
      <c r="P283" s="1601">
        <v>121</v>
      </c>
    </row>
    <row r="284" spans="1:19" ht="27.95" customHeight="1">
      <c r="A284" s="1601"/>
      <c r="B284" s="1553"/>
      <c r="C284" s="1552"/>
      <c r="D284" s="1533"/>
      <c r="E284" s="1532"/>
      <c r="F284" s="1537"/>
      <c r="G284" s="1532"/>
      <c r="H284" s="1532"/>
      <c r="I284" s="1537"/>
      <c r="J284" s="1532"/>
      <c r="K284" s="1531"/>
      <c r="L284" s="1532"/>
      <c r="M284" s="1532"/>
      <c r="N284" s="1531"/>
      <c r="O284" s="963" t="s">
        <v>765</v>
      </c>
      <c r="P284" s="1601"/>
      <c r="S284" s="132" t="e">
        <f>L295+L283+L271+L269+L267+L265+L263+L221+L219+L217+L213+L211+L207+L203+L197+L139+L137+L131+L85+L57</f>
        <v>#VALUE!</v>
      </c>
    </row>
    <row r="285" spans="1:19" ht="26.1" customHeight="1">
      <c r="A285" s="1604">
        <v>122</v>
      </c>
      <c r="B285" s="1539" t="s">
        <v>1403</v>
      </c>
      <c r="C285" s="1567">
        <v>11</v>
      </c>
      <c r="D285" s="1548">
        <v>20</v>
      </c>
      <c r="E285" s="1507">
        <f t="shared" ref="E285" si="243">D285+C285</f>
        <v>31</v>
      </c>
      <c r="F285" s="1509">
        <v>76</v>
      </c>
      <c r="G285" s="1507">
        <v>23</v>
      </c>
      <c r="H285" s="1507">
        <f t="shared" ref="H285" si="244">G285+F285</f>
        <v>99</v>
      </c>
      <c r="I285" s="1509">
        <v>126</v>
      </c>
      <c r="J285" s="1507">
        <v>38</v>
      </c>
      <c r="K285" s="1506">
        <f t="shared" ref="K285" si="245">J285+I285</f>
        <v>164</v>
      </c>
      <c r="L285" s="1507">
        <v>232</v>
      </c>
      <c r="M285" s="1507">
        <v>105</v>
      </c>
      <c r="N285" s="1506">
        <f t="shared" ref="N285" si="246">M285+L285</f>
        <v>337</v>
      </c>
      <c r="O285" s="1092" t="s">
        <v>1401</v>
      </c>
      <c r="P285" s="1604">
        <v>122</v>
      </c>
    </row>
    <row r="286" spans="1:19" ht="26.1" customHeight="1">
      <c r="A286" s="1604"/>
      <c r="B286" s="1539"/>
      <c r="C286" s="1567"/>
      <c r="D286" s="1548"/>
      <c r="E286" s="1507"/>
      <c r="F286" s="1509"/>
      <c r="G286" s="1507"/>
      <c r="H286" s="1507"/>
      <c r="I286" s="1509"/>
      <c r="J286" s="1507"/>
      <c r="K286" s="1506"/>
      <c r="L286" s="1507"/>
      <c r="M286" s="1507"/>
      <c r="N286" s="1506"/>
      <c r="O286" s="1092" t="s">
        <v>1402</v>
      </c>
      <c r="P286" s="1604"/>
    </row>
    <row r="287" spans="1:19" ht="26.1" customHeight="1">
      <c r="A287" s="1601">
        <v>123</v>
      </c>
      <c r="B287" s="1553" t="s">
        <v>1404</v>
      </c>
      <c r="C287" s="1552">
        <v>1</v>
      </c>
      <c r="D287" s="1533">
        <v>33</v>
      </c>
      <c r="E287" s="1532">
        <f t="shared" ref="E287" si="247">D287+C287</f>
        <v>34</v>
      </c>
      <c r="F287" s="1537">
        <v>56</v>
      </c>
      <c r="G287" s="1532">
        <v>109</v>
      </c>
      <c r="H287" s="1532">
        <f t="shared" ref="H287" si="248">G287+F287</f>
        <v>165</v>
      </c>
      <c r="I287" s="1537">
        <v>68</v>
      </c>
      <c r="J287" s="1532">
        <v>159</v>
      </c>
      <c r="K287" s="1531">
        <f t="shared" ref="K287" si="249">J287+I287</f>
        <v>227</v>
      </c>
      <c r="L287" s="1532">
        <v>170</v>
      </c>
      <c r="M287" s="1532">
        <v>433</v>
      </c>
      <c r="N287" s="1531">
        <f t="shared" ref="N287" si="250">M287+L287</f>
        <v>603</v>
      </c>
      <c r="O287" s="963" t="s">
        <v>1405</v>
      </c>
      <c r="P287" s="1601">
        <v>123</v>
      </c>
    </row>
    <row r="288" spans="1:19" ht="26.1" customHeight="1">
      <c r="A288" s="1601"/>
      <c r="B288" s="1553"/>
      <c r="C288" s="1552"/>
      <c r="D288" s="1533"/>
      <c r="E288" s="1532"/>
      <c r="F288" s="1537"/>
      <c r="G288" s="1532"/>
      <c r="H288" s="1532"/>
      <c r="I288" s="1537"/>
      <c r="J288" s="1532"/>
      <c r="K288" s="1531"/>
      <c r="L288" s="1532"/>
      <c r="M288" s="1532"/>
      <c r="N288" s="1531"/>
      <c r="O288" s="963" t="s">
        <v>1406</v>
      </c>
      <c r="P288" s="1601"/>
    </row>
    <row r="289" spans="1:18" ht="26.1" customHeight="1">
      <c r="A289" s="1604">
        <v>124</v>
      </c>
      <c r="B289" s="1539" t="s">
        <v>1409</v>
      </c>
      <c r="C289" s="1567">
        <v>15</v>
      </c>
      <c r="D289" s="1548">
        <v>22</v>
      </c>
      <c r="E289" s="1507">
        <f t="shared" ref="E289" si="251">D289+C289</f>
        <v>37</v>
      </c>
      <c r="F289" s="1509">
        <v>35</v>
      </c>
      <c r="G289" s="1507">
        <v>120</v>
      </c>
      <c r="H289" s="1507">
        <f t="shared" ref="H289" si="252">G289+F289</f>
        <v>155</v>
      </c>
      <c r="I289" s="1509">
        <v>57</v>
      </c>
      <c r="J289" s="1507">
        <v>124</v>
      </c>
      <c r="K289" s="1506">
        <f t="shared" ref="K289" si="253">J289+I289</f>
        <v>181</v>
      </c>
      <c r="L289" s="1507">
        <v>186</v>
      </c>
      <c r="M289" s="1507">
        <v>535</v>
      </c>
      <c r="N289" s="1506">
        <f t="shared" ref="N289:N291" si="254">M289+L289</f>
        <v>721</v>
      </c>
      <c r="O289" s="1092" t="s">
        <v>1407</v>
      </c>
      <c r="P289" s="1604">
        <v>124</v>
      </c>
    </row>
    <row r="290" spans="1:18" ht="26.1" customHeight="1">
      <c r="A290" s="1604"/>
      <c r="B290" s="1539"/>
      <c r="C290" s="1567"/>
      <c r="D290" s="1548"/>
      <c r="E290" s="1507"/>
      <c r="F290" s="1509"/>
      <c r="G290" s="1507"/>
      <c r="H290" s="1507"/>
      <c r="I290" s="1509"/>
      <c r="J290" s="1507"/>
      <c r="K290" s="1506"/>
      <c r="L290" s="1507"/>
      <c r="M290" s="1507"/>
      <c r="N290" s="1506"/>
      <c r="O290" s="1092" t="s">
        <v>1408</v>
      </c>
      <c r="P290" s="1604"/>
    </row>
    <row r="291" spans="1:18" ht="26.1" customHeight="1">
      <c r="A291" s="1601">
        <v>125</v>
      </c>
      <c r="B291" s="1553" t="s">
        <v>86</v>
      </c>
      <c r="C291" s="1537" t="s">
        <v>14</v>
      </c>
      <c r="D291" s="1532">
        <v>12</v>
      </c>
      <c r="E291" s="1533">
        <f>D291</f>
        <v>12</v>
      </c>
      <c r="F291" s="1537" t="s">
        <v>14</v>
      </c>
      <c r="G291" s="1532">
        <v>44</v>
      </c>
      <c r="H291" s="1532">
        <f>G291</f>
        <v>44</v>
      </c>
      <c r="I291" s="1537">
        <v>1</v>
      </c>
      <c r="J291" s="1532">
        <v>54</v>
      </c>
      <c r="K291" s="1531">
        <f t="shared" ref="K291" si="255">J291+I291</f>
        <v>55</v>
      </c>
      <c r="L291" s="1532">
        <v>1</v>
      </c>
      <c r="M291" s="1532">
        <v>149</v>
      </c>
      <c r="N291" s="1531">
        <f t="shared" si="254"/>
        <v>150</v>
      </c>
      <c r="O291" s="1532" t="s">
        <v>1118</v>
      </c>
      <c r="P291" s="1601">
        <v>125</v>
      </c>
    </row>
    <row r="292" spans="1:18" ht="26.1" customHeight="1">
      <c r="A292" s="1601"/>
      <c r="B292" s="1553"/>
      <c r="C292" s="1537"/>
      <c r="D292" s="1532"/>
      <c r="E292" s="1533"/>
      <c r="F292" s="1537"/>
      <c r="G292" s="1532"/>
      <c r="H292" s="1532"/>
      <c r="I292" s="1537"/>
      <c r="J292" s="1532"/>
      <c r="K292" s="1531"/>
      <c r="L292" s="1532"/>
      <c r="M292" s="1532"/>
      <c r="N292" s="1531"/>
      <c r="O292" s="1532"/>
      <c r="P292" s="1601"/>
    </row>
    <row r="293" spans="1:18" ht="26.1" customHeight="1">
      <c r="A293" s="1604">
        <v>126</v>
      </c>
      <c r="B293" s="1539" t="s">
        <v>1416</v>
      </c>
      <c r="C293" s="1509" t="s">
        <v>14</v>
      </c>
      <c r="D293" s="1507">
        <v>8</v>
      </c>
      <c r="E293" s="1548">
        <f>D293</f>
        <v>8</v>
      </c>
      <c r="F293" s="1509" t="s">
        <v>14</v>
      </c>
      <c r="G293" s="1507">
        <v>38</v>
      </c>
      <c r="H293" s="1507">
        <f>G293</f>
        <v>38</v>
      </c>
      <c r="I293" s="1509" t="s">
        <v>14</v>
      </c>
      <c r="J293" s="1507">
        <v>45</v>
      </c>
      <c r="K293" s="1506">
        <f>J293</f>
        <v>45</v>
      </c>
      <c r="L293" s="1507" t="s">
        <v>14</v>
      </c>
      <c r="M293" s="1507">
        <v>144</v>
      </c>
      <c r="N293" s="1506">
        <f>M293</f>
        <v>144</v>
      </c>
      <c r="O293" s="1592" t="s">
        <v>1415</v>
      </c>
      <c r="P293" s="1604">
        <v>126</v>
      </c>
    </row>
    <row r="294" spans="1:18" ht="26.1" customHeight="1">
      <c r="A294" s="1604"/>
      <c r="B294" s="1539"/>
      <c r="C294" s="1509"/>
      <c r="D294" s="1507"/>
      <c r="E294" s="1548"/>
      <c r="F294" s="1509"/>
      <c r="G294" s="1507"/>
      <c r="H294" s="1507"/>
      <c r="I294" s="1509"/>
      <c r="J294" s="1507"/>
      <c r="K294" s="1506"/>
      <c r="L294" s="1507"/>
      <c r="M294" s="1507"/>
      <c r="N294" s="1506"/>
      <c r="O294" s="1592"/>
      <c r="P294" s="1604"/>
    </row>
    <row r="295" spans="1:18" ht="26.1" customHeight="1">
      <c r="A295" s="1601">
        <v>127</v>
      </c>
      <c r="B295" s="1553" t="s">
        <v>798</v>
      </c>
      <c r="C295" s="1552" t="s">
        <v>14</v>
      </c>
      <c r="D295" s="1533">
        <v>11</v>
      </c>
      <c r="E295" s="1533">
        <f>D295</f>
        <v>11</v>
      </c>
      <c r="F295" s="1537">
        <v>9</v>
      </c>
      <c r="G295" s="1532">
        <v>75</v>
      </c>
      <c r="H295" s="1532">
        <f>G295+F295</f>
        <v>84</v>
      </c>
      <c r="I295" s="1537">
        <v>15</v>
      </c>
      <c r="J295" s="1532">
        <v>93</v>
      </c>
      <c r="K295" s="1531">
        <f>J295+I295</f>
        <v>108</v>
      </c>
      <c r="L295" s="1532">
        <v>48</v>
      </c>
      <c r="M295" s="1532">
        <v>224</v>
      </c>
      <c r="N295" s="1531">
        <f>M295+L295</f>
        <v>272</v>
      </c>
      <c r="O295" s="963" t="s">
        <v>781</v>
      </c>
      <c r="P295" s="1601">
        <v>127</v>
      </c>
      <c r="Q295" s="128"/>
      <c r="R295" s="128">
        <f>128/5</f>
        <v>25.6</v>
      </c>
    </row>
    <row r="296" spans="1:18" ht="26.1" customHeight="1">
      <c r="A296" s="1603"/>
      <c r="B296" s="1560"/>
      <c r="C296" s="1566"/>
      <c r="D296" s="1551"/>
      <c r="E296" s="1551"/>
      <c r="F296" s="1556"/>
      <c r="G296" s="1536"/>
      <c r="H296" s="1536"/>
      <c r="I296" s="1556"/>
      <c r="J296" s="1536"/>
      <c r="K296" s="1555"/>
      <c r="L296" s="1536"/>
      <c r="M296" s="1536"/>
      <c r="N296" s="1555"/>
      <c r="O296" s="973" t="s">
        <v>1546</v>
      </c>
      <c r="P296" s="1603"/>
      <c r="Q296" s="128"/>
      <c r="R296" s="128"/>
    </row>
    <row r="297" spans="1:18" ht="24" customHeight="1">
      <c r="A297" s="1609" t="s">
        <v>822</v>
      </c>
      <c r="B297" s="1609"/>
      <c r="C297" s="1609"/>
      <c r="D297" s="1609"/>
      <c r="E297" s="1609"/>
      <c r="F297" s="1609"/>
      <c r="G297" s="1609"/>
      <c r="H297" s="1609"/>
      <c r="I297" s="1515" t="s">
        <v>821</v>
      </c>
      <c r="J297" s="1515"/>
      <c r="K297" s="1515"/>
      <c r="L297" s="1515"/>
      <c r="M297" s="1515"/>
      <c r="N297" s="1515"/>
      <c r="O297" s="1515"/>
      <c r="P297" s="1515"/>
      <c r="Q297" s="128"/>
      <c r="R297" s="128"/>
    </row>
    <row r="298" spans="1:18" ht="24" customHeight="1">
      <c r="A298" s="1580"/>
      <c r="B298" s="1580"/>
      <c r="C298" s="1580"/>
      <c r="D298" s="1580"/>
      <c r="E298" s="1580"/>
      <c r="F298" s="1580"/>
      <c r="G298" s="1580"/>
      <c r="H298" s="1580"/>
      <c r="I298" s="1581" t="s">
        <v>823</v>
      </c>
      <c r="J298" s="1581"/>
      <c r="K298" s="1581"/>
      <c r="L298" s="1581"/>
      <c r="M298" s="1581"/>
      <c r="N298" s="1581"/>
      <c r="O298" s="1581"/>
      <c r="P298" s="1581"/>
      <c r="Q298" s="128"/>
      <c r="R298" s="128"/>
    </row>
    <row r="299" spans="1:18" ht="24" customHeight="1">
      <c r="A299" s="1576" t="s">
        <v>1291</v>
      </c>
      <c r="B299" s="1576"/>
      <c r="C299" s="1576"/>
      <c r="D299" s="1576"/>
      <c r="E299" s="1576"/>
      <c r="F299" s="1576"/>
      <c r="G299" s="1576"/>
      <c r="H299" s="1576"/>
      <c r="I299" s="1585" t="s">
        <v>887</v>
      </c>
      <c r="J299" s="1585"/>
      <c r="K299" s="1585"/>
      <c r="L299" s="1585"/>
      <c r="M299" s="1585"/>
      <c r="N299" s="1585"/>
      <c r="O299" s="1585"/>
      <c r="P299" s="1585"/>
      <c r="Q299" s="128"/>
      <c r="R299" s="128"/>
    </row>
    <row r="300" spans="1:18" ht="24" customHeight="1">
      <c r="A300" s="1576"/>
      <c r="B300" s="1576"/>
      <c r="C300" s="1576"/>
      <c r="D300" s="1576"/>
      <c r="E300" s="1576"/>
      <c r="F300" s="1576"/>
      <c r="G300" s="1576"/>
      <c r="H300" s="1576"/>
      <c r="I300" s="1608" t="s">
        <v>886</v>
      </c>
      <c r="J300" s="1608"/>
      <c r="K300" s="1608"/>
      <c r="L300" s="1608"/>
      <c r="M300" s="1608"/>
      <c r="N300" s="1608"/>
      <c r="O300" s="1608"/>
      <c r="P300" s="1608"/>
      <c r="Q300" s="128"/>
      <c r="R300" s="128"/>
    </row>
    <row r="301" spans="1:18" ht="20.100000000000001" customHeight="1">
      <c r="P301" s="1606"/>
    </row>
    <row r="302" spans="1:18" ht="20.100000000000001" customHeight="1">
      <c r="P302" s="1606"/>
    </row>
    <row r="303" spans="1:18" ht="27" customHeight="1">
      <c r="B303" s="143"/>
      <c r="C303" s="143"/>
      <c r="D303" s="143"/>
      <c r="E303" s="143"/>
      <c r="F303" s="143"/>
      <c r="G303" s="143"/>
      <c r="H303" s="143"/>
      <c r="I303" s="142"/>
      <c r="J303" s="142"/>
      <c r="K303" s="142"/>
      <c r="L303" s="142"/>
      <c r="M303" s="142"/>
      <c r="N303" s="142"/>
      <c r="O303" s="142"/>
      <c r="P303" s="1607"/>
      <c r="Q303" s="128"/>
      <c r="R303" s="128"/>
    </row>
    <row r="304" spans="1:18" ht="27" customHeight="1">
      <c r="B304" s="143"/>
      <c r="C304" s="143"/>
      <c r="D304" s="143"/>
      <c r="E304" s="143"/>
      <c r="F304" s="143"/>
      <c r="G304" s="143"/>
      <c r="H304" s="143"/>
      <c r="I304" s="142"/>
      <c r="J304" s="142"/>
      <c r="K304" s="142"/>
      <c r="L304" s="142"/>
      <c r="M304" s="142"/>
      <c r="N304" s="142"/>
      <c r="O304" s="142"/>
      <c r="P304" s="1607"/>
      <c r="Q304" s="128"/>
      <c r="R304" s="128"/>
    </row>
    <row r="305" spans="2:21" ht="27" customHeight="1">
      <c r="B305" s="1576" t="s">
        <v>1563</v>
      </c>
      <c r="C305" s="1576"/>
      <c r="D305" s="1576"/>
      <c r="E305" s="1576"/>
      <c r="F305" s="1576"/>
      <c r="G305" s="1576"/>
      <c r="H305" s="1576"/>
      <c r="I305" s="340"/>
      <c r="J305" s="340"/>
      <c r="K305" s="340"/>
      <c r="L305" s="340"/>
      <c r="M305" s="340"/>
      <c r="N305" s="340"/>
      <c r="O305" s="341" t="s">
        <v>1561</v>
      </c>
      <c r="P305" s="1606"/>
      <c r="Q305" s="156"/>
      <c r="R305" s="128"/>
    </row>
    <row r="306" spans="2:21" ht="21.95" customHeight="1">
      <c r="B306" s="1576"/>
      <c r="C306" s="1576"/>
      <c r="D306" s="1576"/>
      <c r="E306" s="1576"/>
      <c r="F306" s="1576"/>
      <c r="G306" s="1576"/>
      <c r="H306" s="1576"/>
      <c r="I306" s="1575" t="s">
        <v>1562</v>
      </c>
      <c r="J306" s="1575"/>
      <c r="K306" s="1575"/>
      <c r="L306" s="1575"/>
      <c r="M306" s="1575"/>
      <c r="N306" s="1575"/>
      <c r="O306" s="1575"/>
      <c r="P306" s="1606"/>
      <c r="Q306" s="133"/>
    </row>
    <row r="307" spans="2:21" ht="21.95" customHeight="1">
      <c r="B307" s="1572"/>
      <c r="C307" s="1572"/>
      <c r="D307" s="1572"/>
      <c r="E307" s="1572"/>
      <c r="F307" s="1572"/>
      <c r="G307" s="1572"/>
      <c r="H307" s="1572"/>
      <c r="I307" s="1572"/>
      <c r="J307" s="1572"/>
      <c r="K307" s="1572"/>
      <c r="L307" s="1572"/>
      <c r="M307" s="1572"/>
      <c r="N307" s="1572"/>
      <c r="O307" s="1572"/>
      <c r="P307" s="866"/>
      <c r="Q307" s="133"/>
    </row>
    <row r="308" spans="2:21" ht="21.95" customHeight="1">
      <c r="B308" s="1573"/>
      <c r="C308" s="1573"/>
      <c r="D308" s="1573"/>
      <c r="E308" s="1573"/>
      <c r="F308" s="1573"/>
      <c r="G308" s="1573"/>
      <c r="H308" s="1573"/>
      <c r="I308" s="1573"/>
      <c r="J308" s="1573"/>
      <c r="K308" s="1573"/>
      <c r="L308" s="1573"/>
      <c r="M308" s="1573"/>
      <c r="N308" s="1573"/>
      <c r="O308" s="1573"/>
      <c r="P308" s="867"/>
      <c r="Q308" s="133"/>
    </row>
    <row r="309" spans="2:21" ht="21.95" customHeight="1">
      <c r="B309" s="1519"/>
      <c r="C309" s="1519"/>
      <c r="D309" s="1519"/>
      <c r="E309" s="1519"/>
      <c r="F309" s="1519"/>
      <c r="G309" s="1519"/>
      <c r="H309" s="1519"/>
      <c r="I309" s="1577"/>
      <c r="J309" s="1577"/>
      <c r="K309" s="1577"/>
      <c r="L309" s="1577"/>
      <c r="M309" s="1577"/>
      <c r="N309" s="1577"/>
      <c r="O309" s="1519"/>
      <c r="P309" s="850"/>
      <c r="Q309" s="133"/>
    </row>
    <row r="310" spans="2:21" ht="21.95" customHeight="1">
      <c r="B310" s="1519"/>
      <c r="C310" s="133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19"/>
      <c r="P310" s="850"/>
      <c r="Q310" s="133"/>
    </row>
    <row r="311" spans="2:21" ht="21.95" customHeight="1">
      <c r="B311" s="1519"/>
      <c r="C311" s="133"/>
      <c r="D311" s="154"/>
      <c r="E311" s="154"/>
      <c r="F311" s="154"/>
      <c r="G311" s="154"/>
      <c r="H311" s="152"/>
      <c r="I311" s="154"/>
      <c r="J311" s="154"/>
      <c r="K311" s="152"/>
      <c r="L311" s="154"/>
      <c r="M311" s="154"/>
      <c r="N311" s="152"/>
      <c r="O311" s="1519"/>
      <c r="P311" s="850"/>
      <c r="Q311" s="133"/>
    </row>
    <row r="312" spans="2:21" ht="21.95" customHeight="1">
      <c r="B312" s="1519"/>
      <c r="C312" s="133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19"/>
      <c r="P312" s="850"/>
      <c r="Q312" s="133"/>
    </row>
    <row r="313" spans="2:21" ht="30" customHeight="1">
      <c r="B313" s="157"/>
      <c r="C313" s="13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848"/>
      <c r="Q313" s="131"/>
    </row>
    <row r="314" spans="2:21" ht="26.1" customHeight="1">
      <c r="B314" s="1508"/>
      <c r="C314" s="133"/>
      <c r="D314" s="153"/>
      <c r="E314" s="153"/>
      <c r="F314" s="1507"/>
      <c r="G314" s="1507"/>
      <c r="H314" s="1507"/>
      <c r="I314" s="1507"/>
      <c r="J314" s="1507"/>
      <c r="K314" s="1507"/>
      <c r="L314" s="1507"/>
      <c r="M314" s="1507"/>
      <c r="N314" s="1507"/>
      <c r="O314" s="131"/>
      <c r="P314" s="131"/>
      <c r="Q314" s="153"/>
      <c r="R314" s="131"/>
      <c r="S314" s="131"/>
    </row>
    <row r="315" spans="2:21" ht="26.1" customHeight="1">
      <c r="B315" s="1508"/>
      <c r="C315" s="133"/>
      <c r="D315" s="153"/>
      <c r="E315" s="153"/>
      <c r="F315" s="1507"/>
      <c r="G315" s="1507"/>
      <c r="H315" s="1507"/>
      <c r="I315" s="1507"/>
      <c r="J315" s="1507"/>
      <c r="K315" s="1507"/>
      <c r="L315" s="1507"/>
      <c r="M315" s="1507"/>
      <c r="N315" s="1507"/>
      <c r="O315" s="131"/>
      <c r="P315" s="131"/>
      <c r="Q315" s="153"/>
      <c r="R315" s="131"/>
      <c r="S315" s="131"/>
    </row>
    <row r="316" spans="2:21" ht="26.1" customHeight="1">
      <c r="B316" s="1508"/>
      <c r="C316" s="133"/>
      <c r="D316" s="153"/>
      <c r="E316" s="153"/>
      <c r="F316" s="1507"/>
      <c r="G316" s="1507"/>
      <c r="H316" s="1507"/>
      <c r="I316" s="1507"/>
      <c r="J316" s="1507"/>
      <c r="K316" s="1507"/>
      <c r="L316" s="1507"/>
      <c r="M316" s="1507"/>
      <c r="N316" s="1507"/>
      <c r="O316" s="153"/>
      <c r="P316" s="848"/>
      <c r="Q316" s="153"/>
      <c r="R316" s="131"/>
      <c r="S316" s="131"/>
    </row>
    <row r="317" spans="2:21" ht="26.1" customHeight="1">
      <c r="B317" s="1508"/>
      <c r="C317" s="133"/>
      <c r="D317" s="153"/>
      <c r="E317" s="153"/>
      <c r="F317" s="1507"/>
      <c r="G317" s="1507"/>
      <c r="H317" s="1507"/>
      <c r="I317" s="1507"/>
      <c r="J317" s="1507"/>
      <c r="K317" s="1507"/>
      <c r="L317" s="1507"/>
      <c r="M317" s="1507"/>
      <c r="N317" s="1507"/>
      <c r="O317" s="153"/>
      <c r="P317" s="848"/>
      <c r="Q317" s="153"/>
      <c r="R317" s="131"/>
      <c r="S317" s="131"/>
      <c r="T317" s="131"/>
      <c r="U317" s="131"/>
    </row>
    <row r="318" spans="2:21" ht="26.1" customHeight="1">
      <c r="B318" s="1508"/>
      <c r="C318" s="133"/>
      <c r="D318" s="153"/>
      <c r="E318" s="153"/>
      <c r="F318" s="1507"/>
      <c r="G318" s="1507"/>
      <c r="H318" s="1507"/>
      <c r="I318" s="1507"/>
      <c r="J318" s="1507"/>
      <c r="K318" s="1507"/>
      <c r="L318" s="1507"/>
      <c r="M318" s="1507"/>
      <c r="N318" s="1507"/>
      <c r="O318" s="153"/>
      <c r="P318" s="848"/>
      <c r="Q318" s="153"/>
    </row>
    <row r="319" spans="2:21" ht="26.1" customHeight="1">
      <c r="B319" s="1508"/>
      <c r="C319" s="133"/>
      <c r="D319" s="153"/>
      <c r="E319" s="153"/>
      <c r="F319" s="1507"/>
      <c r="G319" s="1507"/>
      <c r="H319" s="1507"/>
      <c r="I319" s="1507"/>
      <c r="J319" s="1507"/>
      <c r="K319" s="1507"/>
      <c r="L319" s="1507"/>
      <c r="M319" s="1507"/>
      <c r="N319" s="1507"/>
      <c r="O319" s="153"/>
      <c r="P319" s="848"/>
      <c r="Q319" s="153"/>
    </row>
    <row r="320" spans="2:21" ht="32.25" customHeight="1">
      <c r="B320" s="1508"/>
      <c r="C320" s="133"/>
      <c r="D320" s="153"/>
      <c r="E320" s="153"/>
      <c r="F320" s="1507"/>
      <c r="G320" s="1507"/>
      <c r="H320" s="1507"/>
      <c r="I320" s="1507"/>
      <c r="J320" s="1507"/>
      <c r="K320" s="1507"/>
      <c r="L320" s="1507"/>
      <c r="M320" s="1507"/>
      <c r="N320" s="1507"/>
      <c r="O320" s="153"/>
      <c r="P320" s="848"/>
      <c r="Q320" s="153"/>
      <c r="R320" s="141"/>
      <c r="S320" s="141"/>
      <c r="T320" s="141"/>
    </row>
    <row r="321" spans="2:17" ht="30.75" customHeight="1">
      <c r="B321" s="1508"/>
      <c r="C321" s="133"/>
      <c r="D321" s="153"/>
      <c r="E321" s="153"/>
      <c r="F321" s="1507"/>
      <c r="G321" s="1507"/>
      <c r="H321" s="1507"/>
      <c r="I321" s="1507"/>
      <c r="J321" s="1507"/>
      <c r="K321" s="1507"/>
      <c r="L321" s="1507"/>
      <c r="M321" s="1507"/>
      <c r="N321" s="1507"/>
      <c r="O321" s="153"/>
      <c r="P321" s="848"/>
      <c r="Q321" s="153"/>
    </row>
    <row r="322" spans="2:17" ht="26.1" customHeight="1">
      <c r="B322" s="1508"/>
      <c r="C322" s="133"/>
      <c r="D322" s="153"/>
      <c r="E322" s="153"/>
      <c r="F322" s="1507"/>
      <c r="G322" s="1507"/>
      <c r="H322" s="1507"/>
      <c r="I322" s="1507"/>
      <c r="J322" s="1507"/>
      <c r="K322" s="1507"/>
      <c r="L322" s="1507"/>
      <c r="M322" s="1507"/>
      <c r="N322" s="1507"/>
      <c r="O322" s="153"/>
      <c r="P322" s="848"/>
      <c r="Q322" s="153"/>
    </row>
    <row r="323" spans="2:17" ht="26.1" customHeight="1">
      <c r="B323" s="1508"/>
      <c r="C323" s="133"/>
      <c r="D323" s="153"/>
      <c r="E323" s="153"/>
      <c r="F323" s="1507"/>
      <c r="G323" s="1507"/>
      <c r="H323" s="1507"/>
      <c r="I323" s="1507"/>
      <c r="J323" s="1507"/>
      <c r="K323" s="1507"/>
      <c r="L323" s="1507"/>
      <c r="M323" s="1507"/>
      <c r="N323" s="1507"/>
      <c r="O323" s="153"/>
      <c r="P323" s="848"/>
      <c r="Q323" s="153"/>
    </row>
    <row r="324" spans="2:17" ht="30" customHeight="1">
      <c r="B324" s="1508"/>
      <c r="C324" s="133"/>
      <c r="D324" s="153"/>
      <c r="E324" s="153"/>
      <c r="F324" s="1507"/>
      <c r="G324" s="1507"/>
      <c r="H324" s="1507"/>
      <c r="I324" s="1507"/>
      <c r="J324" s="1507"/>
      <c r="K324" s="1507"/>
      <c r="L324" s="1507"/>
      <c r="M324" s="1507"/>
      <c r="N324" s="1507"/>
      <c r="O324" s="131"/>
      <c r="P324" s="131"/>
      <c r="Q324" s="153"/>
    </row>
    <row r="325" spans="2:17" ht="34.5" customHeight="1">
      <c r="B325" s="1508"/>
      <c r="C325" s="133"/>
      <c r="D325" s="153"/>
      <c r="E325" s="153"/>
      <c r="F325" s="1507"/>
      <c r="G325" s="1507"/>
      <c r="H325" s="1507"/>
      <c r="I325" s="1507"/>
      <c r="J325" s="1507"/>
      <c r="K325" s="1507"/>
      <c r="L325" s="1507"/>
      <c r="M325" s="1507"/>
      <c r="N325" s="1507"/>
      <c r="O325" s="131"/>
      <c r="P325" s="131"/>
      <c r="Q325" s="153"/>
    </row>
    <row r="326" spans="2:17" ht="26.1" customHeight="1">
      <c r="B326" s="1508"/>
      <c r="C326" s="133"/>
      <c r="D326" s="153"/>
      <c r="E326" s="153"/>
      <c r="F326" s="1507"/>
      <c r="G326" s="1507"/>
      <c r="H326" s="1507"/>
      <c r="I326" s="1507"/>
      <c r="J326" s="1507"/>
      <c r="K326" s="1507"/>
      <c r="L326" s="1507"/>
      <c r="M326" s="1507"/>
      <c r="N326" s="1507"/>
      <c r="O326" s="153"/>
      <c r="P326" s="848"/>
      <c r="Q326" s="153"/>
    </row>
    <row r="327" spans="2:17" ht="26.1" customHeight="1">
      <c r="B327" s="1508"/>
      <c r="C327" s="133"/>
      <c r="D327" s="153"/>
      <c r="E327" s="153"/>
      <c r="F327" s="1507"/>
      <c r="G327" s="1507"/>
      <c r="H327" s="1507"/>
      <c r="I327" s="1507"/>
      <c r="J327" s="1507"/>
      <c r="K327" s="1507"/>
      <c r="L327" s="1507"/>
      <c r="M327" s="1507"/>
      <c r="N327" s="1507"/>
      <c r="O327" s="153"/>
      <c r="P327" s="848"/>
      <c r="Q327" s="153"/>
    </row>
    <row r="328" spans="2:17" ht="26.1" customHeight="1">
      <c r="B328" s="1508"/>
      <c r="C328" s="133"/>
      <c r="D328" s="153"/>
      <c r="E328" s="153"/>
      <c r="F328" s="1507"/>
      <c r="G328" s="1507"/>
      <c r="H328" s="1507"/>
      <c r="I328" s="1507"/>
      <c r="J328" s="1507"/>
      <c r="K328" s="1507"/>
      <c r="L328" s="1507"/>
      <c r="M328" s="1507"/>
      <c r="N328" s="1507"/>
      <c r="O328" s="153"/>
      <c r="P328" s="848"/>
      <c r="Q328" s="153"/>
    </row>
    <row r="329" spans="2:17" ht="26.1" customHeight="1">
      <c r="B329" s="1508"/>
      <c r="C329" s="133"/>
      <c r="D329" s="153"/>
      <c r="E329" s="153"/>
      <c r="F329" s="1507"/>
      <c r="G329" s="1507"/>
      <c r="H329" s="1507"/>
      <c r="I329" s="1507"/>
      <c r="J329" s="1507"/>
      <c r="K329" s="1507"/>
      <c r="L329" s="1507"/>
      <c r="M329" s="1507"/>
      <c r="N329" s="1507"/>
      <c r="O329" s="153"/>
      <c r="P329" s="848"/>
      <c r="Q329" s="153"/>
    </row>
    <row r="330" spans="2:17" ht="26.1" customHeight="1">
      <c r="B330" s="1508"/>
      <c r="C330" s="133"/>
      <c r="D330" s="153"/>
      <c r="E330" s="153"/>
      <c r="F330" s="1507"/>
      <c r="G330" s="1507"/>
      <c r="H330" s="1507"/>
      <c r="I330" s="1507"/>
      <c r="J330" s="1507"/>
      <c r="K330" s="1507"/>
      <c r="L330" s="1507"/>
      <c r="M330" s="1507"/>
      <c r="N330" s="1507"/>
      <c r="O330" s="153"/>
      <c r="P330" s="848"/>
      <c r="Q330" s="153"/>
    </row>
    <row r="331" spans="2:17" ht="26.1" customHeight="1">
      <c r="B331" s="1508"/>
      <c r="C331" s="133"/>
      <c r="D331" s="153"/>
      <c r="E331" s="153"/>
      <c r="F331" s="1507"/>
      <c r="G331" s="1507"/>
      <c r="H331" s="1507"/>
      <c r="I331" s="1507"/>
      <c r="J331" s="1507"/>
      <c r="K331" s="1507"/>
      <c r="L331" s="1507"/>
      <c r="M331" s="1507"/>
      <c r="N331" s="1507"/>
      <c r="O331" s="153"/>
      <c r="P331" s="848"/>
      <c r="Q331" s="153"/>
    </row>
    <row r="332" spans="2:17" ht="26.1" customHeight="1">
      <c r="B332" s="1508"/>
      <c r="C332" s="133"/>
      <c r="D332" s="153"/>
      <c r="E332" s="153"/>
      <c r="F332" s="1507"/>
      <c r="G332" s="1507"/>
      <c r="H332" s="1507"/>
      <c r="I332" s="1507"/>
      <c r="J332" s="1507"/>
      <c r="K332" s="1507"/>
      <c r="L332" s="1507"/>
      <c r="M332" s="1507"/>
      <c r="N332" s="1507"/>
      <c r="O332" s="153"/>
      <c r="P332" s="848"/>
      <c r="Q332" s="153"/>
    </row>
    <row r="333" spans="2:17" ht="26.1" customHeight="1">
      <c r="B333" s="1508"/>
      <c r="C333" s="133"/>
      <c r="D333" s="153"/>
      <c r="E333" s="153"/>
      <c r="F333" s="1507"/>
      <c r="G333" s="1507"/>
      <c r="H333" s="1507"/>
      <c r="I333" s="1507"/>
      <c r="J333" s="1507"/>
      <c r="K333" s="1507"/>
      <c r="L333" s="1507"/>
      <c r="M333" s="1507"/>
      <c r="N333" s="1507"/>
      <c r="O333" s="153"/>
      <c r="P333" s="848"/>
      <c r="Q333" s="153"/>
    </row>
    <row r="334" spans="2:17" ht="26.1" customHeight="1">
      <c r="B334" s="1508"/>
      <c r="C334" s="133"/>
      <c r="D334" s="153"/>
      <c r="E334" s="153"/>
      <c r="F334" s="1507"/>
      <c r="G334" s="1507"/>
      <c r="H334" s="1507"/>
      <c r="I334" s="1507"/>
      <c r="J334" s="1507"/>
      <c r="K334" s="1507"/>
      <c r="L334" s="1507"/>
      <c r="M334" s="1507"/>
      <c r="N334" s="1507"/>
      <c r="O334" s="153"/>
      <c r="P334" s="848"/>
      <c r="Q334" s="153"/>
    </row>
    <row r="335" spans="2:17" ht="26.1" customHeight="1">
      <c r="B335" s="1508"/>
      <c r="C335" s="133"/>
      <c r="D335" s="153"/>
      <c r="E335" s="153"/>
      <c r="F335" s="1507"/>
      <c r="G335" s="1507"/>
      <c r="H335" s="1507"/>
      <c r="I335" s="1507"/>
      <c r="J335" s="1507"/>
      <c r="K335" s="1507"/>
      <c r="L335" s="1507"/>
      <c r="M335" s="1507"/>
      <c r="N335" s="1507"/>
      <c r="O335" s="153"/>
      <c r="P335" s="848"/>
      <c r="Q335" s="153"/>
    </row>
    <row r="336" spans="2:17" ht="26.1" customHeight="1">
      <c r="B336" s="1508"/>
      <c r="C336" s="133"/>
      <c r="D336" s="153"/>
      <c r="E336" s="153"/>
      <c r="F336" s="1507"/>
      <c r="G336" s="1507"/>
      <c r="H336" s="1507"/>
      <c r="I336" s="1507"/>
      <c r="J336" s="1507"/>
      <c r="K336" s="1507"/>
      <c r="L336" s="1507"/>
      <c r="M336" s="1507"/>
      <c r="N336" s="1507"/>
      <c r="O336" s="153"/>
      <c r="P336" s="848"/>
      <c r="Q336" s="153"/>
    </row>
    <row r="337" spans="2:17" ht="26.1" customHeight="1">
      <c r="B337" s="1508"/>
      <c r="C337" s="133"/>
      <c r="D337" s="153"/>
      <c r="E337" s="153"/>
      <c r="F337" s="1507"/>
      <c r="G337" s="1507"/>
      <c r="H337" s="1507"/>
      <c r="I337" s="1507"/>
      <c r="J337" s="1507"/>
      <c r="K337" s="1507"/>
      <c r="L337" s="1507"/>
      <c r="M337" s="1507"/>
      <c r="N337" s="1507"/>
      <c r="O337" s="153"/>
      <c r="P337" s="848"/>
      <c r="Q337" s="153"/>
    </row>
    <row r="338" spans="2:17" ht="26.1" customHeight="1">
      <c r="B338" s="1508"/>
      <c r="C338" s="133"/>
      <c r="D338" s="153"/>
      <c r="E338" s="153"/>
      <c r="F338" s="1507"/>
      <c r="G338" s="1507"/>
      <c r="H338" s="1507"/>
      <c r="I338" s="1507"/>
      <c r="J338" s="1507"/>
      <c r="K338" s="1507"/>
      <c r="L338" s="1507"/>
      <c r="M338" s="1507"/>
      <c r="N338" s="1507"/>
      <c r="O338" s="153"/>
      <c r="P338" s="848"/>
      <c r="Q338" s="153"/>
    </row>
    <row r="339" spans="2:17" ht="26.1" customHeight="1">
      <c r="B339" s="1508"/>
      <c r="C339" s="133"/>
      <c r="D339" s="153"/>
      <c r="E339" s="153"/>
      <c r="F339" s="1507"/>
      <c r="G339" s="1507"/>
      <c r="H339" s="1507"/>
      <c r="I339" s="1507"/>
      <c r="J339" s="1507"/>
      <c r="K339" s="1507"/>
      <c r="L339" s="1507"/>
      <c r="M339" s="1507"/>
      <c r="N339" s="1507"/>
      <c r="O339" s="153"/>
      <c r="P339" s="848"/>
      <c r="Q339" s="153"/>
    </row>
    <row r="340" spans="2:17" ht="26.1" customHeight="1">
      <c r="B340" s="1508"/>
      <c r="C340" s="133"/>
      <c r="D340" s="153"/>
      <c r="E340" s="153"/>
      <c r="F340" s="1507"/>
      <c r="G340" s="1507"/>
      <c r="H340" s="1507"/>
      <c r="I340" s="1507"/>
      <c r="J340" s="1507"/>
      <c r="K340" s="1507"/>
      <c r="L340" s="1507"/>
      <c r="M340" s="1507"/>
      <c r="N340" s="1507"/>
      <c r="O340" s="153"/>
      <c r="P340" s="848"/>
      <c r="Q340" s="153"/>
    </row>
    <row r="341" spans="2:17" ht="26.1" customHeight="1">
      <c r="B341" s="1508"/>
      <c r="C341" s="133"/>
      <c r="D341" s="153"/>
      <c r="E341" s="153"/>
      <c r="F341" s="1507"/>
      <c r="G341" s="1507"/>
      <c r="H341" s="1507"/>
      <c r="I341" s="1507"/>
      <c r="J341" s="1507"/>
      <c r="K341" s="1507"/>
      <c r="L341" s="1507"/>
      <c r="M341" s="1507"/>
      <c r="N341" s="1507"/>
      <c r="O341" s="153"/>
      <c r="P341" s="848"/>
      <c r="Q341" s="153"/>
    </row>
    <row r="342" spans="2:17" ht="26.1" customHeight="1">
      <c r="B342" s="1508"/>
      <c r="C342" s="133"/>
      <c r="D342" s="153"/>
      <c r="E342" s="153"/>
      <c r="F342" s="1507"/>
      <c r="G342" s="1507"/>
      <c r="H342" s="1507"/>
      <c r="I342" s="1507"/>
      <c r="J342" s="1507"/>
      <c r="K342" s="1507"/>
      <c r="L342" s="1507"/>
      <c r="M342" s="1507"/>
      <c r="N342" s="1507"/>
      <c r="O342" s="153"/>
      <c r="P342" s="848"/>
      <c r="Q342" s="153"/>
    </row>
    <row r="343" spans="2:17" ht="26.1" customHeight="1">
      <c r="B343" s="1508"/>
      <c r="C343" s="133"/>
      <c r="D343" s="153"/>
      <c r="E343" s="153"/>
      <c r="F343" s="1507"/>
      <c r="G343" s="1507"/>
      <c r="H343" s="1507"/>
      <c r="I343" s="1507"/>
      <c r="J343" s="1507"/>
      <c r="K343" s="1507"/>
      <c r="L343" s="1507"/>
      <c r="M343" s="1507"/>
      <c r="N343" s="1507"/>
      <c r="O343" s="153"/>
      <c r="P343" s="848"/>
      <c r="Q343" s="153"/>
    </row>
    <row r="344" spans="2:17" ht="26.1" customHeight="1">
      <c r="B344" s="1508"/>
      <c r="C344" s="133"/>
      <c r="D344" s="153"/>
      <c r="E344" s="153"/>
      <c r="F344" s="1507"/>
      <c r="G344" s="1507"/>
      <c r="H344" s="1507"/>
      <c r="I344" s="1507"/>
      <c r="J344" s="1507"/>
      <c r="K344" s="1507"/>
      <c r="L344" s="1507"/>
      <c r="M344" s="1507"/>
      <c r="N344" s="1507"/>
      <c r="O344" s="153"/>
      <c r="P344" s="848"/>
      <c r="Q344" s="153"/>
    </row>
    <row r="345" spans="2:17" ht="26.1" customHeight="1">
      <c r="B345" s="1508"/>
      <c r="C345" s="133"/>
      <c r="D345" s="153"/>
      <c r="E345" s="153"/>
      <c r="F345" s="1507"/>
      <c r="G345" s="1507"/>
      <c r="H345" s="1507"/>
      <c r="I345" s="1507"/>
      <c r="J345" s="1507"/>
      <c r="K345" s="1507"/>
      <c r="L345" s="1507"/>
      <c r="M345" s="1507"/>
      <c r="N345" s="1507"/>
      <c r="O345" s="153"/>
      <c r="P345" s="848"/>
      <c r="Q345" s="153"/>
    </row>
    <row r="346" spans="2:17" ht="26.1" customHeight="1">
      <c r="B346" s="1508"/>
      <c r="C346" s="133"/>
      <c r="D346" s="153"/>
      <c r="E346" s="153"/>
      <c r="F346" s="1507"/>
      <c r="G346" s="1507"/>
      <c r="H346" s="1507"/>
      <c r="I346" s="1507"/>
      <c r="J346" s="1507"/>
      <c r="K346" s="1507"/>
      <c r="L346" s="1507"/>
      <c r="M346" s="1507"/>
      <c r="N346" s="1507"/>
      <c r="O346" s="153"/>
      <c r="P346" s="848"/>
      <c r="Q346" s="133"/>
    </row>
    <row r="347" spans="2:17" ht="26.1" customHeight="1">
      <c r="B347" s="1508"/>
      <c r="C347" s="133"/>
      <c r="D347" s="153"/>
      <c r="E347" s="153"/>
      <c r="F347" s="1507"/>
      <c r="G347" s="1507"/>
      <c r="H347" s="1507"/>
      <c r="I347" s="1507"/>
      <c r="J347" s="1507"/>
      <c r="K347" s="1507"/>
      <c r="L347" s="1507"/>
      <c r="M347" s="1507"/>
      <c r="N347" s="1507"/>
      <c r="O347" s="153"/>
      <c r="P347" s="848"/>
      <c r="Q347" s="133"/>
    </row>
    <row r="348" spans="2:17" ht="26.1" customHeight="1">
      <c r="B348" s="1508"/>
      <c r="C348" s="133"/>
      <c r="D348" s="153"/>
      <c r="E348" s="153"/>
      <c r="F348" s="1507"/>
      <c r="G348" s="1507"/>
      <c r="H348" s="1507"/>
      <c r="I348" s="1507"/>
      <c r="J348" s="1507"/>
      <c r="K348" s="1507"/>
      <c r="L348" s="1507"/>
      <c r="M348" s="1507"/>
      <c r="N348" s="1507"/>
      <c r="O348" s="153"/>
      <c r="P348" s="848"/>
      <c r="Q348" s="153"/>
    </row>
    <row r="349" spans="2:17" ht="26.1" customHeight="1">
      <c r="B349" s="1508"/>
      <c r="C349" s="133"/>
      <c r="D349" s="153"/>
      <c r="E349" s="153"/>
      <c r="F349" s="1507"/>
      <c r="G349" s="1507"/>
      <c r="H349" s="1507"/>
      <c r="I349" s="1507"/>
      <c r="J349" s="1507"/>
      <c r="K349" s="1507"/>
      <c r="L349" s="1507"/>
      <c r="M349" s="1507"/>
      <c r="N349" s="1507"/>
      <c r="O349" s="153"/>
      <c r="P349" s="848"/>
      <c r="Q349" s="153"/>
    </row>
    <row r="350" spans="2:17" ht="26.1" customHeight="1">
      <c r="B350" s="1508"/>
      <c r="C350" s="133"/>
      <c r="D350" s="153"/>
      <c r="E350" s="153"/>
      <c r="F350" s="1507"/>
      <c r="G350" s="1507"/>
      <c r="H350" s="1507"/>
      <c r="I350" s="1507"/>
      <c r="J350" s="1507"/>
      <c r="K350" s="1507"/>
      <c r="L350" s="1507"/>
      <c r="M350" s="1507"/>
      <c r="N350" s="1507"/>
      <c r="O350" s="153"/>
      <c r="P350" s="848"/>
      <c r="Q350" s="153"/>
    </row>
    <row r="351" spans="2:17" ht="26.1" customHeight="1">
      <c r="B351" s="1508"/>
      <c r="C351" s="133"/>
      <c r="D351" s="153"/>
      <c r="E351" s="153"/>
      <c r="F351" s="1507"/>
      <c r="G351" s="1507"/>
      <c r="H351" s="1507"/>
      <c r="I351" s="1507"/>
      <c r="J351" s="1507"/>
      <c r="K351" s="1507"/>
      <c r="L351" s="1507"/>
      <c r="M351" s="1507"/>
      <c r="N351" s="1507"/>
      <c r="O351" s="153"/>
      <c r="P351" s="848"/>
      <c r="Q351" s="153"/>
    </row>
    <row r="352" spans="2:17" ht="26.1" customHeight="1">
      <c r="B352" s="1508"/>
      <c r="C352" s="133"/>
      <c r="D352" s="153"/>
      <c r="E352" s="153"/>
      <c r="F352" s="1507"/>
      <c r="G352" s="1507"/>
      <c r="H352" s="1507"/>
      <c r="I352" s="1507"/>
      <c r="J352" s="1507"/>
      <c r="K352" s="1507"/>
      <c r="L352" s="1507"/>
      <c r="M352" s="1507"/>
      <c r="N352" s="1507"/>
      <c r="O352" s="153"/>
      <c r="P352" s="848"/>
      <c r="Q352" s="153"/>
    </row>
    <row r="353" spans="2:17" ht="26.1" customHeight="1">
      <c r="B353" s="1508"/>
      <c r="C353" s="133"/>
      <c r="D353" s="153"/>
      <c r="E353" s="153"/>
      <c r="F353" s="1507"/>
      <c r="G353" s="1507"/>
      <c r="H353" s="1507"/>
      <c r="I353" s="1507"/>
      <c r="J353" s="1507"/>
      <c r="K353" s="1507"/>
      <c r="L353" s="1507"/>
      <c r="M353" s="1507"/>
      <c r="N353" s="1507"/>
      <c r="O353" s="153"/>
      <c r="P353" s="848"/>
      <c r="Q353" s="153"/>
    </row>
    <row r="354" spans="2:17" ht="23.1" customHeight="1">
      <c r="B354" s="1578"/>
      <c r="C354" s="1578"/>
      <c r="D354" s="1578"/>
      <c r="E354" s="1578"/>
      <c r="F354" s="1578"/>
      <c r="G354" s="1578"/>
      <c r="H354" s="1578"/>
      <c r="I354" s="1578"/>
      <c r="J354" s="1578"/>
      <c r="K354" s="1488"/>
      <c r="L354" s="1488"/>
      <c r="M354" s="1488"/>
      <c r="N354" s="1488"/>
      <c r="O354" s="1488"/>
      <c r="P354" s="847"/>
      <c r="Q354" s="153"/>
    </row>
    <row r="355" spans="2:17" ht="23.1" customHeight="1">
      <c r="B355" s="1578"/>
      <c r="C355" s="1578"/>
      <c r="D355" s="1578"/>
      <c r="E355" s="1578"/>
      <c r="F355" s="1578"/>
      <c r="G355" s="1578"/>
      <c r="H355" s="1578"/>
      <c r="I355" s="1578"/>
      <c r="J355" s="1578"/>
      <c r="K355" s="1579"/>
      <c r="L355" s="1579"/>
      <c r="M355" s="1579"/>
      <c r="N355" s="1579"/>
      <c r="O355" s="1579"/>
      <c r="P355" s="871"/>
      <c r="Q355" s="153"/>
    </row>
    <row r="356" spans="2:17" ht="23.1" customHeight="1">
      <c r="B356" s="1519"/>
      <c r="C356" s="1519"/>
      <c r="D356" s="1519"/>
      <c r="E356" s="1519"/>
      <c r="F356" s="1519"/>
      <c r="G356" s="1519"/>
      <c r="H356" s="1519"/>
      <c r="I356" s="1577"/>
      <c r="J356" s="1577"/>
      <c r="K356" s="1577"/>
      <c r="L356" s="1577"/>
      <c r="M356" s="1577"/>
      <c r="N356" s="1577"/>
      <c r="O356" s="1519"/>
      <c r="P356" s="850"/>
      <c r="Q356" s="153"/>
    </row>
    <row r="357" spans="2:17" ht="23.1" customHeight="1">
      <c r="B357" s="1519"/>
      <c r="C357" s="133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19"/>
      <c r="P357" s="850"/>
      <c r="Q357" s="153"/>
    </row>
    <row r="358" spans="2:17" ht="23.1" customHeight="1">
      <c r="B358" s="1519"/>
      <c r="C358" s="133"/>
      <c r="D358" s="154"/>
      <c r="E358" s="154"/>
      <c r="F358" s="154"/>
      <c r="G358" s="154"/>
      <c r="H358" s="152"/>
      <c r="I358" s="154"/>
      <c r="J358" s="154"/>
      <c r="K358" s="152"/>
      <c r="L358" s="154"/>
      <c r="M358" s="154"/>
      <c r="N358" s="152"/>
      <c r="O358" s="1519"/>
      <c r="P358" s="850"/>
      <c r="Q358" s="153"/>
    </row>
    <row r="359" spans="2:17" ht="23.1" customHeight="1">
      <c r="B359" s="1519"/>
      <c r="C359" s="133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19"/>
      <c r="P359" s="850"/>
      <c r="Q359" s="153"/>
    </row>
    <row r="360" spans="2:17" ht="29.1" customHeight="1">
      <c r="B360" s="1508"/>
      <c r="C360" s="133"/>
      <c r="D360" s="153"/>
      <c r="E360" s="153"/>
      <c r="F360" s="1507"/>
      <c r="G360" s="1507"/>
      <c r="H360" s="1507"/>
      <c r="I360" s="1507"/>
      <c r="J360" s="1507"/>
      <c r="K360" s="1507"/>
      <c r="L360" s="1507"/>
      <c r="M360" s="1507"/>
      <c r="N360" s="1507"/>
      <c r="O360" s="153"/>
      <c r="P360" s="848"/>
      <c r="Q360" s="153"/>
    </row>
    <row r="361" spans="2:17" ht="29.1" customHeight="1">
      <c r="B361" s="1508"/>
      <c r="C361" s="133"/>
      <c r="D361" s="153"/>
      <c r="E361" s="153"/>
      <c r="F361" s="1507"/>
      <c r="G361" s="1507"/>
      <c r="H361" s="1507"/>
      <c r="I361" s="1507"/>
      <c r="J361" s="1507"/>
      <c r="K361" s="1507"/>
      <c r="L361" s="1507"/>
      <c r="M361" s="1507"/>
      <c r="N361" s="1507"/>
      <c r="O361" s="153"/>
      <c r="P361" s="848"/>
      <c r="Q361" s="153"/>
    </row>
    <row r="362" spans="2:17" ht="29.1" customHeight="1">
      <c r="B362" s="1508"/>
      <c r="C362" s="133"/>
      <c r="D362" s="153"/>
      <c r="E362" s="153"/>
      <c r="F362" s="1507"/>
      <c r="G362" s="1507"/>
      <c r="H362" s="1507"/>
      <c r="I362" s="1507"/>
      <c r="J362" s="1507"/>
      <c r="K362" s="1507"/>
      <c r="L362" s="1507"/>
      <c r="M362" s="1507"/>
      <c r="N362" s="1507"/>
      <c r="O362" s="153"/>
      <c r="P362" s="848"/>
      <c r="Q362" s="153"/>
    </row>
    <row r="363" spans="2:17" ht="29.1" customHeight="1">
      <c r="B363" s="1508"/>
      <c r="C363" s="133"/>
      <c r="D363" s="153"/>
      <c r="E363" s="153"/>
      <c r="F363" s="1507"/>
      <c r="G363" s="1507"/>
      <c r="H363" s="1507"/>
      <c r="I363" s="1507"/>
      <c r="J363" s="1507"/>
      <c r="K363" s="1507"/>
      <c r="L363" s="1507"/>
      <c r="M363" s="1507"/>
      <c r="N363" s="1507"/>
      <c r="O363" s="153"/>
      <c r="P363" s="848"/>
      <c r="Q363" s="153"/>
    </row>
    <row r="364" spans="2:17" ht="29.1" customHeight="1">
      <c r="B364" s="1508"/>
      <c r="C364" s="133"/>
      <c r="D364" s="153"/>
      <c r="E364" s="153"/>
      <c r="F364" s="1507"/>
      <c r="G364" s="1507"/>
      <c r="H364" s="1507"/>
      <c r="I364" s="1507"/>
      <c r="J364" s="1507"/>
      <c r="K364" s="1507"/>
      <c r="L364" s="1507"/>
      <c r="M364" s="1507"/>
      <c r="N364" s="1507"/>
      <c r="O364" s="153"/>
      <c r="P364" s="848"/>
      <c r="Q364" s="153"/>
    </row>
    <row r="365" spans="2:17" ht="29.1" customHeight="1">
      <c r="B365" s="1508"/>
      <c r="C365" s="133"/>
      <c r="D365" s="153"/>
      <c r="E365" s="153"/>
      <c r="F365" s="1507"/>
      <c r="G365" s="1507"/>
      <c r="H365" s="1507"/>
      <c r="I365" s="1507"/>
      <c r="J365" s="1507"/>
      <c r="K365" s="1507"/>
      <c r="L365" s="1507"/>
      <c r="M365" s="1507"/>
      <c r="N365" s="1507"/>
      <c r="O365" s="153"/>
      <c r="P365" s="848"/>
      <c r="Q365" s="153"/>
    </row>
    <row r="366" spans="2:17" ht="29.1" customHeight="1">
      <c r="B366" s="1508"/>
      <c r="C366" s="133"/>
      <c r="D366" s="153"/>
      <c r="E366" s="153"/>
      <c r="F366" s="1507"/>
      <c r="G366" s="1507"/>
      <c r="H366" s="1507"/>
      <c r="I366" s="1507"/>
      <c r="J366" s="1507"/>
      <c r="K366" s="1507"/>
      <c r="L366" s="1507"/>
      <c r="M366" s="1507"/>
      <c r="N366" s="1507"/>
      <c r="O366" s="153"/>
      <c r="P366" s="848"/>
      <c r="Q366" s="153"/>
    </row>
    <row r="367" spans="2:17" ht="29.1" customHeight="1">
      <c r="B367" s="1508"/>
      <c r="C367" s="133"/>
      <c r="D367" s="153"/>
      <c r="E367" s="153"/>
      <c r="F367" s="1507"/>
      <c r="G367" s="1507"/>
      <c r="H367" s="1507"/>
      <c r="I367" s="1507"/>
      <c r="J367" s="1507"/>
      <c r="K367" s="1507"/>
      <c r="L367" s="1507"/>
      <c r="M367" s="1507"/>
      <c r="N367" s="1507"/>
      <c r="O367" s="153"/>
      <c r="P367" s="848"/>
      <c r="Q367" s="153"/>
    </row>
    <row r="368" spans="2:17" ht="29.1" customHeight="1">
      <c r="B368" s="1508"/>
      <c r="C368" s="133"/>
      <c r="D368" s="153"/>
      <c r="E368" s="153"/>
      <c r="F368" s="1507"/>
      <c r="G368" s="1507"/>
      <c r="H368" s="1507"/>
      <c r="I368" s="1507"/>
      <c r="J368" s="1507"/>
      <c r="K368" s="1507"/>
      <c r="L368" s="1507"/>
      <c r="M368" s="1507"/>
      <c r="N368" s="1507"/>
      <c r="O368" s="153"/>
      <c r="P368" s="848"/>
      <c r="Q368" s="153"/>
    </row>
    <row r="369" spans="2:17" ht="29.1" customHeight="1">
      <c r="B369" s="1508"/>
      <c r="C369" s="133"/>
      <c r="D369" s="153"/>
      <c r="E369" s="153"/>
      <c r="F369" s="1507"/>
      <c r="G369" s="1507"/>
      <c r="H369" s="1507"/>
      <c r="I369" s="1507"/>
      <c r="J369" s="1507"/>
      <c r="K369" s="1507"/>
      <c r="L369" s="1507"/>
      <c r="M369" s="1507"/>
      <c r="N369" s="1507"/>
      <c r="O369" s="153"/>
      <c r="P369" s="848"/>
      <c r="Q369" s="153"/>
    </row>
    <row r="370" spans="2:17" ht="29.1" customHeight="1">
      <c r="B370" s="1508"/>
      <c r="C370" s="133"/>
      <c r="D370" s="153"/>
      <c r="E370" s="153"/>
      <c r="F370" s="1507"/>
      <c r="G370" s="1507"/>
      <c r="H370" s="1507"/>
      <c r="I370" s="1507"/>
      <c r="J370" s="1507"/>
      <c r="K370" s="1507"/>
      <c r="L370" s="1507"/>
      <c r="M370" s="1507"/>
      <c r="N370" s="1507"/>
      <c r="O370" s="153"/>
      <c r="P370" s="848"/>
      <c r="Q370" s="153"/>
    </row>
    <row r="371" spans="2:17" ht="29.1" customHeight="1">
      <c r="B371" s="1508"/>
      <c r="C371" s="133"/>
      <c r="D371" s="153"/>
      <c r="E371" s="153"/>
      <c r="F371" s="1507"/>
      <c r="G371" s="1507"/>
      <c r="H371" s="1507"/>
      <c r="I371" s="1507"/>
      <c r="J371" s="1507"/>
      <c r="K371" s="1507"/>
      <c r="L371" s="1507"/>
      <c r="M371" s="1507"/>
      <c r="N371" s="1507"/>
      <c r="O371" s="153"/>
      <c r="P371" s="848"/>
      <c r="Q371" s="153"/>
    </row>
    <row r="372" spans="2:17" ht="29.1" customHeight="1">
      <c r="B372" s="1508"/>
      <c r="C372" s="133"/>
      <c r="D372" s="153"/>
      <c r="E372" s="153"/>
      <c r="F372" s="1507"/>
      <c r="G372" s="1507"/>
      <c r="H372" s="1507"/>
      <c r="I372" s="1507"/>
      <c r="J372" s="1507"/>
      <c r="K372" s="1507"/>
      <c r="L372" s="1507"/>
      <c r="M372" s="1507"/>
      <c r="N372" s="1507"/>
      <c r="O372" s="153"/>
      <c r="P372" s="848"/>
      <c r="Q372" s="153"/>
    </row>
    <row r="373" spans="2:17" ht="29.1" customHeight="1">
      <c r="B373" s="1508"/>
      <c r="C373" s="133"/>
      <c r="D373" s="153"/>
      <c r="E373" s="153"/>
      <c r="F373" s="1507"/>
      <c r="G373" s="1507"/>
      <c r="H373" s="1507"/>
      <c r="I373" s="1507"/>
      <c r="J373" s="1507"/>
      <c r="K373" s="1507"/>
      <c r="L373" s="1507"/>
      <c r="M373" s="1507"/>
      <c r="N373" s="1507"/>
      <c r="O373" s="153"/>
      <c r="P373" s="848"/>
      <c r="Q373" s="153"/>
    </row>
    <row r="374" spans="2:17" ht="29.1" customHeight="1">
      <c r="B374" s="1508"/>
      <c r="C374" s="133"/>
      <c r="D374" s="153"/>
      <c r="E374" s="153"/>
      <c r="F374" s="1507"/>
      <c r="G374" s="1507"/>
      <c r="H374" s="1507"/>
      <c r="I374" s="1507"/>
      <c r="J374" s="1507"/>
      <c r="K374" s="1507"/>
      <c r="L374" s="1507"/>
      <c r="M374" s="1507"/>
      <c r="N374" s="1507"/>
      <c r="O374" s="153"/>
      <c r="P374" s="848"/>
      <c r="Q374" s="153"/>
    </row>
    <row r="375" spans="2:17" ht="29.1" customHeight="1">
      <c r="B375" s="1508"/>
      <c r="C375" s="133"/>
      <c r="D375" s="153"/>
      <c r="E375" s="153"/>
      <c r="F375" s="1507"/>
      <c r="G375" s="1507"/>
      <c r="H375" s="1507"/>
      <c r="I375" s="1507"/>
      <c r="J375" s="1507"/>
      <c r="K375" s="1507"/>
      <c r="L375" s="1507"/>
      <c r="M375" s="1507"/>
      <c r="N375" s="1507"/>
      <c r="O375" s="153"/>
      <c r="P375" s="848"/>
      <c r="Q375" s="153"/>
    </row>
    <row r="376" spans="2:17" ht="29.1" customHeight="1">
      <c r="B376" s="1508"/>
      <c r="C376" s="133"/>
      <c r="D376" s="153"/>
      <c r="E376" s="153"/>
      <c r="F376" s="1507"/>
      <c r="G376" s="1507"/>
      <c r="H376" s="1507"/>
      <c r="I376" s="1507"/>
      <c r="J376" s="1507"/>
      <c r="K376" s="1507"/>
      <c r="L376" s="1507"/>
      <c r="M376" s="1507"/>
      <c r="N376" s="1507"/>
      <c r="O376" s="153"/>
      <c r="P376" s="848"/>
      <c r="Q376" s="153"/>
    </row>
    <row r="377" spans="2:17" ht="29.1" customHeight="1">
      <c r="B377" s="1508"/>
      <c r="C377" s="133"/>
      <c r="D377" s="153"/>
      <c r="E377" s="153"/>
      <c r="F377" s="1507"/>
      <c r="G377" s="1507"/>
      <c r="H377" s="1507"/>
      <c r="I377" s="1507"/>
      <c r="J377" s="1507"/>
      <c r="K377" s="1507"/>
      <c r="L377" s="1507"/>
      <c r="M377" s="1507"/>
      <c r="N377" s="1507"/>
      <c r="O377" s="153"/>
      <c r="P377" s="848"/>
      <c r="Q377" s="153"/>
    </row>
    <row r="378" spans="2:17" ht="29.1" customHeight="1">
      <c r="B378" s="1508"/>
      <c r="C378" s="133"/>
      <c r="D378" s="153"/>
      <c r="E378" s="153"/>
      <c r="F378" s="1507"/>
      <c r="G378" s="1507"/>
      <c r="H378" s="1507"/>
      <c r="I378" s="1507"/>
      <c r="J378" s="1507"/>
      <c r="K378" s="1507"/>
      <c r="L378" s="1507"/>
      <c r="M378" s="1507"/>
      <c r="N378" s="1507"/>
      <c r="O378" s="153"/>
      <c r="P378" s="848"/>
      <c r="Q378" s="153"/>
    </row>
    <row r="379" spans="2:17" ht="29.1" customHeight="1">
      <c r="B379" s="1508"/>
      <c r="C379" s="133"/>
      <c r="D379" s="153"/>
      <c r="E379" s="153"/>
      <c r="F379" s="1507"/>
      <c r="G379" s="1507"/>
      <c r="H379" s="1507"/>
      <c r="I379" s="1507"/>
      <c r="J379" s="1507"/>
      <c r="K379" s="1507"/>
      <c r="L379" s="1507"/>
      <c r="M379" s="1507"/>
      <c r="N379" s="1507"/>
      <c r="O379" s="153"/>
      <c r="P379" s="848"/>
      <c r="Q379" s="153"/>
    </row>
    <row r="380" spans="2:17" ht="29.1" customHeight="1">
      <c r="B380" s="1508"/>
      <c r="C380" s="133"/>
      <c r="D380" s="153"/>
      <c r="E380" s="153"/>
      <c r="F380" s="1507"/>
      <c r="G380" s="1507"/>
      <c r="H380" s="1507"/>
      <c r="I380" s="1507"/>
      <c r="J380" s="1507"/>
      <c r="K380" s="1507"/>
      <c r="L380" s="1507"/>
      <c r="M380" s="1507"/>
      <c r="N380" s="1507"/>
      <c r="O380" s="153"/>
      <c r="P380" s="848"/>
      <c r="Q380" s="153"/>
    </row>
    <row r="381" spans="2:17" ht="29.1" customHeight="1">
      <c r="B381" s="1508"/>
      <c r="C381" s="133"/>
      <c r="D381" s="153"/>
      <c r="E381" s="153"/>
      <c r="F381" s="1507"/>
      <c r="G381" s="1507"/>
      <c r="H381" s="1507"/>
      <c r="I381" s="1507"/>
      <c r="J381" s="1507"/>
      <c r="K381" s="1507"/>
      <c r="L381" s="1507"/>
      <c r="M381" s="1507"/>
      <c r="N381" s="1507"/>
      <c r="O381" s="153"/>
      <c r="P381" s="848"/>
      <c r="Q381" s="153"/>
    </row>
    <row r="382" spans="2:17" ht="29.1" customHeight="1">
      <c r="B382" s="1508"/>
      <c r="C382" s="133"/>
      <c r="D382" s="153"/>
      <c r="E382" s="153"/>
      <c r="F382" s="1507"/>
      <c r="G382" s="1507"/>
      <c r="H382" s="1507"/>
      <c r="I382" s="1507"/>
      <c r="J382" s="1507"/>
      <c r="K382" s="1507"/>
      <c r="L382" s="1507"/>
      <c r="M382" s="1507"/>
      <c r="N382" s="1507"/>
      <c r="O382" s="153"/>
      <c r="P382" s="848"/>
      <c r="Q382" s="153"/>
    </row>
    <row r="383" spans="2:17" ht="29.1" customHeight="1">
      <c r="B383" s="1508"/>
      <c r="C383" s="133"/>
      <c r="D383" s="153"/>
      <c r="E383" s="153"/>
      <c r="F383" s="1507"/>
      <c r="G383" s="1507"/>
      <c r="H383" s="1507"/>
      <c r="I383" s="1507"/>
      <c r="J383" s="1507"/>
      <c r="K383" s="1507"/>
      <c r="L383" s="1507"/>
      <c r="M383" s="1507"/>
      <c r="N383" s="1507"/>
      <c r="O383" s="153"/>
      <c r="P383" s="848"/>
      <c r="Q383" s="153"/>
    </row>
    <row r="384" spans="2:17" ht="29.1" customHeight="1">
      <c r="B384" s="1508"/>
      <c r="C384" s="133"/>
      <c r="D384" s="153"/>
      <c r="E384" s="153"/>
      <c r="F384" s="1507"/>
      <c r="G384" s="1507"/>
      <c r="H384" s="1507"/>
      <c r="I384" s="1507"/>
      <c r="J384" s="1507"/>
      <c r="K384" s="1507"/>
      <c r="L384" s="1507"/>
      <c r="M384" s="1507"/>
      <c r="N384" s="1507"/>
      <c r="O384" s="153"/>
      <c r="P384" s="848"/>
      <c r="Q384" s="153"/>
    </row>
    <row r="385" spans="2:17" ht="29.1" customHeight="1">
      <c r="B385" s="1508"/>
      <c r="C385" s="133"/>
      <c r="D385" s="153"/>
      <c r="E385" s="153"/>
      <c r="F385" s="1507"/>
      <c r="G385" s="1507"/>
      <c r="H385" s="1507"/>
      <c r="I385" s="1507"/>
      <c r="J385" s="1507"/>
      <c r="K385" s="1507"/>
      <c r="L385" s="1507"/>
      <c r="M385" s="1507"/>
      <c r="N385" s="1507"/>
      <c r="O385" s="153"/>
      <c r="P385" s="848"/>
      <c r="Q385" s="153"/>
    </row>
    <row r="386" spans="2:17" ht="29.1" customHeight="1">
      <c r="B386" s="1508"/>
      <c r="C386" s="133"/>
      <c r="D386" s="153"/>
      <c r="E386" s="153"/>
      <c r="F386" s="1507"/>
      <c r="G386" s="1507"/>
      <c r="H386" s="1507"/>
      <c r="I386" s="1507"/>
      <c r="J386" s="1507"/>
      <c r="K386" s="1507"/>
      <c r="L386" s="1507"/>
      <c r="M386" s="1507"/>
      <c r="N386" s="1507"/>
      <c r="O386" s="153"/>
      <c r="P386" s="848"/>
      <c r="Q386" s="153"/>
    </row>
    <row r="387" spans="2:17" ht="29.1" customHeight="1">
      <c r="B387" s="1508"/>
      <c r="C387" s="133"/>
      <c r="D387" s="153"/>
      <c r="E387" s="153"/>
      <c r="F387" s="1507"/>
      <c r="G387" s="1507"/>
      <c r="H387" s="1507"/>
      <c r="I387" s="1507"/>
      <c r="J387" s="1507"/>
      <c r="K387" s="1507"/>
      <c r="L387" s="1507"/>
      <c r="M387" s="1507"/>
      <c r="N387" s="1507"/>
      <c r="O387" s="153"/>
      <c r="P387" s="848"/>
      <c r="Q387" s="153"/>
    </row>
    <row r="388" spans="2:17" ht="29.1" customHeight="1">
      <c r="B388" s="1508"/>
      <c r="C388" s="133"/>
      <c r="D388" s="153"/>
      <c r="E388" s="153"/>
      <c r="F388" s="1507"/>
      <c r="G388" s="1507"/>
      <c r="H388" s="1507"/>
      <c r="I388" s="1507"/>
      <c r="J388" s="1507"/>
      <c r="K388" s="1507"/>
      <c r="L388" s="1507"/>
      <c r="M388" s="1507"/>
      <c r="N388" s="1507"/>
      <c r="O388" s="153"/>
      <c r="P388" s="848"/>
      <c r="Q388" s="153"/>
    </row>
    <row r="389" spans="2:17" ht="29.1" customHeight="1">
      <c r="B389" s="1508"/>
      <c r="C389" s="133"/>
      <c r="D389" s="153"/>
      <c r="E389" s="153"/>
      <c r="F389" s="1507"/>
      <c r="G389" s="1507"/>
      <c r="H389" s="1507"/>
      <c r="I389" s="1507"/>
      <c r="J389" s="1507"/>
      <c r="K389" s="1507"/>
      <c r="L389" s="1507"/>
      <c r="M389" s="1507"/>
      <c r="N389" s="1507"/>
      <c r="O389" s="153"/>
      <c r="P389" s="848"/>
      <c r="Q389" s="153"/>
    </row>
    <row r="390" spans="2:17" ht="29.1" customHeight="1">
      <c r="B390" s="1508"/>
      <c r="C390" s="133"/>
      <c r="D390" s="153"/>
      <c r="E390" s="153"/>
      <c r="F390" s="1507"/>
      <c r="G390" s="1507"/>
      <c r="H390" s="1507"/>
      <c r="I390" s="1507"/>
      <c r="J390" s="1507"/>
      <c r="K390" s="1507"/>
      <c r="L390" s="1507"/>
      <c r="M390" s="1507"/>
      <c r="N390" s="1507"/>
      <c r="O390" s="131"/>
      <c r="P390" s="131"/>
      <c r="Q390" s="153"/>
    </row>
    <row r="391" spans="2:17" ht="29.1" customHeight="1">
      <c r="B391" s="1508"/>
      <c r="C391" s="133"/>
      <c r="D391" s="153"/>
      <c r="E391" s="153"/>
      <c r="F391" s="1507"/>
      <c r="G391" s="1507"/>
      <c r="H391" s="1507"/>
      <c r="I391" s="1507"/>
      <c r="J391" s="1507"/>
      <c r="K391" s="1507"/>
      <c r="L391" s="1507"/>
      <c r="M391" s="1507"/>
      <c r="N391" s="1507"/>
      <c r="O391" s="131"/>
      <c r="P391" s="131"/>
      <c r="Q391" s="153"/>
    </row>
    <row r="392" spans="2:17" ht="29.1" customHeight="1">
      <c r="B392" s="1508"/>
      <c r="C392" s="133"/>
      <c r="D392" s="153"/>
      <c r="E392" s="153"/>
      <c r="F392" s="1507"/>
      <c r="G392" s="1507"/>
      <c r="H392" s="1507"/>
      <c r="I392" s="1507"/>
      <c r="J392" s="1507"/>
      <c r="K392" s="1507"/>
      <c r="L392" s="1507"/>
      <c r="M392" s="1507"/>
      <c r="N392" s="1507"/>
      <c r="O392" s="153"/>
      <c r="P392" s="848"/>
      <c r="Q392" s="153"/>
    </row>
    <row r="393" spans="2:17" ht="29.1" customHeight="1">
      <c r="B393" s="1508"/>
      <c r="C393" s="133"/>
      <c r="D393" s="153"/>
      <c r="E393" s="153"/>
      <c r="F393" s="1507"/>
      <c r="G393" s="1507"/>
      <c r="H393" s="1507"/>
      <c r="I393" s="1507"/>
      <c r="J393" s="1507"/>
      <c r="K393" s="1507"/>
      <c r="L393" s="1507"/>
      <c r="M393" s="1507"/>
      <c r="N393" s="1507"/>
      <c r="O393" s="153"/>
      <c r="P393" s="848"/>
      <c r="Q393" s="153"/>
    </row>
    <row r="394" spans="2:17" ht="29.1" customHeight="1">
      <c r="B394" s="1508"/>
      <c r="C394" s="133"/>
      <c r="D394" s="153"/>
      <c r="E394" s="153"/>
      <c r="F394" s="1507"/>
      <c r="G394" s="1507"/>
      <c r="H394" s="1507"/>
      <c r="I394" s="1507"/>
      <c r="J394" s="1507"/>
      <c r="K394" s="1507"/>
      <c r="L394" s="1507"/>
      <c r="M394" s="1507"/>
      <c r="N394" s="1507"/>
      <c r="O394" s="153"/>
      <c r="P394" s="848"/>
      <c r="Q394" s="153"/>
    </row>
    <row r="395" spans="2:17" ht="29.1" customHeight="1">
      <c r="B395" s="1508"/>
      <c r="C395" s="133"/>
      <c r="D395" s="153"/>
      <c r="E395" s="153"/>
      <c r="F395" s="1507"/>
      <c r="G395" s="1507"/>
      <c r="H395" s="1507"/>
      <c r="I395" s="1507"/>
      <c r="J395" s="1507"/>
      <c r="K395" s="1507"/>
      <c r="L395" s="1507"/>
      <c r="M395" s="1507"/>
      <c r="N395" s="1507"/>
      <c r="O395" s="153"/>
      <c r="P395" s="848"/>
      <c r="Q395" s="153"/>
    </row>
    <row r="396" spans="2:17" ht="29.1" customHeight="1">
      <c r="B396" s="1508"/>
      <c r="C396" s="133"/>
      <c r="D396" s="153"/>
      <c r="E396" s="153"/>
      <c r="F396" s="1507"/>
      <c r="G396" s="1507"/>
      <c r="H396" s="1507"/>
      <c r="I396" s="1507"/>
      <c r="J396" s="1507"/>
      <c r="K396" s="1507"/>
      <c r="L396" s="1507"/>
      <c r="M396" s="1507"/>
      <c r="N396" s="1507"/>
      <c r="O396" s="153"/>
      <c r="P396" s="848"/>
      <c r="Q396" s="153"/>
    </row>
    <row r="397" spans="2:17" ht="29.1" customHeight="1">
      <c r="B397" s="1508"/>
      <c r="C397" s="133"/>
      <c r="D397" s="153"/>
      <c r="E397" s="153"/>
      <c r="F397" s="1507"/>
      <c r="G397" s="1507"/>
      <c r="H397" s="1507"/>
      <c r="I397" s="1507"/>
      <c r="J397" s="1507"/>
      <c r="K397" s="1507"/>
      <c r="L397" s="1507"/>
      <c r="M397" s="1507"/>
      <c r="N397" s="1507"/>
      <c r="O397" s="153"/>
      <c r="P397" s="848"/>
      <c r="Q397" s="153"/>
    </row>
    <row r="398" spans="2:17" ht="23.1" customHeight="1">
      <c r="B398" s="1578"/>
      <c r="C398" s="1578"/>
      <c r="D398" s="1578"/>
      <c r="E398" s="1578"/>
      <c r="F398" s="1578"/>
      <c r="G398" s="1578"/>
      <c r="H398" s="1578"/>
      <c r="I398" s="1578"/>
      <c r="J398" s="1578"/>
      <c r="K398" s="1488"/>
      <c r="L398" s="1488"/>
      <c r="M398" s="1488"/>
      <c r="N398" s="1488"/>
      <c r="O398" s="1488"/>
      <c r="P398" s="847"/>
      <c r="Q398" s="153"/>
    </row>
    <row r="399" spans="2:17" ht="23.1" customHeight="1">
      <c r="B399" s="1578"/>
      <c r="C399" s="1578"/>
      <c r="D399" s="1578"/>
      <c r="E399" s="1578"/>
      <c r="F399" s="1578"/>
      <c r="G399" s="1578"/>
      <c r="H399" s="1578"/>
      <c r="I399" s="1578"/>
      <c r="J399" s="1578"/>
      <c r="K399" s="1579"/>
      <c r="L399" s="1579"/>
      <c r="M399" s="1579"/>
      <c r="N399" s="1579"/>
      <c r="O399" s="1579"/>
      <c r="P399" s="871"/>
      <c r="Q399" s="153"/>
    </row>
    <row r="400" spans="2:17" ht="23.1" customHeight="1">
      <c r="B400" s="1519"/>
      <c r="C400" s="1519"/>
      <c r="D400" s="1519"/>
      <c r="E400" s="1519"/>
      <c r="F400" s="1519"/>
      <c r="G400" s="1519"/>
      <c r="H400" s="1519"/>
      <c r="I400" s="1577"/>
      <c r="J400" s="1577"/>
      <c r="K400" s="1577"/>
      <c r="L400" s="1577"/>
      <c r="M400" s="1577"/>
      <c r="N400" s="1577"/>
      <c r="O400" s="1519"/>
      <c r="P400" s="850"/>
      <c r="Q400" s="153"/>
    </row>
    <row r="401" spans="2:17" ht="23.1" customHeight="1">
      <c r="B401" s="1519"/>
      <c r="C401" s="133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19"/>
      <c r="P401" s="850"/>
      <c r="Q401" s="153"/>
    </row>
    <row r="402" spans="2:17" ht="23.1" customHeight="1">
      <c r="B402" s="1519"/>
      <c r="C402" s="133"/>
      <c r="D402" s="154"/>
      <c r="E402" s="154"/>
      <c r="F402" s="154"/>
      <c r="G402" s="154"/>
      <c r="H402" s="152"/>
      <c r="I402" s="154"/>
      <c r="J402" s="154"/>
      <c r="K402" s="152"/>
      <c r="L402" s="154"/>
      <c r="M402" s="154"/>
      <c r="N402" s="152"/>
      <c r="O402" s="1519"/>
      <c r="P402" s="850"/>
      <c r="Q402" s="153"/>
    </row>
    <row r="403" spans="2:17" ht="23.1" customHeight="1">
      <c r="B403" s="1519"/>
      <c r="C403" s="133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19"/>
      <c r="P403" s="850"/>
      <c r="Q403" s="153"/>
    </row>
    <row r="404" spans="2:17" ht="29.1" customHeight="1">
      <c r="B404" s="1508"/>
      <c r="C404" s="133"/>
      <c r="D404" s="153"/>
      <c r="E404" s="153"/>
      <c r="F404" s="1507"/>
      <c r="G404" s="1507"/>
      <c r="H404" s="1507"/>
      <c r="I404" s="1507"/>
      <c r="J404" s="1507"/>
      <c r="K404" s="1507"/>
      <c r="L404" s="1507"/>
      <c r="M404" s="1507"/>
      <c r="N404" s="1507"/>
      <c r="O404" s="131"/>
      <c r="P404" s="131"/>
      <c r="Q404" s="153"/>
    </row>
    <row r="405" spans="2:17" ht="29.1" customHeight="1">
      <c r="B405" s="1508"/>
      <c r="C405" s="133"/>
      <c r="D405" s="153"/>
      <c r="E405" s="153"/>
      <c r="F405" s="1507"/>
      <c r="G405" s="1507"/>
      <c r="H405" s="1507"/>
      <c r="I405" s="1507"/>
      <c r="J405" s="1507"/>
      <c r="K405" s="1507"/>
      <c r="L405" s="1507"/>
      <c r="M405" s="1507"/>
      <c r="N405" s="1507"/>
      <c r="O405" s="131"/>
      <c r="P405" s="131"/>
      <c r="Q405" s="153"/>
    </row>
    <row r="406" spans="2:17" ht="29.1" customHeight="1">
      <c r="B406" s="1508"/>
      <c r="C406" s="133"/>
      <c r="D406" s="153"/>
      <c r="E406" s="153"/>
      <c r="F406" s="1507"/>
      <c r="G406" s="1507"/>
      <c r="H406" s="1507"/>
      <c r="I406" s="1507"/>
      <c r="J406" s="1507"/>
      <c r="K406" s="1507"/>
      <c r="L406" s="1507"/>
      <c r="M406" s="1507"/>
      <c r="N406" s="1507"/>
      <c r="O406" s="131"/>
      <c r="P406" s="131"/>
      <c r="Q406" s="153"/>
    </row>
    <row r="407" spans="2:17" ht="29.1" customHeight="1">
      <c r="B407" s="1508"/>
      <c r="C407" s="133"/>
      <c r="D407" s="153"/>
      <c r="E407" s="153"/>
      <c r="F407" s="1507"/>
      <c r="G407" s="1507"/>
      <c r="H407" s="1507"/>
      <c r="I407" s="1507"/>
      <c r="J407" s="1507"/>
      <c r="K407" s="1507"/>
      <c r="L407" s="1507"/>
      <c r="M407" s="1507"/>
      <c r="N407" s="1507"/>
      <c r="O407" s="131"/>
      <c r="P407" s="131"/>
      <c r="Q407" s="153"/>
    </row>
    <row r="408" spans="2:17" ht="29.1" customHeight="1">
      <c r="B408" s="1508"/>
      <c r="C408" s="133"/>
      <c r="D408" s="153"/>
      <c r="E408" s="153"/>
      <c r="F408" s="1507"/>
      <c r="G408" s="1507"/>
      <c r="H408" s="1507"/>
      <c r="I408" s="1507"/>
      <c r="J408" s="1507"/>
      <c r="K408" s="1507"/>
      <c r="L408" s="1507"/>
      <c r="M408" s="1507"/>
      <c r="N408" s="1507"/>
      <c r="O408" s="131"/>
      <c r="P408" s="131"/>
      <c r="Q408" s="153"/>
    </row>
    <row r="409" spans="2:17" ht="29.1" customHeight="1">
      <c r="B409" s="1508"/>
      <c r="C409" s="133"/>
      <c r="D409" s="153"/>
      <c r="E409" s="153"/>
      <c r="F409" s="1507"/>
      <c r="G409" s="1507"/>
      <c r="H409" s="1507"/>
      <c r="I409" s="1507"/>
      <c r="J409" s="1507"/>
      <c r="K409" s="1507"/>
      <c r="L409" s="1507"/>
      <c r="M409" s="1507"/>
      <c r="N409" s="1507"/>
      <c r="O409" s="131"/>
      <c r="P409" s="131"/>
      <c r="Q409" s="153"/>
    </row>
    <row r="410" spans="2:17" ht="29.1" customHeight="1">
      <c r="B410" s="1508"/>
      <c r="C410" s="133"/>
      <c r="D410" s="153"/>
      <c r="E410" s="153"/>
      <c r="F410" s="1507"/>
      <c r="G410" s="1507"/>
      <c r="H410" s="1507"/>
      <c r="I410" s="1507"/>
      <c r="J410" s="1507"/>
      <c r="K410" s="1507"/>
      <c r="L410" s="1507"/>
      <c r="M410" s="1507"/>
      <c r="N410" s="1507"/>
      <c r="O410" s="131"/>
      <c r="P410" s="131"/>
      <c r="Q410" s="153"/>
    </row>
    <row r="411" spans="2:17" ht="29.1" customHeight="1">
      <c r="B411" s="1508"/>
      <c r="C411" s="133"/>
      <c r="D411" s="153"/>
      <c r="E411" s="153"/>
      <c r="F411" s="1507"/>
      <c r="G411" s="1507"/>
      <c r="H411" s="1507"/>
      <c r="I411" s="1507"/>
      <c r="J411" s="1507"/>
      <c r="K411" s="1507"/>
      <c r="L411" s="1507"/>
      <c r="M411" s="1507"/>
      <c r="N411" s="1507"/>
      <c r="O411" s="131"/>
      <c r="P411" s="131"/>
      <c r="Q411" s="153"/>
    </row>
    <row r="412" spans="2:17" ht="29.1" customHeight="1">
      <c r="B412" s="1508"/>
      <c r="C412" s="133"/>
      <c r="D412" s="153"/>
      <c r="E412" s="153"/>
      <c r="F412" s="1507"/>
      <c r="G412" s="1507"/>
      <c r="H412" s="1507"/>
      <c r="I412" s="1507"/>
      <c r="J412" s="1507"/>
      <c r="K412" s="1507"/>
      <c r="L412" s="1507"/>
      <c r="M412" s="1507"/>
      <c r="N412" s="1507"/>
      <c r="O412" s="131"/>
      <c r="P412" s="131"/>
      <c r="Q412" s="153"/>
    </row>
    <row r="413" spans="2:17" ht="29.1" customHeight="1">
      <c r="B413" s="1508"/>
      <c r="C413" s="133"/>
      <c r="D413" s="153"/>
      <c r="E413" s="153"/>
      <c r="F413" s="1507"/>
      <c r="G413" s="1507"/>
      <c r="H413" s="1507"/>
      <c r="I413" s="1507"/>
      <c r="J413" s="1507"/>
      <c r="K413" s="1507"/>
      <c r="L413" s="1507"/>
      <c r="M413" s="1507"/>
      <c r="N413" s="1507"/>
      <c r="O413" s="131"/>
      <c r="P413" s="131"/>
      <c r="Q413" s="153"/>
    </row>
    <row r="414" spans="2:17" ht="29.1" customHeight="1">
      <c r="B414" s="1508"/>
      <c r="C414" s="133"/>
      <c r="D414" s="153"/>
      <c r="E414" s="153"/>
      <c r="F414" s="1507"/>
      <c r="G414" s="1507"/>
      <c r="H414" s="1507"/>
      <c r="I414" s="1507"/>
      <c r="J414" s="1507"/>
      <c r="K414" s="1507"/>
      <c r="L414" s="1507"/>
      <c r="M414" s="1507"/>
      <c r="N414" s="1507"/>
      <c r="O414" s="131"/>
      <c r="P414" s="131"/>
      <c r="Q414" s="153"/>
    </row>
    <row r="415" spans="2:17" ht="29.1" customHeight="1">
      <c r="B415" s="1508"/>
      <c r="C415" s="133"/>
      <c r="D415" s="153"/>
      <c r="E415" s="153"/>
      <c r="F415" s="1507"/>
      <c r="G415" s="1507"/>
      <c r="H415" s="1507"/>
      <c r="I415" s="1507"/>
      <c r="J415" s="1507"/>
      <c r="K415" s="1507"/>
      <c r="L415" s="1507"/>
      <c r="M415" s="1507"/>
      <c r="N415" s="1507"/>
      <c r="O415" s="131"/>
      <c r="P415" s="131"/>
      <c r="Q415" s="153"/>
    </row>
    <row r="416" spans="2:17" ht="29.1" customHeight="1">
      <c r="B416" s="1508"/>
      <c r="C416" s="133"/>
      <c r="D416" s="153"/>
      <c r="E416" s="153"/>
      <c r="F416" s="1507"/>
      <c r="G416" s="1507"/>
      <c r="H416" s="1507"/>
      <c r="I416" s="1507"/>
      <c r="J416" s="1507"/>
      <c r="K416" s="1507"/>
      <c r="L416" s="1507"/>
      <c r="M416" s="1507"/>
      <c r="N416" s="1507"/>
      <c r="O416" s="131"/>
      <c r="P416" s="131"/>
      <c r="Q416" s="153"/>
    </row>
    <row r="417" spans="2:17" ht="29.1" customHeight="1">
      <c r="B417" s="1508"/>
      <c r="C417" s="133"/>
      <c r="D417" s="153"/>
      <c r="E417" s="153"/>
      <c r="F417" s="1507"/>
      <c r="G417" s="1507"/>
      <c r="H417" s="1507"/>
      <c r="I417" s="1507"/>
      <c r="J417" s="1507"/>
      <c r="K417" s="1507"/>
      <c r="L417" s="1507"/>
      <c r="M417" s="1507"/>
      <c r="N417" s="1507"/>
      <c r="O417" s="131"/>
      <c r="P417" s="131"/>
      <c r="Q417" s="153"/>
    </row>
    <row r="418" spans="2:17" ht="29.1" customHeight="1">
      <c r="B418" s="1508"/>
      <c r="C418" s="133"/>
      <c r="D418" s="153"/>
      <c r="E418" s="153"/>
      <c r="F418" s="1507"/>
      <c r="G418" s="1507"/>
      <c r="H418" s="1507"/>
      <c r="I418" s="1507"/>
      <c r="J418" s="1507"/>
      <c r="K418" s="1507"/>
      <c r="L418" s="1507"/>
      <c r="M418" s="1507"/>
      <c r="N418" s="1507"/>
      <c r="O418" s="131"/>
      <c r="P418" s="131"/>
      <c r="Q418" s="153"/>
    </row>
    <row r="419" spans="2:17" ht="29.1" customHeight="1">
      <c r="B419" s="1508"/>
      <c r="C419" s="133"/>
      <c r="D419" s="153"/>
      <c r="E419" s="153"/>
      <c r="F419" s="1507"/>
      <c r="G419" s="1507"/>
      <c r="H419" s="1507"/>
      <c r="I419" s="1507"/>
      <c r="J419" s="1507"/>
      <c r="K419" s="1507"/>
      <c r="L419" s="1507"/>
      <c r="M419" s="1507"/>
      <c r="N419" s="1507"/>
      <c r="O419" s="131"/>
      <c r="P419" s="131"/>
      <c r="Q419" s="153"/>
    </row>
    <row r="420" spans="2:17" ht="29.1" customHeight="1">
      <c r="B420" s="1508"/>
      <c r="C420" s="133"/>
      <c r="D420" s="153"/>
      <c r="E420" s="153"/>
      <c r="F420" s="1507"/>
      <c r="G420" s="1507"/>
      <c r="H420" s="1507"/>
      <c r="I420" s="1507"/>
      <c r="J420" s="1507"/>
      <c r="K420" s="1507"/>
      <c r="L420" s="1507"/>
      <c r="M420" s="1507"/>
      <c r="N420" s="1507"/>
      <c r="O420" s="131"/>
      <c r="P420" s="131"/>
      <c r="Q420" s="153"/>
    </row>
    <row r="421" spans="2:17" ht="29.1" customHeight="1">
      <c r="B421" s="1508"/>
      <c r="C421" s="133"/>
      <c r="D421" s="153"/>
      <c r="E421" s="153"/>
      <c r="F421" s="1507"/>
      <c r="G421" s="1507"/>
      <c r="H421" s="1507"/>
      <c r="I421" s="1507"/>
      <c r="J421" s="1507"/>
      <c r="K421" s="1507"/>
      <c r="L421" s="1507"/>
      <c r="M421" s="1507"/>
      <c r="N421" s="1507"/>
      <c r="O421" s="131"/>
      <c r="P421" s="131"/>
      <c r="Q421" s="153"/>
    </row>
    <row r="422" spans="2:17" ht="29.1" customHeight="1">
      <c r="B422" s="1508"/>
      <c r="C422" s="133"/>
      <c r="D422" s="153"/>
      <c r="E422" s="153"/>
      <c r="F422" s="1507"/>
      <c r="G422" s="1507"/>
      <c r="H422" s="1507"/>
      <c r="I422" s="1507"/>
      <c r="J422" s="1507"/>
      <c r="K422" s="1507"/>
      <c r="L422" s="1507"/>
      <c r="M422" s="1507"/>
      <c r="N422" s="1507"/>
      <c r="O422" s="131"/>
      <c r="P422" s="131"/>
      <c r="Q422" s="153"/>
    </row>
    <row r="423" spans="2:17" ht="29.1" customHeight="1">
      <c r="B423" s="1508"/>
      <c r="C423" s="133"/>
      <c r="D423" s="153"/>
      <c r="E423" s="153"/>
      <c r="F423" s="1507"/>
      <c r="G423" s="1507"/>
      <c r="H423" s="1507"/>
      <c r="I423" s="1507"/>
      <c r="J423" s="1507"/>
      <c r="K423" s="1507"/>
      <c r="L423" s="1507"/>
      <c r="M423" s="1507"/>
      <c r="N423" s="1507"/>
      <c r="O423" s="131"/>
      <c r="P423" s="131"/>
      <c r="Q423" s="153"/>
    </row>
    <row r="424" spans="2:17" ht="29.1" customHeight="1">
      <c r="B424" s="1508"/>
      <c r="C424" s="133"/>
      <c r="D424" s="153"/>
      <c r="E424" s="153"/>
      <c r="F424" s="1507"/>
      <c r="G424" s="1507"/>
      <c r="H424" s="1507"/>
      <c r="I424" s="1507"/>
      <c r="J424" s="1507"/>
      <c r="K424" s="1507"/>
      <c r="L424" s="1507"/>
      <c r="M424" s="1507"/>
      <c r="N424" s="1507"/>
      <c r="O424" s="131"/>
      <c r="P424" s="131"/>
      <c r="Q424" s="153"/>
    </row>
    <row r="425" spans="2:17" ht="29.1" customHeight="1">
      <c r="B425" s="1508"/>
      <c r="C425" s="133"/>
      <c r="D425" s="153"/>
      <c r="E425" s="153"/>
      <c r="F425" s="1507"/>
      <c r="G425" s="1507"/>
      <c r="H425" s="1507"/>
      <c r="I425" s="1507"/>
      <c r="J425" s="1507"/>
      <c r="K425" s="1507"/>
      <c r="L425" s="1507"/>
      <c r="M425" s="1507"/>
      <c r="N425" s="1507"/>
      <c r="O425" s="131"/>
      <c r="P425" s="131"/>
      <c r="Q425" s="153"/>
    </row>
    <row r="426" spans="2:17" ht="29.1" customHeight="1">
      <c r="B426" s="1508"/>
      <c r="C426" s="133"/>
      <c r="D426" s="153"/>
      <c r="E426" s="153"/>
      <c r="F426" s="1507"/>
      <c r="G426" s="1507"/>
      <c r="H426" s="1507"/>
      <c r="I426" s="1507"/>
      <c r="J426" s="1507"/>
      <c r="K426" s="1507"/>
      <c r="L426" s="1507"/>
      <c r="M426" s="1507"/>
      <c r="N426" s="1507"/>
      <c r="O426" s="131"/>
      <c r="P426" s="131"/>
      <c r="Q426" s="153"/>
    </row>
    <row r="427" spans="2:17" ht="29.1" customHeight="1">
      <c r="B427" s="1508"/>
      <c r="C427" s="133"/>
      <c r="D427" s="153"/>
      <c r="E427" s="153"/>
      <c r="F427" s="1507"/>
      <c r="G427" s="1507"/>
      <c r="H427" s="1507"/>
      <c r="I427" s="1507"/>
      <c r="J427" s="1507"/>
      <c r="K427" s="1507"/>
      <c r="L427" s="1507"/>
      <c r="M427" s="1507"/>
      <c r="N427" s="1507"/>
      <c r="O427" s="131"/>
      <c r="P427" s="131"/>
      <c r="Q427" s="153"/>
    </row>
    <row r="428" spans="2:17" ht="29.1" customHeight="1">
      <c r="B428" s="1508"/>
      <c r="C428" s="133"/>
      <c r="D428" s="153"/>
      <c r="E428" s="153"/>
      <c r="F428" s="1507"/>
      <c r="G428" s="1507"/>
      <c r="H428" s="1507"/>
      <c r="I428" s="1507"/>
      <c r="J428" s="1507"/>
      <c r="K428" s="1507"/>
      <c r="L428" s="1507"/>
      <c r="M428" s="1507"/>
      <c r="N428" s="1507"/>
      <c r="O428" s="131"/>
      <c r="P428" s="131"/>
      <c r="Q428" s="153"/>
    </row>
    <row r="429" spans="2:17" ht="29.1" customHeight="1">
      <c r="B429" s="1508"/>
      <c r="C429" s="133"/>
      <c r="D429" s="153"/>
      <c r="E429" s="153"/>
      <c r="F429" s="1507"/>
      <c r="G429" s="1507"/>
      <c r="H429" s="1507"/>
      <c r="I429" s="1507"/>
      <c r="J429" s="1507"/>
      <c r="K429" s="1507"/>
      <c r="L429" s="1507"/>
      <c r="M429" s="1507"/>
      <c r="N429" s="1507"/>
      <c r="O429" s="131"/>
      <c r="P429" s="131"/>
      <c r="Q429" s="153"/>
    </row>
    <row r="430" spans="2:17" ht="29.1" customHeight="1">
      <c r="B430" s="1508"/>
      <c r="C430" s="133"/>
      <c r="D430" s="153"/>
      <c r="E430" s="153"/>
      <c r="F430" s="1507"/>
      <c r="G430" s="1507"/>
      <c r="H430" s="1507"/>
      <c r="I430" s="1507"/>
      <c r="J430" s="1507"/>
      <c r="K430" s="1507"/>
      <c r="L430" s="1507"/>
      <c r="M430" s="1507"/>
      <c r="N430" s="1507"/>
      <c r="O430" s="131"/>
      <c r="P430" s="131"/>
      <c r="Q430" s="153"/>
    </row>
    <row r="431" spans="2:17" ht="29.1" customHeight="1">
      <c r="B431" s="1508"/>
      <c r="C431" s="133"/>
      <c r="D431" s="153"/>
      <c r="E431" s="153"/>
      <c r="F431" s="1507"/>
      <c r="G431" s="1507"/>
      <c r="H431" s="1507"/>
      <c r="I431" s="1507"/>
      <c r="J431" s="1507"/>
      <c r="K431" s="1507"/>
      <c r="L431" s="1507"/>
      <c r="M431" s="1507"/>
      <c r="N431" s="1507"/>
      <c r="O431" s="131"/>
      <c r="P431" s="131"/>
      <c r="Q431" s="153"/>
    </row>
    <row r="432" spans="2:17" ht="29.1" customHeight="1">
      <c r="B432" s="1508"/>
      <c r="C432" s="133"/>
      <c r="D432" s="153"/>
      <c r="E432" s="153"/>
      <c r="F432" s="1507"/>
      <c r="G432" s="1507"/>
      <c r="H432" s="1507"/>
      <c r="I432" s="1507"/>
      <c r="J432" s="1507"/>
      <c r="K432" s="1507"/>
      <c r="L432" s="1507"/>
      <c r="M432" s="1507"/>
      <c r="N432" s="1507"/>
      <c r="O432" s="131"/>
      <c r="P432" s="131"/>
      <c r="Q432" s="153"/>
    </row>
    <row r="433" spans="2:17" ht="29.1" customHeight="1">
      <c r="B433" s="1508"/>
      <c r="C433" s="133"/>
      <c r="D433" s="153"/>
      <c r="E433" s="153"/>
      <c r="F433" s="1507"/>
      <c r="G433" s="1507"/>
      <c r="H433" s="1507"/>
      <c r="I433" s="1507"/>
      <c r="J433" s="1507"/>
      <c r="K433" s="1507"/>
      <c r="L433" s="1507"/>
      <c r="M433" s="1507"/>
      <c r="N433" s="1507"/>
      <c r="O433" s="131"/>
      <c r="P433" s="131"/>
      <c r="Q433" s="153"/>
    </row>
    <row r="434" spans="2:17" ht="29.1" customHeight="1">
      <c r="B434" s="1508"/>
      <c r="C434" s="133"/>
      <c r="D434" s="153"/>
      <c r="E434" s="153"/>
      <c r="F434" s="1507"/>
      <c r="G434" s="1507"/>
      <c r="H434" s="1507"/>
      <c r="I434" s="1507"/>
      <c r="J434" s="1507"/>
      <c r="K434" s="1507"/>
      <c r="L434" s="1507"/>
      <c r="M434" s="1507"/>
      <c r="N434" s="1507"/>
      <c r="O434" s="131"/>
      <c r="P434" s="131"/>
      <c r="Q434" s="153"/>
    </row>
    <row r="435" spans="2:17" ht="29.1" customHeight="1">
      <c r="B435" s="1508"/>
      <c r="C435" s="133"/>
      <c r="D435" s="153"/>
      <c r="E435" s="153"/>
      <c r="F435" s="1507"/>
      <c r="G435" s="1507"/>
      <c r="H435" s="1507"/>
      <c r="I435" s="1507"/>
      <c r="J435" s="1507"/>
      <c r="K435" s="1507"/>
      <c r="L435" s="1507"/>
      <c r="M435" s="1507"/>
      <c r="N435" s="1507"/>
      <c r="O435" s="131"/>
      <c r="P435" s="131"/>
      <c r="Q435" s="153"/>
    </row>
    <row r="436" spans="2:17" ht="29.1" customHeight="1">
      <c r="B436" s="1508"/>
      <c r="C436" s="133"/>
      <c r="D436" s="153"/>
      <c r="E436" s="153"/>
      <c r="F436" s="1507"/>
      <c r="G436" s="1507"/>
      <c r="H436" s="1507"/>
      <c r="I436" s="1507"/>
      <c r="J436" s="1507"/>
      <c r="K436" s="1507"/>
      <c r="L436" s="1507"/>
      <c r="M436" s="1507"/>
      <c r="N436" s="1507"/>
      <c r="O436" s="131"/>
      <c r="P436" s="131"/>
      <c r="Q436" s="153"/>
    </row>
    <row r="437" spans="2:17" ht="29.1" customHeight="1">
      <c r="B437" s="1508"/>
      <c r="C437" s="133"/>
      <c r="D437" s="153"/>
      <c r="E437" s="153"/>
      <c r="F437" s="1507"/>
      <c r="G437" s="1507"/>
      <c r="H437" s="1507"/>
      <c r="I437" s="1507"/>
      <c r="J437" s="1507"/>
      <c r="K437" s="1507"/>
      <c r="L437" s="1507"/>
      <c r="M437" s="1507"/>
      <c r="N437" s="1507"/>
      <c r="O437" s="131"/>
      <c r="P437" s="131"/>
      <c r="Q437" s="153"/>
    </row>
    <row r="438" spans="2:17" ht="29.1" customHeight="1">
      <c r="B438" s="1508"/>
      <c r="C438" s="133"/>
      <c r="D438" s="153"/>
      <c r="E438" s="153"/>
      <c r="F438" s="1507"/>
      <c r="G438" s="1507"/>
      <c r="H438" s="1507"/>
      <c r="I438" s="1507"/>
      <c r="J438" s="1507"/>
      <c r="K438" s="1507"/>
      <c r="L438" s="1507"/>
      <c r="M438" s="1507"/>
      <c r="N438" s="1507"/>
      <c r="O438" s="131"/>
      <c r="P438" s="131"/>
      <c r="Q438" s="153"/>
    </row>
    <row r="439" spans="2:17" ht="29.1" customHeight="1">
      <c r="B439" s="1508"/>
      <c r="C439" s="133"/>
      <c r="D439" s="153"/>
      <c r="E439" s="153"/>
      <c r="F439" s="1507"/>
      <c r="G439" s="1507"/>
      <c r="H439" s="1507"/>
      <c r="I439" s="1507"/>
      <c r="J439" s="1507"/>
      <c r="K439" s="1507"/>
      <c r="L439" s="1507"/>
      <c r="M439" s="1507"/>
      <c r="N439" s="1507"/>
      <c r="O439" s="131"/>
      <c r="P439" s="131"/>
      <c r="Q439" s="153"/>
    </row>
    <row r="440" spans="2:17" ht="29.1" customHeight="1">
      <c r="B440" s="1508"/>
      <c r="C440" s="133"/>
      <c r="D440" s="153"/>
      <c r="E440" s="153"/>
      <c r="F440" s="1507"/>
      <c r="G440" s="1507"/>
      <c r="H440" s="1507"/>
      <c r="I440" s="1507"/>
      <c r="J440" s="1507"/>
      <c r="K440" s="1507"/>
      <c r="L440" s="1507"/>
      <c r="M440" s="1507"/>
      <c r="N440" s="1507"/>
      <c r="O440" s="131"/>
      <c r="P440" s="131"/>
      <c r="Q440" s="153"/>
    </row>
    <row r="441" spans="2:17" ht="33" customHeight="1">
      <c r="B441" s="1508"/>
      <c r="C441" s="133"/>
      <c r="D441" s="153"/>
      <c r="E441" s="153"/>
      <c r="F441" s="1507"/>
      <c r="G441" s="1507"/>
      <c r="H441" s="1507"/>
      <c r="I441" s="1507"/>
      <c r="J441" s="1507"/>
      <c r="K441" s="1507"/>
      <c r="L441" s="1507"/>
      <c r="M441" s="1507"/>
      <c r="N441" s="1507"/>
      <c r="O441" s="131"/>
      <c r="P441" s="131"/>
      <c r="Q441" s="153"/>
    </row>
    <row r="442" spans="2:17" ht="24" customHeight="1">
      <c r="B442" s="1578"/>
      <c r="C442" s="1578"/>
      <c r="D442" s="1578"/>
      <c r="E442" s="1578"/>
      <c r="F442" s="1578"/>
      <c r="G442" s="1578"/>
      <c r="H442" s="1578"/>
      <c r="I442" s="1578"/>
      <c r="J442" s="1578"/>
      <c r="K442" s="1488"/>
      <c r="L442" s="1488"/>
      <c r="M442" s="1488"/>
      <c r="N442" s="1488"/>
      <c r="O442" s="1488"/>
      <c r="P442" s="847"/>
      <c r="Q442" s="153"/>
    </row>
    <row r="443" spans="2:17" ht="24" customHeight="1">
      <c r="B443" s="1578"/>
      <c r="C443" s="1578"/>
      <c r="D443" s="1578"/>
      <c r="E443" s="1578"/>
      <c r="F443" s="1578"/>
      <c r="G443" s="1578"/>
      <c r="H443" s="1578"/>
      <c r="I443" s="1578"/>
      <c r="J443" s="1578"/>
      <c r="K443" s="1579"/>
      <c r="L443" s="1579"/>
      <c r="M443" s="1579"/>
      <c r="N443" s="1579"/>
      <c r="O443" s="1579"/>
      <c r="P443" s="871"/>
      <c r="Q443" s="153"/>
    </row>
    <row r="444" spans="2:17" ht="24" customHeight="1">
      <c r="B444" s="1519"/>
      <c r="C444" s="1519"/>
      <c r="D444" s="1519"/>
      <c r="E444" s="1519"/>
      <c r="F444" s="1519"/>
      <c r="G444" s="1519"/>
      <c r="H444" s="1519"/>
      <c r="I444" s="1577"/>
      <c r="J444" s="1577"/>
      <c r="K444" s="1577"/>
      <c r="L444" s="1577"/>
      <c r="M444" s="1577"/>
      <c r="N444" s="1577"/>
      <c r="O444" s="1519"/>
      <c r="P444" s="850"/>
      <c r="Q444" s="153"/>
    </row>
    <row r="445" spans="2:17" ht="24" customHeight="1">
      <c r="B445" s="1519"/>
      <c r="C445" s="133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19"/>
      <c r="P445" s="850"/>
      <c r="Q445" s="153"/>
    </row>
    <row r="446" spans="2:17" ht="24" customHeight="1">
      <c r="B446" s="1519"/>
      <c r="C446" s="133"/>
      <c r="D446" s="154"/>
      <c r="E446" s="154"/>
      <c r="F446" s="154"/>
      <c r="G446" s="154"/>
      <c r="H446" s="152"/>
      <c r="I446" s="154"/>
      <c r="J446" s="154"/>
      <c r="K446" s="152"/>
      <c r="L446" s="154"/>
      <c r="M446" s="154"/>
      <c r="N446" s="152"/>
      <c r="O446" s="1519"/>
      <c r="P446" s="850"/>
      <c r="Q446" s="153"/>
    </row>
    <row r="447" spans="2:17" ht="33" customHeight="1">
      <c r="B447" s="1519"/>
      <c r="C447" s="133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19"/>
      <c r="P447" s="850"/>
      <c r="Q447" s="153"/>
    </row>
    <row r="448" spans="2:17" ht="28.5" customHeight="1">
      <c r="B448" s="1508"/>
      <c r="C448" s="133"/>
      <c r="D448" s="153"/>
      <c r="E448" s="153"/>
      <c r="F448" s="1507"/>
      <c r="G448" s="1507"/>
      <c r="H448" s="1507"/>
      <c r="I448" s="1507"/>
      <c r="J448" s="1507"/>
      <c r="K448" s="1507"/>
      <c r="L448" s="1507"/>
      <c r="M448" s="1507"/>
      <c r="N448" s="1507"/>
      <c r="O448" s="131"/>
      <c r="P448" s="131"/>
      <c r="Q448" s="153"/>
    </row>
    <row r="449" spans="2:17" ht="28.5" customHeight="1">
      <c r="B449" s="1508"/>
      <c r="C449" s="133"/>
      <c r="D449" s="153"/>
      <c r="E449" s="153"/>
      <c r="F449" s="1507"/>
      <c r="G449" s="1507"/>
      <c r="H449" s="1507"/>
      <c r="I449" s="1507"/>
      <c r="J449" s="1507"/>
      <c r="K449" s="1507"/>
      <c r="L449" s="1507"/>
      <c r="M449" s="1507"/>
      <c r="N449" s="1507"/>
      <c r="O449" s="131"/>
      <c r="P449" s="131"/>
      <c r="Q449" s="153"/>
    </row>
    <row r="450" spans="2:17" ht="28.5" customHeight="1">
      <c r="B450" s="1508"/>
      <c r="C450" s="133"/>
      <c r="D450" s="153"/>
      <c r="E450" s="153"/>
      <c r="F450" s="1507"/>
      <c r="G450" s="1507"/>
      <c r="H450" s="1507"/>
      <c r="I450" s="1507"/>
      <c r="J450" s="1507"/>
      <c r="K450" s="1507"/>
      <c r="L450" s="1507"/>
      <c r="M450" s="1507"/>
      <c r="N450" s="1507"/>
      <c r="O450" s="131"/>
      <c r="P450" s="131"/>
      <c r="Q450" s="153"/>
    </row>
    <row r="451" spans="2:17" ht="28.5" customHeight="1">
      <c r="B451" s="1508"/>
      <c r="C451" s="133"/>
      <c r="D451" s="153"/>
      <c r="E451" s="153"/>
      <c r="F451" s="1507"/>
      <c r="G451" s="1507"/>
      <c r="H451" s="1507"/>
      <c r="I451" s="1507"/>
      <c r="J451" s="1507"/>
      <c r="K451" s="1507"/>
      <c r="L451" s="1507"/>
      <c r="M451" s="1507"/>
      <c r="N451" s="1507"/>
      <c r="O451" s="131"/>
      <c r="P451" s="131"/>
      <c r="Q451" s="153"/>
    </row>
    <row r="452" spans="2:17" ht="28.5" customHeight="1">
      <c r="B452" s="1508"/>
      <c r="C452" s="133"/>
      <c r="D452" s="153"/>
      <c r="E452" s="153"/>
      <c r="F452" s="1507"/>
      <c r="G452" s="1507"/>
      <c r="H452" s="1507"/>
      <c r="I452" s="1507"/>
      <c r="J452" s="1507"/>
      <c r="K452" s="1507"/>
      <c r="L452" s="1507"/>
      <c r="M452" s="1507"/>
      <c r="N452" s="1507"/>
      <c r="O452" s="131"/>
      <c r="P452" s="131"/>
      <c r="Q452" s="153"/>
    </row>
    <row r="453" spans="2:17" ht="28.5" customHeight="1">
      <c r="B453" s="1508"/>
      <c r="C453" s="133"/>
      <c r="D453" s="153"/>
      <c r="E453" s="153"/>
      <c r="F453" s="1507"/>
      <c r="G453" s="1507"/>
      <c r="H453" s="1507"/>
      <c r="I453" s="1507"/>
      <c r="J453" s="1507"/>
      <c r="K453" s="1507"/>
      <c r="L453" s="1507"/>
      <c r="M453" s="1507"/>
      <c r="N453" s="1507"/>
      <c r="O453" s="131"/>
      <c r="P453" s="131"/>
      <c r="Q453" s="153"/>
    </row>
    <row r="454" spans="2:17" ht="28.5" customHeight="1">
      <c r="B454" s="1508"/>
      <c r="C454" s="133"/>
      <c r="D454" s="153"/>
      <c r="E454" s="153"/>
      <c r="F454" s="1507"/>
      <c r="G454" s="1507"/>
      <c r="H454" s="1507"/>
      <c r="I454" s="1507"/>
      <c r="J454" s="1507"/>
      <c r="K454" s="1507"/>
      <c r="L454" s="1507"/>
      <c r="M454" s="1507"/>
      <c r="N454" s="1507"/>
      <c r="O454" s="131"/>
      <c r="P454" s="131"/>
      <c r="Q454" s="153"/>
    </row>
    <row r="455" spans="2:17" ht="28.5" customHeight="1">
      <c r="B455" s="1508"/>
      <c r="C455" s="133"/>
      <c r="D455" s="153"/>
      <c r="E455" s="153"/>
      <c r="F455" s="1507"/>
      <c r="G455" s="1507"/>
      <c r="H455" s="1507"/>
      <c r="I455" s="1507"/>
      <c r="J455" s="1507"/>
      <c r="K455" s="1507"/>
      <c r="L455" s="1507"/>
      <c r="M455" s="1507"/>
      <c r="N455" s="1507"/>
      <c r="O455" s="131"/>
      <c r="P455" s="131"/>
      <c r="Q455" s="153"/>
    </row>
    <row r="456" spans="2:17" ht="28.5" customHeight="1">
      <c r="B456" s="1508"/>
      <c r="C456" s="133"/>
      <c r="D456" s="153"/>
      <c r="E456" s="153"/>
      <c r="F456" s="1507"/>
      <c r="G456" s="1507"/>
      <c r="H456" s="1507"/>
      <c r="I456" s="1507"/>
      <c r="J456" s="1507"/>
      <c r="K456" s="1507"/>
      <c r="L456" s="1507"/>
      <c r="M456" s="1507"/>
      <c r="N456" s="1507"/>
      <c r="O456" s="131"/>
      <c r="P456" s="131"/>
      <c r="Q456" s="133"/>
    </row>
    <row r="457" spans="2:17" ht="28.5" customHeight="1">
      <c r="B457" s="1508"/>
      <c r="C457" s="133"/>
      <c r="D457" s="153"/>
      <c r="E457" s="153"/>
      <c r="F457" s="1507"/>
      <c r="G457" s="1507"/>
      <c r="H457" s="1507"/>
      <c r="I457" s="1507"/>
      <c r="J457" s="1507"/>
      <c r="K457" s="1507"/>
      <c r="L457" s="1507"/>
      <c r="M457" s="1507"/>
      <c r="N457" s="1507"/>
      <c r="O457" s="131"/>
      <c r="P457" s="131"/>
      <c r="Q457" s="133"/>
    </row>
    <row r="458" spans="2:17" ht="28.5" customHeight="1">
      <c r="B458" s="1508"/>
      <c r="C458" s="133"/>
      <c r="D458" s="153"/>
      <c r="E458" s="153"/>
      <c r="F458" s="1507"/>
      <c r="G458" s="1507"/>
      <c r="H458" s="1507"/>
      <c r="I458" s="1507"/>
      <c r="J458" s="1507"/>
      <c r="K458" s="1507"/>
      <c r="L458" s="1507"/>
      <c r="M458" s="1507"/>
      <c r="N458" s="1507"/>
      <c r="O458" s="131"/>
      <c r="P458" s="131"/>
      <c r="Q458" s="133"/>
    </row>
    <row r="459" spans="2:17" ht="28.5" customHeight="1">
      <c r="B459" s="1508"/>
      <c r="C459" s="133"/>
      <c r="D459" s="153"/>
      <c r="E459" s="153"/>
      <c r="F459" s="1507"/>
      <c r="G459" s="1507"/>
      <c r="H459" s="1507"/>
      <c r="I459" s="1507"/>
      <c r="J459" s="1507"/>
      <c r="K459" s="1507"/>
      <c r="L459" s="1507"/>
      <c r="M459" s="1507"/>
      <c r="N459" s="1507"/>
      <c r="O459" s="131"/>
      <c r="P459" s="131"/>
      <c r="Q459" s="133"/>
    </row>
    <row r="460" spans="2:17" ht="28.5" customHeight="1">
      <c r="B460" s="1508"/>
      <c r="C460" s="133"/>
      <c r="D460" s="153"/>
      <c r="E460" s="153"/>
      <c r="F460" s="1507"/>
      <c r="G460" s="1507"/>
      <c r="H460" s="1507"/>
      <c r="I460" s="1507"/>
      <c r="J460" s="1507"/>
      <c r="K460" s="1507"/>
      <c r="L460" s="1507"/>
      <c r="M460" s="1507"/>
      <c r="N460" s="1507"/>
      <c r="O460" s="131"/>
      <c r="P460" s="131"/>
      <c r="Q460" s="153"/>
    </row>
    <row r="461" spans="2:17" ht="28.5" customHeight="1">
      <c r="B461" s="1508"/>
      <c r="C461" s="133"/>
      <c r="D461" s="153"/>
      <c r="E461" s="153"/>
      <c r="F461" s="1507"/>
      <c r="G461" s="1507"/>
      <c r="H461" s="1507"/>
      <c r="I461" s="1507"/>
      <c r="J461" s="1507"/>
      <c r="K461" s="1507"/>
      <c r="L461" s="1507"/>
      <c r="M461" s="1507"/>
      <c r="N461" s="1507"/>
      <c r="O461" s="131"/>
      <c r="P461" s="131"/>
      <c r="Q461" s="153"/>
    </row>
    <row r="462" spans="2:17" ht="28.5" customHeight="1">
      <c r="B462" s="1508"/>
      <c r="C462" s="133"/>
      <c r="D462" s="153"/>
      <c r="E462" s="153"/>
      <c r="F462" s="1507"/>
      <c r="G462" s="1507"/>
      <c r="H462" s="1507"/>
      <c r="I462" s="1507"/>
      <c r="J462" s="1507"/>
      <c r="K462" s="1507"/>
      <c r="L462" s="1507"/>
      <c r="M462" s="1507"/>
      <c r="N462" s="1507"/>
      <c r="O462" s="131"/>
      <c r="P462" s="131"/>
      <c r="Q462" s="153"/>
    </row>
    <row r="463" spans="2:17" ht="28.5" customHeight="1">
      <c r="B463" s="1508"/>
      <c r="C463" s="133"/>
      <c r="D463" s="153"/>
      <c r="E463" s="153"/>
      <c r="F463" s="1507"/>
      <c r="G463" s="1507"/>
      <c r="H463" s="1507"/>
      <c r="I463" s="1507"/>
      <c r="J463" s="1507"/>
      <c r="K463" s="1507"/>
      <c r="L463" s="1507"/>
      <c r="M463" s="1507"/>
      <c r="N463" s="1507"/>
      <c r="O463" s="131"/>
      <c r="P463" s="131"/>
      <c r="Q463" s="153"/>
    </row>
    <row r="464" spans="2:17" ht="28.5" customHeight="1">
      <c r="B464" s="1508"/>
      <c r="C464" s="133"/>
      <c r="D464" s="153"/>
      <c r="E464" s="153"/>
      <c r="F464" s="1507"/>
      <c r="G464" s="1507"/>
      <c r="H464" s="1507"/>
      <c r="I464" s="1507"/>
      <c r="J464" s="1507"/>
      <c r="K464" s="1507"/>
      <c r="L464" s="1507"/>
      <c r="M464" s="1507"/>
      <c r="N464" s="1507"/>
      <c r="O464" s="131"/>
      <c r="P464" s="131"/>
      <c r="Q464" s="153"/>
    </row>
    <row r="465" spans="2:19" ht="28.5" customHeight="1">
      <c r="B465" s="1508"/>
      <c r="C465" s="133"/>
      <c r="D465" s="153"/>
      <c r="E465" s="153"/>
      <c r="F465" s="1507"/>
      <c r="G465" s="1507"/>
      <c r="H465" s="1507"/>
      <c r="I465" s="1507"/>
      <c r="J465" s="1507"/>
      <c r="K465" s="1507"/>
      <c r="L465" s="1507"/>
      <c r="M465" s="1507"/>
      <c r="N465" s="1507"/>
      <c r="O465" s="131"/>
      <c r="P465" s="131"/>
      <c r="Q465" s="153"/>
    </row>
    <row r="466" spans="2:19" ht="28.5" customHeight="1">
      <c r="B466" s="1508"/>
      <c r="C466" s="133"/>
      <c r="D466" s="153"/>
      <c r="E466" s="153"/>
      <c r="F466" s="1507"/>
      <c r="G466" s="1507"/>
      <c r="H466" s="1507"/>
      <c r="I466" s="1507"/>
      <c r="J466" s="1507"/>
      <c r="K466" s="1507"/>
      <c r="L466" s="1507"/>
      <c r="M466" s="1507"/>
      <c r="N466" s="1507"/>
      <c r="O466" s="131"/>
      <c r="P466" s="131"/>
      <c r="Q466" s="153"/>
    </row>
    <row r="467" spans="2:19" ht="28.5" customHeight="1">
      <c r="B467" s="1508"/>
      <c r="C467" s="133"/>
      <c r="D467" s="153"/>
      <c r="E467" s="153"/>
      <c r="F467" s="1507"/>
      <c r="G467" s="1507"/>
      <c r="H467" s="1507"/>
      <c r="I467" s="1507"/>
      <c r="J467" s="1507"/>
      <c r="K467" s="1507"/>
      <c r="L467" s="1507"/>
      <c r="M467" s="1507"/>
      <c r="N467" s="1507"/>
      <c r="O467" s="131"/>
      <c r="P467" s="131"/>
      <c r="Q467" s="153"/>
    </row>
    <row r="468" spans="2:19" ht="28.5" customHeight="1">
      <c r="B468" s="1508"/>
      <c r="C468" s="133"/>
      <c r="D468" s="153"/>
      <c r="E468" s="153"/>
      <c r="F468" s="1507"/>
      <c r="G468" s="1507"/>
      <c r="H468" s="1507"/>
      <c r="I468" s="1507"/>
      <c r="J468" s="1507"/>
      <c r="K468" s="1507"/>
      <c r="L468" s="1507"/>
      <c r="M468" s="1507"/>
      <c r="N468" s="1507"/>
      <c r="O468" s="131"/>
      <c r="P468" s="131"/>
      <c r="Q468" s="153"/>
    </row>
    <row r="469" spans="2:19" ht="28.5" customHeight="1">
      <c r="B469" s="1508"/>
      <c r="C469" s="133"/>
      <c r="D469" s="153"/>
      <c r="E469" s="153"/>
      <c r="F469" s="1507"/>
      <c r="G469" s="1507"/>
      <c r="H469" s="1507"/>
      <c r="I469" s="1507"/>
      <c r="J469" s="1507"/>
      <c r="K469" s="1507"/>
      <c r="L469" s="1507"/>
      <c r="M469" s="1507"/>
      <c r="N469" s="1507"/>
      <c r="O469" s="131"/>
      <c r="P469" s="131"/>
      <c r="Q469" s="153"/>
    </row>
    <row r="470" spans="2:19" ht="28.5" customHeight="1">
      <c r="B470" s="1508"/>
      <c r="C470" s="133"/>
      <c r="D470" s="153"/>
      <c r="E470" s="153"/>
      <c r="F470" s="1507"/>
      <c r="G470" s="1507"/>
      <c r="H470" s="1507"/>
      <c r="I470" s="1507"/>
      <c r="J470" s="1507"/>
      <c r="K470" s="1507"/>
      <c r="L470" s="1507"/>
      <c r="M470" s="1507"/>
      <c r="N470" s="1507"/>
      <c r="O470" s="131"/>
      <c r="P470" s="131"/>
      <c r="Q470" s="153"/>
    </row>
    <row r="471" spans="2:19" ht="28.5" customHeight="1">
      <c r="B471" s="1508"/>
      <c r="C471" s="133"/>
      <c r="D471" s="153"/>
      <c r="E471" s="153"/>
      <c r="F471" s="1507"/>
      <c r="G471" s="1507"/>
      <c r="H471" s="1507"/>
      <c r="I471" s="1507"/>
      <c r="J471" s="1507"/>
      <c r="K471" s="1507"/>
      <c r="L471" s="1507"/>
      <c r="M471" s="1507"/>
      <c r="N471" s="1507"/>
      <c r="O471" s="131"/>
      <c r="P471" s="131"/>
      <c r="Q471" s="153"/>
    </row>
    <row r="472" spans="2:19" ht="28.5" customHeight="1">
      <c r="B472" s="1508"/>
      <c r="C472" s="133"/>
      <c r="D472" s="153"/>
      <c r="E472" s="153"/>
      <c r="F472" s="1507"/>
      <c r="G472" s="1507"/>
      <c r="H472" s="1507"/>
      <c r="I472" s="1507"/>
      <c r="J472" s="1507"/>
      <c r="K472" s="1507"/>
      <c r="L472" s="1507"/>
      <c r="M472" s="1507"/>
      <c r="N472" s="1507"/>
      <c r="O472" s="131"/>
      <c r="P472" s="131"/>
      <c r="Q472" s="153"/>
    </row>
    <row r="473" spans="2:19" ht="28.5" customHeight="1">
      <c r="B473" s="1508"/>
      <c r="C473" s="133"/>
      <c r="D473" s="153"/>
      <c r="E473" s="153"/>
      <c r="F473" s="1507"/>
      <c r="G473" s="1507"/>
      <c r="H473" s="1507"/>
      <c r="I473" s="1507"/>
      <c r="J473" s="1507"/>
      <c r="K473" s="1507"/>
      <c r="L473" s="1507"/>
      <c r="M473" s="1507"/>
      <c r="N473" s="1507"/>
      <c r="O473" s="131"/>
      <c r="P473" s="131"/>
      <c r="Q473" s="153"/>
    </row>
    <row r="474" spans="2:19" ht="24" customHeight="1">
      <c r="B474" s="1580"/>
      <c r="C474" s="1580"/>
      <c r="D474" s="1580"/>
      <c r="E474" s="1580"/>
      <c r="F474" s="1580"/>
      <c r="G474" s="1580"/>
      <c r="H474" s="1580"/>
      <c r="I474" s="1581"/>
      <c r="J474" s="1581"/>
      <c r="K474" s="1581"/>
      <c r="L474" s="1581"/>
      <c r="M474" s="1581"/>
      <c r="N474" s="1581"/>
      <c r="O474" s="1581"/>
      <c r="P474" s="872"/>
      <c r="Q474" s="156"/>
      <c r="R474" s="128"/>
    </row>
    <row r="475" spans="2:19" ht="24" customHeight="1">
      <c r="B475" s="1580"/>
      <c r="C475" s="1580"/>
      <c r="D475" s="1580"/>
      <c r="E475" s="1580"/>
      <c r="F475" s="1580"/>
      <c r="G475" s="1580"/>
      <c r="H475" s="1580"/>
      <c r="I475" s="1581"/>
      <c r="J475" s="1581"/>
      <c r="K475" s="1581"/>
      <c r="L475" s="1581"/>
      <c r="M475" s="1581"/>
      <c r="N475" s="1581"/>
      <c r="O475" s="1581"/>
      <c r="P475" s="872"/>
      <c r="Q475" s="156"/>
      <c r="R475" s="128"/>
    </row>
    <row r="476" spans="2:19" ht="27.95" customHeight="1">
      <c r="B476" s="1572"/>
      <c r="C476" s="1572"/>
      <c r="D476" s="1572"/>
      <c r="E476" s="1572"/>
      <c r="F476" s="1572"/>
      <c r="G476" s="1572"/>
      <c r="H476" s="1572"/>
      <c r="I476" s="1572"/>
      <c r="J476" s="1572"/>
      <c r="K476" s="1572"/>
      <c r="L476" s="1572"/>
      <c r="M476" s="1572"/>
      <c r="N476" s="1572"/>
      <c r="O476" s="1572"/>
      <c r="P476" s="866"/>
      <c r="Q476" s="153"/>
    </row>
    <row r="477" spans="2:19" ht="27.95" customHeight="1">
      <c r="B477" s="1511"/>
      <c r="C477" s="1511"/>
      <c r="D477" s="1511"/>
      <c r="E477" s="1511"/>
      <c r="F477" s="1511"/>
      <c r="G477" s="1511"/>
      <c r="H477" s="1511"/>
      <c r="I477" s="1511"/>
      <c r="J477" s="1511"/>
      <c r="K477" s="1511"/>
      <c r="L477" s="1511"/>
      <c r="M477" s="1511"/>
      <c r="N477" s="1511"/>
      <c r="O477" s="1511"/>
      <c r="P477" s="849"/>
      <c r="Q477" s="153"/>
    </row>
    <row r="478" spans="2:19" ht="27.95" customHeight="1">
      <c r="B478" s="1511"/>
      <c r="C478" s="1511"/>
      <c r="D478" s="1511"/>
      <c r="E478" s="1511"/>
      <c r="F478" s="1511"/>
      <c r="G478" s="1511"/>
      <c r="H478" s="1511"/>
      <c r="I478" s="1511"/>
      <c r="J478" s="1511"/>
      <c r="K478" s="1511"/>
      <c r="L478" s="1511"/>
      <c r="M478" s="1511"/>
      <c r="N478" s="1511"/>
      <c r="O478" s="1511"/>
      <c r="P478" s="849"/>
      <c r="Q478" s="153"/>
    </row>
    <row r="479" spans="2:19" ht="27.95" customHeight="1">
      <c r="B479" s="1519"/>
      <c r="C479" s="1519"/>
      <c r="D479" s="1519"/>
      <c r="E479" s="1519"/>
      <c r="F479" s="1519"/>
      <c r="G479" s="1519"/>
      <c r="H479" s="1519"/>
      <c r="I479" s="1577"/>
      <c r="J479" s="1577"/>
      <c r="K479" s="1577"/>
      <c r="L479" s="1577"/>
      <c r="M479" s="1577"/>
      <c r="N479" s="1577"/>
      <c r="O479" s="1519"/>
      <c r="P479" s="850"/>
      <c r="Q479" s="153"/>
    </row>
    <row r="480" spans="2:19" ht="27.95" customHeight="1">
      <c r="B480" s="1519"/>
      <c r="C480" s="133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19"/>
      <c r="P480" s="850"/>
      <c r="Q480" s="153"/>
      <c r="S480" s="132">
        <f>F483+G483</f>
        <v>0</v>
      </c>
    </row>
    <row r="481" spans="2:21" ht="27.95" customHeight="1">
      <c r="B481" s="1519"/>
      <c r="C481" s="133"/>
      <c r="D481" s="154"/>
      <c r="E481" s="154"/>
      <c r="F481" s="154"/>
      <c r="G481" s="154"/>
      <c r="H481" s="152"/>
      <c r="I481" s="154"/>
      <c r="J481" s="154"/>
      <c r="K481" s="152"/>
      <c r="L481" s="154"/>
      <c r="M481" s="154"/>
      <c r="N481" s="152"/>
      <c r="O481" s="1519"/>
      <c r="P481" s="850"/>
      <c r="Q481" s="153"/>
    </row>
    <row r="482" spans="2:21" ht="27.95" customHeight="1">
      <c r="B482" s="1519"/>
      <c r="C482" s="133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19"/>
      <c r="P482" s="850"/>
      <c r="Q482" s="153"/>
      <c r="U482" s="132">
        <f>F483+G483</f>
        <v>0</v>
      </c>
    </row>
    <row r="483" spans="2:21" ht="33.950000000000003" customHeight="1">
      <c r="B483" s="157"/>
      <c r="C483" s="13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848"/>
      <c r="Q483" s="153"/>
      <c r="S483" s="132">
        <f>F483+G483</f>
        <v>0</v>
      </c>
    </row>
    <row r="484" spans="2:21" ht="33.950000000000003" customHeight="1">
      <c r="B484" s="1508"/>
      <c r="C484" s="133"/>
      <c r="D484" s="153"/>
      <c r="E484" s="153"/>
      <c r="F484" s="1507"/>
      <c r="G484" s="1507"/>
      <c r="H484" s="1507"/>
      <c r="I484" s="1507"/>
      <c r="J484" s="1507"/>
      <c r="K484" s="1507"/>
      <c r="L484" s="1507"/>
      <c r="M484" s="1507"/>
      <c r="N484" s="1507"/>
      <c r="O484" s="131"/>
      <c r="P484" s="131"/>
      <c r="Q484" s="153"/>
      <c r="R484" s="131"/>
      <c r="S484" s="131"/>
      <c r="T484" s="131"/>
    </row>
    <row r="485" spans="2:21" ht="33.950000000000003" customHeight="1">
      <c r="B485" s="1508"/>
      <c r="C485" s="133"/>
      <c r="D485" s="153"/>
      <c r="E485" s="153"/>
      <c r="F485" s="1507"/>
      <c r="G485" s="1507"/>
      <c r="H485" s="1507"/>
      <c r="I485" s="1507"/>
      <c r="J485" s="1507"/>
      <c r="K485" s="1507"/>
      <c r="L485" s="1507"/>
      <c r="M485" s="1507"/>
      <c r="N485" s="1507"/>
      <c r="O485" s="131"/>
      <c r="P485" s="131"/>
      <c r="Q485" s="153"/>
      <c r="R485" s="131"/>
      <c r="S485" s="131"/>
      <c r="T485" s="131"/>
    </row>
    <row r="486" spans="2:21" ht="33.950000000000003" customHeight="1">
      <c r="B486" s="1508"/>
      <c r="C486" s="133"/>
      <c r="D486" s="153"/>
      <c r="E486" s="153"/>
      <c r="F486" s="1507"/>
      <c r="G486" s="1507"/>
      <c r="H486" s="1507"/>
      <c r="I486" s="1507"/>
      <c r="J486" s="1507"/>
      <c r="K486" s="1507"/>
      <c r="L486" s="1507"/>
      <c r="M486" s="1507"/>
      <c r="N486" s="1507"/>
      <c r="O486" s="153"/>
      <c r="P486" s="848"/>
      <c r="Q486" s="153"/>
      <c r="S486" s="132">
        <f>F483+G483</f>
        <v>0</v>
      </c>
    </row>
    <row r="487" spans="2:21" ht="33.950000000000003" customHeight="1">
      <c r="B487" s="1508"/>
      <c r="C487" s="133"/>
      <c r="D487" s="153"/>
      <c r="E487" s="153"/>
      <c r="F487" s="1507"/>
      <c r="G487" s="1507"/>
      <c r="H487" s="1507"/>
      <c r="I487" s="1507"/>
      <c r="J487" s="1507"/>
      <c r="K487" s="1507"/>
      <c r="L487" s="1507"/>
      <c r="M487" s="1507"/>
      <c r="N487" s="1507"/>
      <c r="O487" s="153"/>
      <c r="P487" s="848"/>
      <c r="Q487" s="153"/>
    </row>
    <row r="488" spans="2:21" ht="33.950000000000003" customHeight="1">
      <c r="B488" s="1508"/>
      <c r="C488" s="133"/>
      <c r="D488" s="153"/>
      <c r="E488" s="153"/>
      <c r="F488" s="1507"/>
      <c r="G488" s="1507"/>
      <c r="H488" s="1507"/>
      <c r="I488" s="1507"/>
      <c r="J488" s="1507"/>
      <c r="K488" s="1507"/>
      <c r="L488" s="1507"/>
      <c r="M488" s="1507"/>
      <c r="N488" s="1507"/>
      <c r="O488" s="153"/>
      <c r="P488" s="848"/>
      <c r="Q488" s="133"/>
    </row>
    <row r="489" spans="2:21" ht="33.950000000000003" customHeight="1">
      <c r="B489" s="1508"/>
      <c r="C489" s="133"/>
      <c r="D489" s="153"/>
      <c r="E489" s="153"/>
      <c r="F489" s="1507"/>
      <c r="G489" s="1507"/>
      <c r="H489" s="1507"/>
      <c r="I489" s="1507"/>
      <c r="J489" s="1507"/>
      <c r="K489" s="1507"/>
      <c r="L489" s="1507"/>
      <c r="M489" s="1507"/>
      <c r="N489" s="1507"/>
      <c r="O489" s="153"/>
      <c r="P489" s="848"/>
      <c r="Q489" s="133"/>
    </row>
    <row r="490" spans="2:21" ht="33.950000000000003" customHeight="1">
      <c r="B490" s="1508"/>
      <c r="C490" s="133"/>
      <c r="D490" s="153"/>
      <c r="E490" s="153"/>
      <c r="F490" s="1507"/>
      <c r="G490" s="1507"/>
      <c r="H490" s="1507"/>
      <c r="I490" s="1507"/>
      <c r="J490" s="1507"/>
      <c r="K490" s="1507"/>
      <c r="L490" s="1507"/>
      <c r="M490" s="1507"/>
      <c r="N490" s="1507"/>
      <c r="O490" s="153"/>
      <c r="P490" s="848"/>
      <c r="Q490" s="133"/>
    </row>
    <row r="491" spans="2:21" ht="33.950000000000003" customHeight="1">
      <c r="B491" s="1508"/>
      <c r="C491" s="133"/>
      <c r="D491" s="153"/>
      <c r="E491" s="153"/>
      <c r="F491" s="1507"/>
      <c r="G491" s="1507"/>
      <c r="H491" s="1507"/>
      <c r="I491" s="1507"/>
      <c r="J491" s="1507"/>
      <c r="K491" s="1507"/>
      <c r="L491" s="1507"/>
      <c r="M491" s="1507"/>
      <c r="N491" s="1507"/>
      <c r="O491" s="153"/>
      <c r="P491" s="848"/>
      <c r="Q491" s="133"/>
    </row>
    <row r="492" spans="2:21" ht="33.950000000000003" customHeight="1">
      <c r="B492" s="1508"/>
      <c r="C492" s="133"/>
      <c r="D492" s="153"/>
      <c r="E492" s="153"/>
      <c r="F492" s="1507"/>
      <c r="G492" s="1507"/>
      <c r="H492" s="1507"/>
      <c r="I492" s="1507"/>
      <c r="J492" s="1507"/>
      <c r="K492" s="1507"/>
      <c r="L492" s="1507"/>
      <c r="M492" s="1507"/>
      <c r="N492" s="1507"/>
      <c r="O492" s="153"/>
      <c r="P492" s="848"/>
      <c r="Q492" s="133"/>
      <c r="R492" s="131"/>
    </row>
    <row r="493" spans="2:21" ht="33.950000000000003" customHeight="1">
      <c r="B493" s="1508"/>
      <c r="C493" s="133"/>
      <c r="D493" s="153"/>
      <c r="E493" s="153"/>
      <c r="F493" s="1507"/>
      <c r="G493" s="1507"/>
      <c r="H493" s="1507"/>
      <c r="I493" s="1507"/>
      <c r="J493" s="1507"/>
      <c r="K493" s="1507"/>
      <c r="L493" s="1507"/>
      <c r="M493" s="1507"/>
      <c r="N493" s="1507"/>
      <c r="O493" s="153"/>
      <c r="P493" s="848"/>
      <c r="Q493" s="133"/>
      <c r="R493" s="131"/>
      <c r="S493" s="132">
        <v>2300</v>
      </c>
    </row>
    <row r="494" spans="2:21" ht="33.950000000000003" customHeight="1">
      <c r="B494" s="1508"/>
      <c r="C494" s="133"/>
      <c r="D494" s="153"/>
      <c r="E494" s="153"/>
      <c r="F494" s="1507"/>
      <c r="G494" s="1507"/>
      <c r="H494" s="1507"/>
      <c r="I494" s="1507"/>
      <c r="J494" s="1507"/>
      <c r="K494" s="1507"/>
      <c r="L494" s="1507"/>
      <c r="M494" s="1507"/>
      <c r="N494" s="1507"/>
      <c r="O494" s="131"/>
      <c r="P494" s="131"/>
      <c r="Q494" s="133"/>
      <c r="R494" s="131"/>
      <c r="S494" s="132">
        <v>738</v>
      </c>
    </row>
    <row r="495" spans="2:21" ht="33.950000000000003" customHeight="1">
      <c r="B495" s="1508"/>
      <c r="C495" s="133"/>
      <c r="D495" s="153"/>
      <c r="E495" s="153"/>
      <c r="F495" s="1507"/>
      <c r="G495" s="1507"/>
      <c r="H495" s="1507"/>
      <c r="I495" s="1507"/>
      <c r="J495" s="1507"/>
      <c r="K495" s="1507"/>
      <c r="L495" s="1507"/>
      <c r="M495" s="1507"/>
      <c r="N495" s="1507"/>
      <c r="O495" s="131"/>
      <c r="P495" s="131"/>
      <c r="Q495" s="133"/>
      <c r="R495" s="131"/>
      <c r="S495" s="132">
        <f>S493-S494</f>
        <v>1562</v>
      </c>
    </row>
    <row r="496" spans="2:21" ht="33.950000000000003" customHeight="1">
      <c r="B496" s="1508"/>
      <c r="C496" s="133"/>
      <c r="D496" s="153"/>
      <c r="E496" s="153"/>
      <c r="F496" s="1507"/>
      <c r="G496" s="1507"/>
      <c r="H496" s="1507"/>
      <c r="I496" s="1507"/>
      <c r="J496" s="1507"/>
      <c r="K496" s="1507"/>
      <c r="L496" s="1507"/>
      <c r="M496" s="1507"/>
      <c r="N496" s="1507"/>
      <c r="O496" s="153"/>
      <c r="P496" s="848"/>
      <c r="Q496" s="133"/>
    </row>
    <row r="497" spans="2:18" ht="33.950000000000003" customHeight="1">
      <c r="B497" s="1508"/>
      <c r="C497" s="133"/>
      <c r="D497" s="153"/>
      <c r="E497" s="153"/>
      <c r="F497" s="1507"/>
      <c r="G497" s="1507"/>
      <c r="H497" s="1507"/>
      <c r="I497" s="1507"/>
      <c r="J497" s="1507"/>
      <c r="K497" s="1507"/>
      <c r="L497" s="1507"/>
      <c r="M497" s="1507"/>
      <c r="N497" s="1507"/>
      <c r="O497" s="153"/>
      <c r="P497" s="848"/>
      <c r="Q497" s="133"/>
    </row>
    <row r="498" spans="2:18" ht="33.950000000000003" customHeight="1">
      <c r="B498" s="1508"/>
      <c r="C498" s="133"/>
      <c r="D498" s="153"/>
      <c r="E498" s="153"/>
      <c r="F498" s="1507"/>
      <c r="G498" s="1507"/>
      <c r="H498" s="1507"/>
      <c r="I498" s="1507"/>
      <c r="J498" s="1507"/>
      <c r="K498" s="1507"/>
      <c r="L498" s="1507"/>
      <c r="M498" s="1507"/>
      <c r="N498" s="1507"/>
      <c r="O498" s="153"/>
      <c r="P498" s="848"/>
      <c r="Q498" s="133"/>
    </row>
    <row r="499" spans="2:18" ht="33.950000000000003" customHeight="1">
      <c r="B499" s="1508"/>
      <c r="C499" s="133"/>
      <c r="D499" s="153"/>
      <c r="E499" s="153"/>
      <c r="F499" s="1507"/>
      <c r="G499" s="1507"/>
      <c r="H499" s="1507"/>
      <c r="I499" s="1507"/>
      <c r="J499" s="1507"/>
      <c r="K499" s="1507"/>
      <c r="L499" s="1507"/>
      <c r="M499" s="1507"/>
      <c r="N499" s="1507"/>
      <c r="O499" s="153"/>
      <c r="P499" s="848"/>
      <c r="Q499" s="133"/>
    </row>
    <row r="500" spans="2:18" ht="33.950000000000003" customHeight="1">
      <c r="B500" s="1508"/>
      <c r="C500" s="133"/>
      <c r="D500" s="153"/>
      <c r="E500" s="153"/>
      <c r="F500" s="1507"/>
      <c r="G500" s="1507"/>
      <c r="H500" s="1507"/>
      <c r="I500" s="1507"/>
      <c r="J500" s="1507"/>
      <c r="K500" s="1507"/>
      <c r="L500" s="1507"/>
      <c r="M500" s="1507"/>
      <c r="N500" s="1507"/>
      <c r="O500" s="153"/>
      <c r="P500" s="848"/>
      <c r="Q500" s="133"/>
    </row>
    <row r="501" spans="2:18" ht="33.950000000000003" customHeight="1">
      <c r="B501" s="1508"/>
      <c r="C501" s="133"/>
      <c r="D501" s="153"/>
      <c r="E501" s="153"/>
      <c r="F501" s="1507"/>
      <c r="G501" s="1507"/>
      <c r="H501" s="1507"/>
      <c r="I501" s="1507"/>
      <c r="J501" s="1507"/>
      <c r="K501" s="1507"/>
      <c r="L501" s="1507"/>
      <c r="M501" s="1507"/>
      <c r="N501" s="1507"/>
      <c r="O501" s="153"/>
      <c r="P501" s="848"/>
      <c r="Q501" s="133"/>
    </row>
    <row r="502" spans="2:18" ht="33.950000000000003" customHeight="1">
      <c r="B502" s="1508"/>
      <c r="C502" s="133"/>
      <c r="D502" s="153"/>
      <c r="E502" s="153"/>
      <c r="F502" s="1507"/>
      <c r="G502" s="1507"/>
      <c r="H502" s="1507"/>
      <c r="I502" s="1507"/>
      <c r="J502" s="1507"/>
      <c r="K502" s="1507"/>
      <c r="L502" s="1507"/>
      <c r="M502" s="1507"/>
      <c r="N502" s="1507"/>
      <c r="O502" s="153"/>
      <c r="P502" s="848"/>
      <c r="Q502" s="133"/>
    </row>
    <row r="503" spans="2:18" ht="33.950000000000003" customHeight="1">
      <c r="B503" s="1508"/>
      <c r="C503" s="133"/>
      <c r="D503" s="153"/>
      <c r="E503" s="153"/>
      <c r="F503" s="1507"/>
      <c r="G503" s="1507"/>
      <c r="H503" s="1507"/>
      <c r="I503" s="1507"/>
      <c r="J503" s="1507"/>
      <c r="K503" s="1507"/>
      <c r="L503" s="1507"/>
      <c r="M503" s="1507"/>
      <c r="N503" s="1507"/>
      <c r="O503" s="153"/>
      <c r="P503" s="848"/>
      <c r="Q503" s="133"/>
    </row>
    <row r="504" spans="2:18" ht="33.950000000000003" customHeight="1">
      <c r="B504" s="1508"/>
      <c r="C504" s="133"/>
      <c r="D504" s="154"/>
      <c r="E504" s="154"/>
      <c r="F504" s="1582"/>
      <c r="G504" s="1582"/>
      <c r="H504" s="1507"/>
      <c r="I504" s="1507"/>
      <c r="J504" s="1507"/>
      <c r="K504" s="1507"/>
      <c r="L504" s="1507"/>
      <c r="M504" s="1507"/>
      <c r="N504" s="1507"/>
      <c r="O504" s="153"/>
      <c r="P504" s="848"/>
      <c r="Q504" s="133"/>
      <c r="R504" s="133"/>
    </row>
    <row r="505" spans="2:18" ht="33.950000000000003" customHeight="1">
      <c r="B505" s="1508"/>
      <c r="C505" s="133"/>
      <c r="D505" s="154"/>
      <c r="E505" s="154"/>
      <c r="F505" s="1582"/>
      <c r="G505" s="1582"/>
      <c r="H505" s="1507"/>
      <c r="I505" s="1507"/>
      <c r="J505" s="1507"/>
      <c r="K505" s="1507"/>
      <c r="L505" s="1507"/>
      <c r="M505" s="1507"/>
      <c r="N505" s="1507"/>
      <c r="O505" s="153"/>
      <c r="P505" s="848"/>
      <c r="Q505" s="133"/>
      <c r="R505" s="141"/>
    </row>
    <row r="506" spans="2:18" ht="33.950000000000003" customHeight="1">
      <c r="B506" s="1582"/>
      <c r="C506" s="133"/>
      <c r="D506" s="154"/>
      <c r="E506" s="154"/>
      <c r="F506" s="1582"/>
      <c r="G506" s="1582"/>
      <c r="H506" s="1507"/>
      <c r="I506" s="1582"/>
      <c r="J506" s="1582"/>
      <c r="K506" s="1582"/>
      <c r="L506" s="1582"/>
      <c r="M506" s="1582"/>
      <c r="N506" s="1582"/>
      <c r="O506" s="153"/>
      <c r="P506" s="848"/>
      <c r="Q506" s="133"/>
      <c r="R506" s="141"/>
    </row>
    <row r="507" spans="2:18" ht="33.950000000000003" customHeight="1">
      <c r="B507" s="1582"/>
      <c r="C507" s="133"/>
      <c r="D507" s="154"/>
      <c r="E507" s="154"/>
      <c r="F507" s="1582"/>
      <c r="G507" s="1582"/>
      <c r="H507" s="1507"/>
      <c r="I507" s="1582"/>
      <c r="J507" s="1582"/>
      <c r="K507" s="1582"/>
      <c r="L507" s="1582"/>
      <c r="M507" s="1582"/>
      <c r="N507" s="1582"/>
      <c r="O507" s="153"/>
      <c r="P507" s="848"/>
      <c r="Q507" s="133"/>
      <c r="R507" s="141"/>
    </row>
    <row r="508" spans="2:18" ht="33.950000000000003" customHeight="1">
      <c r="B508" s="1508"/>
      <c r="C508" s="133"/>
      <c r="D508" s="153"/>
      <c r="E508" s="153"/>
      <c r="F508" s="1507"/>
      <c r="G508" s="1507"/>
      <c r="H508" s="1507"/>
      <c r="I508" s="1507"/>
      <c r="J508" s="1507"/>
      <c r="K508" s="1507"/>
      <c r="L508" s="1507"/>
      <c r="M508" s="1507"/>
      <c r="N508" s="1507"/>
      <c r="O508" s="153"/>
      <c r="P508" s="848"/>
      <c r="Q508" s="133"/>
      <c r="R508" s="141"/>
    </row>
    <row r="509" spans="2:18" ht="33.950000000000003" customHeight="1">
      <c r="B509" s="1508"/>
      <c r="C509" s="133"/>
      <c r="D509" s="153"/>
      <c r="E509" s="153"/>
      <c r="F509" s="1507"/>
      <c r="G509" s="1507"/>
      <c r="H509" s="1507"/>
      <c r="I509" s="1507"/>
      <c r="J509" s="1507"/>
      <c r="K509" s="1507"/>
      <c r="L509" s="1507"/>
      <c r="M509" s="1507"/>
      <c r="N509" s="1507"/>
      <c r="O509" s="153"/>
      <c r="P509" s="848"/>
      <c r="Q509" s="133"/>
      <c r="R509" s="141"/>
    </row>
    <row r="510" spans="2:18" ht="33.950000000000003" customHeight="1">
      <c r="B510" s="1583"/>
      <c r="C510" s="133"/>
      <c r="D510" s="155"/>
      <c r="E510" s="155"/>
      <c r="F510" s="1569"/>
      <c r="G510" s="1569"/>
      <c r="H510" s="1507"/>
      <c r="I510" s="1569"/>
      <c r="J510" s="1569"/>
      <c r="K510" s="1569"/>
      <c r="L510" s="1569"/>
      <c r="M510" s="1569"/>
      <c r="N510" s="1569"/>
      <c r="O510" s="155"/>
      <c r="P510" s="865"/>
      <c r="Q510" s="133"/>
      <c r="R510" s="141"/>
    </row>
    <row r="511" spans="2:18" ht="33.950000000000003" customHeight="1">
      <c r="B511" s="1583"/>
      <c r="C511" s="133"/>
      <c r="D511" s="155"/>
      <c r="E511" s="155"/>
      <c r="F511" s="1569"/>
      <c r="G511" s="1569"/>
      <c r="H511" s="1507"/>
      <c r="I511" s="1569"/>
      <c r="J511" s="1569"/>
      <c r="K511" s="1569"/>
      <c r="L511" s="1569"/>
      <c r="M511" s="1569"/>
      <c r="N511" s="1569"/>
      <c r="O511" s="155"/>
      <c r="P511" s="865"/>
      <c r="Q511" s="133"/>
      <c r="R511" s="141"/>
    </row>
    <row r="512" spans="2:18" ht="33.950000000000003" customHeight="1">
      <c r="B512" s="1582"/>
      <c r="C512" s="133"/>
      <c r="D512" s="154"/>
      <c r="E512" s="154"/>
      <c r="F512" s="1582"/>
      <c r="G512" s="1582"/>
      <c r="H512" s="1507"/>
      <c r="I512" s="1582"/>
      <c r="J512" s="1582"/>
      <c r="K512" s="1582"/>
      <c r="L512" s="1582"/>
      <c r="M512" s="1582"/>
      <c r="N512" s="1582"/>
      <c r="O512" s="153"/>
      <c r="P512" s="848"/>
      <c r="Q512" s="133"/>
      <c r="R512" s="141"/>
    </row>
    <row r="513" spans="2:18" ht="33.950000000000003" customHeight="1">
      <c r="B513" s="1582"/>
      <c r="C513" s="133"/>
      <c r="D513" s="154"/>
      <c r="E513" s="154"/>
      <c r="F513" s="1582"/>
      <c r="G513" s="1582"/>
      <c r="H513" s="1507"/>
      <c r="I513" s="1582"/>
      <c r="J513" s="1582"/>
      <c r="K513" s="1582"/>
      <c r="L513" s="1582"/>
      <c r="M513" s="1582"/>
      <c r="N513" s="1582"/>
      <c r="O513" s="153"/>
      <c r="P513" s="848"/>
      <c r="Q513" s="133"/>
      <c r="R513" s="141"/>
    </row>
    <row r="514" spans="2:18" ht="24.95" customHeight="1">
      <c r="B514" s="1578"/>
      <c r="C514" s="1578"/>
      <c r="D514" s="1578"/>
      <c r="E514" s="1578"/>
      <c r="F514" s="1578"/>
      <c r="G514" s="1578"/>
      <c r="H514" s="1578"/>
      <c r="I514" s="1578"/>
      <c r="J514" s="1488"/>
      <c r="K514" s="1488"/>
      <c r="L514" s="1488"/>
      <c r="M514" s="1488"/>
      <c r="N514" s="1488"/>
      <c r="O514" s="1488"/>
      <c r="P514" s="847"/>
      <c r="Q514" s="133"/>
      <c r="R514" s="141"/>
    </row>
    <row r="515" spans="2:18" ht="24.95" customHeight="1">
      <c r="B515" s="1578"/>
      <c r="C515" s="1578"/>
      <c r="D515" s="1578"/>
      <c r="E515" s="1578"/>
      <c r="F515" s="1578"/>
      <c r="G515" s="1578"/>
      <c r="H515" s="1578"/>
      <c r="I515" s="1578"/>
      <c r="J515" s="1488"/>
      <c r="K515" s="1488"/>
      <c r="L515" s="1488"/>
      <c r="M515" s="1488"/>
      <c r="N515" s="1488"/>
      <c r="O515" s="1488"/>
      <c r="P515" s="847"/>
      <c r="Q515" s="133"/>
      <c r="R515" s="141"/>
    </row>
    <row r="516" spans="2:18" ht="24.95" customHeight="1">
      <c r="B516" s="1519"/>
      <c r="C516" s="1519"/>
      <c r="D516" s="1519"/>
      <c r="E516" s="1519"/>
      <c r="F516" s="1519"/>
      <c r="G516" s="1519"/>
      <c r="H516" s="1519"/>
      <c r="I516" s="1519"/>
      <c r="J516" s="1519"/>
      <c r="K516" s="1519"/>
      <c r="L516" s="1519"/>
      <c r="M516" s="1519"/>
      <c r="N516" s="1519"/>
      <c r="O516" s="1519"/>
      <c r="P516" s="850"/>
      <c r="Q516" s="133"/>
      <c r="R516" s="141"/>
    </row>
    <row r="517" spans="2:18" ht="24.95" customHeight="1">
      <c r="B517" s="1519"/>
      <c r="C517" s="133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19"/>
      <c r="P517" s="850"/>
      <c r="Q517" s="133"/>
      <c r="R517" s="141"/>
    </row>
    <row r="518" spans="2:18" ht="24.95" customHeight="1">
      <c r="B518" s="1519"/>
      <c r="C518" s="133"/>
      <c r="D518" s="154"/>
      <c r="E518" s="154"/>
      <c r="F518" s="154"/>
      <c r="G518" s="154"/>
      <c r="H518" s="152"/>
      <c r="I518" s="154"/>
      <c r="J518" s="154"/>
      <c r="K518" s="152"/>
      <c r="L518" s="154"/>
      <c r="M518" s="154"/>
      <c r="N518" s="152"/>
      <c r="O518" s="1519"/>
      <c r="P518" s="850"/>
      <c r="Q518" s="133"/>
      <c r="R518" s="141"/>
    </row>
    <row r="519" spans="2:18" ht="24.95" customHeight="1">
      <c r="B519" s="1519"/>
      <c r="C519" s="133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19"/>
      <c r="P519" s="850"/>
      <c r="Q519" s="133"/>
      <c r="R519" s="141"/>
    </row>
    <row r="520" spans="2:18" ht="32.1" customHeight="1">
      <c r="B520" s="1508"/>
      <c r="C520" s="133"/>
      <c r="D520" s="153"/>
      <c r="E520" s="153"/>
      <c r="F520" s="1507"/>
      <c r="G520" s="1507"/>
      <c r="H520" s="1507"/>
      <c r="I520" s="1507"/>
      <c r="J520" s="1507"/>
      <c r="K520" s="1507"/>
      <c r="L520" s="1507"/>
      <c r="M520" s="1507"/>
      <c r="N520" s="1507"/>
      <c r="O520" s="153"/>
      <c r="P520" s="848"/>
      <c r="Q520" s="133"/>
      <c r="R520" s="141"/>
    </row>
    <row r="521" spans="2:18" ht="32.1" customHeight="1">
      <c r="B521" s="1508"/>
      <c r="C521" s="133"/>
      <c r="D521" s="153"/>
      <c r="E521" s="153"/>
      <c r="F521" s="1507"/>
      <c r="G521" s="1507"/>
      <c r="H521" s="1507"/>
      <c r="I521" s="1507"/>
      <c r="J521" s="1507"/>
      <c r="K521" s="1507"/>
      <c r="L521" s="1507"/>
      <c r="M521" s="1507"/>
      <c r="N521" s="1507"/>
      <c r="O521" s="153"/>
      <c r="P521" s="848"/>
      <c r="Q521" s="133"/>
      <c r="R521" s="141"/>
    </row>
    <row r="522" spans="2:18" ht="32.1" customHeight="1">
      <c r="B522" s="1508"/>
      <c r="C522" s="133"/>
      <c r="D522" s="153"/>
      <c r="E522" s="153"/>
      <c r="F522" s="1507"/>
      <c r="G522" s="1507"/>
      <c r="H522" s="1507"/>
      <c r="I522" s="1507"/>
      <c r="J522" s="1507"/>
      <c r="K522" s="1507"/>
      <c r="L522" s="1507"/>
      <c r="M522" s="1507"/>
      <c r="N522" s="1507"/>
      <c r="O522" s="153"/>
      <c r="P522" s="848"/>
      <c r="Q522" s="133"/>
      <c r="R522" s="141"/>
    </row>
    <row r="523" spans="2:18" ht="32.1" customHeight="1">
      <c r="B523" s="1508"/>
      <c r="C523" s="133"/>
      <c r="D523" s="153"/>
      <c r="E523" s="153"/>
      <c r="F523" s="1507"/>
      <c r="G523" s="1507"/>
      <c r="H523" s="1507"/>
      <c r="I523" s="1507"/>
      <c r="J523" s="1507"/>
      <c r="K523" s="1507"/>
      <c r="L523" s="1507"/>
      <c r="M523" s="1507"/>
      <c r="N523" s="1507"/>
      <c r="O523" s="153"/>
      <c r="P523" s="848"/>
      <c r="Q523" s="133"/>
      <c r="R523" s="133"/>
    </row>
    <row r="524" spans="2:18" ht="32.1" customHeight="1">
      <c r="B524" s="1508"/>
      <c r="C524" s="133"/>
      <c r="D524" s="153"/>
      <c r="E524" s="153"/>
      <c r="F524" s="1507"/>
      <c r="G524" s="1507"/>
      <c r="H524" s="1507"/>
      <c r="I524" s="1507"/>
      <c r="J524" s="1507"/>
      <c r="K524" s="1507"/>
      <c r="L524" s="1507"/>
      <c r="M524" s="1507"/>
      <c r="N524" s="1507"/>
      <c r="O524" s="153"/>
      <c r="P524" s="848"/>
      <c r="Q524" s="133"/>
    </row>
    <row r="525" spans="2:18" ht="32.1" customHeight="1">
      <c r="B525" s="1508"/>
      <c r="C525" s="133"/>
      <c r="D525" s="153"/>
      <c r="E525" s="153"/>
      <c r="F525" s="1507"/>
      <c r="G525" s="1507"/>
      <c r="H525" s="1507"/>
      <c r="I525" s="1507"/>
      <c r="J525" s="1507"/>
      <c r="K525" s="1507"/>
      <c r="L525" s="1507"/>
      <c r="M525" s="1507"/>
      <c r="N525" s="1507"/>
      <c r="O525" s="153"/>
      <c r="P525" s="848"/>
      <c r="Q525" s="133"/>
    </row>
    <row r="526" spans="2:18" ht="32.1" customHeight="1">
      <c r="B526" s="1582"/>
      <c r="C526" s="133"/>
      <c r="D526" s="154"/>
      <c r="E526" s="154"/>
      <c r="F526" s="1582"/>
      <c r="G526" s="1582"/>
      <c r="H526" s="1507"/>
      <c r="I526" s="1507"/>
      <c r="J526" s="1507"/>
      <c r="K526" s="1507"/>
      <c r="L526" s="1507"/>
      <c r="M526" s="1507"/>
      <c r="N526" s="1507"/>
      <c r="O526" s="153"/>
      <c r="P526" s="848"/>
      <c r="Q526" s="133"/>
    </row>
    <row r="527" spans="2:18" ht="32.1" customHeight="1">
      <c r="B527" s="1582"/>
      <c r="C527" s="133"/>
      <c r="D527" s="154"/>
      <c r="E527" s="154"/>
      <c r="F527" s="1582"/>
      <c r="G527" s="1582"/>
      <c r="H527" s="1507"/>
      <c r="I527" s="1507"/>
      <c r="J527" s="1507"/>
      <c r="K527" s="1507"/>
      <c r="L527" s="1507"/>
      <c r="M527" s="1507"/>
      <c r="N527" s="1507"/>
      <c r="O527" s="153"/>
      <c r="P527" s="848"/>
      <c r="Q527" s="133"/>
    </row>
    <row r="528" spans="2:18" ht="32.1" customHeight="1">
      <c r="B528" s="1508"/>
      <c r="C528" s="133"/>
      <c r="D528" s="153"/>
      <c r="E528" s="153"/>
      <c r="F528" s="1507"/>
      <c r="G528" s="1507"/>
      <c r="H528" s="1507"/>
      <c r="I528" s="1507"/>
      <c r="J528" s="1507"/>
      <c r="K528" s="1507"/>
      <c r="L528" s="1507"/>
      <c r="M528" s="1507"/>
      <c r="N528" s="1507"/>
      <c r="O528" s="153"/>
      <c r="P528" s="848"/>
      <c r="Q528" s="133"/>
    </row>
    <row r="529" spans="2:17" ht="32.1" customHeight="1">
      <c r="B529" s="1508"/>
      <c r="C529" s="133"/>
      <c r="D529" s="153"/>
      <c r="E529" s="153"/>
      <c r="F529" s="1507"/>
      <c r="G529" s="1507"/>
      <c r="H529" s="1507"/>
      <c r="I529" s="1507"/>
      <c r="J529" s="1507"/>
      <c r="K529" s="1507"/>
      <c r="L529" s="1507"/>
      <c r="M529" s="1507"/>
      <c r="N529" s="1507"/>
      <c r="O529" s="153"/>
      <c r="P529" s="848"/>
      <c r="Q529" s="133"/>
    </row>
    <row r="530" spans="2:17" ht="32.1" customHeight="1">
      <c r="B530" s="1508"/>
      <c r="C530" s="133"/>
      <c r="D530" s="153"/>
      <c r="E530" s="153"/>
      <c r="F530" s="1507"/>
      <c r="G530" s="1507"/>
      <c r="H530" s="1507"/>
      <c r="I530" s="1507"/>
      <c r="J530" s="1507"/>
      <c r="K530" s="1507"/>
      <c r="L530" s="1507"/>
      <c r="M530" s="1507"/>
      <c r="N530" s="1507"/>
      <c r="O530" s="153"/>
      <c r="P530" s="848"/>
      <c r="Q530" s="133"/>
    </row>
    <row r="531" spans="2:17" ht="32.1" customHeight="1">
      <c r="B531" s="1508"/>
      <c r="C531" s="133"/>
      <c r="D531" s="153"/>
      <c r="E531" s="153"/>
      <c r="F531" s="1507"/>
      <c r="G531" s="1507"/>
      <c r="H531" s="1507"/>
      <c r="I531" s="1507"/>
      <c r="J531" s="1507"/>
      <c r="K531" s="1507"/>
      <c r="L531" s="1507"/>
      <c r="M531" s="1507"/>
      <c r="N531" s="1507"/>
      <c r="O531" s="153"/>
      <c r="P531" s="848"/>
      <c r="Q531" s="133"/>
    </row>
    <row r="532" spans="2:17" ht="32.1" customHeight="1">
      <c r="B532" s="1508"/>
      <c r="C532" s="133"/>
      <c r="D532" s="153"/>
      <c r="E532" s="153"/>
      <c r="F532" s="1507"/>
      <c r="G532" s="1507"/>
      <c r="H532" s="1507"/>
      <c r="I532" s="1507"/>
      <c r="J532" s="1507"/>
      <c r="K532" s="1507"/>
      <c r="L532" s="1507"/>
      <c r="M532" s="1507"/>
      <c r="N532" s="1507"/>
      <c r="O532" s="153"/>
      <c r="P532" s="848"/>
      <c r="Q532" s="133"/>
    </row>
    <row r="533" spans="2:17" ht="32.1" customHeight="1">
      <c r="B533" s="1508"/>
      <c r="C533" s="133"/>
      <c r="D533" s="153"/>
      <c r="E533" s="153"/>
      <c r="F533" s="1507"/>
      <c r="G533" s="1507"/>
      <c r="H533" s="1507"/>
      <c r="I533" s="1507"/>
      <c r="J533" s="1507"/>
      <c r="K533" s="1507"/>
      <c r="L533" s="1507"/>
      <c r="M533" s="1507"/>
      <c r="N533" s="1507"/>
      <c r="O533" s="153"/>
      <c r="P533" s="848"/>
      <c r="Q533" s="133"/>
    </row>
    <row r="534" spans="2:17" ht="32.1" customHeight="1">
      <c r="B534" s="1508"/>
      <c r="C534" s="133"/>
      <c r="D534" s="153"/>
      <c r="E534" s="153"/>
      <c r="F534" s="1507"/>
      <c r="G534" s="1507"/>
      <c r="H534" s="1507"/>
      <c r="I534" s="1507"/>
      <c r="J534" s="1507"/>
      <c r="K534" s="1507"/>
      <c r="L534" s="1507"/>
      <c r="M534" s="1507"/>
      <c r="N534" s="1507"/>
      <c r="O534" s="153"/>
      <c r="P534" s="848"/>
      <c r="Q534" s="133"/>
    </row>
    <row r="535" spans="2:17" ht="32.1" customHeight="1">
      <c r="B535" s="1508"/>
      <c r="C535" s="133"/>
      <c r="D535" s="153"/>
      <c r="E535" s="153"/>
      <c r="F535" s="1507"/>
      <c r="G535" s="1507"/>
      <c r="H535" s="1507"/>
      <c r="I535" s="1507"/>
      <c r="J535" s="1507"/>
      <c r="K535" s="1507"/>
      <c r="L535" s="1507"/>
      <c r="M535" s="1507"/>
      <c r="N535" s="1507"/>
      <c r="O535" s="153"/>
      <c r="P535" s="848"/>
      <c r="Q535" s="133"/>
    </row>
    <row r="536" spans="2:17" ht="32.1" customHeight="1">
      <c r="B536" s="1508"/>
      <c r="C536" s="133"/>
      <c r="D536" s="153"/>
      <c r="E536" s="153"/>
      <c r="F536" s="1507"/>
      <c r="G536" s="1507"/>
      <c r="H536" s="1507"/>
      <c r="I536" s="1507"/>
      <c r="J536" s="1507"/>
      <c r="K536" s="1507"/>
      <c r="L536" s="1507"/>
      <c r="M536" s="1507"/>
      <c r="N536" s="1507"/>
      <c r="O536" s="153"/>
      <c r="P536" s="848"/>
      <c r="Q536" s="133"/>
    </row>
    <row r="537" spans="2:17" ht="32.1" customHeight="1">
      <c r="B537" s="1508"/>
      <c r="C537" s="133"/>
      <c r="D537" s="153"/>
      <c r="E537" s="153"/>
      <c r="F537" s="1507"/>
      <c r="G537" s="1507"/>
      <c r="H537" s="1507"/>
      <c r="I537" s="1507"/>
      <c r="J537" s="1507"/>
      <c r="K537" s="1507"/>
      <c r="L537" s="1507"/>
      <c r="M537" s="1507"/>
      <c r="N537" s="1507"/>
      <c r="O537" s="153"/>
      <c r="P537" s="848"/>
      <c r="Q537" s="133"/>
    </row>
    <row r="538" spans="2:17" ht="32.1" customHeight="1">
      <c r="B538" s="1508"/>
      <c r="C538" s="133"/>
      <c r="D538" s="153"/>
      <c r="E538" s="153"/>
      <c r="F538" s="1507"/>
      <c r="G538" s="1507"/>
      <c r="H538" s="1507"/>
      <c r="I538" s="1507"/>
      <c r="J538" s="1507"/>
      <c r="K538" s="1507"/>
      <c r="L538" s="1507"/>
      <c r="M538" s="1507"/>
      <c r="N538" s="1507"/>
      <c r="O538" s="153"/>
      <c r="P538" s="848"/>
      <c r="Q538" s="133"/>
    </row>
    <row r="539" spans="2:17" ht="32.1" customHeight="1">
      <c r="B539" s="1508"/>
      <c r="C539" s="133"/>
      <c r="D539" s="153"/>
      <c r="E539" s="153"/>
      <c r="F539" s="1507"/>
      <c r="G539" s="1507"/>
      <c r="H539" s="1507"/>
      <c r="I539" s="1507"/>
      <c r="J539" s="1507"/>
      <c r="K539" s="1507"/>
      <c r="L539" s="1507"/>
      <c r="M539" s="1507"/>
      <c r="N539" s="1507"/>
      <c r="O539" s="153"/>
      <c r="P539" s="848"/>
      <c r="Q539" s="133"/>
    </row>
    <row r="540" spans="2:17" ht="32.1" customHeight="1">
      <c r="B540" s="1508"/>
      <c r="C540" s="133"/>
      <c r="D540" s="153"/>
      <c r="E540" s="153"/>
      <c r="F540" s="1507"/>
      <c r="G540" s="1507"/>
      <c r="H540" s="1507"/>
      <c r="I540" s="1507"/>
      <c r="J540" s="1507"/>
      <c r="K540" s="1507"/>
      <c r="L540" s="1507"/>
      <c r="M540" s="1507"/>
      <c r="N540" s="1507"/>
      <c r="O540" s="153"/>
      <c r="P540" s="848"/>
      <c r="Q540" s="133"/>
    </row>
    <row r="541" spans="2:17" ht="32.1" customHeight="1">
      <c r="B541" s="1508"/>
      <c r="C541" s="133"/>
      <c r="D541" s="153"/>
      <c r="E541" s="153"/>
      <c r="F541" s="1507"/>
      <c r="G541" s="1507"/>
      <c r="H541" s="1507"/>
      <c r="I541" s="1507"/>
      <c r="J541" s="1507"/>
      <c r="K541" s="1507"/>
      <c r="L541" s="1507"/>
      <c r="M541" s="1507"/>
      <c r="N541" s="1507"/>
      <c r="O541" s="153"/>
      <c r="P541" s="848"/>
      <c r="Q541" s="133"/>
    </row>
    <row r="542" spans="2:17" ht="32.1" customHeight="1">
      <c r="B542" s="1508"/>
      <c r="C542" s="133"/>
      <c r="D542" s="153"/>
      <c r="E542" s="153"/>
      <c r="F542" s="1507"/>
      <c r="G542" s="1507"/>
      <c r="H542" s="1507"/>
      <c r="I542" s="1507"/>
      <c r="J542" s="1507"/>
      <c r="K542" s="1507"/>
      <c r="L542" s="1507"/>
      <c r="M542" s="1507"/>
      <c r="N542" s="1507"/>
      <c r="O542" s="153"/>
      <c r="P542" s="848"/>
      <c r="Q542" s="133"/>
    </row>
    <row r="543" spans="2:17" ht="32.1" customHeight="1">
      <c r="B543" s="1508"/>
      <c r="C543" s="133"/>
      <c r="D543" s="153"/>
      <c r="E543" s="153"/>
      <c r="F543" s="1507"/>
      <c r="G543" s="1507"/>
      <c r="H543" s="1507"/>
      <c r="I543" s="1507"/>
      <c r="J543" s="1507"/>
      <c r="K543" s="1507"/>
      <c r="L543" s="1507"/>
      <c r="M543" s="1507"/>
      <c r="N543" s="1507"/>
      <c r="O543" s="153"/>
      <c r="P543" s="848"/>
      <c r="Q543" s="133"/>
    </row>
    <row r="544" spans="2:17" ht="32.1" customHeight="1">
      <c r="B544" s="1508"/>
      <c r="C544" s="133"/>
      <c r="D544" s="153"/>
      <c r="E544" s="153"/>
      <c r="F544" s="1507"/>
      <c r="G544" s="1507"/>
      <c r="H544" s="1507"/>
      <c r="I544" s="1507"/>
      <c r="J544" s="1507"/>
      <c r="K544" s="1507"/>
      <c r="L544" s="1507"/>
      <c r="M544" s="1507"/>
      <c r="N544" s="1507"/>
      <c r="O544" s="153"/>
      <c r="P544" s="848"/>
      <c r="Q544" s="133"/>
    </row>
    <row r="545" spans="2:17" ht="32.1" customHeight="1">
      <c r="B545" s="1508"/>
      <c r="C545" s="133"/>
      <c r="D545" s="153"/>
      <c r="E545" s="153"/>
      <c r="F545" s="1507"/>
      <c r="G545" s="1507"/>
      <c r="H545" s="1507"/>
      <c r="I545" s="1507"/>
      <c r="J545" s="1507"/>
      <c r="K545" s="1507"/>
      <c r="L545" s="1507"/>
      <c r="M545" s="1507"/>
      <c r="N545" s="1507"/>
      <c r="O545" s="153"/>
      <c r="P545" s="848"/>
      <c r="Q545" s="133"/>
    </row>
    <row r="546" spans="2:17" ht="32.1" customHeight="1">
      <c r="B546" s="1508"/>
      <c r="C546" s="133"/>
      <c r="D546" s="153"/>
      <c r="E546" s="153"/>
      <c r="F546" s="1507"/>
      <c r="G546" s="1507"/>
      <c r="H546" s="1507"/>
      <c r="I546" s="1507"/>
      <c r="J546" s="1507"/>
      <c r="K546" s="1507"/>
      <c r="L546" s="1507"/>
      <c r="M546" s="1507"/>
      <c r="N546" s="1507"/>
      <c r="O546" s="153"/>
      <c r="P546" s="848"/>
      <c r="Q546" s="133"/>
    </row>
    <row r="547" spans="2:17" ht="32.1" customHeight="1">
      <c r="B547" s="1508"/>
      <c r="C547" s="133"/>
      <c r="D547" s="153"/>
      <c r="E547" s="153"/>
      <c r="F547" s="1507"/>
      <c r="G547" s="1507"/>
      <c r="H547" s="1507"/>
      <c r="I547" s="1507"/>
      <c r="J547" s="1507"/>
      <c r="K547" s="1507"/>
      <c r="L547" s="1507"/>
      <c r="M547" s="1507"/>
      <c r="N547" s="1507"/>
      <c r="O547" s="153"/>
      <c r="P547" s="848"/>
      <c r="Q547" s="133"/>
    </row>
    <row r="548" spans="2:17" ht="32.1" customHeight="1">
      <c r="B548" s="1508"/>
      <c r="C548" s="133"/>
      <c r="D548" s="153"/>
      <c r="E548" s="153"/>
      <c r="F548" s="1507"/>
      <c r="G548" s="1507"/>
      <c r="H548" s="1507"/>
      <c r="I548" s="1507"/>
      <c r="J548" s="1507"/>
      <c r="K548" s="1507"/>
      <c r="L548" s="1507"/>
      <c r="M548" s="1507"/>
      <c r="N548" s="1507"/>
      <c r="O548" s="153"/>
      <c r="P548" s="848"/>
      <c r="Q548" s="133"/>
    </row>
    <row r="549" spans="2:17" ht="32.1" customHeight="1">
      <c r="B549" s="1508"/>
      <c r="C549" s="133"/>
      <c r="D549" s="153"/>
      <c r="E549" s="153"/>
      <c r="F549" s="1507"/>
      <c r="G549" s="1507"/>
      <c r="H549" s="1507"/>
      <c r="I549" s="1507"/>
      <c r="J549" s="1507"/>
      <c r="K549" s="1507"/>
      <c r="L549" s="1507"/>
      <c r="M549" s="1507"/>
      <c r="N549" s="1507"/>
      <c r="O549" s="153"/>
      <c r="P549" s="848"/>
      <c r="Q549" s="133"/>
    </row>
    <row r="550" spans="2:17" ht="32.1" customHeight="1">
      <c r="B550" s="158"/>
      <c r="C550" s="133"/>
      <c r="D550" s="153"/>
      <c r="E550" s="153"/>
      <c r="F550" s="1507"/>
      <c r="G550" s="1507"/>
      <c r="H550" s="1507"/>
      <c r="I550" s="1507"/>
      <c r="J550" s="1507"/>
      <c r="K550" s="1507"/>
      <c r="L550" s="1507"/>
      <c r="M550" s="1507"/>
      <c r="N550" s="1507"/>
      <c r="O550" s="159"/>
      <c r="P550" s="159"/>
      <c r="Q550" s="133"/>
    </row>
    <row r="551" spans="2:17" ht="32.1" customHeight="1">
      <c r="B551" s="158"/>
      <c r="C551" s="133"/>
      <c r="D551" s="153"/>
      <c r="E551" s="153"/>
      <c r="F551" s="1507"/>
      <c r="G551" s="1507"/>
      <c r="H551" s="1507"/>
      <c r="I551" s="1507"/>
      <c r="J551" s="1507"/>
      <c r="K551" s="1507"/>
      <c r="L551" s="1507"/>
      <c r="M551" s="1507"/>
      <c r="N551" s="1507"/>
      <c r="O551" s="159"/>
      <c r="P551" s="159"/>
      <c r="Q551" s="133"/>
    </row>
    <row r="552" spans="2:17" ht="30.95" customHeight="1">
      <c r="B552" s="1580"/>
      <c r="C552" s="1580"/>
      <c r="D552" s="1580"/>
      <c r="E552" s="1580"/>
      <c r="F552" s="1580"/>
      <c r="G552" s="1580"/>
      <c r="H552" s="1580"/>
      <c r="I552" s="1581"/>
      <c r="J552" s="1581"/>
      <c r="K552" s="1581"/>
      <c r="L552" s="1581"/>
      <c r="M552" s="1581"/>
      <c r="N552" s="1581"/>
      <c r="O552" s="1581"/>
      <c r="P552" s="872"/>
      <c r="Q552" s="133"/>
    </row>
    <row r="553" spans="2:17" ht="30.95" customHeight="1">
      <c r="B553" s="1580"/>
      <c r="C553" s="1580"/>
      <c r="D553" s="1580"/>
      <c r="E553" s="1580"/>
      <c r="F553" s="1580"/>
      <c r="G553" s="1580"/>
      <c r="H553" s="1580"/>
      <c r="I553" s="1581"/>
      <c r="J553" s="1581"/>
      <c r="K553" s="1581"/>
      <c r="L553" s="1581"/>
      <c r="M553" s="1581"/>
      <c r="N553" s="1581"/>
      <c r="O553" s="1581"/>
      <c r="P553" s="872"/>
      <c r="Q553" s="133"/>
    </row>
    <row r="554" spans="2:17" ht="21.95" customHeight="1">
      <c r="B554" s="1511"/>
      <c r="C554" s="1511"/>
      <c r="D554" s="1511"/>
      <c r="E554" s="1511"/>
      <c r="F554" s="1511"/>
      <c r="G554" s="1511"/>
      <c r="H554" s="1511"/>
      <c r="I554" s="1511"/>
      <c r="J554" s="1511"/>
      <c r="K554" s="1511"/>
      <c r="L554" s="1511"/>
      <c r="M554" s="1511"/>
      <c r="N554" s="1511"/>
      <c r="O554" s="1511"/>
      <c r="P554" s="849"/>
      <c r="Q554" s="133"/>
    </row>
    <row r="555" spans="2:17" ht="21.95" customHeight="1">
      <c r="B555" s="1511"/>
      <c r="C555" s="1511"/>
      <c r="D555" s="1511"/>
      <c r="E555" s="1511"/>
      <c r="F555" s="1511"/>
      <c r="G555" s="1511"/>
      <c r="H555" s="1511"/>
      <c r="I555" s="1511"/>
      <c r="J555" s="1511"/>
      <c r="K555" s="1511"/>
      <c r="L555" s="1511"/>
      <c r="M555" s="1511"/>
      <c r="N555" s="1511"/>
      <c r="O555" s="1511"/>
      <c r="P555" s="849"/>
      <c r="Q555" s="133"/>
    </row>
    <row r="556" spans="2:17" ht="21.95" customHeight="1">
      <c r="B556" s="1511"/>
      <c r="C556" s="1511"/>
      <c r="D556" s="1511"/>
      <c r="E556" s="1511"/>
      <c r="F556" s="1511"/>
      <c r="G556" s="1511"/>
      <c r="H556" s="1511"/>
      <c r="I556" s="1511"/>
      <c r="J556" s="1511"/>
      <c r="K556" s="1511"/>
      <c r="L556" s="1511"/>
      <c r="M556" s="1511"/>
      <c r="N556" s="1511"/>
      <c r="O556" s="1511"/>
      <c r="P556" s="849"/>
      <c r="Q556" s="133"/>
    </row>
    <row r="557" spans="2:17" ht="20.100000000000001" customHeight="1">
      <c r="B557" s="1519"/>
      <c r="C557" s="1519"/>
      <c r="D557" s="1519"/>
      <c r="E557" s="1519"/>
      <c r="F557" s="1519"/>
      <c r="G557" s="1519"/>
      <c r="H557" s="1519"/>
      <c r="I557" s="1519"/>
      <c r="J557" s="1519"/>
      <c r="K557" s="1519"/>
      <c r="L557" s="1519"/>
      <c r="M557" s="1519"/>
      <c r="N557" s="1519"/>
      <c r="O557" s="1519"/>
      <c r="P557" s="850"/>
      <c r="Q557" s="133"/>
    </row>
    <row r="558" spans="2:17" ht="20.100000000000001" customHeight="1">
      <c r="B558" s="1519"/>
      <c r="C558" s="133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19"/>
      <c r="P558" s="850"/>
      <c r="Q558" s="133"/>
    </row>
    <row r="559" spans="2:17" ht="20.100000000000001" customHeight="1">
      <c r="B559" s="1519"/>
      <c r="C559" s="133"/>
      <c r="D559" s="154"/>
      <c r="E559" s="154"/>
      <c r="F559" s="154"/>
      <c r="G559" s="154"/>
      <c r="H559" s="152"/>
      <c r="I559" s="154"/>
      <c r="J559" s="154"/>
      <c r="K559" s="152"/>
      <c r="L559" s="154"/>
      <c r="M559" s="154"/>
      <c r="N559" s="152"/>
      <c r="O559" s="1519"/>
      <c r="P559" s="850"/>
      <c r="Q559" s="133"/>
    </row>
    <row r="560" spans="2:17" ht="20.100000000000001" customHeight="1">
      <c r="B560" s="1519"/>
      <c r="C560" s="133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19"/>
      <c r="P560" s="850"/>
      <c r="Q560" s="133"/>
    </row>
    <row r="561" spans="2:19" ht="26.1" customHeight="1">
      <c r="B561" s="157"/>
      <c r="C561" s="13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848"/>
      <c r="Q561" s="133"/>
      <c r="R561" s="141"/>
    </row>
    <row r="562" spans="2:19" ht="26.1" customHeight="1">
      <c r="B562" s="1508"/>
      <c r="C562" s="133"/>
      <c r="D562" s="153"/>
      <c r="E562" s="153"/>
      <c r="F562" s="1507"/>
      <c r="G562" s="1507"/>
      <c r="H562" s="1507"/>
      <c r="I562" s="1507"/>
      <c r="J562" s="1507"/>
      <c r="K562" s="1507"/>
      <c r="L562" s="1507"/>
      <c r="M562" s="1507"/>
      <c r="N562" s="1507"/>
      <c r="O562" s="131"/>
      <c r="P562" s="131"/>
      <c r="Q562" s="133"/>
      <c r="R562" s="141"/>
    </row>
    <row r="563" spans="2:19" ht="26.1" customHeight="1">
      <c r="B563" s="1508"/>
      <c r="C563" s="133"/>
      <c r="D563" s="153"/>
      <c r="E563" s="153"/>
      <c r="F563" s="1507"/>
      <c r="G563" s="1507"/>
      <c r="H563" s="1507"/>
      <c r="I563" s="1507"/>
      <c r="J563" s="1507"/>
      <c r="K563" s="1507"/>
      <c r="L563" s="1507"/>
      <c r="M563" s="1507"/>
      <c r="N563" s="1507"/>
      <c r="O563" s="131"/>
      <c r="P563" s="131"/>
      <c r="Q563" s="133"/>
      <c r="R563" s="141"/>
    </row>
    <row r="564" spans="2:19" ht="26.1" customHeight="1">
      <c r="B564" s="1508"/>
      <c r="C564" s="133"/>
      <c r="D564" s="153"/>
      <c r="E564" s="153"/>
      <c r="F564" s="1507"/>
      <c r="G564" s="1507"/>
      <c r="H564" s="1507"/>
      <c r="I564" s="1507"/>
      <c r="J564" s="1507"/>
      <c r="K564" s="1507"/>
      <c r="L564" s="1507"/>
      <c r="M564" s="1507"/>
      <c r="N564" s="1507"/>
      <c r="O564" s="153"/>
      <c r="P564" s="848"/>
      <c r="Q564" s="133"/>
      <c r="R564" s="141"/>
    </row>
    <row r="565" spans="2:19" ht="26.1" customHeight="1">
      <c r="B565" s="1508"/>
      <c r="C565" s="133"/>
      <c r="D565" s="153"/>
      <c r="E565" s="153"/>
      <c r="F565" s="1507"/>
      <c r="G565" s="1507"/>
      <c r="H565" s="1507"/>
      <c r="I565" s="1507"/>
      <c r="J565" s="1507"/>
      <c r="K565" s="1507"/>
      <c r="L565" s="1507"/>
      <c r="M565" s="1507"/>
      <c r="N565" s="1507"/>
      <c r="O565" s="153"/>
      <c r="P565" s="848"/>
      <c r="Q565" s="133"/>
      <c r="R565" s="141"/>
    </row>
    <row r="566" spans="2:19" ht="26.1" customHeight="1">
      <c r="B566" s="1508"/>
      <c r="C566" s="133"/>
      <c r="D566" s="153"/>
      <c r="E566" s="153"/>
      <c r="F566" s="1507"/>
      <c r="G566" s="1507"/>
      <c r="H566" s="1507"/>
      <c r="I566" s="1507"/>
      <c r="J566" s="1507"/>
      <c r="K566" s="1507"/>
      <c r="L566" s="1507"/>
      <c r="M566" s="1507"/>
      <c r="N566" s="1507"/>
      <c r="O566" s="153"/>
      <c r="P566" s="848"/>
      <c r="Q566" s="133"/>
      <c r="R566" s="141"/>
    </row>
    <row r="567" spans="2:19" ht="26.1" customHeight="1">
      <c r="B567" s="1508"/>
      <c r="C567" s="133"/>
      <c r="D567" s="153"/>
      <c r="E567" s="153"/>
      <c r="F567" s="1507"/>
      <c r="G567" s="1507"/>
      <c r="H567" s="1507"/>
      <c r="I567" s="1507"/>
      <c r="J567" s="1507"/>
      <c r="K567" s="1507"/>
      <c r="L567" s="1507"/>
      <c r="M567" s="1507"/>
      <c r="N567" s="1507"/>
      <c r="O567" s="153"/>
      <c r="P567" s="848"/>
      <c r="Q567" s="133"/>
      <c r="R567" s="141"/>
    </row>
    <row r="568" spans="2:19" ht="31.5" customHeight="1">
      <c r="B568" s="1508"/>
      <c r="C568" s="133"/>
      <c r="D568" s="153"/>
      <c r="E568" s="153"/>
      <c r="F568" s="1507"/>
      <c r="G568" s="1507"/>
      <c r="H568" s="1507"/>
      <c r="I568" s="1507"/>
      <c r="J568" s="1507"/>
      <c r="K568" s="1507"/>
      <c r="L568" s="1507"/>
      <c r="M568" s="1507"/>
      <c r="N568" s="1507"/>
      <c r="O568" s="153"/>
      <c r="P568" s="848"/>
      <c r="Q568" s="133"/>
      <c r="R568" s="141"/>
    </row>
    <row r="569" spans="2:19" ht="33" customHeight="1">
      <c r="B569" s="1508"/>
      <c r="C569" s="133"/>
      <c r="D569" s="153"/>
      <c r="E569" s="153"/>
      <c r="F569" s="1507"/>
      <c r="G569" s="1507"/>
      <c r="H569" s="1507"/>
      <c r="I569" s="1507"/>
      <c r="J569" s="1507"/>
      <c r="K569" s="1507"/>
      <c r="L569" s="1507"/>
      <c r="M569" s="1507"/>
      <c r="N569" s="1507"/>
      <c r="O569" s="153"/>
      <c r="P569" s="848"/>
      <c r="Q569" s="133"/>
      <c r="R569" s="141"/>
    </row>
    <row r="570" spans="2:19" ht="26.1" customHeight="1">
      <c r="B570" s="1508"/>
      <c r="C570" s="133"/>
      <c r="D570" s="153"/>
      <c r="E570" s="153"/>
      <c r="F570" s="1507"/>
      <c r="G570" s="1507"/>
      <c r="H570" s="1507"/>
      <c r="I570" s="1507"/>
      <c r="J570" s="1507"/>
      <c r="K570" s="1507"/>
      <c r="L570" s="1507"/>
      <c r="M570" s="1507"/>
      <c r="N570" s="1507"/>
      <c r="O570" s="153"/>
      <c r="P570" s="848"/>
      <c r="Q570" s="133"/>
      <c r="R570" s="141"/>
    </row>
    <row r="571" spans="2:19" ht="26.1" customHeight="1">
      <c r="B571" s="1508"/>
      <c r="C571" s="133"/>
      <c r="D571" s="153"/>
      <c r="E571" s="153"/>
      <c r="F571" s="1507"/>
      <c r="G571" s="1507"/>
      <c r="H571" s="1507"/>
      <c r="I571" s="1507"/>
      <c r="J571" s="1507"/>
      <c r="K571" s="1507"/>
      <c r="L571" s="1507"/>
      <c r="M571" s="1507"/>
      <c r="N571" s="1507"/>
      <c r="O571" s="153"/>
      <c r="P571" s="848"/>
      <c r="Q571" s="133"/>
      <c r="R571" s="141"/>
    </row>
    <row r="572" spans="2:19" ht="34.5" customHeight="1">
      <c r="B572" s="1508"/>
      <c r="C572" s="133"/>
      <c r="D572" s="153"/>
      <c r="E572" s="153"/>
      <c r="F572" s="1507"/>
      <c r="G572" s="1507"/>
      <c r="H572" s="1507"/>
      <c r="I572" s="1507"/>
      <c r="J572" s="1507"/>
      <c r="K572" s="1507"/>
      <c r="L572" s="1507"/>
      <c r="M572" s="1507"/>
      <c r="N572" s="1507"/>
      <c r="O572" s="131"/>
      <c r="P572" s="131"/>
      <c r="Q572" s="133"/>
      <c r="R572" s="141"/>
    </row>
    <row r="573" spans="2:19" ht="36" customHeight="1">
      <c r="B573" s="1508"/>
      <c r="C573" s="133"/>
      <c r="D573" s="153"/>
      <c r="E573" s="153"/>
      <c r="F573" s="1507"/>
      <c r="G573" s="1507"/>
      <c r="H573" s="1507"/>
      <c r="I573" s="1507"/>
      <c r="J573" s="1507"/>
      <c r="K573" s="1507"/>
      <c r="L573" s="1507"/>
      <c r="M573" s="1507"/>
      <c r="N573" s="1507"/>
      <c r="O573" s="131"/>
      <c r="P573" s="131"/>
      <c r="Q573" s="133"/>
      <c r="R573" s="141"/>
    </row>
    <row r="574" spans="2:19" ht="26.1" customHeight="1">
      <c r="B574" s="1508"/>
      <c r="C574" s="133"/>
      <c r="D574" s="153"/>
      <c r="E574" s="153"/>
      <c r="F574" s="1507"/>
      <c r="G574" s="1507"/>
      <c r="H574" s="1507"/>
      <c r="I574" s="1507"/>
      <c r="J574" s="1507"/>
      <c r="K574" s="1507"/>
      <c r="L574" s="1507"/>
      <c r="M574" s="1507"/>
      <c r="N574" s="1507"/>
      <c r="O574" s="153"/>
      <c r="P574" s="848"/>
      <c r="Q574" s="133"/>
      <c r="R574" s="141"/>
      <c r="S574" s="131"/>
    </row>
    <row r="575" spans="2:19" ht="26.1" customHeight="1">
      <c r="B575" s="1508"/>
      <c r="C575" s="133"/>
      <c r="D575" s="153"/>
      <c r="E575" s="153"/>
      <c r="F575" s="1507"/>
      <c r="G575" s="1507"/>
      <c r="H575" s="1507"/>
      <c r="I575" s="1507"/>
      <c r="J575" s="1507"/>
      <c r="K575" s="1507"/>
      <c r="L575" s="1507"/>
      <c r="M575" s="1507"/>
      <c r="N575" s="1507"/>
      <c r="O575" s="153"/>
      <c r="P575" s="848"/>
      <c r="Q575" s="133"/>
      <c r="R575" s="141"/>
      <c r="S575" s="131"/>
    </row>
    <row r="576" spans="2:19" ht="26.1" customHeight="1">
      <c r="B576" s="1508"/>
      <c r="C576" s="133"/>
      <c r="D576" s="153"/>
      <c r="E576" s="153"/>
      <c r="F576" s="1507"/>
      <c r="G576" s="1507"/>
      <c r="H576" s="1507"/>
      <c r="I576" s="1507"/>
      <c r="J576" s="1507"/>
      <c r="K576" s="1507"/>
      <c r="L576" s="1507"/>
      <c r="M576" s="1507"/>
      <c r="N576" s="1507"/>
      <c r="O576" s="153"/>
      <c r="P576" s="848"/>
      <c r="Q576" s="133"/>
      <c r="R576" s="141"/>
      <c r="S576" s="131"/>
    </row>
    <row r="577" spans="2:21" ht="26.1" customHeight="1">
      <c r="B577" s="1508"/>
      <c r="C577" s="133"/>
      <c r="D577" s="153"/>
      <c r="E577" s="153"/>
      <c r="F577" s="1507"/>
      <c r="G577" s="1507"/>
      <c r="H577" s="1507"/>
      <c r="I577" s="1507"/>
      <c r="J577" s="1507"/>
      <c r="K577" s="1507"/>
      <c r="L577" s="1507"/>
      <c r="M577" s="1507"/>
      <c r="N577" s="1507"/>
      <c r="O577" s="153"/>
      <c r="P577" s="848"/>
      <c r="Q577" s="133"/>
      <c r="R577" s="141"/>
      <c r="S577" s="131"/>
    </row>
    <row r="578" spans="2:21" ht="26.1" customHeight="1">
      <c r="B578" s="1508"/>
      <c r="C578" s="133"/>
      <c r="D578" s="153"/>
      <c r="E578" s="153"/>
      <c r="F578" s="1507"/>
      <c r="G578" s="1507"/>
      <c r="H578" s="1507"/>
      <c r="I578" s="1507"/>
      <c r="J578" s="1507"/>
      <c r="K578" s="1507"/>
      <c r="L578" s="1507"/>
      <c r="M578" s="1507"/>
      <c r="N578" s="1507"/>
      <c r="O578" s="153"/>
      <c r="P578" s="848"/>
      <c r="Q578" s="133"/>
      <c r="R578" s="141"/>
      <c r="S578" s="131"/>
      <c r="T578" s="131"/>
      <c r="U578" s="131"/>
    </row>
    <row r="579" spans="2:21" ht="26.1" customHeight="1">
      <c r="B579" s="1508"/>
      <c r="C579" s="133"/>
      <c r="D579" s="153"/>
      <c r="E579" s="153"/>
      <c r="F579" s="1507"/>
      <c r="G579" s="1507"/>
      <c r="H579" s="1507"/>
      <c r="I579" s="1507"/>
      <c r="J579" s="1507"/>
      <c r="K579" s="1507"/>
      <c r="L579" s="1507"/>
      <c r="M579" s="1507"/>
      <c r="N579" s="1507"/>
      <c r="O579" s="153"/>
      <c r="P579" s="848"/>
      <c r="Q579" s="133"/>
      <c r="R579" s="141"/>
      <c r="S579" s="131"/>
      <c r="T579" s="131"/>
      <c r="U579" s="131"/>
    </row>
    <row r="580" spans="2:21" ht="26.1" customHeight="1">
      <c r="B580" s="1508"/>
      <c r="C580" s="133"/>
      <c r="D580" s="153"/>
      <c r="E580" s="153"/>
      <c r="F580" s="1507"/>
      <c r="G580" s="1507"/>
      <c r="H580" s="1507"/>
      <c r="I580" s="1507"/>
      <c r="J580" s="1507"/>
      <c r="K580" s="1507"/>
      <c r="L580" s="1507"/>
      <c r="M580" s="1507"/>
      <c r="N580" s="1507"/>
      <c r="O580" s="153"/>
      <c r="P580" s="848"/>
      <c r="Q580" s="133"/>
      <c r="R580" s="141"/>
      <c r="S580" s="131"/>
      <c r="T580" s="131"/>
      <c r="U580" s="131"/>
    </row>
    <row r="581" spans="2:21" ht="26.1" customHeight="1">
      <c r="B581" s="1508"/>
      <c r="C581" s="133"/>
      <c r="D581" s="153"/>
      <c r="E581" s="153"/>
      <c r="F581" s="1507"/>
      <c r="G581" s="1507"/>
      <c r="H581" s="1507"/>
      <c r="I581" s="1507"/>
      <c r="J581" s="1507"/>
      <c r="K581" s="1507"/>
      <c r="L581" s="1507"/>
      <c r="M581" s="1507"/>
      <c r="N581" s="1507"/>
      <c r="O581" s="153"/>
      <c r="P581" s="848"/>
      <c r="Q581" s="133"/>
      <c r="R581" s="141"/>
      <c r="S581" s="131"/>
      <c r="T581" s="131"/>
      <c r="U581" s="131"/>
    </row>
    <row r="582" spans="2:21" ht="26.1" customHeight="1">
      <c r="B582" s="1508"/>
      <c r="C582" s="133"/>
      <c r="D582" s="153"/>
      <c r="E582" s="153"/>
      <c r="F582" s="1507"/>
      <c r="G582" s="1507"/>
      <c r="H582" s="1507"/>
      <c r="I582" s="1507"/>
      <c r="J582" s="1507"/>
      <c r="K582" s="1507"/>
      <c r="L582" s="1507"/>
      <c r="M582" s="1507"/>
      <c r="N582" s="1507"/>
      <c r="O582" s="153"/>
      <c r="P582" s="848"/>
      <c r="Q582" s="133"/>
      <c r="R582" s="141"/>
      <c r="S582" s="131"/>
      <c r="T582" s="131"/>
    </row>
    <row r="583" spans="2:21" ht="26.1" customHeight="1">
      <c r="B583" s="1508"/>
      <c r="C583" s="133"/>
      <c r="D583" s="153"/>
      <c r="E583" s="153"/>
      <c r="F583" s="1507"/>
      <c r="G583" s="1507"/>
      <c r="H583" s="1507"/>
      <c r="I583" s="1507"/>
      <c r="J583" s="1507"/>
      <c r="K583" s="1507"/>
      <c r="L583" s="1507"/>
      <c r="M583" s="1507"/>
      <c r="N583" s="1507"/>
      <c r="O583" s="153"/>
      <c r="P583" s="848"/>
      <c r="Q583" s="133"/>
      <c r="R583" s="141"/>
      <c r="S583" s="131"/>
      <c r="T583" s="131"/>
    </row>
    <row r="584" spans="2:21" ht="26.1" customHeight="1">
      <c r="B584" s="1508"/>
      <c r="C584" s="133"/>
      <c r="D584" s="153"/>
      <c r="E584" s="153"/>
      <c r="F584" s="1507"/>
      <c r="G584" s="1507"/>
      <c r="H584" s="1507"/>
      <c r="I584" s="1507"/>
      <c r="J584" s="1507"/>
      <c r="K584" s="1507"/>
      <c r="L584" s="1507"/>
      <c r="M584" s="1507"/>
      <c r="N584" s="1507"/>
      <c r="O584" s="153"/>
      <c r="P584" s="848"/>
      <c r="Q584" s="133"/>
      <c r="R584" s="141"/>
    </row>
    <row r="585" spans="2:21" ht="26.1" customHeight="1">
      <c r="B585" s="1508"/>
      <c r="C585" s="133"/>
      <c r="D585" s="153"/>
      <c r="E585" s="153"/>
      <c r="F585" s="1507"/>
      <c r="G585" s="1507"/>
      <c r="H585" s="1507"/>
      <c r="I585" s="1507"/>
      <c r="J585" s="1507"/>
      <c r="K585" s="1507"/>
      <c r="L585" s="1507"/>
      <c r="M585" s="1507"/>
      <c r="N585" s="1507"/>
      <c r="O585" s="153"/>
      <c r="P585" s="848"/>
      <c r="Q585" s="133"/>
      <c r="R585" s="141"/>
    </row>
    <row r="586" spans="2:21" ht="26.1" customHeight="1">
      <c r="B586" s="1508"/>
      <c r="C586" s="133"/>
      <c r="D586" s="153"/>
      <c r="E586" s="153"/>
      <c r="F586" s="1507"/>
      <c r="G586" s="1507"/>
      <c r="H586" s="1507"/>
      <c r="I586" s="1507"/>
      <c r="J586" s="1507"/>
      <c r="K586" s="1507"/>
      <c r="L586" s="1507"/>
      <c r="M586" s="1507"/>
      <c r="N586" s="1507"/>
      <c r="O586" s="153"/>
      <c r="P586" s="848"/>
      <c r="Q586" s="133"/>
      <c r="R586" s="141"/>
    </row>
    <row r="587" spans="2:21" ht="26.1" customHeight="1">
      <c r="B587" s="1508"/>
      <c r="C587" s="133"/>
      <c r="D587" s="153"/>
      <c r="E587" s="153"/>
      <c r="F587" s="1507"/>
      <c r="G587" s="1507"/>
      <c r="H587" s="1507"/>
      <c r="I587" s="1507"/>
      <c r="J587" s="1507"/>
      <c r="K587" s="1507"/>
      <c r="L587" s="1507"/>
      <c r="M587" s="1507"/>
      <c r="N587" s="1507"/>
      <c r="O587" s="153"/>
      <c r="P587" s="848"/>
      <c r="Q587" s="133"/>
      <c r="R587" s="141"/>
    </row>
    <row r="588" spans="2:21" ht="26.1" customHeight="1">
      <c r="B588" s="1508"/>
      <c r="C588" s="133"/>
      <c r="D588" s="153"/>
      <c r="E588" s="153"/>
      <c r="F588" s="1507"/>
      <c r="G588" s="1507"/>
      <c r="H588" s="1507"/>
      <c r="I588" s="1507"/>
      <c r="J588" s="1507"/>
      <c r="K588" s="1507"/>
      <c r="L588" s="1507"/>
      <c r="M588" s="1507"/>
      <c r="N588" s="1507"/>
      <c r="O588" s="153"/>
      <c r="P588" s="848"/>
      <c r="Q588" s="133"/>
      <c r="R588" s="141"/>
    </row>
    <row r="589" spans="2:21" ht="26.1" customHeight="1">
      <c r="B589" s="1508"/>
      <c r="C589" s="133"/>
      <c r="D589" s="153"/>
      <c r="E589" s="153"/>
      <c r="F589" s="1507"/>
      <c r="G589" s="1507"/>
      <c r="H589" s="1507"/>
      <c r="I589" s="1507"/>
      <c r="J589" s="1507"/>
      <c r="K589" s="1507"/>
      <c r="L589" s="1507"/>
      <c r="M589" s="1507"/>
      <c r="N589" s="1507"/>
      <c r="O589" s="153"/>
      <c r="P589" s="848"/>
      <c r="Q589" s="133"/>
      <c r="R589" s="141"/>
    </row>
    <row r="590" spans="2:21" ht="26.1" customHeight="1">
      <c r="B590" s="1508"/>
      <c r="C590" s="133"/>
      <c r="D590" s="153"/>
      <c r="E590" s="153"/>
      <c r="F590" s="1507"/>
      <c r="G590" s="1507"/>
      <c r="H590" s="1507"/>
      <c r="I590" s="1507"/>
      <c r="J590" s="1507"/>
      <c r="K590" s="1507"/>
      <c r="L590" s="1507"/>
      <c r="M590" s="1507"/>
      <c r="N590" s="1507"/>
      <c r="O590" s="153"/>
      <c r="P590" s="848"/>
      <c r="Q590" s="133"/>
      <c r="R590" s="141"/>
    </row>
    <row r="591" spans="2:21" ht="26.1" customHeight="1">
      <c r="B591" s="1508"/>
      <c r="C591" s="133"/>
      <c r="D591" s="153"/>
      <c r="E591" s="153"/>
      <c r="F591" s="1507"/>
      <c r="G591" s="1507"/>
      <c r="H591" s="1507"/>
      <c r="I591" s="1507"/>
      <c r="J591" s="1507"/>
      <c r="K591" s="1507"/>
      <c r="L591" s="1507"/>
      <c r="M591" s="1507"/>
      <c r="N591" s="1507"/>
      <c r="O591" s="153"/>
      <c r="P591" s="848"/>
      <c r="Q591" s="133"/>
      <c r="R591" s="141"/>
    </row>
    <row r="592" spans="2:21" ht="26.1" customHeight="1">
      <c r="B592" s="1508"/>
      <c r="C592" s="133"/>
      <c r="D592" s="153"/>
      <c r="E592" s="153"/>
      <c r="F592" s="1507"/>
      <c r="G592" s="1507"/>
      <c r="H592" s="1507"/>
      <c r="I592" s="1507"/>
      <c r="J592" s="1507"/>
      <c r="K592" s="1507"/>
      <c r="L592" s="1507"/>
      <c r="M592" s="1507"/>
      <c r="N592" s="1507"/>
      <c r="O592" s="153"/>
      <c r="P592" s="848"/>
      <c r="Q592" s="133"/>
      <c r="R592" s="141"/>
    </row>
    <row r="593" spans="2:18" ht="26.1" customHeight="1">
      <c r="B593" s="1508"/>
      <c r="C593" s="133"/>
      <c r="D593" s="153"/>
      <c r="E593" s="153"/>
      <c r="F593" s="1507"/>
      <c r="G593" s="1507"/>
      <c r="H593" s="1507"/>
      <c r="I593" s="1507"/>
      <c r="J593" s="1507"/>
      <c r="K593" s="1507"/>
      <c r="L593" s="1507"/>
      <c r="M593" s="1507"/>
      <c r="N593" s="1507"/>
      <c r="O593" s="153"/>
      <c r="P593" s="848"/>
      <c r="Q593" s="133"/>
      <c r="R593" s="141"/>
    </row>
    <row r="594" spans="2:18" ht="26.1" customHeight="1">
      <c r="B594" s="1508"/>
      <c r="C594" s="133"/>
      <c r="D594" s="153"/>
      <c r="E594" s="153"/>
      <c r="F594" s="1507"/>
      <c r="G594" s="1507"/>
      <c r="H594" s="1507"/>
      <c r="I594" s="1507"/>
      <c r="J594" s="1507"/>
      <c r="K594" s="1507"/>
      <c r="L594" s="1507"/>
      <c r="M594" s="1507"/>
      <c r="N594" s="1507"/>
      <c r="O594" s="153"/>
      <c r="P594" s="848"/>
      <c r="Q594" s="133"/>
      <c r="R594" s="141"/>
    </row>
    <row r="595" spans="2:18" ht="26.1" customHeight="1">
      <c r="B595" s="1508"/>
      <c r="C595" s="133"/>
      <c r="D595" s="153"/>
      <c r="E595" s="153"/>
      <c r="F595" s="1507"/>
      <c r="G595" s="1507"/>
      <c r="H595" s="1507"/>
      <c r="I595" s="1507"/>
      <c r="J595" s="1507"/>
      <c r="K595" s="1507"/>
      <c r="L595" s="1507"/>
      <c r="M595" s="1507"/>
      <c r="N595" s="1507"/>
      <c r="O595" s="153"/>
      <c r="P595" s="848"/>
      <c r="Q595" s="133"/>
      <c r="R595" s="141"/>
    </row>
    <row r="596" spans="2:18" ht="26.1" customHeight="1">
      <c r="B596" s="1508"/>
      <c r="C596" s="133"/>
      <c r="D596" s="153"/>
      <c r="E596" s="153"/>
      <c r="F596" s="1507"/>
      <c r="G596" s="1507"/>
      <c r="H596" s="1507"/>
      <c r="I596" s="1507"/>
      <c r="J596" s="1507"/>
      <c r="K596" s="1507"/>
      <c r="L596" s="1507"/>
      <c r="M596" s="1507"/>
      <c r="N596" s="1507"/>
      <c r="O596" s="153"/>
      <c r="P596" s="848"/>
      <c r="Q596" s="133"/>
      <c r="R596" s="141"/>
    </row>
    <row r="597" spans="2:18" ht="26.1" customHeight="1">
      <c r="B597" s="1508"/>
      <c r="C597" s="133"/>
      <c r="D597" s="153"/>
      <c r="E597" s="153"/>
      <c r="F597" s="1507"/>
      <c r="G597" s="1507"/>
      <c r="H597" s="1507"/>
      <c r="I597" s="1507"/>
      <c r="J597" s="1507"/>
      <c r="K597" s="1507"/>
      <c r="L597" s="1507"/>
      <c r="M597" s="1507"/>
      <c r="N597" s="1507"/>
      <c r="O597" s="153"/>
      <c r="P597" s="848"/>
      <c r="Q597" s="133"/>
      <c r="R597" s="141"/>
    </row>
    <row r="598" spans="2:18" ht="26.1" customHeight="1">
      <c r="B598" s="1508"/>
      <c r="C598" s="133"/>
      <c r="D598" s="153"/>
      <c r="E598" s="153"/>
      <c r="F598" s="1507"/>
      <c r="G598" s="1507"/>
      <c r="H598" s="1507"/>
      <c r="I598" s="1507"/>
      <c r="J598" s="1507"/>
      <c r="K598" s="1507"/>
      <c r="L598" s="1507"/>
      <c r="M598" s="1507"/>
      <c r="N598" s="1507"/>
      <c r="O598" s="153"/>
      <c r="P598" s="848"/>
      <c r="Q598" s="133"/>
      <c r="R598" s="141"/>
    </row>
    <row r="599" spans="2:18" ht="26.1" customHeight="1">
      <c r="B599" s="1508"/>
      <c r="C599" s="133"/>
      <c r="D599" s="153"/>
      <c r="E599" s="153"/>
      <c r="F599" s="1507"/>
      <c r="G599" s="1507"/>
      <c r="H599" s="1507"/>
      <c r="I599" s="1507"/>
      <c r="J599" s="1507"/>
      <c r="K599" s="1507"/>
      <c r="L599" s="1507"/>
      <c r="M599" s="1507"/>
      <c r="N599" s="1507"/>
      <c r="O599" s="153"/>
      <c r="P599" s="848"/>
      <c r="Q599" s="133"/>
      <c r="R599" s="141"/>
    </row>
    <row r="600" spans="2:18" ht="26.1" customHeight="1">
      <c r="B600" s="1508"/>
      <c r="C600" s="133"/>
      <c r="D600" s="153"/>
      <c r="E600" s="153"/>
      <c r="F600" s="1507"/>
      <c r="G600" s="1507"/>
      <c r="H600" s="1507"/>
      <c r="I600" s="1507"/>
      <c r="J600" s="1507"/>
      <c r="K600" s="1507"/>
      <c r="L600" s="1507"/>
      <c r="M600" s="1507"/>
      <c r="N600" s="1507"/>
      <c r="O600" s="153"/>
      <c r="P600" s="848"/>
      <c r="Q600" s="133"/>
      <c r="R600" s="133"/>
    </row>
    <row r="601" spans="2:18" ht="26.1" customHeight="1">
      <c r="B601" s="1508"/>
      <c r="C601" s="133"/>
      <c r="D601" s="153"/>
      <c r="E601" s="153"/>
      <c r="F601" s="1507"/>
      <c r="G601" s="1507"/>
      <c r="H601" s="1507"/>
      <c r="I601" s="1507"/>
      <c r="J601" s="1507"/>
      <c r="K601" s="1507"/>
      <c r="L601" s="1507"/>
      <c r="M601" s="1507"/>
      <c r="N601" s="1507"/>
      <c r="O601" s="153"/>
      <c r="P601" s="848"/>
      <c r="Q601" s="133"/>
      <c r="R601" s="133"/>
    </row>
    <row r="602" spans="2:18" ht="23.1" customHeight="1">
      <c r="B602" s="1578"/>
      <c r="C602" s="1578"/>
      <c r="D602" s="1578"/>
      <c r="E602" s="1578"/>
      <c r="F602" s="1578"/>
      <c r="G602" s="1578"/>
      <c r="H602" s="1578"/>
      <c r="I602" s="1578"/>
      <c r="J602" s="1578"/>
      <c r="K602" s="1488"/>
      <c r="L602" s="1488"/>
      <c r="M602" s="1488"/>
      <c r="N602" s="1488"/>
      <c r="O602" s="1488"/>
      <c r="P602" s="847"/>
      <c r="Q602" s="133"/>
      <c r="R602" s="133"/>
    </row>
    <row r="603" spans="2:18" ht="23.1" customHeight="1">
      <c r="B603" s="1578"/>
      <c r="C603" s="1578"/>
      <c r="D603" s="1578"/>
      <c r="E603" s="1578"/>
      <c r="F603" s="1578"/>
      <c r="G603" s="1578"/>
      <c r="H603" s="1578"/>
      <c r="I603" s="1578"/>
      <c r="J603" s="1578"/>
      <c r="K603" s="1579"/>
      <c r="L603" s="1579"/>
      <c r="M603" s="1579"/>
      <c r="N603" s="1579"/>
      <c r="O603" s="1579"/>
      <c r="P603" s="871"/>
      <c r="Q603" s="133"/>
      <c r="R603" s="133"/>
    </row>
    <row r="604" spans="2:18" ht="23.1" customHeight="1">
      <c r="B604" s="1519"/>
      <c r="C604" s="1519"/>
      <c r="D604" s="1519"/>
      <c r="E604" s="1519"/>
      <c r="F604" s="1519"/>
      <c r="G604" s="1519"/>
      <c r="H604" s="1519"/>
      <c r="I604" s="1519"/>
      <c r="J604" s="1519"/>
      <c r="K604" s="1519"/>
      <c r="L604" s="1519"/>
      <c r="M604" s="1519"/>
      <c r="N604" s="1519"/>
      <c r="O604" s="1519"/>
      <c r="P604" s="850"/>
      <c r="Q604" s="133"/>
      <c r="R604" s="133"/>
    </row>
    <row r="605" spans="2:18" ht="23.1" customHeight="1">
      <c r="B605" s="1519"/>
      <c r="C605" s="133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19"/>
      <c r="P605" s="850"/>
      <c r="Q605" s="133"/>
      <c r="R605" s="133"/>
    </row>
    <row r="606" spans="2:18" ht="23.1" customHeight="1">
      <c r="B606" s="1519"/>
      <c r="C606" s="133"/>
      <c r="D606" s="154"/>
      <c r="E606" s="154"/>
      <c r="F606" s="154"/>
      <c r="G606" s="154"/>
      <c r="H606" s="152"/>
      <c r="I606" s="154"/>
      <c r="J606" s="154"/>
      <c r="K606" s="152"/>
      <c r="L606" s="154"/>
      <c r="M606" s="154"/>
      <c r="N606" s="152"/>
      <c r="O606" s="1519"/>
      <c r="P606" s="850"/>
      <c r="Q606" s="133"/>
      <c r="R606" s="133"/>
    </row>
    <row r="607" spans="2:18" ht="23.1" customHeight="1">
      <c r="B607" s="1519"/>
      <c r="C607" s="133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19"/>
      <c r="P607" s="850"/>
      <c r="Q607" s="133"/>
      <c r="R607" s="133"/>
    </row>
    <row r="608" spans="2:18" ht="29.1" customHeight="1">
      <c r="B608" s="1508"/>
      <c r="C608" s="133"/>
      <c r="D608" s="153"/>
      <c r="E608" s="153"/>
      <c r="F608" s="1507"/>
      <c r="G608" s="1507"/>
      <c r="H608" s="1507"/>
      <c r="I608" s="1507"/>
      <c r="J608" s="1507"/>
      <c r="K608" s="1507"/>
      <c r="L608" s="1507"/>
      <c r="M608" s="1507"/>
      <c r="N608" s="1507"/>
      <c r="O608" s="153"/>
      <c r="P608" s="848"/>
      <c r="Q608" s="133"/>
      <c r="R608" s="133"/>
    </row>
    <row r="609" spans="2:18" ht="29.1" customHeight="1">
      <c r="B609" s="1508"/>
      <c r="C609" s="133"/>
      <c r="D609" s="153"/>
      <c r="E609" s="153"/>
      <c r="F609" s="1507"/>
      <c r="G609" s="1507"/>
      <c r="H609" s="1507"/>
      <c r="I609" s="1507"/>
      <c r="J609" s="1507"/>
      <c r="K609" s="1507"/>
      <c r="L609" s="1507"/>
      <c r="M609" s="1507"/>
      <c r="N609" s="1507"/>
      <c r="O609" s="153"/>
      <c r="P609" s="848"/>
      <c r="Q609" s="133"/>
      <c r="R609" s="133"/>
    </row>
    <row r="610" spans="2:18" ht="29.1" customHeight="1">
      <c r="B610" s="1508"/>
      <c r="C610" s="133"/>
      <c r="D610" s="153"/>
      <c r="E610" s="153"/>
      <c r="F610" s="1507"/>
      <c r="G610" s="1507"/>
      <c r="H610" s="1507"/>
      <c r="I610" s="1507"/>
      <c r="J610" s="1507"/>
      <c r="K610" s="1507"/>
      <c r="L610" s="1507"/>
      <c r="M610" s="1507"/>
      <c r="N610" s="1507"/>
      <c r="O610" s="153"/>
      <c r="P610" s="848"/>
      <c r="Q610" s="133"/>
      <c r="R610" s="133"/>
    </row>
    <row r="611" spans="2:18" ht="29.1" customHeight="1">
      <c r="B611" s="1508"/>
      <c r="C611" s="133"/>
      <c r="D611" s="153"/>
      <c r="E611" s="153"/>
      <c r="F611" s="1507"/>
      <c r="G611" s="1507"/>
      <c r="H611" s="1507"/>
      <c r="I611" s="1507"/>
      <c r="J611" s="1507"/>
      <c r="K611" s="1507"/>
      <c r="L611" s="1507"/>
      <c r="M611" s="1507"/>
      <c r="N611" s="1507"/>
      <c r="O611" s="153"/>
      <c r="P611" s="848"/>
      <c r="Q611" s="133"/>
      <c r="R611" s="133"/>
    </row>
    <row r="612" spans="2:18" ht="29.1" customHeight="1">
      <c r="B612" s="1508"/>
      <c r="C612" s="133"/>
      <c r="D612" s="153"/>
      <c r="E612" s="153"/>
      <c r="F612" s="1507"/>
      <c r="G612" s="1507"/>
      <c r="H612" s="1507"/>
      <c r="I612" s="1507"/>
      <c r="J612" s="1507"/>
      <c r="K612" s="1507"/>
      <c r="L612" s="1507"/>
      <c r="M612" s="1507"/>
      <c r="N612" s="1507"/>
      <c r="O612" s="153"/>
      <c r="P612" s="848"/>
      <c r="Q612" s="133"/>
      <c r="R612" s="133"/>
    </row>
    <row r="613" spans="2:18" ht="29.1" customHeight="1">
      <c r="B613" s="1508"/>
      <c r="C613" s="133"/>
      <c r="D613" s="153"/>
      <c r="E613" s="153"/>
      <c r="F613" s="1507"/>
      <c r="G613" s="1507"/>
      <c r="H613" s="1507"/>
      <c r="I613" s="1507"/>
      <c r="J613" s="1507"/>
      <c r="K613" s="1507"/>
      <c r="L613" s="1507"/>
      <c r="M613" s="1507"/>
      <c r="N613" s="1507"/>
      <c r="O613" s="153"/>
      <c r="P613" s="848"/>
      <c r="Q613" s="133"/>
      <c r="R613" s="133"/>
    </row>
    <row r="614" spans="2:18" ht="29.1" customHeight="1">
      <c r="B614" s="1508"/>
      <c r="C614" s="133"/>
      <c r="D614" s="153"/>
      <c r="E614" s="153"/>
      <c r="F614" s="1507"/>
      <c r="G614" s="1507"/>
      <c r="H614" s="1507"/>
      <c r="I614" s="1507"/>
      <c r="J614" s="1507"/>
      <c r="K614" s="1507"/>
      <c r="L614" s="1507"/>
      <c r="M614" s="1507"/>
      <c r="N614" s="1507"/>
      <c r="O614" s="153"/>
      <c r="P614" s="848"/>
      <c r="Q614" s="133"/>
      <c r="R614" s="133"/>
    </row>
    <row r="615" spans="2:18" ht="29.1" customHeight="1">
      <c r="B615" s="1508"/>
      <c r="C615" s="133"/>
      <c r="D615" s="153"/>
      <c r="E615" s="153"/>
      <c r="F615" s="1507"/>
      <c r="G615" s="1507"/>
      <c r="H615" s="1507"/>
      <c r="I615" s="1507"/>
      <c r="J615" s="1507"/>
      <c r="K615" s="1507"/>
      <c r="L615" s="1507"/>
      <c r="M615" s="1507"/>
      <c r="N615" s="1507"/>
      <c r="O615" s="153"/>
      <c r="P615" s="848"/>
      <c r="Q615" s="133"/>
      <c r="R615" s="133"/>
    </row>
    <row r="616" spans="2:18" ht="29.1" customHeight="1">
      <c r="B616" s="1508"/>
      <c r="C616" s="133"/>
      <c r="D616" s="153"/>
      <c r="E616" s="153"/>
      <c r="F616" s="1507"/>
      <c r="G616" s="1507"/>
      <c r="H616" s="1507"/>
      <c r="I616" s="1507"/>
      <c r="J616" s="1507"/>
      <c r="K616" s="1507"/>
      <c r="L616" s="1507"/>
      <c r="M616" s="1507"/>
      <c r="N616" s="1507"/>
      <c r="O616" s="153"/>
      <c r="P616" s="848"/>
      <c r="Q616" s="133"/>
      <c r="R616" s="133"/>
    </row>
    <row r="617" spans="2:18" ht="29.1" customHeight="1">
      <c r="B617" s="1508"/>
      <c r="C617" s="133"/>
      <c r="D617" s="153"/>
      <c r="E617" s="153"/>
      <c r="F617" s="1507"/>
      <c r="G617" s="1507"/>
      <c r="H617" s="1507"/>
      <c r="I617" s="1507"/>
      <c r="J617" s="1507"/>
      <c r="K617" s="1507"/>
      <c r="L617" s="1507"/>
      <c r="M617" s="1507"/>
      <c r="N617" s="1507"/>
      <c r="O617" s="153"/>
      <c r="P617" s="848"/>
      <c r="Q617" s="133"/>
      <c r="R617" s="133"/>
    </row>
    <row r="618" spans="2:18" ht="29.1" customHeight="1">
      <c r="B618" s="1508"/>
      <c r="C618" s="133"/>
      <c r="D618" s="153"/>
      <c r="E618" s="153"/>
      <c r="F618" s="1507"/>
      <c r="G618" s="1507"/>
      <c r="H618" s="1507"/>
      <c r="I618" s="1507"/>
      <c r="J618" s="1507"/>
      <c r="K618" s="1507"/>
      <c r="L618" s="1507"/>
      <c r="M618" s="1507"/>
      <c r="N618" s="1507"/>
      <c r="O618" s="131"/>
      <c r="P618" s="131"/>
      <c r="Q618" s="133"/>
      <c r="R618" s="133"/>
    </row>
    <row r="619" spans="2:18" ht="29.1" customHeight="1">
      <c r="B619" s="1508"/>
      <c r="C619" s="133"/>
      <c r="D619" s="153"/>
      <c r="E619" s="153"/>
      <c r="F619" s="1507"/>
      <c r="G619" s="1507"/>
      <c r="H619" s="1507"/>
      <c r="I619" s="1507"/>
      <c r="J619" s="1507"/>
      <c r="K619" s="1507"/>
      <c r="L619" s="1507"/>
      <c r="M619" s="1507"/>
      <c r="N619" s="1507"/>
      <c r="O619" s="153"/>
      <c r="P619" s="848"/>
      <c r="Q619" s="133"/>
      <c r="R619" s="133"/>
    </row>
    <row r="620" spans="2:18" ht="29.1" customHeight="1">
      <c r="B620" s="1508"/>
      <c r="C620" s="133"/>
      <c r="D620" s="153"/>
      <c r="E620" s="153"/>
      <c r="F620" s="1507"/>
      <c r="G620" s="1507"/>
      <c r="H620" s="1507"/>
      <c r="I620" s="1507"/>
      <c r="J620" s="1507"/>
      <c r="K620" s="1507"/>
      <c r="L620" s="1507"/>
      <c r="M620" s="1507"/>
      <c r="N620" s="1507"/>
      <c r="O620" s="153"/>
      <c r="P620" s="848"/>
      <c r="Q620" s="133"/>
      <c r="R620" s="133"/>
    </row>
    <row r="621" spans="2:18" ht="29.1" customHeight="1">
      <c r="B621" s="1508"/>
      <c r="C621" s="133"/>
      <c r="D621" s="153"/>
      <c r="E621" s="153"/>
      <c r="F621" s="1507"/>
      <c r="G621" s="1507"/>
      <c r="H621" s="1507"/>
      <c r="I621" s="1507"/>
      <c r="J621" s="1507"/>
      <c r="K621" s="1507"/>
      <c r="L621" s="1507"/>
      <c r="M621" s="1507"/>
      <c r="N621" s="1507"/>
      <c r="O621" s="153"/>
      <c r="P621" s="848"/>
      <c r="Q621" s="133"/>
      <c r="R621" s="133"/>
    </row>
    <row r="622" spans="2:18" ht="29.1" customHeight="1">
      <c r="B622" s="1508"/>
      <c r="C622" s="133"/>
      <c r="D622" s="153"/>
      <c r="E622" s="153"/>
      <c r="F622" s="1507"/>
      <c r="G622" s="1507"/>
      <c r="H622" s="1507"/>
      <c r="I622" s="1507"/>
      <c r="J622" s="1507"/>
      <c r="K622" s="1507"/>
      <c r="L622" s="1507"/>
      <c r="M622" s="1507"/>
      <c r="N622" s="1507"/>
      <c r="O622" s="153"/>
      <c r="P622" s="848"/>
      <c r="Q622" s="133"/>
      <c r="R622" s="133"/>
    </row>
    <row r="623" spans="2:18" ht="29.1" customHeight="1">
      <c r="B623" s="1508"/>
      <c r="C623" s="133"/>
      <c r="D623" s="153"/>
      <c r="E623" s="153"/>
      <c r="F623" s="1507"/>
      <c r="G623" s="1507"/>
      <c r="H623" s="1507"/>
      <c r="I623" s="1507"/>
      <c r="J623" s="1507"/>
      <c r="K623" s="1507"/>
      <c r="L623" s="1507"/>
      <c r="M623" s="1507"/>
      <c r="N623" s="1507"/>
      <c r="O623" s="153"/>
      <c r="P623" s="848"/>
      <c r="Q623" s="133"/>
      <c r="R623" s="133"/>
    </row>
    <row r="624" spans="2:18" ht="29.1" customHeight="1">
      <c r="B624" s="1508"/>
      <c r="C624" s="133"/>
      <c r="D624" s="153"/>
      <c r="E624" s="153"/>
      <c r="F624" s="1507"/>
      <c r="G624" s="1507"/>
      <c r="H624" s="1507"/>
      <c r="I624" s="1507"/>
      <c r="J624" s="1507"/>
      <c r="K624" s="1507"/>
      <c r="L624" s="1507"/>
      <c r="M624" s="1507"/>
      <c r="N624" s="1507"/>
      <c r="O624" s="153"/>
      <c r="P624" s="848"/>
      <c r="Q624" s="133"/>
      <c r="R624" s="133"/>
    </row>
    <row r="625" spans="2:18" ht="29.1" customHeight="1">
      <c r="B625" s="1508"/>
      <c r="C625" s="133"/>
      <c r="D625" s="153"/>
      <c r="E625" s="153"/>
      <c r="F625" s="1507"/>
      <c r="G625" s="1507"/>
      <c r="H625" s="1507"/>
      <c r="I625" s="1507"/>
      <c r="J625" s="1507"/>
      <c r="K625" s="1507"/>
      <c r="L625" s="1507"/>
      <c r="M625" s="1507"/>
      <c r="N625" s="1507"/>
      <c r="O625" s="153"/>
      <c r="P625" s="848"/>
      <c r="Q625" s="133"/>
      <c r="R625" s="133"/>
    </row>
    <row r="626" spans="2:18" ht="29.1" customHeight="1">
      <c r="B626" s="1508"/>
      <c r="C626" s="133"/>
      <c r="D626" s="153"/>
      <c r="E626" s="153"/>
      <c r="F626" s="1507"/>
      <c r="G626" s="1507"/>
      <c r="H626" s="1507"/>
      <c r="I626" s="1507"/>
      <c r="J626" s="1507"/>
      <c r="K626" s="1507"/>
      <c r="L626" s="1507"/>
      <c r="M626" s="1507"/>
      <c r="N626" s="1507"/>
      <c r="O626" s="153"/>
      <c r="P626" s="848"/>
      <c r="Q626" s="133"/>
      <c r="R626" s="133"/>
    </row>
    <row r="627" spans="2:18" ht="29.1" customHeight="1">
      <c r="B627" s="1508"/>
      <c r="C627" s="133"/>
      <c r="D627" s="153"/>
      <c r="E627" s="153"/>
      <c r="F627" s="1507"/>
      <c r="G627" s="1507"/>
      <c r="H627" s="1507"/>
      <c r="I627" s="1507"/>
      <c r="J627" s="1507"/>
      <c r="K627" s="1507"/>
      <c r="L627" s="1507"/>
      <c r="M627" s="1507"/>
      <c r="N627" s="1507"/>
      <c r="O627" s="153"/>
      <c r="P627" s="848"/>
      <c r="Q627" s="133"/>
      <c r="R627" s="133"/>
    </row>
    <row r="628" spans="2:18" ht="29.1" customHeight="1">
      <c r="B628" s="1508"/>
      <c r="C628" s="133"/>
      <c r="D628" s="153"/>
      <c r="E628" s="153"/>
      <c r="F628" s="1507"/>
      <c r="G628" s="1507"/>
      <c r="H628" s="1507"/>
      <c r="I628" s="1507"/>
      <c r="J628" s="1507"/>
      <c r="K628" s="1507"/>
      <c r="L628" s="1507"/>
      <c r="M628" s="1507"/>
      <c r="N628" s="1507"/>
      <c r="O628" s="153"/>
      <c r="P628" s="848"/>
      <c r="Q628" s="133"/>
      <c r="R628" s="133"/>
    </row>
    <row r="629" spans="2:18" ht="29.1" customHeight="1">
      <c r="B629" s="1508"/>
      <c r="C629" s="133"/>
      <c r="D629" s="153"/>
      <c r="E629" s="153"/>
      <c r="F629" s="1507"/>
      <c r="G629" s="1507"/>
      <c r="H629" s="1507"/>
      <c r="I629" s="1507"/>
      <c r="J629" s="1507"/>
      <c r="K629" s="1507"/>
      <c r="L629" s="1507"/>
      <c r="M629" s="1507"/>
      <c r="N629" s="1507"/>
      <c r="O629" s="153"/>
      <c r="P629" s="848"/>
      <c r="Q629" s="133"/>
      <c r="R629" s="133"/>
    </row>
    <row r="630" spans="2:18" ht="29.1" customHeight="1">
      <c r="B630" s="1508"/>
      <c r="C630" s="133"/>
      <c r="D630" s="153"/>
      <c r="E630" s="153"/>
      <c r="F630" s="1507"/>
      <c r="G630" s="1507"/>
      <c r="H630" s="1507"/>
      <c r="I630" s="1507"/>
      <c r="J630" s="1507"/>
      <c r="K630" s="1507"/>
      <c r="L630" s="1507"/>
      <c r="M630" s="1507"/>
      <c r="N630" s="1507"/>
      <c r="O630" s="153"/>
      <c r="P630" s="848"/>
      <c r="Q630" s="133"/>
      <c r="R630" s="133"/>
    </row>
    <row r="631" spans="2:18" ht="29.1" customHeight="1">
      <c r="B631" s="1508"/>
      <c r="C631" s="133"/>
      <c r="D631" s="153"/>
      <c r="E631" s="153"/>
      <c r="F631" s="1507"/>
      <c r="G631" s="1507"/>
      <c r="H631" s="1507"/>
      <c r="I631" s="1507"/>
      <c r="J631" s="1507"/>
      <c r="K631" s="1507"/>
      <c r="L631" s="1507"/>
      <c r="M631" s="1507"/>
      <c r="N631" s="1507"/>
      <c r="O631" s="153"/>
      <c r="P631" s="848"/>
      <c r="Q631" s="133"/>
      <c r="R631" s="133"/>
    </row>
    <row r="632" spans="2:18" ht="29.1" customHeight="1">
      <c r="B632" s="1508"/>
      <c r="C632" s="133"/>
      <c r="D632" s="153"/>
      <c r="E632" s="153"/>
      <c r="F632" s="1507"/>
      <c r="G632" s="1507"/>
      <c r="H632" s="1507"/>
      <c r="I632" s="1507"/>
      <c r="J632" s="1507"/>
      <c r="K632" s="1507"/>
      <c r="L632" s="1507"/>
      <c r="M632" s="1507"/>
      <c r="N632" s="1507"/>
      <c r="O632" s="153"/>
      <c r="P632" s="848"/>
      <c r="Q632" s="133"/>
      <c r="R632" s="133"/>
    </row>
    <row r="633" spans="2:18" ht="29.1" customHeight="1">
      <c r="B633" s="1508"/>
      <c r="C633" s="133"/>
      <c r="D633" s="153"/>
      <c r="E633" s="153"/>
      <c r="F633" s="1507"/>
      <c r="G633" s="1507"/>
      <c r="H633" s="1507"/>
      <c r="I633" s="1507"/>
      <c r="J633" s="1507"/>
      <c r="K633" s="1507"/>
      <c r="L633" s="1507"/>
      <c r="M633" s="1507"/>
      <c r="N633" s="1507"/>
      <c r="O633" s="153"/>
      <c r="P633" s="848"/>
      <c r="Q633" s="133"/>
      <c r="R633" s="133"/>
    </row>
    <row r="634" spans="2:18" ht="29.1" customHeight="1">
      <c r="B634" s="1508"/>
      <c r="C634" s="133"/>
      <c r="D634" s="153"/>
      <c r="E634" s="153"/>
      <c r="F634" s="1507"/>
      <c r="G634" s="1507"/>
      <c r="H634" s="1507"/>
      <c r="I634" s="1507"/>
      <c r="J634" s="1507"/>
      <c r="K634" s="1507"/>
      <c r="L634" s="1507"/>
      <c r="M634" s="1507"/>
      <c r="N634" s="1507"/>
      <c r="O634" s="153"/>
      <c r="P634" s="848"/>
      <c r="Q634" s="133"/>
      <c r="R634" s="133"/>
    </row>
    <row r="635" spans="2:18" ht="29.1" customHeight="1">
      <c r="B635" s="1508"/>
      <c r="C635" s="133"/>
      <c r="D635" s="153"/>
      <c r="E635" s="153"/>
      <c r="F635" s="1507"/>
      <c r="G635" s="1507"/>
      <c r="H635" s="1507"/>
      <c r="I635" s="1507"/>
      <c r="J635" s="1507"/>
      <c r="K635" s="1507"/>
      <c r="L635" s="1507"/>
      <c r="M635" s="1507"/>
      <c r="N635" s="1507"/>
      <c r="O635" s="153"/>
      <c r="P635" s="848"/>
      <c r="Q635" s="133"/>
      <c r="R635" s="133"/>
    </row>
    <row r="636" spans="2:18" ht="29.1" customHeight="1">
      <c r="B636" s="1508"/>
      <c r="C636" s="133"/>
      <c r="D636" s="153"/>
      <c r="E636" s="153"/>
      <c r="F636" s="1507"/>
      <c r="G636" s="1507"/>
      <c r="H636" s="1507"/>
      <c r="I636" s="1507"/>
      <c r="J636" s="1507"/>
      <c r="K636" s="1507"/>
      <c r="L636" s="1507"/>
      <c r="M636" s="1507"/>
      <c r="N636" s="1507"/>
      <c r="O636" s="153"/>
      <c r="P636" s="848"/>
      <c r="Q636" s="133"/>
      <c r="R636" s="133"/>
    </row>
    <row r="637" spans="2:18" ht="29.1" customHeight="1">
      <c r="B637" s="1508"/>
      <c r="C637" s="133"/>
      <c r="D637" s="153"/>
      <c r="E637" s="153"/>
      <c r="F637" s="1507"/>
      <c r="G637" s="1507"/>
      <c r="H637" s="1507"/>
      <c r="I637" s="1507"/>
      <c r="J637" s="1507"/>
      <c r="K637" s="1507"/>
      <c r="L637" s="1507"/>
      <c r="M637" s="1507"/>
      <c r="N637" s="1507"/>
      <c r="O637" s="153"/>
      <c r="P637" s="848"/>
      <c r="Q637" s="133"/>
      <c r="R637" s="133"/>
    </row>
    <row r="638" spans="2:18" ht="29.1" customHeight="1">
      <c r="B638" s="1508"/>
      <c r="C638" s="133"/>
      <c r="D638" s="153"/>
      <c r="E638" s="153"/>
      <c r="F638" s="1507"/>
      <c r="G638" s="1507"/>
      <c r="H638" s="1507"/>
      <c r="I638" s="1507"/>
      <c r="J638" s="1507"/>
      <c r="K638" s="1507"/>
      <c r="L638" s="1507"/>
      <c r="M638" s="1507"/>
      <c r="N638" s="1507"/>
      <c r="O638" s="153"/>
      <c r="P638" s="848"/>
      <c r="Q638" s="133"/>
      <c r="R638" s="133"/>
    </row>
    <row r="639" spans="2:18" ht="29.1" customHeight="1">
      <c r="B639" s="1508"/>
      <c r="C639" s="133"/>
      <c r="D639" s="153"/>
      <c r="E639" s="153"/>
      <c r="F639" s="1507"/>
      <c r="G639" s="1507"/>
      <c r="H639" s="1507"/>
      <c r="I639" s="1507"/>
      <c r="J639" s="1507"/>
      <c r="K639" s="1507"/>
      <c r="L639" s="1507"/>
      <c r="M639" s="1507"/>
      <c r="N639" s="1507"/>
      <c r="O639" s="153"/>
      <c r="P639" s="848"/>
      <c r="Q639" s="133"/>
      <c r="R639" s="133"/>
    </row>
    <row r="640" spans="2:18" ht="29.1" customHeight="1">
      <c r="B640" s="1508"/>
      <c r="C640" s="133"/>
      <c r="D640" s="153"/>
      <c r="E640" s="153"/>
      <c r="F640" s="1507"/>
      <c r="G640" s="1507"/>
      <c r="H640" s="1507"/>
      <c r="I640" s="1507"/>
      <c r="J640" s="1507"/>
      <c r="K640" s="1507"/>
      <c r="L640" s="1507"/>
      <c r="M640" s="1507"/>
      <c r="N640" s="1507"/>
      <c r="O640" s="153"/>
      <c r="P640" s="848"/>
      <c r="Q640" s="133"/>
      <c r="R640" s="133"/>
    </row>
    <row r="641" spans="2:18" ht="29.1" customHeight="1">
      <c r="B641" s="1508"/>
      <c r="C641" s="133"/>
      <c r="D641" s="153"/>
      <c r="E641" s="153"/>
      <c r="F641" s="1507"/>
      <c r="G641" s="1507"/>
      <c r="H641" s="1507"/>
      <c r="I641" s="1507"/>
      <c r="J641" s="1507"/>
      <c r="K641" s="1507"/>
      <c r="L641" s="1507"/>
      <c r="M641" s="1507"/>
      <c r="N641" s="1507"/>
      <c r="O641" s="153"/>
      <c r="P641" s="848"/>
      <c r="Q641" s="133"/>
      <c r="R641" s="133"/>
    </row>
    <row r="642" spans="2:18" ht="29.1" customHeight="1">
      <c r="B642" s="1508"/>
      <c r="C642" s="133"/>
      <c r="D642" s="153"/>
      <c r="E642" s="153"/>
      <c r="F642" s="1507"/>
      <c r="G642" s="1507"/>
      <c r="H642" s="1507"/>
      <c r="I642" s="1507"/>
      <c r="J642" s="1507"/>
      <c r="K642" s="1507"/>
      <c r="L642" s="1507"/>
      <c r="M642" s="1507"/>
      <c r="N642" s="1507"/>
      <c r="O642" s="153"/>
      <c r="P642" s="848"/>
      <c r="Q642" s="133"/>
      <c r="R642" s="133"/>
    </row>
    <row r="643" spans="2:18" ht="29.1" customHeight="1">
      <c r="B643" s="1508"/>
      <c r="C643" s="133"/>
      <c r="D643" s="153"/>
      <c r="E643" s="153"/>
      <c r="F643" s="1507"/>
      <c r="G643" s="1507"/>
      <c r="H643" s="1507"/>
      <c r="I643" s="1507"/>
      <c r="J643" s="1507"/>
      <c r="K643" s="1507"/>
      <c r="L643" s="1507"/>
      <c r="M643" s="1507"/>
      <c r="N643" s="1507"/>
      <c r="O643" s="153"/>
      <c r="P643" s="848"/>
      <c r="Q643" s="133"/>
      <c r="R643" s="133"/>
    </row>
    <row r="644" spans="2:18" ht="29.1" customHeight="1">
      <c r="B644" s="1508"/>
      <c r="C644" s="133"/>
      <c r="D644" s="153"/>
      <c r="E644" s="153"/>
      <c r="F644" s="1507"/>
      <c r="G644" s="1507"/>
      <c r="H644" s="1507"/>
      <c r="I644" s="1507"/>
      <c r="J644" s="1507"/>
      <c r="K644" s="1507"/>
      <c r="L644" s="1507"/>
      <c r="M644" s="1507"/>
      <c r="N644" s="1507"/>
      <c r="O644" s="153"/>
      <c r="P644" s="848"/>
      <c r="Q644" s="133"/>
      <c r="R644" s="133"/>
    </row>
    <row r="645" spans="2:18" ht="29.1" customHeight="1">
      <c r="B645" s="1508"/>
      <c r="C645" s="133"/>
      <c r="D645" s="153"/>
      <c r="E645" s="153"/>
      <c r="F645" s="1507"/>
      <c r="G645" s="1507"/>
      <c r="H645" s="1507"/>
      <c r="I645" s="1507"/>
      <c r="J645" s="1507"/>
      <c r="K645" s="1507"/>
      <c r="L645" s="1507"/>
      <c r="M645" s="1507"/>
      <c r="N645" s="1507"/>
      <c r="O645" s="153"/>
      <c r="P645" s="848"/>
      <c r="Q645" s="133"/>
      <c r="R645" s="133"/>
    </row>
    <row r="646" spans="2:18" ht="23.1" customHeight="1">
      <c r="B646" s="1578"/>
      <c r="C646" s="1578"/>
      <c r="D646" s="1578"/>
      <c r="E646" s="1578"/>
      <c r="F646" s="1578"/>
      <c r="G646" s="1578"/>
      <c r="H646" s="1578"/>
      <c r="I646" s="1578"/>
      <c r="J646" s="1578"/>
      <c r="K646" s="1488"/>
      <c r="L646" s="1488"/>
      <c r="M646" s="1488"/>
      <c r="N646" s="1488"/>
      <c r="O646" s="1488"/>
      <c r="P646" s="847"/>
      <c r="Q646" s="133"/>
      <c r="R646" s="133"/>
    </row>
    <row r="647" spans="2:18" ht="23.1" customHeight="1">
      <c r="B647" s="1578"/>
      <c r="C647" s="1578"/>
      <c r="D647" s="1578"/>
      <c r="E647" s="1578"/>
      <c r="F647" s="1578"/>
      <c r="G647" s="1578"/>
      <c r="H647" s="1578"/>
      <c r="I647" s="1578"/>
      <c r="J647" s="1578"/>
      <c r="K647" s="1579"/>
      <c r="L647" s="1579"/>
      <c r="M647" s="1579"/>
      <c r="N647" s="1579"/>
      <c r="O647" s="1579"/>
      <c r="P647" s="871"/>
      <c r="Q647" s="133"/>
      <c r="R647" s="133"/>
    </row>
    <row r="648" spans="2:18" ht="24" customHeight="1">
      <c r="B648" s="1519"/>
      <c r="C648" s="1519"/>
      <c r="D648" s="1519"/>
      <c r="E648" s="1519"/>
      <c r="F648" s="1519"/>
      <c r="G648" s="1519"/>
      <c r="H648" s="1519"/>
      <c r="I648" s="1519"/>
      <c r="J648" s="1519"/>
      <c r="K648" s="1519"/>
      <c r="L648" s="1519"/>
      <c r="M648" s="1519"/>
      <c r="N648" s="1519"/>
      <c r="O648" s="1519"/>
      <c r="P648" s="850"/>
      <c r="Q648" s="133"/>
      <c r="R648" s="133"/>
    </row>
    <row r="649" spans="2:18" ht="24" customHeight="1">
      <c r="B649" s="1519"/>
      <c r="C649" s="133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19"/>
      <c r="P649" s="850"/>
      <c r="Q649" s="133"/>
      <c r="R649" s="133"/>
    </row>
    <row r="650" spans="2:18" ht="24" customHeight="1">
      <c r="B650" s="1519"/>
      <c r="C650" s="133"/>
      <c r="D650" s="154"/>
      <c r="E650" s="154"/>
      <c r="F650" s="154"/>
      <c r="G650" s="154"/>
      <c r="H650" s="152"/>
      <c r="I650" s="154"/>
      <c r="J650" s="154"/>
      <c r="K650" s="152"/>
      <c r="L650" s="154"/>
      <c r="M650" s="154"/>
      <c r="N650" s="152"/>
      <c r="O650" s="1519"/>
      <c r="P650" s="850"/>
      <c r="Q650" s="133"/>
      <c r="R650" s="133"/>
    </row>
    <row r="651" spans="2:18" ht="24" customHeight="1">
      <c r="B651" s="1519"/>
      <c r="C651" s="133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19"/>
      <c r="P651" s="850"/>
      <c r="Q651" s="133"/>
      <c r="R651" s="133"/>
    </row>
    <row r="652" spans="2:18" ht="27.6" customHeight="1">
      <c r="B652" s="1508"/>
      <c r="C652" s="133"/>
      <c r="D652" s="152"/>
      <c r="E652" s="152"/>
      <c r="F652" s="1519"/>
      <c r="G652" s="1519"/>
      <c r="H652" s="1519"/>
      <c r="I652" s="1507"/>
      <c r="J652" s="1507"/>
      <c r="K652" s="1507"/>
      <c r="L652" s="1507"/>
      <c r="M652" s="1507"/>
      <c r="N652" s="1507"/>
      <c r="O652" s="131"/>
      <c r="P652" s="131"/>
      <c r="Q652" s="133"/>
      <c r="R652" s="133"/>
    </row>
    <row r="653" spans="2:18" ht="27.6" customHeight="1">
      <c r="B653" s="1508"/>
      <c r="C653" s="133"/>
      <c r="D653" s="152"/>
      <c r="E653" s="152"/>
      <c r="F653" s="1519"/>
      <c r="G653" s="1519"/>
      <c r="H653" s="1519"/>
      <c r="I653" s="1507"/>
      <c r="J653" s="1507"/>
      <c r="K653" s="1507"/>
      <c r="L653" s="1507"/>
      <c r="M653" s="1507"/>
      <c r="N653" s="1507"/>
      <c r="O653" s="131"/>
      <c r="P653" s="131"/>
      <c r="Q653" s="133"/>
      <c r="R653" s="133"/>
    </row>
    <row r="654" spans="2:18" ht="27.6" customHeight="1">
      <c r="B654" s="1508"/>
      <c r="C654" s="133"/>
      <c r="D654" s="152"/>
      <c r="E654" s="152"/>
      <c r="F654" s="1519"/>
      <c r="G654" s="1519"/>
      <c r="H654" s="1519"/>
      <c r="I654" s="1507"/>
      <c r="J654" s="1507"/>
      <c r="K654" s="1507"/>
      <c r="L654" s="1507"/>
      <c r="M654" s="1507"/>
      <c r="N654" s="1507"/>
      <c r="O654" s="131"/>
      <c r="P654" s="131"/>
      <c r="Q654" s="133"/>
      <c r="R654" s="133"/>
    </row>
    <row r="655" spans="2:18" ht="27.6" customHeight="1">
      <c r="B655" s="1508"/>
      <c r="C655" s="133"/>
      <c r="D655" s="152"/>
      <c r="E655" s="152"/>
      <c r="F655" s="1519"/>
      <c r="G655" s="1519"/>
      <c r="H655" s="1519"/>
      <c r="I655" s="1507"/>
      <c r="J655" s="1507"/>
      <c r="K655" s="1507"/>
      <c r="L655" s="1507"/>
      <c r="M655" s="1507"/>
      <c r="N655" s="1507"/>
      <c r="O655" s="131"/>
      <c r="P655" s="131"/>
      <c r="Q655" s="133"/>
      <c r="R655" s="133"/>
    </row>
    <row r="656" spans="2:18" ht="27.6" customHeight="1">
      <c r="B656" s="1508"/>
      <c r="C656" s="133"/>
      <c r="D656" s="152"/>
      <c r="E656" s="152"/>
      <c r="F656" s="1519"/>
      <c r="G656" s="1519"/>
      <c r="H656" s="1519"/>
      <c r="I656" s="1507"/>
      <c r="J656" s="1507"/>
      <c r="K656" s="1507"/>
      <c r="L656" s="1507"/>
      <c r="M656" s="1507"/>
      <c r="N656" s="1507"/>
      <c r="O656" s="131"/>
      <c r="P656" s="131"/>
      <c r="Q656" s="133"/>
      <c r="R656" s="133"/>
    </row>
    <row r="657" spans="2:18" ht="27.6" customHeight="1">
      <c r="B657" s="1508"/>
      <c r="C657" s="133"/>
      <c r="D657" s="152"/>
      <c r="E657" s="152"/>
      <c r="F657" s="1519"/>
      <c r="G657" s="1519"/>
      <c r="H657" s="1519"/>
      <c r="I657" s="1507"/>
      <c r="J657" s="1507"/>
      <c r="K657" s="1507"/>
      <c r="L657" s="1507"/>
      <c r="M657" s="1507"/>
      <c r="N657" s="1507"/>
      <c r="O657" s="131"/>
      <c r="P657" s="131"/>
      <c r="Q657" s="133"/>
      <c r="R657" s="133"/>
    </row>
    <row r="658" spans="2:18" ht="27.6" customHeight="1">
      <c r="B658" s="1508"/>
      <c r="C658" s="133"/>
      <c r="D658" s="152"/>
      <c r="E658" s="152"/>
      <c r="F658" s="1519"/>
      <c r="G658" s="1519"/>
      <c r="H658" s="1519"/>
      <c r="I658" s="1507"/>
      <c r="J658" s="1507"/>
      <c r="K658" s="1507"/>
      <c r="L658" s="1507"/>
      <c r="M658" s="1507"/>
      <c r="N658" s="1507"/>
      <c r="O658" s="131"/>
      <c r="P658" s="131"/>
      <c r="Q658" s="133"/>
      <c r="R658" s="133"/>
    </row>
    <row r="659" spans="2:18" ht="27.6" customHeight="1">
      <c r="B659" s="1508"/>
      <c r="C659" s="133"/>
      <c r="D659" s="152"/>
      <c r="E659" s="152"/>
      <c r="F659" s="1519"/>
      <c r="G659" s="1519"/>
      <c r="H659" s="1519"/>
      <c r="I659" s="1507"/>
      <c r="J659" s="1507"/>
      <c r="K659" s="1507"/>
      <c r="L659" s="1507"/>
      <c r="M659" s="1507"/>
      <c r="N659" s="1507"/>
      <c r="O659" s="131"/>
      <c r="P659" s="131"/>
      <c r="Q659" s="133"/>
      <c r="R659" s="133"/>
    </row>
    <row r="660" spans="2:18" ht="27.6" customHeight="1">
      <c r="B660" s="1508"/>
      <c r="C660" s="133"/>
      <c r="D660" s="152"/>
      <c r="E660" s="152"/>
      <c r="F660" s="1519"/>
      <c r="G660" s="1519"/>
      <c r="H660" s="1519"/>
      <c r="I660" s="1507"/>
      <c r="J660" s="1507"/>
      <c r="K660" s="1507"/>
      <c r="L660" s="1507"/>
      <c r="M660" s="1507"/>
      <c r="N660" s="1507"/>
      <c r="O660" s="131"/>
      <c r="P660" s="131"/>
      <c r="Q660" s="133"/>
      <c r="R660" s="133"/>
    </row>
    <row r="661" spans="2:18" ht="27.6" customHeight="1">
      <c r="B661" s="1508"/>
      <c r="C661" s="133"/>
      <c r="D661" s="152"/>
      <c r="E661" s="152"/>
      <c r="F661" s="1519"/>
      <c r="G661" s="1519"/>
      <c r="H661" s="1519"/>
      <c r="I661" s="1507"/>
      <c r="J661" s="1507"/>
      <c r="K661" s="1507"/>
      <c r="L661" s="1507"/>
      <c r="M661" s="1507"/>
      <c r="N661" s="1507"/>
      <c r="O661" s="131"/>
      <c r="P661" s="131"/>
      <c r="Q661" s="133"/>
      <c r="R661" s="133"/>
    </row>
    <row r="662" spans="2:18" ht="27.6" customHeight="1">
      <c r="B662" s="1508"/>
      <c r="C662" s="133"/>
      <c r="D662" s="152"/>
      <c r="E662" s="152"/>
      <c r="F662" s="1519"/>
      <c r="G662" s="1519"/>
      <c r="H662" s="1519"/>
      <c r="I662" s="1507"/>
      <c r="J662" s="1507"/>
      <c r="K662" s="1507"/>
      <c r="L662" s="1507"/>
      <c r="M662" s="1507"/>
      <c r="N662" s="1507"/>
      <c r="O662" s="131"/>
      <c r="P662" s="131"/>
      <c r="Q662" s="133"/>
      <c r="R662" s="133"/>
    </row>
    <row r="663" spans="2:18" ht="27.6" customHeight="1">
      <c r="B663" s="1508"/>
      <c r="C663" s="133"/>
      <c r="D663" s="152"/>
      <c r="E663" s="152"/>
      <c r="F663" s="1519"/>
      <c r="G663" s="1519"/>
      <c r="H663" s="1519"/>
      <c r="I663" s="1507"/>
      <c r="J663" s="1507"/>
      <c r="K663" s="1507"/>
      <c r="L663" s="1507"/>
      <c r="M663" s="1507"/>
      <c r="N663" s="1507"/>
      <c r="O663" s="131"/>
      <c r="P663" s="131"/>
      <c r="Q663" s="133"/>
      <c r="R663" s="133"/>
    </row>
    <row r="664" spans="2:18" ht="27.6" customHeight="1">
      <c r="B664" s="1508"/>
      <c r="C664" s="133"/>
      <c r="D664" s="152"/>
      <c r="E664" s="152"/>
      <c r="F664" s="1519"/>
      <c r="G664" s="1519"/>
      <c r="H664" s="1519"/>
      <c r="I664" s="1507"/>
      <c r="J664" s="1507"/>
      <c r="K664" s="1507"/>
      <c r="L664" s="1507"/>
      <c r="M664" s="1507"/>
      <c r="N664" s="1507"/>
      <c r="O664" s="131"/>
      <c r="P664" s="131"/>
      <c r="Q664" s="133"/>
      <c r="R664" s="133"/>
    </row>
    <row r="665" spans="2:18" ht="27.6" customHeight="1">
      <c r="B665" s="1508"/>
      <c r="C665" s="133"/>
      <c r="D665" s="152"/>
      <c r="E665" s="152"/>
      <c r="F665" s="1519"/>
      <c r="G665" s="1519"/>
      <c r="H665" s="1519"/>
      <c r="I665" s="1507"/>
      <c r="J665" s="1507"/>
      <c r="K665" s="1507"/>
      <c r="L665" s="1507"/>
      <c r="M665" s="1507"/>
      <c r="N665" s="1507"/>
      <c r="O665" s="131"/>
      <c r="P665" s="131"/>
      <c r="Q665" s="133"/>
      <c r="R665" s="133"/>
    </row>
    <row r="666" spans="2:18" ht="27.6" customHeight="1">
      <c r="B666" s="1508"/>
      <c r="C666" s="133"/>
      <c r="D666" s="152"/>
      <c r="E666" s="152"/>
      <c r="F666" s="1519"/>
      <c r="G666" s="1519"/>
      <c r="H666" s="1519"/>
      <c r="I666" s="1507"/>
      <c r="J666" s="1507"/>
      <c r="K666" s="1507"/>
      <c r="L666" s="1507"/>
      <c r="M666" s="1507"/>
      <c r="N666" s="1507"/>
      <c r="O666" s="131"/>
      <c r="P666" s="131"/>
      <c r="Q666" s="133"/>
      <c r="R666" s="133"/>
    </row>
    <row r="667" spans="2:18" ht="27.6" customHeight="1">
      <c r="B667" s="1508"/>
      <c r="C667" s="133"/>
      <c r="D667" s="152"/>
      <c r="E667" s="152"/>
      <c r="F667" s="1519"/>
      <c r="G667" s="1519"/>
      <c r="H667" s="1519"/>
      <c r="I667" s="1507"/>
      <c r="J667" s="1507"/>
      <c r="K667" s="1507"/>
      <c r="L667" s="1507"/>
      <c r="M667" s="1507"/>
      <c r="N667" s="1507"/>
      <c r="O667" s="131"/>
      <c r="P667" s="131"/>
      <c r="Q667" s="133"/>
      <c r="R667" s="133"/>
    </row>
    <row r="668" spans="2:18" ht="27.6" customHeight="1">
      <c r="B668" s="1508"/>
      <c r="C668" s="133"/>
      <c r="D668" s="152"/>
      <c r="E668" s="152"/>
      <c r="F668" s="1519"/>
      <c r="G668" s="1519"/>
      <c r="H668" s="1519"/>
      <c r="I668" s="1507"/>
      <c r="J668" s="1507"/>
      <c r="K668" s="1507"/>
      <c r="L668" s="1507"/>
      <c r="M668" s="1507"/>
      <c r="N668" s="1507"/>
      <c r="O668" s="131"/>
      <c r="P668" s="131"/>
      <c r="Q668" s="133"/>
      <c r="R668" s="133"/>
    </row>
    <row r="669" spans="2:18" ht="27.6" customHeight="1">
      <c r="B669" s="1508"/>
      <c r="C669" s="133"/>
      <c r="D669" s="152"/>
      <c r="E669" s="152"/>
      <c r="F669" s="1519"/>
      <c r="G669" s="1519"/>
      <c r="H669" s="1519"/>
      <c r="I669" s="1507"/>
      <c r="J669" s="1507"/>
      <c r="K669" s="1507"/>
      <c r="L669" s="1507"/>
      <c r="M669" s="1507"/>
      <c r="N669" s="1507"/>
      <c r="O669" s="131"/>
      <c r="P669" s="131"/>
      <c r="Q669" s="133"/>
      <c r="R669" s="133"/>
    </row>
    <row r="670" spans="2:18" ht="27.6" customHeight="1">
      <c r="B670" s="1508"/>
      <c r="C670" s="133"/>
      <c r="D670" s="152"/>
      <c r="E670" s="152"/>
      <c r="F670" s="1519"/>
      <c r="G670" s="1519"/>
      <c r="H670" s="1519"/>
      <c r="I670" s="1507"/>
      <c r="J670" s="1507"/>
      <c r="K670" s="1507"/>
      <c r="L670" s="1507"/>
      <c r="M670" s="1507"/>
      <c r="N670" s="1507"/>
      <c r="O670" s="131"/>
      <c r="P670" s="131"/>
      <c r="Q670" s="133"/>
      <c r="R670" s="133"/>
    </row>
    <row r="671" spans="2:18" ht="27.6" customHeight="1">
      <c r="B671" s="1508"/>
      <c r="C671" s="133"/>
      <c r="D671" s="152"/>
      <c r="E671" s="152"/>
      <c r="F671" s="1519"/>
      <c r="G671" s="1519"/>
      <c r="H671" s="1519"/>
      <c r="I671" s="1507"/>
      <c r="J671" s="1507"/>
      <c r="K671" s="1507"/>
      <c r="L671" s="1507"/>
      <c r="M671" s="1507"/>
      <c r="N671" s="1507"/>
      <c r="O671" s="131"/>
      <c r="P671" s="131"/>
      <c r="Q671" s="133"/>
      <c r="R671" s="133"/>
    </row>
    <row r="672" spans="2:18" ht="27.6" customHeight="1">
      <c r="B672" s="1508"/>
      <c r="C672" s="133"/>
      <c r="D672" s="152"/>
      <c r="E672" s="152"/>
      <c r="F672" s="1519"/>
      <c r="G672" s="1519"/>
      <c r="H672" s="1519"/>
      <c r="I672" s="1507"/>
      <c r="J672" s="1507"/>
      <c r="K672" s="1507"/>
      <c r="L672" s="1507"/>
      <c r="M672" s="1507"/>
      <c r="N672" s="1507"/>
      <c r="O672" s="131"/>
      <c r="P672" s="131"/>
      <c r="Q672" s="133"/>
      <c r="R672" s="133"/>
    </row>
    <row r="673" spans="2:18" ht="27.6" customHeight="1">
      <c r="B673" s="1508"/>
      <c r="C673" s="133"/>
      <c r="D673" s="152"/>
      <c r="E673" s="152"/>
      <c r="F673" s="1519"/>
      <c r="G673" s="1519"/>
      <c r="H673" s="1519"/>
      <c r="I673" s="1507"/>
      <c r="J673" s="1507"/>
      <c r="K673" s="1507"/>
      <c r="L673" s="1507"/>
      <c r="M673" s="1507"/>
      <c r="N673" s="1507"/>
      <c r="O673" s="131"/>
      <c r="P673" s="131"/>
      <c r="Q673" s="133"/>
      <c r="R673" s="133"/>
    </row>
    <row r="674" spans="2:18" ht="27.6" customHeight="1">
      <c r="B674" s="1508"/>
      <c r="C674" s="133"/>
      <c r="D674" s="152"/>
      <c r="E674" s="152"/>
      <c r="F674" s="1519"/>
      <c r="G674" s="1519"/>
      <c r="H674" s="1519"/>
      <c r="I674" s="1507"/>
      <c r="J674" s="1507"/>
      <c r="K674" s="1507"/>
      <c r="L674" s="1507"/>
      <c r="M674" s="1507"/>
      <c r="N674" s="1507"/>
      <c r="O674" s="131"/>
      <c r="P674" s="131"/>
      <c r="Q674" s="133"/>
      <c r="R674" s="133"/>
    </row>
    <row r="675" spans="2:18" ht="27.6" customHeight="1">
      <c r="B675" s="1508"/>
      <c r="C675" s="133"/>
      <c r="D675" s="152"/>
      <c r="E675" s="152"/>
      <c r="F675" s="1519"/>
      <c r="G675" s="1519"/>
      <c r="H675" s="1519"/>
      <c r="I675" s="1507"/>
      <c r="J675" s="1507"/>
      <c r="K675" s="1507"/>
      <c r="L675" s="1507"/>
      <c r="M675" s="1507"/>
      <c r="N675" s="1507"/>
      <c r="O675" s="131"/>
      <c r="P675" s="131"/>
      <c r="Q675" s="133"/>
      <c r="R675" s="133"/>
    </row>
    <row r="676" spans="2:18" ht="27.6" customHeight="1">
      <c r="B676" s="1508"/>
      <c r="C676" s="133"/>
      <c r="D676" s="152"/>
      <c r="E676" s="152"/>
      <c r="F676" s="1519"/>
      <c r="G676" s="1519"/>
      <c r="H676" s="1519"/>
      <c r="I676" s="1507"/>
      <c r="J676" s="1507"/>
      <c r="K676" s="1507"/>
      <c r="L676" s="1507"/>
      <c r="M676" s="1507"/>
      <c r="N676" s="1507"/>
      <c r="O676" s="131"/>
      <c r="P676" s="131"/>
      <c r="Q676" s="133"/>
      <c r="R676" s="133"/>
    </row>
    <row r="677" spans="2:18" ht="27.6" customHeight="1">
      <c r="B677" s="1508"/>
      <c r="C677" s="133"/>
      <c r="D677" s="152"/>
      <c r="E677" s="152"/>
      <c r="F677" s="1519"/>
      <c r="G677" s="1519"/>
      <c r="H677" s="1519"/>
      <c r="I677" s="1507"/>
      <c r="J677" s="1507"/>
      <c r="K677" s="1507"/>
      <c r="L677" s="1507"/>
      <c r="M677" s="1507"/>
      <c r="N677" s="1507"/>
      <c r="O677" s="131"/>
      <c r="P677" s="131"/>
      <c r="Q677" s="133"/>
      <c r="R677" s="133"/>
    </row>
    <row r="678" spans="2:18" ht="27.6" customHeight="1">
      <c r="B678" s="1508"/>
      <c r="C678" s="133"/>
      <c r="D678" s="152"/>
      <c r="E678" s="152"/>
      <c r="F678" s="1519"/>
      <c r="G678" s="1519"/>
      <c r="H678" s="1519"/>
      <c r="I678" s="1507"/>
      <c r="J678" s="1507"/>
      <c r="K678" s="1507"/>
      <c r="L678" s="1507"/>
      <c r="M678" s="1507"/>
      <c r="N678" s="1507"/>
      <c r="O678" s="131"/>
      <c r="P678" s="131"/>
      <c r="Q678" s="133"/>
      <c r="R678" s="133"/>
    </row>
    <row r="679" spans="2:18" ht="27.6" customHeight="1">
      <c r="B679" s="1508"/>
      <c r="C679" s="133"/>
      <c r="D679" s="152"/>
      <c r="E679" s="152"/>
      <c r="F679" s="1519"/>
      <c r="G679" s="1519"/>
      <c r="H679" s="1519"/>
      <c r="I679" s="1507"/>
      <c r="J679" s="1507"/>
      <c r="K679" s="1507"/>
      <c r="L679" s="1507"/>
      <c r="M679" s="1507"/>
      <c r="N679" s="1507"/>
      <c r="O679" s="131"/>
      <c r="P679" s="131"/>
      <c r="Q679" s="133"/>
      <c r="R679" s="133"/>
    </row>
    <row r="680" spans="2:18" ht="27.6" customHeight="1">
      <c r="B680" s="1508"/>
      <c r="C680" s="133"/>
      <c r="D680" s="152"/>
      <c r="E680" s="152"/>
      <c r="F680" s="1519"/>
      <c r="G680" s="1519"/>
      <c r="H680" s="1519"/>
      <c r="I680" s="1507"/>
      <c r="J680" s="1507"/>
      <c r="K680" s="1507"/>
      <c r="L680" s="1507"/>
      <c r="M680" s="1507"/>
      <c r="N680" s="1507"/>
      <c r="O680" s="131"/>
      <c r="P680" s="131"/>
      <c r="Q680" s="133"/>
      <c r="R680" s="133"/>
    </row>
    <row r="681" spans="2:18" ht="27.6" customHeight="1">
      <c r="B681" s="1508"/>
      <c r="C681" s="133"/>
      <c r="D681" s="152"/>
      <c r="E681" s="152"/>
      <c r="F681" s="1519"/>
      <c r="G681" s="1519"/>
      <c r="H681" s="1519"/>
      <c r="I681" s="1507"/>
      <c r="J681" s="1507"/>
      <c r="K681" s="1507"/>
      <c r="L681" s="1507"/>
      <c r="M681" s="1507"/>
      <c r="N681" s="1507"/>
      <c r="O681" s="131"/>
      <c r="P681" s="131"/>
      <c r="Q681" s="133"/>
      <c r="R681" s="133"/>
    </row>
    <row r="682" spans="2:18" ht="27.6" customHeight="1">
      <c r="B682" s="1508"/>
      <c r="C682" s="133"/>
      <c r="D682" s="152"/>
      <c r="E682" s="152"/>
      <c r="F682" s="1519"/>
      <c r="G682" s="1519"/>
      <c r="H682" s="1519"/>
      <c r="I682" s="1507"/>
      <c r="J682" s="1507"/>
      <c r="K682" s="1507"/>
      <c r="L682" s="1507"/>
      <c r="M682" s="1507"/>
      <c r="N682" s="1507"/>
      <c r="O682" s="131"/>
      <c r="P682" s="131"/>
      <c r="Q682" s="133"/>
      <c r="R682" s="133"/>
    </row>
    <row r="683" spans="2:18" ht="27.6" customHeight="1">
      <c r="B683" s="1508"/>
      <c r="C683" s="133"/>
      <c r="D683" s="152"/>
      <c r="E683" s="152"/>
      <c r="F683" s="1519"/>
      <c r="G683" s="1519"/>
      <c r="H683" s="1519"/>
      <c r="I683" s="1507"/>
      <c r="J683" s="1507"/>
      <c r="K683" s="1507"/>
      <c r="L683" s="1507"/>
      <c r="M683" s="1507"/>
      <c r="N683" s="1507"/>
      <c r="O683" s="131"/>
      <c r="P683" s="131"/>
      <c r="Q683" s="133"/>
      <c r="R683" s="133"/>
    </row>
    <row r="684" spans="2:18" ht="27.6" customHeight="1">
      <c r="B684" s="1508"/>
      <c r="C684" s="133"/>
      <c r="D684" s="152"/>
      <c r="E684" s="152"/>
      <c r="F684" s="1519"/>
      <c r="G684" s="1519"/>
      <c r="H684" s="1519"/>
      <c r="I684" s="1507"/>
      <c r="J684" s="1507"/>
      <c r="K684" s="1507"/>
      <c r="L684" s="1507"/>
      <c r="M684" s="1507"/>
      <c r="N684" s="1507"/>
      <c r="O684" s="131"/>
      <c r="P684" s="131"/>
      <c r="Q684" s="133"/>
      <c r="R684" s="133"/>
    </row>
    <row r="685" spans="2:18" ht="27.6" customHeight="1">
      <c r="B685" s="1508"/>
      <c r="C685" s="133"/>
      <c r="D685" s="152"/>
      <c r="E685" s="152"/>
      <c r="F685" s="1519"/>
      <c r="G685" s="1519"/>
      <c r="H685" s="1519"/>
      <c r="I685" s="1507"/>
      <c r="J685" s="1507"/>
      <c r="K685" s="1507"/>
      <c r="L685" s="1507"/>
      <c r="M685" s="1507"/>
      <c r="N685" s="1507"/>
      <c r="O685" s="131"/>
      <c r="P685" s="131"/>
      <c r="Q685" s="133"/>
      <c r="R685" s="133"/>
    </row>
    <row r="686" spans="2:18" ht="27.6" customHeight="1">
      <c r="B686" s="1508"/>
      <c r="C686" s="133"/>
      <c r="D686" s="152"/>
      <c r="E686" s="152"/>
      <c r="F686" s="1519"/>
      <c r="G686" s="1519"/>
      <c r="H686" s="1519"/>
      <c r="I686" s="1507"/>
      <c r="J686" s="1507"/>
      <c r="K686" s="1507"/>
      <c r="L686" s="1507"/>
      <c r="M686" s="1507"/>
      <c r="N686" s="1507"/>
      <c r="O686" s="131"/>
      <c r="P686" s="131"/>
      <c r="Q686" s="133"/>
      <c r="R686" s="133"/>
    </row>
    <row r="687" spans="2:18" ht="27.6" customHeight="1">
      <c r="B687" s="1508"/>
      <c r="C687" s="133"/>
      <c r="D687" s="152"/>
      <c r="E687" s="152"/>
      <c r="F687" s="1519"/>
      <c r="G687" s="1519"/>
      <c r="H687" s="1519"/>
      <c r="I687" s="1507"/>
      <c r="J687" s="1507"/>
      <c r="K687" s="1507"/>
      <c r="L687" s="1507"/>
      <c r="M687" s="1507"/>
      <c r="N687" s="1507"/>
      <c r="O687" s="131"/>
      <c r="P687" s="131"/>
      <c r="Q687" s="133"/>
      <c r="R687" s="133"/>
    </row>
    <row r="688" spans="2:18" ht="27.6" customHeight="1">
      <c r="B688" s="1508"/>
      <c r="C688" s="133"/>
      <c r="D688" s="152"/>
      <c r="E688" s="152"/>
      <c r="F688" s="1519"/>
      <c r="G688" s="1519"/>
      <c r="H688" s="1519"/>
      <c r="I688" s="1507"/>
      <c r="J688" s="1507"/>
      <c r="K688" s="1507"/>
      <c r="L688" s="1507"/>
      <c r="M688" s="1507"/>
      <c r="N688" s="1507"/>
      <c r="O688" s="131"/>
      <c r="P688" s="131"/>
      <c r="Q688" s="133"/>
      <c r="R688" s="133"/>
    </row>
    <row r="689" spans="2:18" ht="27.6" customHeight="1">
      <c r="B689" s="1508"/>
      <c r="C689" s="133"/>
      <c r="D689" s="152"/>
      <c r="E689" s="152"/>
      <c r="F689" s="1519"/>
      <c r="G689" s="1519"/>
      <c r="H689" s="1519"/>
      <c r="I689" s="1507"/>
      <c r="J689" s="1507"/>
      <c r="K689" s="1507"/>
      <c r="L689" s="1507"/>
      <c r="M689" s="1507"/>
      <c r="N689" s="1507"/>
      <c r="O689" s="131"/>
      <c r="P689" s="131"/>
      <c r="Q689" s="133"/>
      <c r="R689" s="133"/>
    </row>
    <row r="690" spans="2:18" ht="27.6" customHeight="1">
      <c r="B690" s="1508"/>
      <c r="C690" s="133"/>
      <c r="D690" s="152"/>
      <c r="E690" s="152"/>
      <c r="F690" s="1519"/>
      <c r="G690" s="1519"/>
      <c r="H690" s="1519"/>
      <c r="I690" s="1507"/>
      <c r="J690" s="1507"/>
      <c r="K690" s="1507"/>
      <c r="L690" s="1507"/>
      <c r="M690" s="1507"/>
      <c r="N690" s="1507"/>
      <c r="O690" s="131"/>
      <c r="P690" s="131"/>
      <c r="Q690" s="133"/>
      <c r="R690" s="133"/>
    </row>
    <row r="691" spans="2:18" ht="27.6" customHeight="1">
      <c r="B691" s="1508"/>
      <c r="C691" s="133"/>
      <c r="D691" s="152"/>
      <c r="E691" s="152"/>
      <c r="F691" s="1519"/>
      <c r="G691" s="1519"/>
      <c r="H691" s="1519"/>
      <c r="I691" s="1507"/>
      <c r="J691" s="1507"/>
      <c r="K691" s="1507"/>
      <c r="L691" s="1507"/>
      <c r="M691" s="1507"/>
      <c r="N691" s="1507"/>
      <c r="O691" s="131"/>
      <c r="P691" s="131"/>
      <c r="Q691" s="133"/>
      <c r="R691" s="133"/>
    </row>
    <row r="692" spans="2:18" ht="24" customHeight="1">
      <c r="B692" s="1578"/>
      <c r="C692" s="1578"/>
      <c r="D692" s="1578"/>
      <c r="E692" s="1578"/>
      <c r="F692" s="1578"/>
      <c r="G692" s="1578"/>
      <c r="H692" s="1578"/>
      <c r="I692" s="1578"/>
      <c r="J692" s="1578"/>
      <c r="K692" s="1488"/>
      <c r="L692" s="1488"/>
      <c r="M692" s="1488"/>
      <c r="N692" s="1488"/>
      <c r="O692" s="1488"/>
      <c r="P692" s="847"/>
      <c r="Q692" s="133"/>
      <c r="R692" s="133"/>
    </row>
    <row r="693" spans="2:18" ht="24" customHeight="1">
      <c r="B693" s="1578"/>
      <c r="C693" s="1578"/>
      <c r="D693" s="1578"/>
      <c r="E693" s="1578"/>
      <c r="F693" s="1578"/>
      <c r="G693" s="1578"/>
      <c r="H693" s="1578"/>
      <c r="I693" s="1578"/>
      <c r="J693" s="1578"/>
      <c r="K693" s="1579"/>
      <c r="L693" s="1579"/>
      <c r="M693" s="1579"/>
      <c r="N693" s="1579"/>
      <c r="O693" s="1579"/>
      <c r="P693" s="871"/>
      <c r="Q693" s="133"/>
      <c r="R693" s="133"/>
    </row>
    <row r="694" spans="2:18" ht="24" customHeight="1">
      <c r="B694" s="1519"/>
      <c r="C694" s="1519"/>
      <c r="D694" s="1519"/>
      <c r="E694" s="1519"/>
      <c r="F694" s="1519"/>
      <c r="G694" s="1519"/>
      <c r="H694" s="1519"/>
      <c r="I694" s="1519"/>
      <c r="J694" s="1519"/>
      <c r="K694" s="1519"/>
      <c r="L694" s="1519"/>
      <c r="M694" s="1519"/>
      <c r="N694" s="1519"/>
      <c r="O694" s="1519"/>
      <c r="P694" s="850"/>
      <c r="Q694" s="133"/>
      <c r="R694" s="133"/>
    </row>
    <row r="695" spans="2:18" ht="24" customHeight="1">
      <c r="B695" s="1519"/>
      <c r="C695" s="133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19"/>
      <c r="P695" s="850"/>
      <c r="Q695" s="133"/>
      <c r="R695" s="133"/>
    </row>
    <row r="696" spans="2:18" ht="24" customHeight="1">
      <c r="B696" s="1519"/>
      <c r="C696" s="133"/>
      <c r="D696" s="154"/>
      <c r="E696" s="154"/>
      <c r="F696" s="154"/>
      <c r="G696" s="154"/>
      <c r="H696" s="152"/>
      <c r="I696" s="154"/>
      <c r="J696" s="154"/>
      <c r="K696" s="152"/>
      <c r="L696" s="154"/>
      <c r="M696" s="154"/>
      <c r="N696" s="152"/>
      <c r="O696" s="1519"/>
      <c r="P696" s="850"/>
      <c r="Q696" s="133"/>
      <c r="R696" s="133"/>
    </row>
    <row r="697" spans="2:18" ht="24" customHeight="1">
      <c r="B697" s="1519"/>
      <c r="C697" s="133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19"/>
      <c r="P697" s="850"/>
      <c r="Q697" s="133"/>
      <c r="R697" s="133"/>
    </row>
    <row r="698" spans="2:18" ht="27.95" customHeight="1">
      <c r="B698" s="1583"/>
      <c r="C698" s="133"/>
      <c r="D698" s="152"/>
      <c r="E698" s="152"/>
      <c r="F698" s="1519"/>
      <c r="G698" s="1519"/>
      <c r="H698" s="1519"/>
      <c r="I698" s="1507"/>
      <c r="J698" s="1507"/>
      <c r="K698" s="1507"/>
      <c r="L698" s="1507"/>
      <c r="M698" s="1507"/>
      <c r="N698" s="1507"/>
      <c r="O698" s="131"/>
      <c r="P698" s="131"/>
      <c r="Q698" s="133"/>
    </row>
    <row r="699" spans="2:18" ht="27.95" customHeight="1">
      <c r="B699" s="1583"/>
      <c r="C699" s="133"/>
      <c r="D699" s="152"/>
      <c r="E699" s="152"/>
      <c r="F699" s="1519"/>
      <c r="G699" s="1519"/>
      <c r="H699" s="1519"/>
      <c r="I699" s="1507"/>
      <c r="J699" s="1507"/>
      <c r="K699" s="1507"/>
      <c r="L699" s="1507"/>
      <c r="M699" s="1507"/>
      <c r="N699" s="1507"/>
      <c r="O699" s="131"/>
      <c r="P699" s="131"/>
      <c r="Q699" s="133"/>
    </row>
    <row r="700" spans="2:18" ht="27.95" customHeight="1">
      <c r="B700" s="1508"/>
      <c r="C700" s="133"/>
      <c r="D700" s="152"/>
      <c r="E700" s="152"/>
      <c r="F700" s="1519"/>
      <c r="G700" s="1519"/>
      <c r="H700" s="1519"/>
      <c r="I700" s="1507"/>
      <c r="J700" s="1507"/>
      <c r="K700" s="1507"/>
      <c r="L700" s="1507"/>
      <c r="M700" s="1507"/>
      <c r="N700" s="1507"/>
      <c r="O700" s="131"/>
      <c r="P700" s="131"/>
      <c r="Q700" s="133"/>
    </row>
    <row r="701" spans="2:18" ht="27.95" customHeight="1">
      <c r="B701" s="1508"/>
      <c r="C701" s="133"/>
      <c r="D701" s="152"/>
      <c r="E701" s="152"/>
      <c r="F701" s="1519"/>
      <c r="G701" s="1519"/>
      <c r="H701" s="1519"/>
      <c r="I701" s="1507"/>
      <c r="J701" s="1507"/>
      <c r="K701" s="1507"/>
      <c r="L701" s="1507"/>
      <c r="M701" s="1507"/>
      <c r="N701" s="1507"/>
      <c r="O701" s="131"/>
      <c r="P701" s="131"/>
      <c r="Q701" s="133"/>
    </row>
    <row r="702" spans="2:18" ht="27.95" customHeight="1">
      <c r="B702" s="1508"/>
      <c r="C702" s="133"/>
      <c r="D702" s="152"/>
      <c r="E702" s="152"/>
      <c r="F702" s="1519"/>
      <c r="G702" s="1519"/>
      <c r="H702" s="1519"/>
      <c r="I702" s="1507"/>
      <c r="J702" s="1507"/>
      <c r="K702" s="1507"/>
      <c r="L702" s="1507"/>
      <c r="M702" s="1507"/>
      <c r="N702" s="1507"/>
      <c r="O702" s="131"/>
      <c r="P702" s="131"/>
      <c r="Q702" s="133"/>
    </row>
    <row r="703" spans="2:18" ht="27.95" customHeight="1">
      <c r="B703" s="1508"/>
      <c r="C703" s="133"/>
      <c r="D703" s="152"/>
      <c r="E703" s="152"/>
      <c r="F703" s="1519"/>
      <c r="G703" s="1519"/>
      <c r="H703" s="1519"/>
      <c r="I703" s="1507"/>
      <c r="J703" s="1507"/>
      <c r="K703" s="1507"/>
      <c r="L703" s="1507"/>
      <c r="M703" s="1507"/>
      <c r="N703" s="1507"/>
      <c r="O703" s="131"/>
      <c r="P703" s="131"/>
      <c r="Q703" s="133"/>
    </row>
    <row r="704" spans="2:18" ht="27.95" customHeight="1">
      <c r="B704" s="1508"/>
      <c r="C704" s="133"/>
      <c r="D704" s="152"/>
      <c r="E704" s="152"/>
      <c r="F704" s="1519"/>
      <c r="G704" s="1519"/>
      <c r="H704" s="1519"/>
      <c r="I704" s="1507"/>
      <c r="J704" s="1507"/>
      <c r="K704" s="1507"/>
      <c r="L704" s="1507"/>
      <c r="M704" s="1507"/>
      <c r="N704" s="1507"/>
      <c r="O704" s="131"/>
      <c r="P704" s="131"/>
      <c r="Q704" s="133"/>
    </row>
    <row r="705" spans="2:18" ht="27.95" customHeight="1">
      <c r="B705" s="1508"/>
      <c r="C705" s="133"/>
      <c r="D705" s="152"/>
      <c r="E705" s="152"/>
      <c r="F705" s="1519"/>
      <c r="G705" s="1519"/>
      <c r="H705" s="1519"/>
      <c r="I705" s="1507"/>
      <c r="J705" s="1507"/>
      <c r="K705" s="1507"/>
      <c r="L705" s="1507"/>
      <c r="M705" s="1507"/>
      <c r="N705" s="1507"/>
      <c r="O705" s="131"/>
      <c r="P705" s="131"/>
      <c r="Q705" s="133"/>
    </row>
    <row r="706" spans="2:18" ht="27.95" customHeight="1">
      <c r="B706" s="1508"/>
      <c r="C706" s="133"/>
      <c r="D706" s="152"/>
      <c r="E706" s="152"/>
      <c r="F706" s="1519"/>
      <c r="G706" s="1519"/>
      <c r="H706" s="1519"/>
      <c r="I706" s="1507"/>
      <c r="J706" s="1507"/>
      <c r="K706" s="1507"/>
      <c r="L706" s="1507"/>
      <c r="M706" s="1507"/>
      <c r="N706" s="1507"/>
      <c r="O706" s="131"/>
      <c r="P706" s="131"/>
      <c r="Q706" s="133"/>
      <c r="R706" s="141"/>
    </row>
    <row r="707" spans="2:18" ht="27.95" customHeight="1">
      <c r="B707" s="1508"/>
      <c r="C707" s="133"/>
      <c r="D707" s="152"/>
      <c r="E707" s="152"/>
      <c r="F707" s="1519"/>
      <c r="G707" s="1519"/>
      <c r="H707" s="1519"/>
      <c r="I707" s="1507"/>
      <c r="J707" s="1507"/>
      <c r="K707" s="1507"/>
      <c r="L707" s="1507"/>
      <c r="M707" s="1507"/>
      <c r="N707" s="1507"/>
      <c r="O707" s="131"/>
      <c r="P707" s="131"/>
      <c r="Q707" s="133"/>
      <c r="R707" s="141"/>
    </row>
    <row r="708" spans="2:18" ht="27.95" customHeight="1">
      <c r="B708" s="1508"/>
      <c r="C708" s="133"/>
      <c r="D708" s="152"/>
      <c r="E708" s="152"/>
      <c r="F708" s="1519"/>
      <c r="G708" s="1519"/>
      <c r="H708" s="1519"/>
      <c r="I708" s="1507"/>
      <c r="J708" s="1507"/>
      <c r="K708" s="1507"/>
      <c r="L708" s="1507"/>
      <c r="M708" s="1507"/>
      <c r="N708" s="1507"/>
      <c r="O708" s="131"/>
      <c r="P708" s="131"/>
      <c r="Q708" s="133"/>
      <c r="R708" s="141"/>
    </row>
    <row r="709" spans="2:18" ht="27.95" customHeight="1">
      <c r="B709" s="1508"/>
      <c r="C709" s="133"/>
      <c r="D709" s="152"/>
      <c r="E709" s="152"/>
      <c r="F709" s="1519"/>
      <c r="G709" s="1519"/>
      <c r="H709" s="1519"/>
      <c r="I709" s="1507"/>
      <c r="J709" s="1507"/>
      <c r="K709" s="1507"/>
      <c r="L709" s="1507"/>
      <c r="M709" s="1507"/>
      <c r="N709" s="1507"/>
      <c r="O709" s="131"/>
      <c r="P709" s="131"/>
      <c r="Q709" s="133"/>
      <c r="R709" s="141"/>
    </row>
    <row r="710" spans="2:18" ht="27.95" customHeight="1">
      <c r="B710" s="1508"/>
      <c r="C710" s="133"/>
      <c r="D710" s="152"/>
      <c r="E710" s="152"/>
      <c r="F710" s="1519"/>
      <c r="G710" s="1519"/>
      <c r="H710" s="1519"/>
      <c r="I710" s="1507"/>
      <c r="J710" s="1507"/>
      <c r="K710" s="1507"/>
      <c r="L710" s="1507"/>
      <c r="M710" s="1507"/>
      <c r="N710" s="1507"/>
      <c r="O710" s="131"/>
      <c r="P710" s="131"/>
      <c r="Q710" s="133"/>
      <c r="R710" s="141"/>
    </row>
    <row r="711" spans="2:18" ht="27.95" customHeight="1">
      <c r="B711" s="1508"/>
      <c r="C711" s="133"/>
      <c r="D711" s="152"/>
      <c r="E711" s="152"/>
      <c r="F711" s="1519"/>
      <c r="G711" s="1519"/>
      <c r="H711" s="1519"/>
      <c r="I711" s="1507"/>
      <c r="J711" s="1507"/>
      <c r="K711" s="1507"/>
      <c r="L711" s="1507"/>
      <c r="M711" s="1507"/>
      <c r="N711" s="1507"/>
      <c r="O711" s="131"/>
      <c r="P711" s="131"/>
      <c r="Q711" s="133"/>
      <c r="R711" s="141"/>
    </row>
    <row r="712" spans="2:18" ht="27.95" customHeight="1">
      <c r="B712" s="1508"/>
      <c r="C712" s="133"/>
      <c r="D712" s="152"/>
      <c r="E712" s="152"/>
      <c r="F712" s="1519"/>
      <c r="G712" s="1519"/>
      <c r="H712" s="1519"/>
      <c r="I712" s="1507"/>
      <c r="J712" s="1507"/>
      <c r="K712" s="1507"/>
      <c r="L712" s="1507"/>
      <c r="M712" s="1507"/>
      <c r="N712" s="1507"/>
      <c r="O712" s="131"/>
      <c r="P712" s="131"/>
      <c r="Q712" s="133"/>
      <c r="R712" s="141"/>
    </row>
    <row r="713" spans="2:18" ht="27.95" customHeight="1">
      <c r="B713" s="1508"/>
      <c r="C713" s="133"/>
      <c r="D713" s="152"/>
      <c r="E713" s="152"/>
      <c r="F713" s="1519"/>
      <c r="G713" s="1519"/>
      <c r="H713" s="1519"/>
      <c r="I713" s="1507"/>
      <c r="J713" s="1507"/>
      <c r="K713" s="1507"/>
      <c r="L713" s="1507"/>
      <c r="M713" s="1507"/>
      <c r="N713" s="1507"/>
      <c r="O713" s="131"/>
      <c r="P713" s="131"/>
      <c r="Q713" s="133"/>
      <c r="R713" s="141"/>
    </row>
    <row r="714" spans="2:18" ht="27.95" customHeight="1">
      <c r="B714" s="1508"/>
      <c r="C714" s="133"/>
      <c r="D714" s="152"/>
      <c r="E714" s="152"/>
      <c r="F714" s="1519"/>
      <c r="G714" s="1519"/>
      <c r="H714" s="1519"/>
      <c r="I714" s="1507"/>
      <c r="J714" s="1507"/>
      <c r="K714" s="1507"/>
      <c r="L714" s="1507"/>
      <c r="M714" s="1507"/>
      <c r="N714" s="1507"/>
      <c r="O714" s="131"/>
      <c r="P714" s="131"/>
      <c r="Q714" s="133"/>
      <c r="R714" s="141"/>
    </row>
    <row r="715" spans="2:18" ht="27.95" customHeight="1">
      <c r="B715" s="1508"/>
      <c r="C715" s="133"/>
      <c r="D715" s="152"/>
      <c r="E715" s="152"/>
      <c r="F715" s="1519"/>
      <c r="G715" s="1519"/>
      <c r="H715" s="1519"/>
      <c r="I715" s="1507"/>
      <c r="J715" s="1507"/>
      <c r="K715" s="1507"/>
      <c r="L715" s="1507"/>
      <c r="M715" s="1507"/>
      <c r="N715" s="1507"/>
      <c r="O715" s="131"/>
      <c r="P715" s="131"/>
      <c r="Q715" s="133"/>
      <c r="R715" s="141"/>
    </row>
    <row r="716" spans="2:18" ht="27.95" customHeight="1">
      <c r="B716" s="1508"/>
      <c r="C716" s="133"/>
      <c r="D716" s="152"/>
      <c r="E716" s="152"/>
      <c r="F716" s="1519"/>
      <c r="G716" s="1519"/>
      <c r="H716" s="1519"/>
      <c r="I716" s="1507"/>
      <c r="J716" s="1507"/>
      <c r="K716" s="1507"/>
      <c r="L716" s="1507"/>
      <c r="M716" s="1507"/>
      <c r="N716" s="1507"/>
      <c r="O716" s="131"/>
      <c r="P716" s="131"/>
      <c r="Q716" s="133"/>
      <c r="R716" s="141"/>
    </row>
    <row r="717" spans="2:18" ht="27.95" customHeight="1">
      <c r="B717" s="1508"/>
      <c r="C717" s="133"/>
      <c r="D717" s="152"/>
      <c r="E717" s="152"/>
      <c r="F717" s="1519"/>
      <c r="G717" s="1519"/>
      <c r="H717" s="1519"/>
      <c r="I717" s="1507"/>
      <c r="J717" s="1507"/>
      <c r="K717" s="1507"/>
      <c r="L717" s="1507"/>
      <c r="M717" s="1507"/>
      <c r="N717" s="1507"/>
      <c r="O717" s="131"/>
      <c r="P717" s="131"/>
      <c r="Q717" s="133"/>
      <c r="R717" s="141"/>
    </row>
    <row r="718" spans="2:18" ht="27.95" customHeight="1">
      <c r="B718" s="1508"/>
      <c r="C718" s="133"/>
      <c r="D718" s="152"/>
      <c r="E718" s="152"/>
      <c r="F718" s="1519"/>
      <c r="G718" s="1519"/>
      <c r="H718" s="1519"/>
      <c r="I718" s="1507"/>
      <c r="J718" s="1507"/>
      <c r="K718" s="1507"/>
      <c r="L718" s="1507"/>
      <c r="M718" s="1507"/>
      <c r="N718" s="1507"/>
      <c r="O718" s="131"/>
      <c r="P718" s="131"/>
      <c r="Q718" s="133"/>
      <c r="R718" s="141"/>
    </row>
    <row r="719" spans="2:18" ht="27.95" customHeight="1">
      <c r="B719" s="1508"/>
      <c r="C719" s="133"/>
      <c r="D719" s="152"/>
      <c r="E719" s="152"/>
      <c r="F719" s="1519"/>
      <c r="G719" s="1519"/>
      <c r="H719" s="1519"/>
      <c r="I719" s="1507"/>
      <c r="J719" s="1507"/>
      <c r="K719" s="1507"/>
      <c r="L719" s="1507"/>
      <c r="M719" s="1507"/>
      <c r="N719" s="1507"/>
      <c r="O719" s="131"/>
      <c r="P719" s="131"/>
      <c r="Q719" s="133"/>
      <c r="R719" s="141"/>
    </row>
    <row r="720" spans="2:18" ht="27.95" customHeight="1">
      <c r="B720" s="1508"/>
      <c r="C720" s="133"/>
      <c r="D720" s="152"/>
      <c r="E720" s="152"/>
      <c r="F720" s="1519"/>
      <c r="G720" s="1519"/>
      <c r="H720" s="1519"/>
      <c r="I720" s="1507"/>
      <c r="J720" s="1507"/>
      <c r="K720" s="1507"/>
      <c r="L720" s="1507"/>
      <c r="M720" s="1507"/>
      <c r="N720" s="1507"/>
      <c r="O720" s="131"/>
      <c r="P720" s="131"/>
      <c r="Q720" s="133"/>
      <c r="R720" s="141"/>
    </row>
    <row r="721" spans="2:18" ht="27.95" customHeight="1">
      <c r="B721" s="1508"/>
      <c r="C721" s="133"/>
      <c r="D721" s="152"/>
      <c r="E721" s="152"/>
      <c r="F721" s="1519"/>
      <c r="G721" s="1519"/>
      <c r="H721" s="1519"/>
      <c r="I721" s="1507"/>
      <c r="J721" s="1507"/>
      <c r="K721" s="1507"/>
      <c r="L721" s="1507"/>
      <c r="M721" s="1507"/>
      <c r="N721" s="1507"/>
      <c r="O721" s="131"/>
      <c r="P721" s="131"/>
      <c r="Q721" s="133"/>
      <c r="R721" s="141"/>
    </row>
    <row r="722" spans="2:18" ht="27.95" customHeight="1">
      <c r="B722" s="1508"/>
      <c r="C722" s="133"/>
      <c r="D722" s="152"/>
      <c r="E722" s="152"/>
      <c r="F722" s="1519"/>
      <c r="G722" s="1519"/>
      <c r="H722" s="1519"/>
      <c r="I722" s="1507"/>
      <c r="J722" s="1507"/>
      <c r="K722" s="1507"/>
      <c r="L722" s="1507"/>
      <c r="M722" s="1507"/>
      <c r="N722" s="1507"/>
      <c r="O722" s="131"/>
      <c r="P722" s="131"/>
      <c r="Q722" s="133"/>
      <c r="R722" s="141"/>
    </row>
    <row r="723" spans="2:18" ht="27.95" customHeight="1">
      <c r="B723" s="1508"/>
      <c r="C723" s="133"/>
      <c r="D723" s="152"/>
      <c r="E723" s="152"/>
      <c r="F723" s="1519"/>
      <c r="G723" s="1519"/>
      <c r="H723" s="1519"/>
      <c r="I723" s="1507"/>
      <c r="J723" s="1507"/>
      <c r="K723" s="1507"/>
      <c r="L723" s="1507"/>
      <c r="M723" s="1507"/>
      <c r="N723" s="1507"/>
      <c r="O723" s="131"/>
      <c r="P723" s="131"/>
      <c r="Q723" s="133"/>
      <c r="R723" s="141"/>
    </row>
    <row r="724" spans="2:18" ht="27.95" customHeight="1">
      <c r="B724" s="1508"/>
      <c r="C724" s="133"/>
      <c r="D724" s="152"/>
      <c r="E724" s="152"/>
      <c r="F724" s="1519"/>
      <c r="G724" s="1519"/>
      <c r="H724" s="1519"/>
      <c r="I724" s="1507"/>
      <c r="J724" s="1507"/>
      <c r="K724" s="1507"/>
      <c r="L724" s="1507"/>
      <c r="M724" s="1507"/>
      <c r="N724" s="1507"/>
      <c r="O724" s="131"/>
      <c r="P724" s="131"/>
      <c r="Q724" s="133"/>
      <c r="R724" s="141"/>
    </row>
    <row r="725" spans="2:18" ht="27.95" customHeight="1">
      <c r="B725" s="1508"/>
      <c r="C725" s="133"/>
      <c r="D725" s="152"/>
      <c r="E725" s="152"/>
      <c r="F725" s="1519"/>
      <c r="G725" s="1519"/>
      <c r="H725" s="1519"/>
      <c r="I725" s="1507"/>
      <c r="J725" s="1507"/>
      <c r="K725" s="1507"/>
      <c r="L725" s="1507"/>
      <c r="M725" s="1507"/>
      <c r="N725" s="1507"/>
      <c r="O725" s="131"/>
      <c r="P725" s="131"/>
      <c r="Q725" s="133"/>
      <c r="R725" s="141"/>
    </row>
    <row r="726" spans="2:18" ht="27.95" customHeight="1">
      <c r="B726" s="1508"/>
      <c r="C726" s="133"/>
      <c r="D726" s="152"/>
      <c r="E726" s="152"/>
      <c r="F726" s="1519"/>
      <c r="G726" s="1519"/>
      <c r="H726" s="1519"/>
      <c r="I726" s="1507"/>
      <c r="J726" s="1507"/>
      <c r="K726" s="1507"/>
      <c r="L726" s="1507"/>
      <c r="M726" s="1507"/>
      <c r="N726" s="1507"/>
      <c r="O726" s="131"/>
      <c r="P726" s="131"/>
      <c r="Q726" s="133"/>
      <c r="R726" s="141"/>
    </row>
    <row r="727" spans="2:18" ht="27.95" customHeight="1">
      <c r="B727" s="1508"/>
      <c r="C727" s="133"/>
      <c r="D727" s="152"/>
      <c r="E727" s="152"/>
      <c r="F727" s="1519"/>
      <c r="G727" s="1519"/>
      <c r="H727" s="1519"/>
      <c r="I727" s="1507"/>
      <c r="J727" s="1507"/>
      <c r="K727" s="1507"/>
      <c r="L727" s="1507"/>
      <c r="M727" s="1507"/>
      <c r="N727" s="1507"/>
      <c r="O727" s="131"/>
      <c r="P727" s="131"/>
      <c r="Q727" s="133"/>
      <c r="R727" s="141"/>
    </row>
    <row r="728" spans="2:18" ht="27.95" customHeight="1">
      <c r="B728" s="1508"/>
      <c r="C728" s="133"/>
      <c r="D728" s="152"/>
      <c r="E728" s="152"/>
      <c r="F728" s="1519"/>
      <c r="G728" s="1519"/>
      <c r="H728" s="1519"/>
      <c r="I728" s="1507"/>
      <c r="J728" s="1507"/>
      <c r="K728" s="1507"/>
      <c r="L728" s="1507"/>
      <c r="M728" s="1507"/>
      <c r="N728" s="1507"/>
      <c r="O728" s="131"/>
      <c r="P728" s="131"/>
      <c r="Q728" s="133"/>
      <c r="R728" s="141"/>
    </row>
    <row r="729" spans="2:18" ht="27.95" customHeight="1">
      <c r="B729" s="1508"/>
      <c r="C729" s="133"/>
      <c r="D729" s="152"/>
      <c r="E729" s="152"/>
      <c r="F729" s="1519"/>
      <c r="G729" s="1519"/>
      <c r="H729" s="1519"/>
      <c r="I729" s="1507"/>
      <c r="J729" s="1507"/>
      <c r="K729" s="1507"/>
      <c r="L729" s="1507"/>
      <c r="M729" s="1507"/>
      <c r="N729" s="1507"/>
      <c r="O729" s="131"/>
      <c r="P729" s="131"/>
      <c r="Q729" s="133"/>
      <c r="R729" s="141"/>
    </row>
    <row r="730" spans="2:18" ht="27.95" customHeight="1">
      <c r="B730" s="1508"/>
      <c r="C730" s="133"/>
      <c r="D730" s="152"/>
      <c r="E730" s="152"/>
      <c r="F730" s="1519"/>
      <c r="G730" s="1519"/>
      <c r="H730" s="1519"/>
      <c r="I730" s="1507"/>
      <c r="J730" s="1507"/>
      <c r="K730" s="1507"/>
      <c r="L730" s="1507"/>
      <c r="M730" s="1507"/>
      <c r="N730" s="1507"/>
      <c r="O730" s="131"/>
      <c r="P730" s="131"/>
      <c r="Q730" s="133"/>
      <c r="R730" s="141"/>
    </row>
    <row r="731" spans="2:18" ht="27.95" customHeight="1">
      <c r="B731" s="1508"/>
      <c r="C731" s="133"/>
      <c r="D731" s="152"/>
      <c r="E731" s="152"/>
      <c r="F731" s="1519"/>
      <c r="G731" s="1519"/>
      <c r="H731" s="1519"/>
      <c r="I731" s="1507"/>
      <c r="J731" s="1507"/>
      <c r="K731" s="1507"/>
      <c r="L731" s="1507"/>
      <c r="M731" s="1507"/>
      <c r="N731" s="1507"/>
      <c r="O731" s="131"/>
      <c r="P731" s="131"/>
      <c r="Q731" s="133"/>
      <c r="R731" s="141"/>
    </row>
    <row r="732" spans="2:18" ht="18.75" customHeight="1">
      <c r="B732" s="1580"/>
      <c r="C732" s="1580"/>
      <c r="D732" s="1580"/>
      <c r="E732" s="1580"/>
      <c r="F732" s="1580"/>
      <c r="G732" s="1580"/>
      <c r="H732" s="1580"/>
      <c r="I732" s="1581"/>
      <c r="J732" s="1581"/>
      <c r="K732" s="1581"/>
      <c r="L732" s="1581"/>
      <c r="M732" s="1581"/>
      <c r="N732" s="1581"/>
      <c r="O732" s="1581"/>
      <c r="P732" s="872"/>
      <c r="Q732" s="133"/>
    </row>
    <row r="733" spans="2:18" ht="24" customHeight="1">
      <c r="B733" s="1580"/>
      <c r="C733" s="1580"/>
      <c r="D733" s="1580"/>
      <c r="E733" s="1580"/>
      <c r="F733" s="1580"/>
      <c r="G733" s="1580"/>
      <c r="H733" s="1580"/>
      <c r="I733" s="1581"/>
      <c r="J733" s="1581"/>
      <c r="K733" s="1581"/>
      <c r="L733" s="1581"/>
      <c r="M733" s="1581"/>
      <c r="N733" s="1581"/>
      <c r="O733" s="1581"/>
      <c r="P733" s="872"/>
      <c r="Q733" s="133"/>
    </row>
    <row r="734" spans="2:18" ht="15" customHeight="1">
      <c r="B734" s="1584"/>
      <c r="C734" s="1584"/>
      <c r="D734" s="1584"/>
      <c r="E734" s="1584"/>
      <c r="F734" s="1584"/>
      <c r="G734" s="1584"/>
      <c r="H734" s="1584"/>
      <c r="I734" s="1584"/>
      <c r="J734" s="1584"/>
      <c r="K734" s="1585"/>
      <c r="L734" s="1585"/>
      <c r="M734" s="1585"/>
      <c r="N734" s="1585"/>
      <c r="O734" s="1585"/>
      <c r="P734" s="869"/>
      <c r="Q734" s="133"/>
    </row>
    <row r="735" spans="2:18" ht="18" customHeight="1">
      <c r="B735" s="1584"/>
      <c r="C735" s="1584"/>
      <c r="D735" s="1584"/>
      <c r="E735" s="1584"/>
      <c r="F735" s="1584"/>
      <c r="G735" s="1584"/>
      <c r="H735" s="1584"/>
      <c r="I735" s="1584"/>
      <c r="J735" s="1584"/>
      <c r="K735" s="1586"/>
      <c r="L735" s="1586"/>
      <c r="M735" s="1586"/>
      <c r="N735" s="1586"/>
      <c r="O735" s="1586"/>
      <c r="P735" s="873"/>
      <c r="Q735" s="133"/>
    </row>
    <row r="743" spans="10:15">
      <c r="J743" s="140"/>
      <c r="O743" s="132" t="s">
        <v>880</v>
      </c>
    </row>
  </sheetData>
  <mergeCells count="3985">
    <mergeCell ref="P305:P306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I297:P297"/>
    <mergeCell ref="I298:P298"/>
    <mergeCell ref="I299:P299"/>
    <mergeCell ref="I300:P300"/>
    <mergeCell ref="A297:H298"/>
    <mergeCell ref="A299:H30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95:P296"/>
    <mergeCell ref="P301:P302"/>
    <mergeCell ref="P303:P304"/>
    <mergeCell ref="P229:P230"/>
    <mergeCell ref="P231:P232"/>
    <mergeCell ref="P233:P234"/>
    <mergeCell ref="P235:P236"/>
    <mergeCell ref="P237:P238"/>
    <mergeCell ref="P239:P240"/>
    <mergeCell ref="P241:P242"/>
    <mergeCell ref="P251:P252"/>
    <mergeCell ref="P253:P254"/>
    <mergeCell ref="P255:P256"/>
    <mergeCell ref="P257:P258"/>
    <mergeCell ref="P259:P260"/>
    <mergeCell ref="P261:P262"/>
    <mergeCell ref="P263:P264"/>
    <mergeCell ref="P265:P266"/>
    <mergeCell ref="P267:P268"/>
    <mergeCell ref="P269:P27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227:P228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P177:P178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P143:P144"/>
    <mergeCell ref="P145:P146"/>
    <mergeCell ref="P147:P148"/>
    <mergeCell ref="P149:P150"/>
    <mergeCell ref="P151:P152"/>
    <mergeCell ref="P153:P154"/>
    <mergeCell ref="P155:P156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R121:R122"/>
    <mergeCell ref="S121:S122"/>
    <mergeCell ref="T121:T122"/>
    <mergeCell ref="R108:R109"/>
    <mergeCell ref="S108:S109"/>
    <mergeCell ref="T108:T109"/>
    <mergeCell ref="R110:R111"/>
    <mergeCell ref="S110:S111"/>
    <mergeCell ref="T110:T111"/>
    <mergeCell ref="R112:R113"/>
    <mergeCell ref="S112:S113"/>
    <mergeCell ref="T112:T113"/>
    <mergeCell ref="R114:R115"/>
    <mergeCell ref="S114:S115"/>
    <mergeCell ref="T114:T115"/>
    <mergeCell ref="R116:R117"/>
    <mergeCell ref="S116:S117"/>
    <mergeCell ref="T116:T117"/>
    <mergeCell ref="R119:R120"/>
    <mergeCell ref="S119:S120"/>
    <mergeCell ref="T119:T120"/>
    <mergeCell ref="R96:R97"/>
    <mergeCell ref="S96:S97"/>
    <mergeCell ref="T96:T97"/>
    <mergeCell ref="R98:R99"/>
    <mergeCell ref="S98:S99"/>
    <mergeCell ref="T98:T99"/>
    <mergeCell ref="R100:R101"/>
    <mergeCell ref="S100:S101"/>
    <mergeCell ref="T100:T101"/>
    <mergeCell ref="R102:R103"/>
    <mergeCell ref="S102:S103"/>
    <mergeCell ref="T102:T103"/>
    <mergeCell ref="R104:R105"/>
    <mergeCell ref="S104:S105"/>
    <mergeCell ref="T104:T105"/>
    <mergeCell ref="R106:R107"/>
    <mergeCell ref="S106:S107"/>
    <mergeCell ref="T106:T107"/>
    <mergeCell ref="R84:R85"/>
    <mergeCell ref="S84:S85"/>
    <mergeCell ref="T84:T85"/>
    <mergeCell ref="R86:R87"/>
    <mergeCell ref="S86:S87"/>
    <mergeCell ref="T86:T87"/>
    <mergeCell ref="R88:R89"/>
    <mergeCell ref="S88:S89"/>
    <mergeCell ref="T88:T89"/>
    <mergeCell ref="R90:R91"/>
    <mergeCell ref="S90:S91"/>
    <mergeCell ref="T90:T91"/>
    <mergeCell ref="R92:R93"/>
    <mergeCell ref="S92:S93"/>
    <mergeCell ref="T92:T93"/>
    <mergeCell ref="R94:R95"/>
    <mergeCell ref="S94:S95"/>
    <mergeCell ref="T94:T95"/>
    <mergeCell ref="R72:R73"/>
    <mergeCell ref="S72:S73"/>
    <mergeCell ref="T72:T73"/>
    <mergeCell ref="R74:R75"/>
    <mergeCell ref="S74:S75"/>
    <mergeCell ref="T74:T75"/>
    <mergeCell ref="R76:R77"/>
    <mergeCell ref="S76:S77"/>
    <mergeCell ref="T76:T77"/>
    <mergeCell ref="R78:R79"/>
    <mergeCell ref="S78:S79"/>
    <mergeCell ref="T78:T79"/>
    <mergeCell ref="R80:R81"/>
    <mergeCell ref="S80:S81"/>
    <mergeCell ref="T80:T81"/>
    <mergeCell ref="R82:R83"/>
    <mergeCell ref="S82:S83"/>
    <mergeCell ref="T82:T83"/>
    <mergeCell ref="R60:R61"/>
    <mergeCell ref="S60:S61"/>
    <mergeCell ref="T60:T61"/>
    <mergeCell ref="R62:R63"/>
    <mergeCell ref="S62:S63"/>
    <mergeCell ref="T62:T63"/>
    <mergeCell ref="R64:R65"/>
    <mergeCell ref="S64:S65"/>
    <mergeCell ref="T64:T65"/>
    <mergeCell ref="R66:R67"/>
    <mergeCell ref="S66:S67"/>
    <mergeCell ref="T66:T67"/>
    <mergeCell ref="R68:R69"/>
    <mergeCell ref="S68:S69"/>
    <mergeCell ref="T68:T69"/>
    <mergeCell ref="R70:R71"/>
    <mergeCell ref="S70:S71"/>
    <mergeCell ref="T70:T71"/>
    <mergeCell ref="E47:E48"/>
    <mergeCell ref="F47:F48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B51:B52"/>
    <mergeCell ref="C51:C52"/>
    <mergeCell ref="D51:D52"/>
    <mergeCell ref="L53:L54"/>
    <mergeCell ref="M53:M54"/>
    <mergeCell ref="N53:N54"/>
    <mergeCell ref="I62:K62"/>
    <mergeCell ref="L62:N62"/>
    <mergeCell ref="C63:E63"/>
    <mergeCell ref="F63:H63"/>
    <mergeCell ref="I63:K63"/>
    <mergeCell ref="L63:N63"/>
    <mergeCell ref="O47:O48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H53:H54"/>
    <mergeCell ref="I53:I54"/>
    <mergeCell ref="J53:J54"/>
    <mergeCell ref="K53:K54"/>
    <mergeCell ref="M51:M52"/>
    <mergeCell ref="N51:N52"/>
    <mergeCell ref="B53:B54"/>
    <mergeCell ref="C53:C54"/>
    <mergeCell ref="D53:D54"/>
    <mergeCell ref="E53:E54"/>
    <mergeCell ref="F53:F54"/>
    <mergeCell ref="G53:G5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E51:E52"/>
    <mergeCell ref="F51:F52"/>
    <mergeCell ref="G51:G52"/>
    <mergeCell ref="H51:H52"/>
    <mergeCell ref="I51:I52"/>
    <mergeCell ref="J51:J52"/>
    <mergeCell ref="K51:K52"/>
    <mergeCell ref="L51:L52"/>
    <mergeCell ref="G47:G48"/>
    <mergeCell ref="H47:H48"/>
    <mergeCell ref="I47:I48"/>
    <mergeCell ref="J47:J48"/>
    <mergeCell ref="K47:K48"/>
    <mergeCell ref="L47:L48"/>
    <mergeCell ref="M47:M48"/>
    <mergeCell ref="N47:N48"/>
    <mergeCell ref="B47:B48"/>
    <mergeCell ref="C47:C48"/>
    <mergeCell ref="D47:D48"/>
    <mergeCell ref="O43:O44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O15:O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B15:B16"/>
    <mergeCell ref="C15:C16"/>
    <mergeCell ref="D15:D16"/>
    <mergeCell ref="E15:E16"/>
    <mergeCell ref="K15:K16"/>
    <mergeCell ref="L15:L16"/>
    <mergeCell ref="M15:M16"/>
    <mergeCell ref="N15:N16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181:O186"/>
    <mergeCell ref="C182:E182"/>
    <mergeCell ref="L182:N182"/>
    <mergeCell ref="C183:E183"/>
    <mergeCell ref="F183:H183"/>
    <mergeCell ref="I183:K183"/>
    <mergeCell ref="L183:N183"/>
    <mergeCell ref="I189:I190"/>
    <mergeCell ref="J189:J190"/>
    <mergeCell ref="B189:B190"/>
    <mergeCell ref="C189:C190"/>
    <mergeCell ref="D189:D190"/>
    <mergeCell ref="E189:E190"/>
    <mergeCell ref="F189:F190"/>
    <mergeCell ref="G189:G190"/>
    <mergeCell ref="H189:H190"/>
    <mergeCell ref="B187:B188"/>
    <mergeCell ref="C187:C188"/>
    <mergeCell ref="N189:N19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N131:N132"/>
    <mergeCell ref="G133:G134"/>
    <mergeCell ref="B115:B116"/>
    <mergeCell ref="C115:C116"/>
    <mergeCell ref="D115:D116"/>
    <mergeCell ref="E115:E116"/>
    <mergeCell ref="F115:F11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B175:B176"/>
    <mergeCell ref="M125:M126"/>
    <mergeCell ref="B127:B128"/>
    <mergeCell ref="C127:C128"/>
    <mergeCell ref="D127:D128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9:N240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N229:N230"/>
    <mergeCell ref="B195:B196"/>
    <mergeCell ref="C195:C196"/>
    <mergeCell ref="D195:D196"/>
    <mergeCell ref="E195:E196"/>
    <mergeCell ref="F195:F196"/>
    <mergeCell ref="G195:G196"/>
    <mergeCell ref="H195:H196"/>
    <mergeCell ref="B169:B170"/>
    <mergeCell ref="C169:C170"/>
    <mergeCell ref="D169:D170"/>
    <mergeCell ref="E169:E170"/>
    <mergeCell ref="F169:F170"/>
    <mergeCell ref="G169:G170"/>
    <mergeCell ref="B171:B172"/>
    <mergeCell ref="C171:C172"/>
    <mergeCell ref="D171:D172"/>
    <mergeCell ref="N167:N168"/>
    <mergeCell ref="M187:M188"/>
    <mergeCell ref="N187:N188"/>
    <mergeCell ref="I167:I168"/>
    <mergeCell ref="J167:J168"/>
    <mergeCell ref="K167:K168"/>
    <mergeCell ref="L167:L168"/>
    <mergeCell ref="H159:H160"/>
    <mergeCell ref="I159:I160"/>
    <mergeCell ref="B159:B160"/>
    <mergeCell ref="C159:C160"/>
    <mergeCell ref="E171:E172"/>
    <mergeCell ref="F171:F172"/>
    <mergeCell ref="G171:G172"/>
    <mergeCell ref="H171:H172"/>
    <mergeCell ref="N177:N178"/>
    <mergeCell ref="B181:B186"/>
    <mergeCell ref="C181:E181"/>
    <mergeCell ref="F181:H181"/>
    <mergeCell ref="I181:K181"/>
    <mergeCell ref="L181:N181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M81:M82"/>
    <mergeCell ref="N81:N82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B141:B142"/>
    <mergeCell ref="C141:C142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B103:B104"/>
    <mergeCell ref="C103:C104"/>
    <mergeCell ref="D103:D104"/>
    <mergeCell ref="E103:E104"/>
    <mergeCell ref="F103:F104"/>
    <mergeCell ref="G103:G104"/>
    <mergeCell ref="B113:B114"/>
    <mergeCell ref="C113:C114"/>
    <mergeCell ref="D113:D114"/>
    <mergeCell ref="E113:E114"/>
    <mergeCell ref="F113:F114"/>
    <mergeCell ref="G113:G114"/>
    <mergeCell ref="H113:H114"/>
    <mergeCell ref="M171:M172"/>
    <mergeCell ref="N171:N172"/>
    <mergeCell ref="M169:M170"/>
    <mergeCell ref="M135:M136"/>
    <mergeCell ref="N135:N136"/>
    <mergeCell ref="B167:B168"/>
    <mergeCell ref="C167:C168"/>
    <mergeCell ref="D167:D168"/>
    <mergeCell ref="E167:E168"/>
    <mergeCell ref="F167:F168"/>
    <mergeCell ref="G167:G168"/>
    <mergeCell ref="K169:K170"/>
    <mergeCell ref="L169:L170"/>
    <mergeCell ref="H167:H168"/>
    <mergeCell ref="N139:N140"/>
    <mergeCell ref="F133:F134"/>
    <mergeCell ref="B125:B126"/>
    <mergeCell ref="C125:C126"/>
    <mergeCell ref="D125:D126"/>
    <mergeCell ref="B223:B224"/>
    <mergeCell ref="C223:C224"/>
    <mergeCell ref="D223:D224"/>
    <mergeCell ref="E223:E224"/>
    <mergeCell ref="F223:F224"/>
    <mergeCell ref="G87:G88"/>
    <mergeCell ref="H87:H88"/>
    <mergeCell ref="I87:I88"/>
    <mergeCell ref="J87:J88"/>
    <mergeCell ref="K87:K88"/>
    <mergeCell ref="L87:L88"/>
    <mergeCell ref="F177:F178"/>
    <mergeCell ref="G177:G178"/>
    <mergeCell ref="D159:D160"/>
    <mergeCell ref="E159:E160"/>
    <mergeCell ref="F159:F160"/>
    <mergeCell ref="G159:G160"/>
    <mergeCell ref="K165:K166"/>
    <mergeCell ref="J101:J102"/>
    <mergeCell ref="D137:D138"/>
    <mergeCell ref="I139:I140"/>
    <mergeCell ref="L95:L96"/>
    <mergeCell ref="L131:L132"/>
    <mergeCell ref="I131:I132"/>
    <mergeCell ref="H177:H178"/>
    <mergeCell ref="H127:H128"/>
    <mergeCell ref="I127:I128"/>
    <mergeCell ref="J127:J128"/>
    <mergeCell ref="K137:K138"/>
    <mergeCell ref="L137:L138"/>
    <mergeCell ref="I177:I178"/>
    <mergeCell ref="I171:I172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K135:K136"/>
    <mergeCell ref="L135:L136"/>
    <mergeCell ref="G115:G116"/>
    <mergeCell ref="H115:H116"/>
    <mergeCell ref="I115:I116"/>
    <mergeCell ref="J115:J116"/>
    <mergeCell ref="K115:K116"/>
    <mergeCell ref="L115:L116"/>
    <mergeCell ref="L171:L172"/>
    <mergeCell ref="H169:H170"/>
    <mergeCell ref="I169:I170"/>
    <mergeCell ref="J169:J170"/>
    <mergeCell ref="K173:K174"/>
    <mergeCell ref="J171:J172"/>
    <mergeCell ref="K171:K172"/>
    <mergeCell ref="K149:K150"/>
    <mergeCell ref="L149:L150"/>
    <mergeCell ref="D147:D148"/>
    <mergeCell ref="J159:J160"/>
    <mergeCell ref="K159:K160"/>
    <mergeCell ref="L159:L160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B87:B88"/>
    <mergeCell ref="C87:C88"/>
    <mergeCell ref="D87:D88"/>
    <mergeCell ref="E87:E88"/>
    <mergeCell ref="F87:F88"/>
    <mergeCell ref="M87:M88"/>
    <mergeCell ref="N87:N88"/>
    <mergeCell ref="C85:C86"/>
    <mergeCell ref="M229:M230"/>
    <mergeCell ref="J173:J174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B215:B216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M195:M196"/>
    <mergeCell ref="N195:N196"/>
    <mergeCell ref="B177:B178"/>
    <mergeCell ref="C177:C178"/>
    <mergeCell ref="D177:D178"/>
    <mergeCell ref="E177:E178"/>
    <mergeCell ref="B229:B230"/>
    <mergeCell ref="C229:C230"/>
    <mergeCell ref="H237:H238"/>
    <mergeCell ref="I237:I238"/>
    <mergeCell ref="J237:J238"/>
    <mergeCell ref="K237:K238"/>
    <mergeCell ref="L237:L238"/>
    <mergeCell ref="M237:M238"/>
    <mergeCell ref="N237:N238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B261:B262"/>
    <mergeCell ref="C261:C262"/>
    <mergeCell ref="D261:D262"/>
    <mergeCell ref="E261:E262"/>
    <mergeCell ref="F261:F262"/>
    <mergeCell ref="G261:G262"/>
    <mergeCell ref="H261:H262"/>
    <mergeCell ref="I261:I262"/>
    <mergeCell ref="J261:J262"/>
    <mergeCell ref="K261:K262"/>
    <mergeCell ref="L261:L262"/>
    <mergeCell ref="M261:M262"/>
    <mergeCell ref="N261:N262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B237:B238"/>
    <mergeCell ref="C237:C238"/>
    <mergeCell ref="D237:D238"/>
    <mergeCell ref="E237:E238"/>
    <mergeCell ref="F237:F238"/>
    <mergeCell ref="G237:G238"/>
    <mergeCell ref="E257:E258"/>
    <mergeCell ref="F257:F258"/>
    <mergeCell ref="G257:G258"/>
    <mergeCell ref="H257:H258"/>
    <mergeCell ref="I257:I258"/>
    <mergeCell ref="J257:J258"/>
    <mergeCell ref="K257:K258"/>
    <mergeCell ref="L257:L258"/>
    <mergeCell ref="M257:M258"/>
    <mergeCell ref="N257:N258"/>
    <mergeCell ref="J255:J256"/>
    <mergeCell ref="K255:K256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M259:M260"/>
    <mergeCell ref="N259:N260"/>
    <mergeCell ref="O79:O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N293:N294"/>
    <mergeCell ref="O293:O294"/>
    <mergeCell ref="B255:B256"/>
    <mergeCell ref="C255:C256"/>
    <mergeCell ref="E283:E284"/>
    <mergeCell ref="B279:B280"/>
    <mergeCell ref="J289:J290"/>
    <mergeCell ref="K289:K290"/>
    <mergeCell ref="L289:L290"/>
    <mergeCell ref="M289:M290"/>
    <mergeCell ref="N289:N290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F255:F256"/>
    <mergeCell ref="G255:G256"/>
    <mergeCell ref="H255:H256"/>
    <mergeCell ref="I255:I256"/>
    <mergeCell ref="B285:B286"/>
    <mergeCell ref="C285:C286"/>
    <mergeCell ref="D255:D256"/>
    <mergeCell ref="E255:E256"/>
    <mergeCell ref="L255:L256"/>
    <mergeCell ref="M255:M256"/>
    <mergeCell ref="N255:N256"/>
    <mergeCell ref="B257:B258"/>
    <mergeCell ref="C257:C258"/>
    <mergeCell ref="D257:D258"/>
    <mergeCell ref="I219:I220"/>
    <mergeCell ref="J219:J220"/>
    <mergeCell ref="N221:N222"/>
    <mergeCell ref="H151:H152"/>
    <mergeCell ref="I151:I152"/>
    <mergeCell ref="J151:J152"/>
    <mergeCell ref="K151:K152"/>
    <mergeCell ref="L151:L152"/>
    <mergeCell ref="M151:M152"/>
    <mergeCell ref="N151:N152"/>
    <mergeCell ref="I201:I202"/>
    <mergeCell ref="J201:J202"/>
    <mergeCell ref="K201:K202"/>
    <mergeCell ref="L201:L202"/>
    <mergeCell ref="M201:M202"/>
    <mergeCell ref="N201:N202"/>
    <mergeCell ref="K199:K200"/>
    <mergeCell ref="L199:L200"/>
    <mergeCell ref="M199:M200"/>
    <mergeCell ref="N199:N200"/>
    <mergeCell ref="H187:H188"/>
    <mergeCell ref="I187:I188"/>
    <mergeCell ref="J187:J188"/>
    <mergeCell ref="K187:K188"/>
    <mergeCell ref="L187:L188"/>
    <mergeCell ref="J177:J178"/>
    <mergeCell ref="K177:K178"/>
    <mergeCell ref="L177:L178"/>
    <mergeCell ref="M177:M178"/>
    <mergeCell ref="K189:K190"/>
    <mergeCell ref="N193:N194"/>
    <mergeCell ref="M189:M190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D187:D188"/>
    <mergeCell ref="E187:E188"/>
    <mergeCell ref="F187:F188"/>
    <mergeCell ref="G187:G188"/>
    <mergeCell ref="B201:B202"/>
    <mergeCell ref="C201:C202"/>
    <mergeCell ref="D201:D202"/>
    <mergeCell ref="E201:E202"/>
    <mergeCell ref="F201:F202"/>
    <mergeCell ref="G201:G202"/>
    <mergeCell ref="H201:H202"/>
    <mergeCell ref="N211:N212"/>
    <mergeCell ref="H213:H214"/>
    <mergeCell ref="I213:I214"/>
    <mergeCell ref="J213:J214"/>
    <mergeCell ref="N213:N214"/>
    <mergeCell ref="J211:J212"/>
    <mergeCell ref="K211:K212"/>
    <mergeCell ref="L213:L214"/>
    <mergeCell ref="L211:L212"/>
    <mergeCell ref="M211:M212"/>
    <mergeCell ref="J207:J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B205:B206"/>
    <mergeCell ref="B157:B158"/>
    <mergeCell ref="C157:C158"/>
    <mergeCell ref="D157:D158"/>
    <mergeCell ref="E157:E158"/>
    <mergeCell ref="F157:F158"/>
    <mergeCell ref="G157:G158"/>
    <mergeCell ref="L195:L196"/>
    <mergeCell ref="M191:M192"/>
    <mergeCell ref="M205:M206"/>
    <mergeCell ref="N205:N206"/>
    <mergeCell ref="L173:L174"/>
    <mergeCell ref="M173:M174"/>
    <mergeCell ref="N173:N174"/>
    <mergeCell ref="N169:N170"/>
    <mergeCell ref="M159:M160"/>
    <mergeCell ref="N159:N160"/>
    <mergeCell ref="B145:B146"/>
    <mergeCell ref="C145:C146"/>
    <mergeCell ref="D145:D146"/>
    <mergeCell ref="E145:E146"/>
    <mergeCell ref="F145:F146"/>
    <mergeCell ref="G145:G146"/>
    <mergeCell ref="H145:H146"/>
    <mergeCell ref="M167:M168"/>
    <mergeCell ref="B155:B156"/>
    <mergeCell ref="C155:C156"/>
    <mergeCell ref="D155:D156"/>
    <mergeCell ref="E155:E156"/>
    <mergeCell ref="B149:B150"/>
    <mergeCell ref="B147:B148"/>
    <mergeCell ref="G149:G150"/>
    <mergeCell ref="H149:H150"/>
    <mergeCell ref="N163:N164"/>
    <mergeCell ref="K161:K162"/>
    <mergeCell ref="H147:H148"/>
    <mergeCell ref="I147:I148"/>
    <mergeCell ref="J147:J148"/>
    <mergeCell ref="K147:K148"/>
    <mergeCell ref="L147:L148"/>
    <mergeCell ref="M147:M148"/>
    <mergeCell ref="N147:N148"/>
    <mergeCell ref="C149:C150"/>
    <mergeCell ref="C147:C148"/>
    <mergeCell ref="M197:M198"/>
    <mergeCell ref="G197:G198"/>
    <mergeCell ref="M155:M156"/>
    <mergeCell ref="N155:N156"/>
    <mergeCell ref="H157:H158"/>
    <mergeCell ref="I157:I158"/>
    <mergeCell ref="J157:J158"/>
    <mergeCell ref="K157:K158"/>
    <mergeCell ref="L157:L158"/>
    <mergeCell ref="M157:M158"/>
    <mergeCell ref="N157:N158"/>
    <mergeCell ref="J195:J196"/>
    <mergeCell ref="N191:N192"/>
    <mergeCell ref="M175:M176"/>
    <mergeCell ref="M149:M150"/>
    <mergeCell ref="N149:N150"/>
    <mergeCell ref="D149:D150"/>
    <mergeCell ref="E149:E150"/>
    <mergeCell ref="F149:F150"/>
    <mergeCell ref="C133:C134"/>
    <mergeCell ref="C101:C102"/>
    <mergeCell ref="D101:D102"/>
    <mergeCell ref="E101:E102"/>
    <mergeCell ref="F101:F102"/>
    <mergeCell ref="G101:G102"/>
    <mergeCell ref="H101:H102"/>
    <mergeCell ref="I101:I102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F155:F156"/>
    <mergeCell ref="G155:G156"/>
    <mergeCell ref="H155:H156"/>
    <mergeCell ref="I155:I156"/>
    <mergeCell ref="J155:J156"/>
    <mergeCell ref="I195:I196"/>
    <mergeCell ref="I197:I198"/>
    <mergeCell ref="I107:I108"/>
    <mergeCell ref="J107:J108"/>
    <mergeCell ref="E147:E148"/>
    <mergeCell ref="F147:F148"/>
    <mergeCell ref="G147:G148"/>
    <mergeCell ref="F151:F152"/>
    <mergeCell ref="G151:G152"/>
    <mergeCell ref="F182:H182"/>
    <mergeCell ref="I182:K182"/>
    <mergeCell ref="M107:M108"/>
    <mergeCell ref="N107:N108"/>
    <mergeCell ref="M95:M96"/>
    <mergeCell ref="N95:N96"/>
    <mergeCell ref="B99:B100"/>
    <mergeCell ref="C99:C100"/>
    <mergeCell ref="D99:D100"/>
    <mergeCell ref="E99:E100"/>
    <mergeCell ref="F99:F100"/>
    <mergeCell ref="E137:E138"/>
    <mergeCell ref="E105:E106"/>
    <mergeCell ref="F120:H120"/>
    <mergeCell ref="K139:K140"/>
    <mergeCell ref="F175:F176"/>
    <mergeCell ref="G175:G176"/>
    <mergeCell ref="K105:K106"/>
    <mergeCell ref="M137:M138"/>
    <mergeCell ref="N137:N138"/>
    <mergeCell ref="H133:H134"/>
    <mergeCell ref="I133:I134"/>
    <mergeCell ref="J133:J134"/>
    <mergeCell ref="K133:K134"/>
    <mergeCell ref="L133:L134"/>
    <mergeCell ref="B97:B98"/>
    <mergeCell ref="C97:C98"/>
    <mergeCell ref="D97:D98"/>
    <mergeCell ref="H97:H98"/>
    <mergeCell ref="J139:J140"/>
    <mergeCell ref="I105:I106"/>
    <mergeCell ref="B131:B132"/>
    <mergeCell ref="B137:B138"/>
    <mergeCell ref="G99:G100"/>
    <mergeCell ref="J217:J218"/>
    <mergeCell ref="N165:N166"/>
    <mergeCell ref="E211:E212"/>
    <mergeCell ref="B197:B198"/>
    <mergeCell ref="B139:B140"/>
    <mergeCell ref="C139:C140"/>
    <mergeCell ref="D139:D140"/>
    <mergeCell ref="E139:E140"/>
    <mergeCell ref="F139:F140"/>
    <mergeCell ref="G139:G140"/>
    <mergeCell ref="H139:H140"/>
    <mergeCell ref="G143:G144"/>
    <mergeCell ref="F137:F138"/>
    <mergeCell ref="H175:H176"/>
    <mergeCell ref="B151:B152"/>
    <mergeCell ref="C151:C152"/>
    <mergeCell ref="D151:D152"/>
    <mergeCell ref="E151:E152"/>
    <mergeCell ref="K175:K176"/>
    <mergeCell ref="L175:L176"/>
    <mergeCell ref="J137:J138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B165:B166"/>
    <mergeCell ref="K213:K214"/>
    <mergeCell ref="M97:M98"/>
    <mergeCell ref="N97:N98"/>
    <mergeCell ref="N153:N154"/>
    <mergeCell ref="M133:M134"/>
    <mergeCell ref="N133:N134"/>
    <mergeCell ref="I97:I98"/>
    <mergeCell ref="N109:N110"/>
    <mergeCell ref="L139:L140"/>
    <mergeCell ref="M139:M140"/>
    <mergeCell ref="K145:K146"/>
    <mergeCell ref="L145:L146"/>
    <mergeCell ref="M145:M146"/>
    <mergeCell ref="N145:N146"/>
    <mergeCell ref="I149:I150"/>
    <mergeCell ref="J149:J150"/>
    <mergeCell ref="L101:L102"/>
    <mergeCell ref="M101:M102"/>
    <mergeCell ref="N101:N102"/>
    <mergeCell ref="L97:L98"/>
    <mergeCell ref="I125:I126"/>
    <mergeCell ref="J125:J126"/>
    <mergeCell ref="K125:K126"/>
    <mergeCell ref="L125:L126"/>
    <mergeCell ref="K127:K128"/>
    <mergeCell ref="L127:L128"/>
    <mergeCell ref="M127:M128"/>
    <mergeCell ref="N127:N128"/>
    <mergeCell ref="J129:J130"/>
    <mergeCell ref="K129:K130"/>
    <mergeCell ref="L129:L130"/>
    <mergeCell ref="M129:M130"/>
    <mergeCell ref="N129:N130"/>
    <mergeCell ref="M113:M114"/>
    <mergeCell ref="N113:N114"/>
    <mergeCell ref="N125:N126"/>
    <mergeCell ref="L121:N121"/>
    <mergeCell ref="D131:D132"/>
    <mergeCell ref="J131:J132"/>
    <mergeCell ref="J109:J110"/>
    <mergeCell ref="K109:K110"/>
    <mergeCell ref="E125:E126"/>
    <mergeCell ref="F125:F126"/>
    <mergeCell ref="G125:G126"/>
    <mergeCell ref="H125:H126"/>
    <mergeCell ref="E127:E128"/>
    <mergeCell ref="F127:F128"/>
    <mergeCell ref="M131:M132"/>
    <mergeCell ref="L109:L110"/>
    <mergeCell ref="E109:E110"/>
    <mergeCell ref="I113:I114"/>
    <mergeCell ref="J113:J114"/>
    <mergeCell ref="J251:J252"/>
    <mergeCell ref="K251:K252"/>
    <mergeCell ref="E219:E220"/>
    <mergeCell ref="H211:H212"/>
    <mergeCell ref="F233:F234"/>
    <mergeCell ref="C213:C214"/>
    <mergeCell ref="D213:D214"/>
    <mergeCell ref="E213:E214"/>
    <mergeCell ref="F213:F214"/>
    <mergeCell ref="F217:F218"/>
    <mergeCell ref="H131:H132"/>
    <mergeCell ref="G213:G214"/>
    <mergeCell ref="G107:G108"/>
    <mergeCell ref="G161:G162"/>
    <mergeCell ref="M161:M162"/>
    <mergeCell ref="N161:N162"/>
    <mergeCell ref="L191:L192"/>
    <mergeCell ref="N241:N242"/>
    <mergeCell ref="N217:N218"/>
    <mergeCell ref="N197:N198"/>
    <mergeCell ref="D109:D110"/>
    <mergeCell ref="K217:K218"/>
    <mergeCell ref="H217:H218"/>
    <mergeCell ref="H219:H220"/>
    <mergeCell ref="N207:N208"/>
    <mergeCell ref="K227:K228"/>
    <mergeCell ref="D133:D134"/>
    <mergeCell ref="E133:E134"/>
    <mergeCell ref="H143:H144"/>
    <mergeCell ref="I175:I176"/>
    <mergeCell ref="J175:J176"/>
    <mergeCell ref="M109:M110"/>
    <mergeCell ref="E227:E228"/>
    <mergeCell ref="B217:B218"/>
    <mergeCell ref="C153:C154"/>
    <mergeCell ref="D153:D154"/>
    <mergeCell ref="C143:C144"/>
    <mergeCell ref="D143:D144"/>
    <mergeCell ref="J221:J222"/>
    <mergeCell ref="K221:K222"/>
    <mergeCell ref="H161:H162"/>
    <mergeCell ref="I119:K119"/>
    <mergeCell ref="L119:N119"/>
    <mergeCell ref="E233:E234"/>
    <mergeCell ref="C131:C132"/>
    <mergeCell ref="C137:C138"/>
    <mergeCell ref="B133:B134"/>
    <mergeCell ref="K95:K96"/>
    <mergeCell ref="D105:D106"/>
    <mergeCell ref="H103:H104"/>
    <mergeCell ref="I103:I104"/>
    <mergeCell ref="J103:J104"/>
    <mergeCell ref="K103:K104"/>
    <mergeCell ref="L103:L104"/>
    <mergeCell ref="M103:M104"/>
    <mergeCell ref="N103:N104"/>
    <mergeCell ref="I120:K120"/>
    <mergeCell ref="L120:N120"/>
    <mergeCell ref="E131:E132"/>
    <mergeCell ref="F105:F106"/>
    <mergeCell ref="G105:G106"/>
    <mergeCell ref="H105:H106"/>
    <mergeCell ref="M115:M116"/>
    <mergeCell ref="N115:N116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L93:L94"/>
    <mergeCell ref="B213:B214"/>
    <mergeCell ref="B107:B108"/>
    <mergeCell ref="C107:C108"/>
    <mergeCell ref="D107:D108"/>
    <mergeCell ref="H99:H100"/>
    <mergeCell ref="I95:I96"/>
    <mergeCell ref="J95:J96"/>
    <mergeCell ref="I99:I100"/>
    <mergeCell ref="J99:J100"/>
    <mergeCell ref="B95:B96"/>
    <mergeCell ref="D95:D96"/>
    <mergeCell ref="E95:E96"/>
    <mergeCell ref="F95:F96"/>
    <mergeCell ref="G95:G96"/>
    <mergeCell ref="K153:K154"/>
    <mergeCell ref="F143:F144"/>
    <mergeCell ref="H107:H108"/>
    <mergeCell ref="K113:K114"/>
    <mergeCell ref="L113:L114"/>
    <mergeCell ref="H95:H96"/>
    <mergeCell ref="I145:I146"/>
    <mergeCell ref="J145:J146"/>
    <mergeCell ref="L107:L108"/>
    <mergeCell ref="F211:F212"/>
    <mergeCell ref="G211:G212"/>
    <mergeCell ref="L203:L204"/>
    <mergeCell ref="F97:F98"/>
    <mergeCell ref="G97:G98"/>
    <mergeCell ref="J161:J162"/>
    <mergeCell ref="E143:E144"/>
    <mergeCell ref="J197:J198"/>
    <mergeCell ref="K197:K198"/>
    <mergeCell ref="I109:I110"/>
    <mergeCell ref="I143:I144"/>
    <mergeCell ref="K205:K206"/>
    <mergeCell ref="L205:L206"/>
    <mergeCell ref="K195:K196"/>
    <mergeCell ref="K155:K156"/>
    <mergeCell ref="L155:L156"/>
    <mergeCell ref="L189:L190"/>
    <mergeCell ref="L207:L208"/>
    <mergeCell ref="K99:K100"/>
    <mergeCell ref="J97:J98"/>
    <mergeCell ref="K97:K98"/>
    <mergeCell ref="L197:L198"/>
    <mergeCell ref="G127:G128"/>
    <mergeCell ref="D13:D14"/>
    <mergeCell ref="I5:K5"/>
    <mergeCell ref="I6:K6"/>
    <mergeCell ref="F295:F296"/>
    <mergeCell ref="G295:G296"/>
    <mergeCell ref="H295:H296"/>
    <mergeCell ref="F253:F254"/>
    <mergeCell ref="G253:G254"/>
    <mergeCell ref="H253:H254"/>
    <mergeCell ref="F227:F228"/>
    <mergeCell ref="G227:G228"/>
    <mergeCell ref="H227:H228"/>
    <mergeCell ref="F203:F204"/>
    <mergeCell ref="G203:G204"/>
    <mergeCell ref="H203:H204"/>
    <mergeCell ref="C119:E119"/>
    <mergeCell ref="F119:H119"/>
    <mergeCell ref="F109:F110"/>
    <mergeCell ref="G109:G110"/>
    <mergeCell ref="H275:H276"/>
    <mergeCell ref="F221:F222"/>
    <mergeCell ref="C95:C96"/>
    <mergeCell ref="G241:G242"/>
    <mergeCell ref="H241:H242"/>
    <mergeCell ref="D251:D252"/>
    <mergeCell ref="I121:K121"/>
    <mergeCell ref="K101:K102"/>
    <mergeCell ref="H75:H76"/>
    <mergeCell ref="I75:I76"/>
    <mergeCell ref="J75:J76"/>
    <mergeCell ref="K89:K90"/>
    <mergeCell ref="K107:K108"/>
    <mergeCell ref="B734:J735"/>
    <mergeCell ref="B728:B729"/>
    <mergeCell ref="F728:F729"/>
    <mergeCell ref="G728:G729"/>
    <mergeCell ref="H728:H729"/>
    <mergeCell ref="I728:I729"/>
    <mergeCell ref="J724:J725"/>
    <mergeCell ref="J720:J721"/>
    <mergeCell ref="J716:J717"/>
    <mergeCell ref="J712:J713"/>
    <mergeCell ref="J708:J709"/>
    <mergeCell ref="J704:J705"/>
    <mergeCell ref="J700:J701"/>
    <mergeCell ref="B694:B697"/>
    <mergeCell ref="C694:H694"/>
    <mergeCell ref="I694:K694"/>
    <mergeCell ref="K734:O734"/>
    <mergeCell ref="K735:O735"/>
    <mergeCell ref="M724:M725"/>
    <mergeCell ref="N724:N725"/>
    <mergeCell ref="B726:B727"/>
    <mergeCell ref="F726:F727"/>
    <mergeCell ref="L724:L725"/>
    <mergeCell ref="M722:M723"/>
    <mergeCell ref="N722:N723"/>
    <mergeCell ref="B724:B725"/>
    <mergeCell ref="F724:F725"/>
    <mergeCell ref="G724:G725"/>
    <mergeCell ref="B722:B723"/>
    <mergeCell ref="B718:B719"/>
    <mergeCell ref="G718:G719"/>
    <mergeCell ref="H718:H719"/>
    <mergeCell ref="K724:K725"/>
    <mergeCell ref="F4:H4"/>
    <mergeCell ref="C4:E4"/>
    <mergeCell ref="C121:E121"/>
    <mergeCell ref="F121:H121"/>
    <mergeCell ref="J730:J731"/>
    <mergeCell ref="K730:K731"/>
    <mergeCell ref="L730:L731"/>
    <mergeCell ref="M730:M731"/>
    <mergeCell ref="N730:N731"/>
    <mergeCell ref="F13:F14"/>
    <mergeCell ref="G13:G14"/>
    <mergeCell ref="H13:H14"/>
    <mergeCell ref="C5:E5"/>
    <mergeCell ref="C6:E6"/>
    <mergeCell ref="F5:H5"/>
    <mergeCell ref="H724:H725"/>
    <mergeCell ref="I724:I725"/>
    <mergeCell ref="K720:K721"/>
    <mergeCell ref="L720:L721"/>
    <mergeCell ref="M720:M721"/>
    <mergeCell ref="N720:N721"/>
    <mergeCell ref="E267:E268"/>
    <mergeCell ref="F267:F268"/>
    <mergeCell ref="G267:G268"/>
    <mergeCell ref="H267:H268"/>
    <mergeCell ref="I726:I727"/>
    <mergeCell ref="J722:J723"/>
    <mergeCell ref="K722:K723"/>
    <mergeCell ref="L722:L723"/>
    <mergeCell ref="M716:M717"/>
    <mergeCell ref="N716:N717"/>
    <mergeCell ref="B732:H733"/>
    <mergeCell ref="I732:O732"/>
    <mergeCell ref="I733:O733"/>
    <mergeCell ref="J728:J729"/>
    <mergeCell ref="K728:K729"/>
    <mergeCell ref="L728:L729"/>
    <mergeCell ref="M728:M729"/>
    <mergeCell ref="N728:N729"/>
    <mergeCell ref="B730:B731"/>
    <mergeCell ref="F730:F731"/>
    <mergeCell ref="G730:G731"/>
    <mergeCell ref="H730:H731"/>
    <mergeCell ref="I730:I731"/>
    <mergeCell ref="J726:J727"/>
    <mergeCell ref="K726:K727"/>
    <mergeCell ref="L726:L727"/>
    <mergeCell ref="M726:M727"/>
    <mergeCell ref="G726:G727"/>
    <mergeCell ref="H726:H727"/>
    <mergeCell ref="N726:N727"/>
    <mergeCell ref="B716:B717"/>
    <mergeCell ref="F716:F717"/>
    <mergeCell ref="G716:G717"/>
    <mergeCell ref="H716:H717"/>
    <mergeCell ref="I716:I717"/>
    <mergeCell ref="J718:J719"/>
    <mergeCell ref="K718:K719"/>
    <mergeCell ref="L718:L719"/>
    <mergeCell ref="M718:M719"/>
    <mergeCell ref="N718:N719"/>
    <mergeCell ref="K716:K717"/>
    <mergeCell ref="L716:L717"/>
    <mergeCell ref="F722:F723"/>
    <mergeCell ref="G722:G723"/>
    <mergeCell ref="H722:H723"/>
    <mergeCell ref="I722:I723"/>
    <mergeCell ref="B720:B721"/>
    <mergeCell ref="F720:F721"/>
    <mergeCell ref="G720:G721"/>
    <mergeCell ref="H720:H721"/>
    <mergeCell ref="I720:I721"/>
    <mergeCell ref="I718:I719"/>
    <mergeCell ref="F718:F719"/>
    <mergeCell ref="K712:K713"/>
    <mergeCell ref="L712:L713"/>
    <mergeCell ref="M712:M713"/>
    <mergeCell ref="N712:N713"/>
    <mergeCell ref="B714:B715"/>
    <mergeCell ref="F714:F715"/>
    <mergeCell ref="G714:G715"/>
    <mergeCell ref="H714:H715"/>
    <mergeCell ref="I714:I715"/>
    <mergeCell ref="J710:J711"/>
    <mergeCell ref="K710:K711"/>
    <mergeCell ref="L710:L711"/>
    <mergeCell ref="M710:M711"/>
    <mergeCell ref="N710:N711"/>
    <mergeCell ref="B712:B713"/>
    <mergeCell ref="F712:F713"/>
    <mergeCell ref="G712:G713"/>
    <mergeCell ref="H712:H713"/>
    <mergeCell ref="I712:I713"/>
    <mergeCell ref="J714:J715"/>
    <mergeCell ref="K714:K715"/>
    <mergeCell ref="L714:L715"/>
    <mergeCell ref="M714:M715"/>
    <mergeCell ref="N714:N715"/>
    <mergeCell ref="K708:K709"/>
    <mergeCell ref="L708:L709"/>
    <mergeCell ref="M708:M709"/>
    <mergeCell ref="N708:N709"/>
    <mergeCell ref="B710:B711"/>
    <mergeCell ref="F710:F711"/>
    <mergeCell ref="G710:G711"/>
    <mergeCell ref="H710:H711"/>
    <mergeCell ref="I710:I711"/>
    <mergeCell ref="J706:J707"/>
    <mergeCell ref="K706:K707"/>
    <mergeCell ref="L706:L707"/>
    <mergeCell ref="M706:M707"/>
    <mergeCell ref="N706:N707"/>
    <mergeCell ref="B708:B709"/>
    <mergeCell ref="F708:F709"/>
    <mergeCell ref="G708:G709"/>
    <mergeCell ref="H708:H709"/>
    <mergeCell ref="I708:I709"/>
    <mergeCell ref="K704:K705"/>
    <mergeCell ref="L704:L705"/>
    <mergeCell ref="M704:M705"/>
    <mergeCell ref="N704:N705"/>
    <mergeCell ref="B706:B707"/>
    <mergeCell ref="F706:F707"/>
    <mergeCell ref="G706:G707"/>
    <mergeCell ref="H706:H707"/>
    <mergeCell ref="I706:I707"/>
    <mergeCell ref="J702:J703"/>
    <mergeCell ref="K702:K703"/>
    <mergeCell ref="L702:L703"/>
    <mergeCell ref="M702:M703"/>
    <mergeCell ref="N702:N703"/>
    <mergeCell ref="B704:B705"/>
    <mergeCell ref="F704:F705"/>
    <mergeCell ref="G704:G705"/>
    <mergeCell ref="H704:H705"/>
    <mergeCell ref="I704:I705"/>
    <mergeCell ref="K700:K701"/>
    <mergeCell ref="L700:L701"/>
    <mergeCell ref="M700:M701"/>
    <mergeCell ref="N700:N701"/>
    <mergeCell ref="B702:B703"/>
    <mergeCell ref="F702:F703"/>
    <mergeCell ref="G702:G703"/>
    <mergeCell ref="H702:H703"/>
    <mergeCell ref="I702:I703"/>
    <mergeCell ref="J698:J699"/>
    <mergeCell ref="K698:K699"/>
    <mergeCell ref="L698:L699"/>
    <mergeCell ref="M698:M699"/>
    <mergeCell ref="N698:N699"/>
    <mergeCell ref="B700:B701"/>
    <mergeCell ref="F700:F701"/>
    <mergeCell ref="G700:G701"/>
    <mergeCell ref="H700:H701"/>
    <mergeCell ref="I700:I701"/>
    <mergeCell ref="L694:N694"/>
    <mergeCell ref="O694:O697"/>
    <mergeCell ref="B698:B699"/>
    <mergeCell ref="F698:F699"/>
    <mergeCell ref="G698:G699"/>
    <mergeCell ref="H698:H699"/>
    <mergeCell ref="I698:I699"/>
    <mergeCell ref="J690:J691"/>
    <mergeCell ref="K690:K691"/>
    <mergeCell ref="L690:L691"/>
    <mergeCell ref="M690:M691"/>
    <mergeCell ref="N690:N691"/>
    <mergeCell ref="B692:J693"/>
    <mergeCell ref="K692:O692"/>
    <mergeCell ref="K693:O693"/>
    <mergeCell ref="J688:J689"/>
    <mergeCell ref="K688:K689"/>
    <mergeCell ref="L688:L689"/>
    <mergeCell ref="M688:M689"/>
    <mergeCell ref="N688:N689"/>
    <mergeCell ref="B690:B691"/>
    <mergeCell ref="F690:F691"/>
    <mergeCell ref="G690:G691"/>
    <mergeCell ref="H690:H691"/>
    <mergeCell ref="I690:I691"/>
    <mergeCell ref="J686:J687"/>
    <mergeCell ref="K686:K687"/>
    <mergeCell ref="L686:L687"/>
    <mergeCell ref="M686:M687"/>
    <mergeCell ref="N686:N687"/>
    <mergeCell ref="B688:B689"/>
    <mergeCell ref="F688:F689"/>
    <mergeCell ref="G688:G689"/>
    <mergeCell ref="H688:H689"/>
    <mergeCell ref="I688:I689"/>
    <mergeCell ref="J684:J685"/>
    <mergeCell ref="K684:K685"/>
    <mergeCell ref="L684:L685"/>
    <mergeCell ref="M684:M685"/>
    <mergeCell ref="N684:N685"/>
    <mergeCell ref="B686:B687"/>
    <mergeCell ref="F686:F687"/>
    <mergeCell ref="G686:G687"/>
    <mergeCell ref="H686:H687"/>
    <mergeCell ref="I686:I687"/>
    <mergeCell ref="J682:J683"/>
    <mergeCell ref="K682:K683"/>
    <mergeCell ref="L682:L683"/>
    <mergeCell ref="M682:M683"/>
    <mergeCell ref="N682:N683"/>
    <mergeCell ref="B684:B685"/>
    <mergeCell ref="F684:F685"/>
    <mergeCell ref="G684:G685"/>
    <mergeCell ref="H684:H685"/>
    <mergeCell ref="I684:I685"/>
    <mergeCell ref="J680:J681"/>
    <mergeCell ref="K680:K681"/>
    <mergeCell ref="L680:L681"/>
    <mergeCell ref="M680:M681"/>
    <mergeCell ref="N680:N681"/>
    <mergeCell ref="B682:B683"/>
    <mergeCell ref="F682:F683"/>
    <mergeCell ref="G682:G683"/>
    <mergeCell ref="H682:H683"/>
    <mergeCell ref="I682:I683"/>
    <mergeCell ref="J678:J679"/>
    <mergeCell ref="K678:K679"/>
    <mergeCell ref="L678:L679"/>
    <mergeCell ref="M678:M679"/>
    <mergeCell ref="N678:N679"/>
    <mergeCell ref="B680:B681"/>
    <mergeCell ref="F680:F681"/>
    <mergeCell ref="G680:G681"/>
    <mergeCell ref="H680:H681"/>
    <mergeCell ref="I680:I681"/>
    <mergeCell ref="J676:J677"/>
    <mergeCell ref="K676:K677"/>
    <mergeCell ref="L676:L677"/>
    <mergeCell ref="M676:M677"/>
    <mergeCell ref="N676:N677"/>
    <mergeCell ref="B678:B679"/>
    <mergeCell ref="F678:F679"/>
    <mergeCell ref="G678:G679"/>
    <mergeCell ref="H678:H679"/>
    <mergeCell ref="I678:I679"/>
    <mergeCell ref="J674:J675"/>
    <mergeCell ref="K674:K675"/>
    <mergeCell ref="L674:L675"/>
    <mergeCell ref="M674:M675"/>
    <mergeCell ref="N674:N675"/>
    <mergeCell ref="B676:B677"/>
    <mergeCell ref="F676:F677"/>
    <mergeCell ref="G676:G677"/>
    <mergeCell ref="H676:H677"/>
    <mergeCell ref="I676:I677"/>
    <mergeCell ref="J672:J673"/>
    <mergeCell ref="K672:K673"/>
    <mergeCell ref="L672:L673"/>
    <mergeCell ref="M672:M673"/>
    <mergeCell ref="N672:N673"/>
    <mergeCell ref="B674:B675"/>
    <mergeCell ref="F674:F675"/>
    <mergeCell ref="G674:G675"/>
    <mergeCell ref="H674:H675"/>
    <mergeCell ref="I674:I675"/>
    <mergeCell ref="J670:J671"/>
    <mergeCell ref="K670:K671"/>
    <mergeCell ref="L670:L671"/>
    <mergeCell ref="M670:M671"/>
    <mergeCell ref="N670:N671"/>
    <mergeCell ref="B672:B673"/>
    <mergeCell ref="F672:F673"/>
    <mergeCell ref="G672:G673"/>
    <mergeCell ref="H672:H673"/>
    <mergeCell ref="I672:I673"/>
    <mergeCell ref="J668:J669"/>
    <mergeCell ref="K668:K669"/>
    <mergeCell ref="L668:L669"/>
    <mergeCell ref="M668:M669"/>
    <mergeCell ref="N668:N669"/>
    <mergeCell ref="B670:B671"/>
    <mergeCell ref="F670:F671"/>
    <mergeCell ref="G670:G671"/>
    <mergeCell ref="H670:H671"/>
    <mergeCell ref="I670:I671"/>
    <mergeCell ref="J666:J667"/>
    <mergeCell ref="K666:K667"/>
    <mergeCell ref="L666:L667"/>
    <mergeCell ref="M666:M667"/>
    <mergeCell ref="N666:N667"/>
    <mergeCell ref="B668:B669"/>
    <mergeCell ref="F668:F669"/>
    <mergeCell ref="G668:G669"/>
    <mergeCell ref="H668:H669"/>
    <mergeCell ref="I668:I669"/>
    <mergeCell ref="J664:J665"/>
    <mergeCell ref="K664:K665"/>
    <mergeCell ref="L664:L665"/>
    <mergeCell ref="M664:M665"/>
    <mergeCell ref="N664:N665"/>
    <mergeCell ref="B666:B667"/>
    <mergeCell ref="F666:F667"/>
    <mergeCell ref="G666:G667"/>
    <mergeCell ref="H666:H667"/>
    <mergeCell ref="I666:I667"/>
    <mergeCell ref="J662:J663"/>
    <mergeCell ref="K662:K663"/>
    <mergeCell ref="L662:L663"/>
    <mergeCell ref="M662:M663"/>
    <mergeCell ref="N662:N663"/>
    <mergeCell ref="B664:B665"/>
    <mergeCell ref="F664:F665"/>
    <mergeCell ref="G664:G665"/>
    <mergeCell ref="H664:H665"/>
    <mergeCell ref="I664:I665"/>
    <mergeCell ref="J660:J661"/>
    <mergeCell ref="K660:K661"/>
    <mergeCell ref="L660:L661"/>
    <mergeCell ref="M660:M661"/>
    <mergeCell ref="N660:N661"/>
    <mergeCell ref="B662:B663"/>
    <mergeCell ref="F662:F663"/>
    <mergeCell ref="G662:G663"/>
    <mergeCell ref="H662:H663"/>
    <mergeCell ref="I662:I663"/>
    <mergeCell ref="J658:J659"/>
    <mergeCell ref="K658:K659"/>
    <mergeCell ref="L658:L659"/>
    <mergeCell ref="M658:M659"/>
    <mergeCell ref="N658:N659"/>
    <mergeCell ref="B660:B661"/>
    <mergeCell ref="F660:F661"/>
    <mergeCell ref="G660:G661"/>
    <mergeCell ref="H660:H661"/>
    <mergeCell ref="I660:I661"/>
    <mergeCell ref="J656:J657"/>
    <mergeCell ref="K656:K657"/>
    <mergeCell ref="L656:L657"/>
    <mergeCell ref="M656:M657"/>
    <mergeCell ref="N656:N657"/>
    <mergeCell ref="B658:B659"/>
    <mergeCell ref="F658:F659"/>
    <mergeCell ref="G658:G659"/>
    <mergeCell ref="H658:H659"/>
    <mergeCell ref="I658:I659"/>
    <mergeCell ref="J654:J655"/>
    <mergeCell ref="K654:K655"/>
    <mergeCell ref="L654:L655"/>
    <mergeCell ref="M654:M655"/>
    <mergeCell ref="N654:N655"/>
    <mergeCell ref="B656:B657"/>
    <mergeCell ref="F656:F657"/>
    <mergeCell ref="G656:G657"/>
    <mergeCell ref="H656:H657"/>
    <mergeCell ref="I656:I657"/>
    <mergeCell ref="J652:J653"/>
    <mergeCell ref="K652:K653"/>
    <mergeCell ref="L652:L653"/>
    <mergeCell ref="M652:M653"/>
    <mergeCell ref="N652:N653"/>
    <mergeCell ref="B654:B655"/>
    <mergeCell ref="F654:F655"/>
    <mergeCell ref="G654:G655"/>
    <mergeCell ref="H654:H655"/>
    <mergeCell ref="I654:I655"/>
    <mergeCell ref="B648:B651"/>
    <mergeCell ref="C648:H648"/>
    <mergeCell ref="I648:K648"/>
    <mergeCell ref="L648:N648"/>
    <mergeCell ref="O648:O651"/>
    <mergeCell ref="B652:B653"/>
    <mergeCell ref="F652:F653"/>
    <mergeCell ref="G652:G653"/>
    <mergeCell ref="H652:H653"/>
    <mergeCell ref="I652:I653"/>
    <mergeCell ref="J644:J645"/>
    <mergeCell ref="K644:K645"/>
    <mergeCell ref="L644:L645"/>
    <mergeCell ref="M644:M645"/>
    <mergeCell ref="N644:N645"/>
    <mergeCell ref="B646:J647"/>
    <mergeCell ref="K646:O646"/>
    <mergeCell ref="K647:O647"/>
    <mergeCell ref="J642:J643"/>
    <mergeCell ref="K642:K643"/>
    <mergeCell ref="L642:L643"/>
    <mergeCell ref="M642:M643"/>
    <mergeCell ref="N642:N643"/>
    <mergeCell ref="B644:B645"/>
    <mergeCell ref="F644:F645"/>
    <mergeCell ref="G644:G645"/>
    <mergeCell ref="H644:H645"/>
    <mergeCell ref="I644:I645"/>
    <mergeCell ref="J640:J641"/>
    <mergeCell ref="K640:K641"/>
    <mergeCell ref="L640:L641"/>
    <mergeCell ref="M640:M641"/>
    <mergeCell ref="N640:N641"/>
    <mergeCell ref="B642:B643"/>
    <mergeCell ref="F642:F643"/>
    <mergeCell ref="G642:G643"/>
    <mergeCell ref="H642:H643"/>
    <mergeCell ref="I642:I643"/>
    <mergeCell ref="J638:J639"/>
    <mergeCell ref="K638:K639"/>
    <mergeCell ref="L638:L639"/>
    <mergeCell ref="M638:M639"/>
    <mergeCell ref="N638:N639"/>
    <mergeCell ref="B640:B641"/>
    <mergeCell ref="F640:F641"/>
    <mergeCell ref="G640:G641"/>
    <mergeCell ref="H640:H641"/>
    <mergeCell ref="I640:I641"/>
    <mergeCell ref="J636:J637"/>
    <mergeCell ref="K636:K637"/>
    <mergeCell ref="L636:L637"/>
    <mergeCell ref="M636:M637"/>
    <mergeCell ref="N636:N637"/>
    <mergeCell ref="B638:B639"/>
    <mergeCell ref="F638:F639"/>
    <mergeCell ref="G638:G639"/>
    <mergeCell ref="H638:H639"/>
    <mergeCell ref="I638:I639"/>
    <mergeCell ref="J634:J635"/>
    <mergeCell ref="K634:K635"/>
    <mergeCell ref="L634:L635"/>
    <mergeCell ref="M634:M635"/>
    <mergeCell ref="N634:N635"/>
    <mergeCell ref="B636:B637"/>
    <mergeCell ref="F636:F637"/>
    <mergeCell ref="G636:G637"/>
    <mergeCell ref="H636:H637"/>
    <mergeCell ref="I636:I637"/>
    <mergeCell ref="J632:J633"/>
    <mergeCell ref="K632:K633"/>
    <mergeCell ref="L632:L633"/>
    <mergeCell ref="M632:M633"/>
    <mergeCell ref="N632:N633"/>
    <mergeCell ref="B634:B635"/>
    <mergeCell ref="F634:F635"/>
    <mergeCell ref="G634:G635"/>
    <mergeCell ref="H634:H635"/>
    <mergeCell ref="I634:I635"/>
    <mergeCell ref="J630:J631"/>
    <mergeCell ref="K630:K631"/>
    <mergeCell ref="L630:L631"/>
    <mergeCell ref="M630:M631"/>
    <mergeCell ref="N630:N631"/>
    <mergeCell ref="B632:B633"/>
    <mergeCell ref="F632:F633"/>
    <mergeCell ref="G632:G633"/>
    <mergeCell ref="H632:H633"/>
    <mergeCell ref="I632:I633"/>
    <mergeCell ref="J628:J629"/>
    <mergeCell ref="K628:K629"/>
    <mergeCell ref="L628:L629"/>
    <mergeCell ref="M628:M629"/>
    <mergeCell ref="N628:N629"/>
    <mergeCell ref="B630:B631"/>
    <mergeCell ref="F630:F631"/>
    <mergeCell ref="G630:G631"/>
    <mergeCell ref="H630:H631"/>
    <mergeCell ref="I630:I631"/>
    <mergeCell ref="J626:J627"/>
    <mergeCell ref="K626:K627"/>
    <mergeCell ref="L626:L627"/>
    <mergeCell ref="M626:M627"/>
    <mergeCell ref="N626:N627"/>
    <mergeCell ref="B628:B629"/>
    <mergeCell ref="F628:F629"/>
    <mergeCell ref="G628:G629"/>
    <mergeCell ref="H628:H629"/>
    <mergeCell ref="I628:I629"/>
    <mergeCell ref="J624:J625"/>
    <mergeCell ref="K624:K625"/>
    <mergeCell ref="L624:L625"/>
    <mergeCell ref="M624:M625"/>
    <mergeCell ref="N624:N625"/>
    <mergeCell ref="B626:B627"/>
    <mergeCell ref="F626:F627"/>
    <mergeCell ref="G626:G627"/>
    <mergeCell ref="H626:H627"/>
    <mergeCell ref="I626:I627"/>
    <mergeCell ref="J622:J623"/>
    <mergeCell ref="K622:K623"/>
    <mergeCell ref="L622:L623"/>
    <mergeCell ref="M622:M623"/>
    <mergeCell ref="N622:N623"/>
    <mergeCell ref="B624:B625"/>
    <mergeCell ref="F624:F625"/>
    <mergeCell ref="G624:G625"/>
    <mergeCell ref="H624:H625"/>
    <mergeCell ref="I624:I625"/>
    <mergeCell ref="J620:J621"/>
    <mergeCell ref="K620:K621"/>
    <mergeCell ref="L620:L621"/>
    <mergeCell ref="M620:M621"/>
    <mergeCell ref="N620:N621"/>
    <mergeCell ref="B622:B623"/>
    <mergeCell ref="F622:F623"/>
    <mergeCell ref="G622:G623"/>
    <mergeCell ref="H622:H623"/>
    <mergeCell ref="I622:I623"/>
    <mergeCell ref="J618:J619"/>
    <mergeCell ref="K618:K619"/>
    <mergeCell ref="L618:L619"/>
    <mergeCell ref="M618:M619"/>
    <mergeCell ref="N618:N619"/>
    <mergeCell ref="B620:B621"/>
    <mergeCell ref="F620:F621"/>
    <mergeCell ref="G620:G621"/>
    <mergeCell ref="H620:H621"/>
    <mergeCell ref="I620:I621"/>
    <mergeCell ref="J616:J617"/>
    <mergeCell ref="K616:K617"/>
    <mergeCell ref="L616:L617"/>
    <mergeCell ref="M616:M617"/>
    <mergeCell ref="N616:N617"/>
    <mergeCell ref="B618:B619"/>
    <mergeCell ref="F618:F619"/>
    <mergeCell ref="G618:G619"/>
    <mergeCell ref="H618:H619"/>
    <mergeCell ref="I618:I619"/>
    <mergeCell ref="J614:J615"/>
    <mergeCell ref="K614:K615"/>
    <mergeCell ref="L614:L615"/>
    <mergeCell ref="M614:M615"/>
    <mergeCell ref="N614:N615"/>
    <mergeCell ref="B616:B617"/>
    <mergeCell ref="F616:F617"/>
    <mergeCell ref="G616:G617"/>
    <mergeCell ref="H616:H617"/>
    <mergeCell ref="I616:I617"/>
    <mergeCell ref="J612:J613"/>
    <mergeCell ref="K612:K613"/>
    <mergeCell ref="L612:L613"/>
    <mergeCell ref="M612:M613"/>
    <mergeCell ref="N612:N613"/>
    <mergeCell ref="B614:B615"/>
    <mergeCell ref="F614:F615"/>
    <mergeCell ref="G614:G615"/>
    <mergeCell ref="H614:H615"/>
    <mergeCell ref="I614:I615"/>
    <mergeCell ref="J610:J611"/>
    <mergeCell ref="K610:K611"/>
    <mergeCell ref="L610:L611"/>
    <mergeCell ref="M610:M611"/>
    <mergeCell ref="N610:N611"/>
    <mergeCell ref="B612:B613"/>
    <mergeCell ref="F612:F613"/>
    <mergeCell ref="G612:G613"/>
    <mergeCell ref="H612:H613"/>
    <mergeCell ref="I612:I613"/>
    <mergeCell ref="J608:J609"/>
    <mergeCell ref="K608:K609"/>
    <mergeCell ref="L608:L609"/>
    <mergeCell ref="M608:M609"/>
    <mergeCell ref="N608:N609"/>
    <mergeCell ref="B610:B611"/>
    <mergeCell ref="F610:F611"/>
    <mergeCell ref="G610:G611"/>
    <mergeCell ref="H610:H611"/>
    <mergeCell ref="I610:I611"/>
    <mergeCell ref="B604:B607"/>
    <mergeCell ref="C604:H604"/>
    <mergeCell ref="I604:K604"/>
    <mergeCell ref="L604:N604"/>
    <mergeCell ref="O604:O607"/>
    <mergeCell ref="B608:B609"/>
    <mergeCell ref="F608:F609"/>
    <mergeCell ref="G608:G609"/>
    <mergeCell ref="H608:H609"/>
    <mergeCell ref="I608:I609"/>
    <mergeCell ref="K600:K601"/>
    <mergeCell ref="L600:L601"/>
    <mergeCell ref="M600:M601"/>
    <mergeCell ref="N600:N601"/>
    <mergeCell ref="B602:J603"/>
    <mergeCell ref="K602:O602"/>
    <mergeCell ref="K603:O603"/>
    <mergeCell ref="K598:K599"/>
    <mergeCell ref="L598:L599"/>
    <mergeCell ref="M598:M599"/>
    <mergeCell ref="N598:N599"/>
    <mergeCell ref="B600:B601"/>
    <mergeCell ref="F600:F601"/>
    <mergeCell ref="G600:G601"/>
    <mergeCell ref="H600:H601"/>
    <mergeCell ref="I600:I601"/>
    <mergeCell ref="J600:J601"/>
    <mergeCell ref="K596:K597"/>
    <mergeCell ref="L596:L597"/>
    <mergeCell ref="M596:M597"/>
    <mergeCell ref="N596:N597"/>
    <mergeCell ref="B598:B599"/>
    <mergeCell ref="F598:F599"/>
    <mergeCell ref="G598:G599"/>
    <mergeCell ref="H598:H599"/>
    <mergeCell ref="I598:I599"/>
    <mergeCell ref="J598:J599"/>
    <mergeCell ref="K594:K595"/>
    <mergeCell ref="L594:L595"/>
    <mergeCell ref="M594:M595"/>
    <mergeCell ref="N594:N595"/>
    <mergeCell ref="B596:B597"/>
    <mergeCell ref="F596:F597"/>
    <mergeCell ref="G596:G597"/>
    <mergeCell ref="H596:H597"/>
    <mergeCell ref="I596:I597"/>
    <mergeCell ref="J596:J597"/>
    <mergeCell ref="K592:K593"/>
    <mergeCell ref="L592:L593"/>
    <mergeCell ref="M592:M593"/>
    <mergeCell ref="N592:N593"/>
    <mergeCell ref="B594:B595"/>
    <mergeCell ref="F594:F595"/>
    <mergeCell ref="G594:G595"/>
    <mergeCell ref="H594:H595"/>
    <mergeCell ref="I594:I595"/>
    <mergeCell ref="J594:J595"/>
    <mergeCell ref="K590:K591"/>
    <mergeCell ref="L590:L591"/>
    <mergeCell ref="M590:M591"/>
    <mergeCell ref="N590:N591"/>
    <mergeCell ref="B592:B593"/>
    <mergeCell ref="F592:F593"/>
    <mergeCell ref="G592:G593"/>
    <mergeCell ref="H592:H593"/>
    <mergeCell ref="I592:I593"/>
    <mergeCell ref="J592:J593"/>
    <mergeCell ref="K588:K589"/>
    <mergeCell ref="L588:L589"/>
    <mergeCell ref="M588:M589"/>
    <mergeCell ref="N588:N589"/>
    <mergeCell ref="B590:B591"/>
    <mergeCell ref="F590:F591"/>
    <mergeCell ref="G590:G591"/>
    <mergeCell ref="H590:H591"/>
    <mergeCell ref="I590:I591"/>
    <mergeCell ref="J590:J591"/>
    <mergeCell ref="K586:K587"/>
    <mergeCell ref="L586:L587"/>
    <mergeCell ref="M586:M587"/>
    <mergeCell ref="N586:N587"/>
    <mergeCell ref="B588:B589"/>
    <mergeCell ref="F588:F589"/>
    <mergeCell ref="G588:G589"/>
    <mergeCell ref="H588:H589"/>
    <mergeCell ref="I588:I589"/>
    <mergeCell ref="J588:J589"/>
    <mergeCell ref="K584:K585"/>
    <mergeCell ref="L584:L585"/>
    <mergeCell ref="M584:M585"/>
    <mergeCell ref="N584:N585"/>
    <mergeCell ref="B586:B587"/>
    <mergeCell ref="F586:F587"/>
    <mergeCell ref="G586:G587"/>
    <mergeCell ref="H586:H587"/>
    <mergeCell ref="I586:I587"/>
    <mergeCell ref="J586:J587"/>
    <mergeCell ref="K582:K583"/>
    <mergeCell ref="L582:L583"/>
    <mergeCell ref="M582:M583"/>
    <mergeCell ref="N582:N583"/>
    <mergeCell ref="B584:B585"/>
    <mergeCell ref="F584:F585"/>
    <mergeCell ref="G584:G585"/>
    <mergeCell ref="H584:H585"/>
    <mergeCell ref="I584:I585"/>
    <mergeCell ref="J584:J585"/>
    <mergeCell ref="K580:K581"/>
    <mergeCell ref="L580:L581"/>
    <mergeCell ref="M580:M581"/>
    <mergeCell ref="N580:N581"/>
    <mergeCell ref="B582:B583"/>
    <mergeCell ref="F582:F583"/>
    <mergeCell ref="G582:G583"/>
    <mergeCell ref="H582:H583"/>
    <mergeCell ref="I582:I583"/>
    <mergeCell ref="J582:J583"/>
    <mergeCell ref="K578:K579"/>
    <mergeCell ref="L578:L579"/>
    <mergeCell ref="M578:M579"/>
    <mergeCell ref="N578:N579"/>
    <mergeCell ref="B580:B581"/>
    <mergeCell ref="F580:F581"/>
    <mergeCell ref="G580:G581"/>
    <mergeCell ref="H580:H581"/>
    <mergeCell ref="I580:I581"/>
    <mergeCell ref="J580:J581"/>
    <mergeCell ref="K576:K577"/>
    <mergeCell ref="L576:L577"/>
    <mergeCell ref="M576:M577"/>
    <mergeCell ref="N576:N577"/>
    <mergeCell ref="B578:B579"/>
    <mergeCell ref="F578:F579"/>
    <mergeCell ref="G578:G579"/>
    <mergeCell ref="H578:H579"/>
    <mergeCell ref="I578:I579"/>
    <mergeCell ref="J578:J579"/>
    <mergeCell ref="K574:K575"/>
    <mergeCell ref="L574:L575"/>
    <mergeCell ref="M574:M575"/>
    <mergeCell ref="N574:N575"/>
    <mergeCell ref="B576:B577"/>
    <mergeCell ref="F576:F577"/>
    <mergeCell ref="G576:G577"/>
    <mergeCell ref="H576:H577"/>
    <mergeCell ref="I576:I577"/>
    <mergeCell ref="J576:J577"/>
    <mergeCell ref="K572:K573"/>
    <mergeCell ref="L572:L573"/>
    <mergeCell ref="M572:M573"/>
    <mergeCell ref="N572:N573"/>
    <mergeCell ref="B574:B575"/>
    <mergeCell ref="F574:F575"/>
    <mergeCell ref="G574:G575"/>
    <mergeCell ref="H574:H575"/>
    <mergeCell ref="I574:I575"/>
    <mergeCell ref="J574:J575"/>
    <mergeCell ref="K570:K571"/>
    <mergeCell ref="L570:L571"/>
    <mergeCell ref="M570:M571"/>
    <mergeCell ref="N570:N571"/>
    <mergeCell ref="B572:B573"/>
    <mergeCell ref="F572:F573"/>
    <mergeCell ref="G572:G573"/>
    <mergeCell ref="H572:H573"/>
    <mergeCell ref="I572:I573"/>
    <mergeCell ref="J572:J573"/>
    <mergeCell ref="K568:K569"/>
    <mergeCell ref="L568:L569"/>
    <mergeCell ref="M568:M569"/>
    <mergeCell ref="N568:N569"/>
    <mergeCell ref="B570:B571"/>
    <mergeCell ref="F570:F571"/>
    <mergeCell ref="G570:G571"/>
    <mergeCell ref="H570:H571"/>
    <mergeCell ref="I570:I571"/>
    <mergeCell ref="J570:J571"/>
    <mergeCell ref="K566:K567"/>
    <mergeCell ref="L566:L567"/>
    <mergeCell ref="M566:M567"/>
    <mergeCell ref="N566:N567"/>
    <mergeCell ref="B568:B569"/>
    <mergeCell ref="F568:F569"/>
    <mergeCell ref="G568:G569"/>
    <mergeCell ref="H568:H569"/>
    <mergeCell ref="I568:I569"/>
    <mergeCell ref="J568:J569"/>
    <mergeCell ref="K564:K565"/>
    <mergeCell ref="L564:L565"/>
    <mergeCell ref="M564:M565"/>
    <mergeCell ref="N564:N565"/>
    <mergeCell ref="B566:B567"/>
    <mergeCell ref="F566:F567"/>
    <mergeCell ref="G566:G567"/>
    <mergeCell ref="H566:H567"/>
    <mergeCell ref="I566:I567"/>
    <mergeCell ref="J566:J567"/>
    <mergeCell ref="K562:K563"/>
    <mergeCell ref="L562:L563"/>
    <mergeCell ref="M562:M563"/>
    <mergeCell ref="N562:N563"/>
    <mergeCell ref="B564:B565"/>
    <mergeCell ref="F564:F565"/>
    <mergeCell ref="G564:G565"/>
    <mergeCell ref="H564:H565"/>
    <mergeCell ref="I564:I565"/>
    <mergeCell ref="J564:J565"/>
    <mergeCell ref="B562:B563"/>
    <mergeCell ref="F562:F563"/>
    <mergeCell ref="G562:G563"/>
    <mergeCell ref="H562:H563"/>
    <mergeCell ref="I562:I563"/>
    <mergeCell ref="J562:J563"/>
    <mergeCell ref="B554:O554"/>
    <mergeCell ref="B555:O555"/>
    <mergeCell ref="B556:O556"/>
    <mergeCell ref="B557:B560"/>
    <mergeCell ref="C557:H557"/>
    <mergeCell ref="I557:K557"/>
    <mergeCell ref="L557:N557"/>
    <mergeCell ref="O557:O560"/>
    <mergeCell ref="K550:K551"/>
    <mergeCell ref="L550:L551"/>
    <mergeCell ref="M550:M551"/>
    <mergeCell ref="N550:N551"/>
    <mergeCell ref="B552:H553"/>
    <mergeCell ref="I552:O552"/>
    <mergeCell ref="I553:O553"/>
    <mergeCell ref="J548:J549"/>
    <mergeCell ref="K548:K549"/>
    <mergeCell ref="L548:L549"/>
    <mergeCell ref="M548:M549"/>
    <mergeCell ref="N548:N549"/>
    <mergeCell ref="F550:F551"/>
    <mergeCell ref="G550:G551"/>
    <mergeCell ref="H550:H551"/>
    <mergeCell ref="I550:I551"/>
    <mergeCell ref="J550:J551"/>
    <mergeCell ref="J546:J547"/>
    <mergeCell ref="K546:K547"/>
    <mergeCell ref="L546:L547"/>
    <mergeCell ref="M546:M547"/>
    <mergeCell ref="N546:N547"/>
    <mergeCell ref="B548:B549"/>
    <mergeCell ref="F548:F549"/>
    <mergeCell ref="G548:G549"/>
    <mergeCell ref="H548:H549"/>
    <mergeCell ref="I548:I549"/>
    <mergeCell ref="J544:J545"/>
    <mergeCell ref="K544:K545"/>
    <mergeCell ref="L544:L545"/>
    <mergeCell ref="M544:M545"/>
    <mergeCell ref="N544:N545"/>
    <mergeCell ref="B546:B547"/>
    <mergeCell ref="F546:F547"/>
    <mergeCell ref="G546:G547"/>
    <mergeCell ref="H546:H547"/>
    <mergeCell ref="I546:I547"/>
    <mergeCell ref="J542:J543"/>
    <mergeCell ref="K542:K543"/>
    <mergeCell ref="L542:L543"/>
    <mergeCell ref="M542:M543"/>
    <mergeCell ref="N542:N543"/>
    <mergeCell ref="B544:B545"/>
    <mergeCell ref="F544:F545"/>
    <mergeCell ref="G544:G545"/>
    <mergeCell ref="H544:H545"/>
    <mergeCell ref="I544:I545"/>
    <mergeCell ref="J540:J541"/>
    <mergeCell ref="K540:K541"/>
    <mergeCell ref="L540:L541"/>
    <mergeCell ref="M540:M541"/>
    <mergeCell ref="N540:N541"/>
    <mergeCell ref="B542:B543"/>
    <mergeCell ref="F542:F543"/>
    <mergeCell ref="G542:G543"/>
    <mergeCell ref="H542:H543"/>
    <mergeCell ref="I542:I543"/>
    <mergeCell ref="J538:J539"/>
    <mergeCell ref="K538:K539"/>
    <mergeCell ref="L538:L539"/>
    <mergeCell ref="M538:M539"/>
    <mergeCell ref="N538:N539"/>
    <mergeCell ref="B540:B541"/>
    <mergeCell ref="F540:F541"/>
    <mergeCell ref="G540:G541"/>
    <mergeCell ref="H540:H541"/>
    <mergeCell ref="I540:I541"/>
    <mergeCell ref="J536:J537"/>
    <mergeCell ref="K536:K537"/>
    <mergeCell ref="L536:L537"/>
    <mergeCell ref="M536:M537"/>
    <mergeCell ref="N536:N537"/>
    <mergeCell ref="B538:B539"/>
    <mergeCell ref="F538:F539"/>
    <mergeCell ref="G538:G539"/>
    <mergeCell ref="H538:H539"/>
    <mergeCell ref="I538:I539"/>
    <mergeCell ref="J534:J535"/>
    <mergeCell ref="K534:K535"/>
    <mergeCell ref="L534:L535"/>
    <mergeCell ref="M534:M535"/>
    <mergeCell ref="N534:N535"/>
    <mergeCell ref="B536:B537"/>
    <mergeCell ref="F536:F537"/>
    <mergeCell ref="G536:G537"/>
    <mergeCell ref="H536:H537"/>
    <mergeCell ref="I536:I537"/>
    <mergeCell ref="J532:J533"/>
    <mergeCell ref="K532:K533"/>
    <mergeCell ref="L532:L533"/>
    <mergeCell ref="M532:M533"/>
    <mergeCell ref="N532:N533"/>
    <mergeCell ref="B534:B535"/>
    <mergeCell ref="F534:F535"/>
    <mergeCell ref="G534:G535"/>
    <mergeCell ref="H534:H535"/>
    <mergeCell ref="I534:I535"/>
    <mergeCell ref="J530:J531"/>
    <mergeCell ref="K530:K531"/>
    <mergeCell ref="L530:L531"/>
    <mergeCell ref="M530:M531"/>
    <mergeCell ref="N530:N531"/>
    <mergeCell ref="B532:B533"/>
    <mergeCell ref="F532:F533"/>
    <mergeCell ref="G532:G533"/>
    <mergeCell ref="H532:H533"/>
    <mergeCell ref="I532:I533"/>
    <mergeCell ref="J528:J529"/>
    <mergeCell ref="K528:K529"/>
    <mergeCell ref="L528:L529"/>
    <mergeCell ref="M528:M529"/>
    <mergeCell ref="N528:N529"/>
    <mergeCell ref="B530:B531"/>
    <mergeCell ref="F530:F531"/>
    <mergeCell ref="G530:G531"/>
    <mergeCell ref="H530:H531"/>
    <mergeCell ref="I530:I531"/>
    <mergeCell ref="J526:J527"/>
    <mergeCell ref="K526:K527"/>
    <mergeCell ref="L526:L527"/>
    <mergeCell ref="M526:M527"/>
    <mergeCell ref="N526:N527"/>
    <mergeCell ref="B528:B529"/>
    <mergeCell ref="F528:F529"/>
    <mergeCell ref="G528:G529"/>
    <mergeCell ref="H528:H529"/>
    <mergeCell ref="I528:I529"/>
    <mergeCell ref="J524:J525"/>
    <mergeCell ref="K524:K525"/>
    <mergeCell ref="L524:L525"/>
    <mergeCell ref="M524:M525"/>
    <mergeCell ref="N524:N525"/>
    <mergeCell ref="B526:B527"/>
    <mergeCell ref="F526:F527"/>
    <mergeCell ref="G526:G527"/>
    <mergeCell ref="H526:H527"/>
    <mergeCell ref="I526:I527"/>
    <mergeCell ref="J522:J523"/>
    <mergeCell ref="K522:K523"/>
    <mergeCell ref="L522:L523"/>
    <mergeCell ref="M522:M523"/>
    <mergeCell ref="N522:N523"/>
    <mergeCell ref="B524:B525"/>
    <mergeCell ref="F524:F525"/>
    <mergeCell ref="G524:G525"/>
    <mergeCell ref="H524:H525"/>
    <mergeCell ref="I524:I525"/>
    <mergeCell ref="J520:J521"/>
    <mergeCell ref="K520:K521"/>
    <mergeCell ref="L520:L521"/>
    <mergeCell ref="M520:M521"/>
    <mergeCell ref="N520:N521"/>
    <mergeCell ref="B522:B523"/>
    <mergeCell ref="F522:F523"/>
    <mergeCell ref="G522:G523"/>
    <mergeCell ref="H522:H523"/>
    <mergeCell ref="I522:I523"/>
    <mergeCell ref="B516:B519"/>
    <mergeCell ref="C516:H516"/>
    <mergeCell ref="I516:K516"/>
    <mergeCell ref="L516:N516"/>
    <mergeCell ref="O516:O519"/>
    <mergeCell ref="B520:B521"/>
    <mergeCell ref="F520:F521"/>
    <mergeCell ref="G520:G521"/>
    <mergeCell ref="H520:H521"/>
    <mergeCell ref="I520:I521"/>
    <mergeCell ref="K512:K513"/>
    <mergeCell ref="L512:L513"/>
    <mergeCell ref="M512:M513"/>
    <mergeCell ref="N512:N513"/>
    <mergeCell ref="B514:I515"/>
    <mergeCell ref="J514:O514"/>
    <mergeCell ref="J515:O515"/>
    <mergeCell ref="K510:K511"/>
    <mergeCell ref="L510:L511"/>
    <mergeCell ref="M510:M511"/>
    <mergeCell ref="N510:N511"/>
    <mergeCell ref="B512:B513"/>
    <mergeCell ref="F512:F513"/>
    <mergeCell ref="G512:G513"/>
    <mergeCell ref="H512:H513"/>
    <mergeCell ref="I512:I513"/>
    <mergeCell ref="J512:J513"/>
    <mergeCell ref="K508:K509"/>
    <mergeCell ref="L508:L509"/>
    <mergeCell ref="M508:M509"/>
    <mergeCell ref="N508:N509"/>
    <mergeCell ref="B510:B511"/>
    <mergeCell ref="F510:F511"/>
    <mergeCell ref="G510:G511"/>
    <mergeCell ref="H510:H511"/>
    <mergeCell ref="I510:I511"/>
    <mergeCell ref="J510:J511"/>
    <mergeCell ref="K506:K507"/>
    <mergeCell ref="L506:L507"/>
    <mergeCell ref="M506:M507"/>
    <mergeCell ref="N506:N507"/>
    <mergeCell ref="B508:B509"/>
    <mergeCell ref="F508:F509"/>
    <mergeCell ref="G508:G509"/>
    <mergeCell ref="H508:H509"/>
    <mergeCell ref="I508:I509"/>
    <mergeCell ref="J508:J509"/>
    <mergeCell ref="K504:K505"/>
    <mergeCell ref="L504:L505"/>
    <mergeCell ref="M504:M505"/>
    <mergeCell ref="N504:N505"/>
    <mergeCell ref="B506:B507"/>
    <mergeCell ref="F506:F507"/>
    <mergeCell ref="G506:G507"/>
    <mergeCell ref="H506:H507"/>
    <mergeCell ref="I506:I507"/>
    <mergeCell ref="J506:J507"/>
    <mergeCell ref="K502:K503"/>
    <mergeCell ref="L502:L503"/>
    <mergeCell ref="M502:M503"/>
    <mergeCell ref="N502:N503"/>
    <mergeCell ref="B504:B505"/>
    <mergeCell ref="F504:F505"/>
    <mergeCell ref="G504:G505"/>
    <mergeCell ref="H504:H505"/>
    <mergeCell ref="I504:I505"/>
    <mergeCell ref="J504:J505"/>
    <mergeCell ref="K500:K501"/>
    <mergeCell ref="L500:L501"/>
    <mergeCell ref="M500:M501"/>
    <mergeCell ref="N500:N501"/>
    <mergeCell ref="B502:B503"/>
    <mergeCell ref="F502:F503"/>
    <mergeCell ref="G502:G503"/>
    <mergeCell ref="H502:H503"/>
    <mergeCell ref="I502:I503"/>
    <mergeCell ref="J502:J503"/>
    <mergeCell ref="K498:K499"/>
    <mergeCell ref="L498:L499"/>
    <mergeCell ref="M498:M499"/>
    <mergeCell ref="N498:N499"/>
    <mergeCell ref="B500:B501"/>
    <mergeCell ref="F500:F501"/>
    <mergeCell ref="G500:G501"/>
    <mergeCell ref="H500:H501"/>
    <mergeCell ref="I500:I501"/>
    <mergeCell ref="J500:J501"/>
    <mergeCell ref="K496:K497"/>
    <mergeCell ref="L496:L497"/>
    <mergeCell ref="M496:M497"/>
    <mergeCell ref="N496:N497"/>
    <mergeCell ref="B498:B499"/>
    <mergeCell ref="F498:F499"/>
    <mergeCell ref="G498:G499"/>
    <mergeCell ref="H498:H499"/>
    <mergeCell ref="I498:I499"/>
    <mergeCell ref="J498:J499"/>
    <mergeCell ref="K494:K495"/>
    <mergeCell ref="L494:L495"/>
    <mergeCell ref="M494:M495"/>
    <mergeCell ref="N494:N495"/>
    <mergeCell ref="B496:B497"/>
    <mergeCell ref="F496:F497"/>
    <mergeCell ref="G496:G497"/>
    <mergeCell ref="H496:H497"/>
    <mergeCell ref="I496:I497"/>
    <mergeCell ref="J496:J497"/>
    <mergeCell ref="K492:K493"/>
    <mergeCell ref="L492:L493"/>
    <mergeCell ref="M492:M493"/>
    <mergeCell ref="N492:N493"/>
    <mergeCell ref="B494:B495"/>
    <mergeCell ref="F494:F495"/>
    <mergeCell ref="G494:G495"/>
    <mergeCell ref="H494:H495"/>
    <mergeCell ref="I494:I495"/>
    <mergeCell ref="J494:J495"/>
    <mergeCell ref="K490:K491"/>
    <mergeCell ref="L490:L491"/>
    <mergeCell ref="M490:M491"/>
    <mergeCell ref="N490:N491"/>
    <mergeCell ref="B492:B493"/>
    <mergeCell ref="F492:F493"/>
    <mergeCell ref="G492:G493"/>
    <mergeCell ref="H492:H493"/>
    <mergeCell ref="I492:I493"/>
    <mergeCell ref="J492:J493"/>
    <mergeCell ref="K488:K489"/>
    <mergeCell ref="L488:L489"/>
    <mergeCell ref="M488:M489"/>
    <mergeCell ref="N488:N489"/>
    <mergeCell ref="B490:B491"/>
    <mergeCell ref="F490:F491"/>
    <mergeCell ref="G490:G491"/>
    <mergeCell ref="H490:H491"/>
    <mergeCell ref="I490:I491"/>
    <mergeCell ref="J490:J491"/>
    <mergeCell ref="K486:K487"/>
    <mergeCell ref="L486:L487"/>
    <mergeCell ref="M486:M487"/>
    <mergeCell ref="N486:N487"/>
    <mergeCell ref="B488:B489"/>
    <mergeCell ref="F488:F489"/>
    <mergeCell ref="G488:G489"/>
    <mergeCell ref="H488:H489"/>
    <mergeCell ref="I488:I489"/>
    <mergeCell ref="J488:J489"/>
    <mergeCell ref="K484:K485"/>
    <mergeCell ref="L484:L485"/>
    <mergeCell ref="M484:M485"/>
    <mergeCell ref="N484:N485"/>
    <mergeCell ref="B486:B487"/>
    <mergeCell ref="F486:F487"/>
    <mergeCell ref="G486:G487"/>
    <mergeCell ref="H486:H487"/>
    <mergeCell ref="I486:I487"/>
    <mergeCell ref="J486:J487"/>
    <mergeCell ref="B484:B485"/>
    <mergeCell ref="F484:F485"/>
    <mergeCell ref="G484:G485"/>
    <mergeCell ref="H484:H485"/>
    <mergeCell ref="I484:I485"/>
    <mergeCell ref="J484:J485"/>
    <mergeCell ref="B476:O476"/>
    <mergeCell ref="B477:O477"/>
    <mergeCell ref="B478:O478"/>
    <mergeCell ref="B479:B482"/>
    <mergeCell ref="C479:H479"/>
    <mergeCell ref="I479:K479"/>
    <mergeCell ref="L479:N479"/>
    <mergeCell ref="O479:O482"/>
    <mergeCell ref="J472:J473"/>
    <mergeCell ref="K472:K473"/>
    <mergeCell ref="L472:L473"/>
    <mergeCell ref="M472:M473"/>
    <mergeCell ref="N472:N473"/>
    <mergeCell ref="B474:H475"/>
    <mergeCell ref="I474:O474"/>
    <mergeCell ref="I475:O475"/>
    <mergeCell ref="J470:J471"/>
    <mergeCell ref="K470:K471"/>
    <mergeCell ref="L470:L471"/>
    <mergeCell ref="M470:M471"/>
    <mergeCell ref="N470:N471"/>
    <mergeCell ref="B472:B473"/>
    <mergeCell ref="F472:F473"/>
    <mergeCell ref="G472:G473"/>
    <mergeCell ref="H472:H473"/>
    <mergeCell ref="I472:I473"/>
    <mergeCell ref="J468:J469"/>
    <mergeCell ref="K468:K469"/>
    <mergeCell ref="L468:L469"/>
    <mergeCell ref="M468:M469"/>
    <mergeCell ref="N468:N469"/>
    <mergeCell ref="B470:B471"/>
    <mergeCell ref="F470:F471"/>
    <mergeCell ref="G470:G471"/>
    <mergeCell ref="H470:H471"/>
    <mergeCell ref="I470:I471"/>
    <mergeCell ref="J466:J467"/>
    <mergeCell ref="K466:K467"/>
    <mergeCell ref="L466:L467"/>
    <mergeCell ref="M466:M467"/>
    <mergeCell ref="N466:N467"/>
    <mergeCell ref="B468:B469"/>
    <mergeCell ref="F468:F469"/>
    <mergeCell ref="G468:G469"/>
    <mergeCell ref="H468:H469"/>
    <mergeCell ref="I468:I469"/>
    <mergeCell ref="J464:J465"/>
    <mergeCell ref="K464:K465"/>
    <mergeCell ref="L464:L465"/>
    <mergeCell ref="M464:M465"/>
    <mergeCell ref="N464:N465"/>
    <mergeCell ref="B466:B467"/>
    <mergeCell ref="F466:F467"/>
    <mergeCell ref="G466:G467"/>
    <mergeCell ref="H466:H467"/>
    <mergeCell ref="I466:I467"/>
    <mergeCell ref="J462:J463"/>
    <mergeCell ref="K462:K463"/>
    <mergeCell ref="L462:L463"/>
    <mergeCell ref="M462:M463"/>
    <mergeCell ref="N462:N463"/>
    <mergeCell ref="B464:B465"/>
    <mergeCell ref="F464:F465"/>
    <mergeCell ref="G464:G465"/>
    <mergeCell ref="H464:H465"/>
    <mergeCell ref="I464:I465"/>
    <mergeCell ref="J460:J461"/>
    <mergeCell ref="K460:K461"/>
    <mergeCell ref="L460:L461"/>
    <mergeCell ref="M460:M461"/>
    <mergeCell ref="N460:N461"/>
    <mergeCell ref="B462:B463"/>
    <mergeCell ref="F462:F463"/>
    <mergeCell ref="G462:G463"/>
    <mergeCell ref="H462:H463"/>
    <mergeCell ref="I462:I463"/>
    <mergeCell ref="J458:J459"/>
    <mergeCell ref="K458:K459"/>
    <mergeCell ref="L458:L459"/>
    <mergeCell ref="M458:M459"/>
    <mergeCell ref="N458:N459"/>
    <mergeCell ref="B460:B461"/>
    <mergeCell ref="F460:F461"/>
    <mergeCell ref="G460:G461"/>
    <mergeCell ref="H460:H461"/>
    <mergeCell ref="I460:I461"/>
    <mergeCell ref="J456:J457"/>
    <mergeCell ref="K456:K457"/>
    <mergeCell ref="L456:L457"/>
    <mergeCell ref="M456:M457"/>
    <mergeCell ref="N456:N457"/>
    <mergeCell ref="B458:B459"/>
    <mergeCell ref="F458:F459"/>
    <mergeCell ref="G458:G459"/>
    <mergeCell ref="H458:H459"/>
    <mergeCell ref="I458:I459"/>
    <mergeCell ref="J454:J455"/>
    <mergeCell ref="K454:K455"/>
    <mergeCell ref="L454:L455"/>
    <mergeCell ref="M454:M455"/>
    <mergeCell ref="N454:N455"/>
    <mergeCell ref="B456:B457"/>
    <mergeCell ref="F456:F457"/>
    <mergeCell ref="G456:G457"/>
    <mergeCell ref="H456:H457"/>
    <mergeCell ref="I456:I457"/>
    <mergeCell ref="J452:J453"/>
    <mergeCell ref="K452:K453"/>
    <mergeCell ref="L452:L453"/>
    <mergeCell ref="M452:M453"/>
    <mergeCell ref="N452:N453"/>
    <mergeCell ref="B454:B455"/>
    <mergeCell ref="F454:F455"/>
    <mergeCell ref="G454:G455"/>
    <mergeCell ref="H454:H455"/>
    <mergeCell ref="I454:I455"/>
    <mergeCell ref="J450:J451"/>
    <mergeCell ref="K450:K451"/>
    <mergeCell ref="L450:L451"/>
    <mergeCell ref="M450:M451"/>
    <mergeCell ref="N450:N451"/>
    <mergeCell ref="B452:B453"/>
    <mergeCell ref="F452:F453"/>
    <mergeCell ref="G452:G453"/>
    <mergeCell ref="H452:H453"/>
    <mergeCell ref="I452:I453"/>
    <mergeCell ref="J448:J449"/>
    <mergeCell ref="K448:K449"/>
    <mergeCell ref="L448:L449"/>
    <mergeCell ref="M448:M449"/>
    <mergeCell ref="N448:N449"/>
    <mergeCell ref="B450:B451"/>
    <mergeCell ref="F450:F451"/>
    <mergeCell ref="G450:G451"/>
    <mergeCell ref="H450:H451"/>
    <mergeCell ref="I450:I451"/>
    <mergeCell ref="B444:B447"/>
    <mergeCell ref="C444:H444"/>
    <mergeCell ref="I444:K444"/>
    <mergeCell ref="L444:N444"/>
    <mergeCell ref="O444:O447"/>
    <mergeCell ref="B448:B449"/>
    <mergeCell ref="F448:F449"/>
    <mergeCell ref="G448:G449"/>
    <mergeCell ref="H448:H449"/>
    <mergeCell ref="I448:I449"/>
    <mergeCell ref="J440:J441"/>
    <mergeCell ref="K440:K441"/>
    <mergeCell ref="L440:L441"/>
    <mergeCell ref="M440:M441"/>
    <mergeCell ref="N440:N441"/>
    <mergeCell ref="B442:J443"/>
    <mergeCell ref="K442:O442"/>
    <mergeCell ref="K443:O443"/>
    <mergeCell ref="J438:J439"/>
    <mergeCell ref="K438:K439"/>
    <mergeCell ref="L438:L439"/>
    <mergeCell ref="M438:M439"/>
    <mergeCell ref="N438:N439"/>
    <mergeCell ref="B440:B441"/>
    <mergeCell ref="F440:F441"/>
    <mergeCell ref="G440:G441"/>
    <mergeCell ref="H440:H441"/>
    <mergeCell ref="I440:I441"/>
    <mergeCell ref="J436:J437"/>
    <mergeCell ref="K436:K437"/>
    <mergeCell ref="L436:L437"/>
    <mergeCell ref="M436:M437"/>
    <mergeCell ref="N436:N437"/>
    <mergeCell ref="B438:B439"/>
    <mergeCell ref="F438:F439"/>
    <mergeCell ref="G438:G439"/>
    <mergeCell ref="H438:H439"/>
    <mergeCell ref="I438:I439"/>
    <mergeCell ref="J434:J435"/>
    <mergeCell ref="K434:K435"/>
    <mergeCell ref="L434:L435"/>
    <mergeCell ref="M434:M435"/>
    <mergeCell ref="N434:N435"/>
    <mergeCell ref="B436:B437"/>
    <mergeCell ref="F436:F437"/>
    <mergeCell ref="G436:G437"/>
    <mergeCell ref="H436:H437"/>
    <mergeCell ref="I436:I437"/>
    <mergeCell ref="J432:J433"/>
    <mergeCell ref="K432:K433"/>
    <mergeCell ref="L432:L433"/>
    <mergeCell ref="M432:M433"/>
    <mergeCell ref="N432:N433"/>
    <mergeCell ref="B434:B435"/>
    <mergeCell ref="F434:F435"/>
    <mergeCell ref="G434:G435"/>
    <mergeCell ref="H434:H435"/>
    <mergeCell ref="I434:I435"/>
    <mergeCell ref="J430:J431"/>
    <mergeCell ref="K430:K431"/>
    <mergeCell ref="L430:L431"/>
    <mergeCell ref="M430:M431"/>
    <mergeCell ref="N430:N431"/>
    <mergeCell ref="B432:B433"/>
    <mergeCell ref="F432:F433"/>
    <mergeCell ref="G432:G433"/>
    <mergeCell ref="H432:H433"/>
    <mergeCell ref="I432:I433"/>
    <mergeCell ref="J428:J429"/>
    <mergeCell ref="K428:K429"/>
    <mergeCell ref="L428:L429"/>
    <mergeCell ref="M428:M429"/>
    <mergeCell ref="N428:N429"/>
    <mergeCell ref="B430:B431"/>
    <mergeCell ref="F430:F431"/>
    <mergeCell ref="G430:G431"/>
    <mergeCell ref="H430:H431"/>
    <mergeCell ref="I430:I431"/>
    <mergeCell ref="J426:J427"/>
    <mergeCell ref="K426:K427"/>
    <mergeCell ref="L426:L427"/>
    <mergeCell ref="M426:M427"/>
    <mergeCell ref="N426:N427"/>
    <mergeCell ref="B428:B429"/>
    <mergeCell ref="F428:F429"/>
    <mergeCell ref="G428:G429"/>
    <mergeCell ref="H428:H429"/>
    <mergeCell ref="I428:I429"/>
    <mergeCell ref="J424:J425"/>
    <mergeCell ref="K424:K425"/>
    <mergeCell ref="L424:L425"/>
    <mergeCell ref="M424:M425"/>
    <mergeCell ref="N424:N425"/>
    <mergeCell ref="B426:B427"/>
    <mergeCell ref="F426:F427"/>
    <mergeCell ref="G426:G427"/>
    <mergeCell ref="H426:H427"/>
    <mergeCell ref="I426:I427"/>
    <mergeCell ref="J422:J423"/>
    <mergeCell ref="K422:K423"/>
    <mergeCell ref="L422:L423"/>
    <mergeCell ref="M422:M423"/>
    <mergeCell ref="N422:N423"/>
    <mergeCell ref="B424:B425"/>
    <mergeCell ref="F424:F425"/>
    <mergeCell ref="G424:G425"/>
    <mergeCell ref="H424:H425"/>
    <mergeCell ref="I424:I425"/>
    <mergeCell ref="J420:J421"/>
    <mergeCell ref="K420:K421"/>
    <mergeCell ref="L420:L421"/>
    <mergeCell ref="M420:M421"/>
    <mergeCell ref="N420:N421"/>
    <mergeCell ref="B422:B423"/>
    <mergeCell ref="F422:F423"/>
    <mergeCell ref="G422:G423"/>
    <mergeCell ref="H422:H423"/>
    <mergeCell ref="I422:I423"/>
    <mergeCell ref="J418:J419"/>
    <mergeCell ref="K418:K419"/>
    <mergeCell ref="L418:L419"/>
    <mergeCell ref="M418:M419"/>
    <mergeCell ref="N418:N419"/>
    <mergeCell ref="B420:B421"/>
    <mergeCell ref="F420:F421"/>
    <mergeCell ref="G420:G421"/>
    <mergeCell ref="H420:H421"/>
    <mergeCell ref="I420:I421"/>
    <mergeCell ref="J416:J417"/>
    <mergeCell ref="K416:K417"/>
    <mergeCell ref="L416:L417"/>
    <mergeCell ref="M416:M417"/>
    <mergeCell ref="N416:N417"/>
    <mergeCell ref="B418:B419"/>
    <mergeCell ref="F418:F419"/>
    <mergeCell ref="G418:G419"/>
    <mergeCell ref="H418:H419"/>
    <mergeCell ref="I418:I419"/>
    <mergeCell ref="J414:J415"/>
    <mergeCell ref="K414:K415"/>
    <mergeCell ref="L414:L415"/>
    <mergeCell ref="M414:M415"/>
    <mergeCell ref="N414:N415"/>
    <mergeCell ref="B416:B417"/>
    <mergeCell ref="F416:F417"/>
    <mergeCell ref="G416:G417"/>
    <mergeCell ref="H416:H417"/>
    <mergeCell ref="I416:I417"/>
    <mergeCell ref="J412:J413"/>
    <mergeCell ref="K412:K413"/>
    <mergeCell ref="L412:L413"/>
    <mergeCell ref="M412:M413"/>
    <mergeCell ref="N412:N413"/>
    <mergeCell ref="B414:B415"/>
    <mergeCell ref="F414:F415"/>
    <mergeCell ref="G414:G415"/>
    <mergeCell ref="H414:H415"/>
    <mergeCell ref="I414:I415"/>
    <mergeCell ref="J410:J411"/>
    <mergeCell ref="K410:K411"/>
    <mergeCell ref="L410:L411"/>
    <mergeCell ref="M410:M411"/>
    <mergeCell ref="N410:N411"/>
    <mergeCell ref="B412:B413"/>
    <mergeCell ref="F412:F413"/>
    <mergeCell ref="G412:G413"/>
    <mergeCell ref="H412:H413"/>
    <mergeCell ref="I412:I413"/>
    <mergeCell ref="J408:J409"/>
    <mergeCell ref="K408:K409"/>
    <mergeCell ref="L408:L409"/>
    <mergeCell ref="M408:M409"/>
    <mergeCell ref="N408:N409"/>
    <mergeCell ref="B410:B411"/>
    <mergeCell ref="F410:F411"/>
    <mergeCell ref="G410:G411"/>
    <mergeCell ref="H410:H411"/>
    <mergeCell ref="I410:I411"/>
    <mergeCell ref="J406:J407"/>
    <mergeCell ref="K406:K407"/>
    <mergeCell ref="L406:L407"/>
    <mergeCell ref="M406:M407"/>
    <mergeCell ref="N406:N407"/>
    <mergeCell ref="B408:B409"/>
    <mergeCell ref="F408:F409"/>
    <mergeCell ref="G408:G409"/>
    <mergeCell ref="H408:H409"/>
    <mergeCell ref="I408:I409"/>
    <mergeCell ref="J404:J405"/>
    <mergeCell ref="K404:K405"/>
    <mergeCell ref="L404:L405"/>
    <mergeCell ref="M404:M405"/>
    <mergeCell ref="N404:N405"/>
    <mergeCell ref="B406:B407"/>
    <mergeCell ref="F406:F407"/>
    <mergeCell ref="G406:G407"/>
    <mergeCell ref="H406:H407"/>
    <mergeCell ref="I406:I407"/>
    <mergeCell ref="B400:B403"/>
    <mergeCell ref="C400:H400"/>
    <mergeCell ref="I400:K400"/>
    <mergeCell ref="L400:N400"/>
    <mergeCell ref="O400:O403"/>
    <mergeCell ref="B404:B405"/>
    <mergeCell ref="F404:F405"/>
    <mergeCell ref="G404:G405"/>
    <mergeCell ref="H404:H405"/>
    <mergeCell ref="I404:I405"/>
    <mergeCell ref="J396:J397"/>
    <mergeCell ref="K396:K397"/>
    <mergeCell ref="L396:L397"/>
    <mergeCell ref="M396:M397"/>
    <mergeCell ref="N396:N397"/>
    <mergeCell ref="B398:J399"/>
    <mergeCell ref="K398:O398"/>
    <mergeCell ref="K399:O399"/>
    <mergeCell ref="J394:J395"/>
    <mergeCell ref="K394:K395"/>
    <mergeCell ref="L394:L395"/>
    <mergeCell ref="M394:M395"/>
    <mergeCell ref="N394:N395"/>
    <mergeCell ref="B396:B397"/>
    <mergeCell ref="F396:F397"/>
    <mergeCell ref="G396:G397"/>
    <mergeCell ref="H396:H397"/>
    <mergeCell ref="I396:I397"/>
    <mergeCell ref="J392:J393"/>
    <mergeCell ref="K392:K393"/>
    <mergeCell ref="L392:L393"/>
    <mergeCell ref="M392:M393"/>
    <mergeCell ref="N392:N393"/>
    <mergeCell ref="B394:B395"/>
    <mergeCell ref="F394:F395"/>
    <mergeCell ref="G394:G395"/>
    <mergeCell ref="H394:H395"/>
    <mergeCell ref="I394:I395"/>
    <mergeCell ref="J390:J391"/>
    <mergeCell ref="K390:K391"/>
    <mergeCell ref="L390:L391"/>
    <mergeCell ref="M390:M391"/>
    <mergeCell ref="N390:N391"/>
    <mergeCell ref="B392:B393"/>
    <mergeCell ref="F392:F393"/>
    <mergeCell ref="G392:G393"/>
    <mergeCell ref="H392:H393"/>
    <mergeCell ref="I392:I393"/>
    <mergeCell ref="J388:J389"/>
    <mergeCell ref="K388:K389"/>
    <mergeCell ref="L388:L389"/>
    <mergeCell ref="M388:M389"/>
    <mergeCell ref="N388:N389"/>
    <mergeCell ref="B390:B391"/>
    <mergeCell ref="F390:F391"/>
    <mergeCell ref="G390:G391"/>
    <mergeCell ref="H390:H391"/>
    <mergeCell ref="I390:I391"/>
    <mergeCell ref="J386:J387"/>
    <mergeCell ref="K386:K387"/>
    <mergeCell ref="L386:L387"/>
    <mergeCell ref="M386:M387"/>
    <mergeCell ref="N386:N387"/>
    <mergeCell ref="B388:B389"/>
    <mergeCell ref="F388:F389"/>
    <mergeCell ref="G388:G389"/>
    <mergeCell ref="H388:H389"/>
    <mergeCell ref="I388:I389"/>
    <mergeCell ref="J384:J385"/>
    <mergeCell ref="K384:K385"/>
    <mergeCell ref="L384:L385"/>
    <mergeCell ref="M384:M385"/>
    <mergeCell ref="N384:N385"/>
    <mergeCell ref="B386:B387"/>
    <mergeCell ref="F386:F387"/>
    <mergeCell ref="G386:G387"/>
    <mergeCell ref="H386:H387"/>
    <mergeCell ref="I386:I387"/>
    <mergeCell ref="J382:J383"/>
    <mergeCell ref="K382:K383"/>
    <mergeCell ref="L382:L383"/>
    <mergeCell ref="M382:M383"/>
    <mergeCell ref="N382:N383"/>
    <mergeCell ref="B384:B385"/>
    <mergeCell ref="F384:F385"/>
    <mergeCell ref="G384:G385"/>
    <mergeCell ref="H384:H385"/>
    <mergeCell ref="I384:I385"/>
    <mergeCell ref="J380:J381"/>
    <mergeCell ref="K380:K381"/>
    <mergeCell ref="L380:L381"/>
    <mergeCell ref="M380:M381"/>
    <mergeCell ref="N380:N381"/>
    <mergeCell ref="B382:B383"/>
    <mergeCell ref="F382:F383"/>
    <mergeCell ref="G382:G383"/>
    <mergeCell ref="H382:H383"/>
    <mergeCell ref="I382:I383"/>
    <mergeCell ref="J378:J379"/>
    <mergeCell ref="K378:K379"/>
    <mergeCell ref="L378:L379"/>
    <mergeCell ref="M378:M379"/>
    <mergeCell ref="N378:N379"/>
    <mergeCell ref="B380:B381"/>
    <mergeCell ref="F380:F381"/>
    <mergeCell ref="G380:G381"/>
    <mergeCell ref="H380:H381"/>
    <mergeCell ref="I380:I381"/>
    <mergeCell ref="J376:J377"/>
    <mergeCell ref="K376:K377"/>
    <mergeCell ref="L376:L377"/>
    <mergeCell ref="M376:M377"/>
    <mergeCell ref="N376:N377"/>
    <mergeCell ref="B378:B379"/>
    <mergeCell ref="F378:F379"/>
    <mergeCell ref="G378:G379"/>
    <mergeCell ref="H378:H379"/>
    <mergeCell ref="I378:I379"/>
    <mergeCell ref="J374:J375"/>
    <mergeCell ref="K374:K375"/>
    <mergeCell ref="L374:L375"/>
    <mergeCell ref="M374:M375"/>
    <mergeCell ref="N374:N375"/>
    <mergeCell ref="B376:B377"/>
    <mergeCell ref="F376:F377"/>
    <mergeCell ref="G376:G377"/>
    <mergeCell ref="H376:H377"/>
    <mergeCell ref="I376:I377"/>
    <mergeCell ref="J372:J373"/>
    <mergeCell ref="K372:K373"/>
    <mergeCell ref="L372:L373"/>
    <mergeCell ref="M372:M373"/>
    <mergeCell ref="N372:N373"/>
    <mergeCell ref="B374:B375"/>
    <mergeCell ref="F374:F375"/>
    <mergeCell ref="G374:G375"/>
    <mergeCell ref="H374:H375"/>
    <mergeCell ref="I374:I375"/>
    <mergeCell ref="J370:J371"/>
    <mergeCell ref="K370:K371"/>
    <mergeCell ref="L370:L371"/>
    <mergeCell ref="M370:M371"/>
    <mergeCell ref="N370:N371"/>
    <mergeCell ref="B372:B373"/>
    <mergeCell ref="F372:F373"/>
    <mergeCell ref="G372:G373"/>
    <mergeCell ref="H372:H373"/>
    <mergeCell ref="I372:I373"/>
    <mergeCell ref="J368:J369"/>
    <mergeCell ref="K368:K369"/>
    <mergeCell ref="L368:L369"/>
    <mergeCell ref="M368:M369"/>
    <mergeCell ref="N368:N369"/>
    <mergeCell ref="B370:B371"/>
    <mergeCell ref="F370:F371"/>
    <mergeCell ref="G370:G371"/>
    <mergeCell ref="H370:H371"/>
    <mergeCell ref="I370:I371"/>
    <mergeCell ref="J366:J367"/>
    <mergeCell ref="K366:K367"/>
    <mergeCell ref="L366:L367"/>
    <mergeCell ref="M366:M367"/>
    <mergeCell ref="N366:N367"/>
    <mergeCell ref="B368:B369"/>
    <mergeCell ref="F368:F369"/>
    <mergeCell ref="G368:G369"/>
    <mergeCell ref="H368:H369"/>
    <mergeCell ref="I368:I369"/>
    <mergeCell ref="J364:J365"/>
    <mergeCell ref="K364:K365"/>
    <mergeCell ref="L364:L365"/>
    <mergeCell ref="M364:M365"/>
    <mergeCell ref="N364:N365"/>
    <mergeCell ref="B366:B367"/>
    <mergeCell ref="F366:F367"/>
    <mergeCell ref="G366:G367"/>
    <mergeCell ref="H366:H367"/>
    <mergeCell ref="I366:I367"/>
    <mergeCell ref="J362:J363"/>
    <mergeCell ref="K362:K363"/>
    <mergeCell ref="L362:L363"/>
    <mergeCell ref="M362:M363"/>
    <mergeCell ref="N362:N363"/>
    <mergeCell ref="B364:B365"/>
    <mergeCell ref="F364:F365"/>
    <mergeCell ref="G364:G365"/>
    <mergeCell ref="H364:H365"/>
    <mergeCell ref="I364:I365"/>
    <mergeCell ref="J360:J361"/>
    <mergeCell ref="K360:K361"/>
    <mergeCell ref="L360:L361"/>
    <mergeCell ref="M360:M361"/>
    <mergeCell ref="N360:N361"/>
    <mergeCell ref="B362:B363"/>
    <mergeCell ref="F362:F363"/>
    <mergeCell ref="G362:G363"/>
    <mergeCell ref="H362:H363"/>
    <mergeCell ref="I362:I363"/>
    <mergeCell ref="B356:B359"/>
    <mergeCell ref="C356:H356"/>
    <mergeCell ref="I356:K356"/>
    <mergeCell ref="L356:N356"/>
    <mergeCell ref="O356:O359"/>
    <mergeCell ref="B360:B361"/>
    <mergeCell ref="F360:F361"/>
    <mergeCell ref="G360:G361"/>
    <mergeCell ref="H360:H361"/>
    <mergeCell ref="I360:I361"/>
    <mergeCell ref="K352:K353"/>
    <mergeCell ref="L352:L353"/>
    <mergeCell ref="M352:M353"/>
    <mergeCell ref="N352:N353"/>
    <mergeCell ref="B354:J355"/>
    <mergeCell ref="K354:O354"/>
    <mergeCell ref="K355:O355"/>
    <mergeCell ref="K350:K351"/>
    <mergeCell ref="L350:L351"/>
    <mergeCell ref="M350:M351"/>
    <mergeCell ref="N350:N351"/>
    <mergeCell ref="B352:B353"/>
    <mergeCell ref="F352:F353"/>
    <mergeCell ref="G352:G353"/>
    <mergeCell ref="H352:H353"/>
    <mergeCell ref="I352:I353"/>
    <mergeCell ref="J352:J353"/>
    <mergeCell ref="K348:K349"/>
    <mergeCell ref="L348:L349"/>
    <mergeCell ref="M348:M349"/>
    <mergeCell ref="N348:N349"/>
    <mergeCell ref="B350:B351"/>
    <mergeCell ref="F350:F351"/>
    <mergeCell ref="G350:G351"/>
    <mergeCell ref="H350:H351"/>
    <mergeCell ref="I350:I351"/>
    <mergeCell ref="J350:J351"/>
    <mergeCell ref="K346:K347"/>
    <mergeCell ref="L346:L347"/>
    <mergeCell ref="M346:M347"/>
    <mergeCell ref="N346:N347"/>
    <mergeCell ref="B348:B349"/>
    <mergeCell ref="F348:F349"/>
    <mergeCell ref="G348:G349"/>
    <mergeCell ref="H348:H349"/>
    <mergeCell ref="I348:I349"/>
    <mergeCell ref="J348:J349"/>
    <mergeCell ref="K344:K345"/>
    <mergeCell ref="L344:L345"/>
    <mergeCell ref="M344:M345"/>
    <mergeCell ref="N344:N345"/>
    <mergeCell ref="B346:B347"/>
    <mergeCell ref="F346:F347"/>
    <mergeCell ref="G346:G347"/>
    <mergeCell ref="H346:H347"/>
    <mergeCell ref="I346:I347"/>
    <mergeCell ref="J346:J347"/>
    <mergeCell ref="K342:K343"/>
    <mergeCell ref="L342:L343"/>
    <mergeCell ref="M342:M343"/>
    <mergeCell ref="N342:N343"/>
    <mergeCell ref="B344:B345"/>
    <mergeCell ref="F344:F345"/>
    <mergeCell ref="G344:G345"/>
    <mergeCell ref="H344:H345"/>
    <mergeCell ref="I344:I345"/>
    <mergeCell ref="J344:J345"/>
    <mergeCell ref="K340:K341"/>
    <mergeCell ref="L340:L341"/>
    <mergeCell ref="M340:M341"/>
    <mergeCell ref="N340:N341"/>
    <mergeCell ref="B342:B343"/>
    <mergeCell ref="F342:F343"/>
    <mergeCell ref="G342:G343"/>
    <mergeCell ref="H342:H343"/>
    <mergeCell ref="I342:I343"/>
    <mergeCell ref="J342:J343"/>
    <mergeCell ref="K338:K339"/>
    <mergeCell ref="L338:L339"/>
    <mergeCell ref="M338:M339"/>
    <mergeCell ref="N338:N339"/>
    <mergeCell ref="B340:B341"/>
    <mergeCell ref="F340:F341"/>
    <mergeCell ref="G340:G341"/>
    <mergeCell ref="H340:H341"/>
    <mergeCell ref="I340:I341"/>
    <mergeCell ref="J340:J341"/>
    <mergeCell ref="K336:K337"/>
    <mergeCell ref="L336:L337"/>
    <mergeCell ref="M336:M337"/>
    <mergeCell ref="N336:N337"/>
    <mergeCell ref="B338:B339"/>
    <mergeCell ref="F338:F339"/>
    <mergeCell ref="G338:G339"/>
    <mergeCell ref="H338:H339"/>
    <mergeCell ref="I338:I339"/>
    <mergeCell ref="J338:J339"/>
    <mergeCell ref="K334:K335"/>
    <mergeCell ref="L334:L335"/>
    <mergeCell ref="M334:M335"/>
    <mergeCell ref="N334:N335"/>
    <mergeCell ref="B336:B337"/>
    <mergeCell ref="F336:F337"/>
    <mergeCell ref="G336:G337"/>
    <mergeCell ref="H336:H337"/>
    <mergeCell ref="I336:I337"/>
    <mergeCell ref="J336:J337"/>
    <mergeCell ref="K332:K333"/>
    <mergeCell ref="L332:L333"/>
    <mergeCell ref="M332:M333"/>
    <mergeCell ref="N332:N333"/>
    <mergeCell ref="B334:B335"/>
    <mergeCell ref="F334:F335"/>
    <mergeCell ref="G334:G335"/>
    <mergeCell ref="H334:H335"/>
    <mergeCell ref="I334:I335"/>
    <mergeCell ref="J334:J335"/>
    <mergeCell ref="K330:K331"/>
    <mergeCell ref="L330:L331"/>
    <mergeCell ref="M330:M331"/>
    <mergeCell ref="N330:N331"/>
    <mergeCell ref="B332:B333"/>
    <mergeCell ref="F332:F333"/>
    <mergeCell ref="G332:G333"/>
    <mergeCell ref="H332:H333"/>
    <mergeCell ref="I332:I333"/>
    <mergeCell ref="J332:J333"/>
    <mergeCell ref="K328:K329"/>
    <mergeCell ref="L328:L329"/>
    <mergeCell ref="M328:M329"/>
    <mergeCell ref="N328:N329"/>
    <mergeCell ref="B330:B331"/>
    <mergeCell ref="F330:F331"/>
    <mergeCell ref="G330:G331"/>
    <mergeCell ref="H330:H331"/>
    <mergeCell ref="I330:I331"/>
    <mergeCell ref="J330:J331"/>
    <mergeCell ref="K326:K327"/>
    <mergeCell ref="L326:L327"/>
    <mergeCell ref="M326:M327"/>
    <mergeCell ref="N326:N327"/>
    <mergeCell ref="B328:B329"/>
    <mergeCell ref="F328:F329"/>
    <mergeCell ref="G328:G329"/>
    <mergeCell ref="H328:H329"/>
    <mergeCell ref="I328:I329"/>
    <mergeCell ref="J328:J329"/>
    <mergeCell ref="B318:B319"/>
    <mergeCell ref="F318:F319"/>
    <mergeCell ref="G318:G319"/>
    <mergeCell ref="K324:K325"/>
    <mergeCell ref="L324:L325"/>
    <mergeCell ref="M324:M325"/>
    <mergeCell ref="N324:N325"/>
    <mergeCell ref="B326:B327"/>
    <mergeCell ref="F326:F327"/>
    <mergeCell ref="G326:G327"/>
    <mergeCell ref="H326:H327"/>
    <mergeCell ref="I326:I327"/>
    <mergeCell ref="J326:J327"/>
    <mergeCell ref="K322:K323"/>
    <mergeCell ref="L322:L323"/>
    <mergeCell ref="M322:M323"/>
    <mergeCell ref="N322:N323"/>
    <mergeCell ref="B324:B325"/>
    <mergeCell ref="F324:F325"/>
    <mergeCell ref="G324:G325"/>
    <mergeCell ref="H324:H325"/>
    <mergeCell ref="I324:I325"/>
    <mergeCell ref="J324:J325"/>
    <mergeCell ref="K320:K321"/>
    <mergeCell ref="L320:L321"/>
    <mergeCell ref="M320:M321"/>
    <mergeCell ref="N320:N321"/>
    <mergeCell ref="B322:B323"/>
    <mergeCell ref="F322:F323"/>
    <mergeCell ref="G322:G323"/>
    <mergeCell ref="H322:H323"/>
    <mergeCell ref="I322:I323"/>
    <mergeCell ref="J322:J323"/>
    <mergeCell ref="K318:K319"/>
    <mergeCell ref="L318:L319"/>
    <mergeCell ref="M318:M319"/>
    <mergeCell ref="N318:N319"/>
    <mergeCell ref="B320:B321"/>
    <mergeCell ref="F320:F321"/>
    <mergeCell ref="G320:G321"/>
    <mergeCell ref="H320:H321"/>
    <mergeCell ref="I320:I321"/>
    <mergeCell ref="J320:J321"/>
    <mergeCell ref="F281:F282"/>
    <mergeCell ref="G281:G282"/>
    <mergeCell ref="H281:H282"/>
    <mergeCell ref="M271:M272"/>
    <mergeCell ref="L281:L282"/>
    <mergeCell ref="H318:H319"/>
    <mergeCell ref="I318:I319"/>
    <mergeCell ref="J318:J319"/>
    <mergeCell ref="K314:K315"/>
    <mergeCell ref="L314:L315"/>
    <mergeCell ref="M314:M315"/>
    <mergeCell ref="N314:N315"/>
    <mergeCell ref="B316:B317"/>
    <mergeCell ref="F316:F317"/>
    <mergeCell ref="G316:G317"/>
    <mergeCell ref="H316:H317"/>
    <mergeCell ref="I316:I317"/>
    <mergeCell ref="J316:J317"/>
    <mergeCell ref="B314:B315"/>
    <mergeCell ref="F314:F315"/>
    <mergeCell ref="B295:B296"/>
    <mergeCell ref="K316:K317"/>
    <mergeCell ref="L316:L317"/>
    <mergeCell ref="M316:M317"/>
    <mergeCell ref="C295:C296"/>
    <mergeCell ref="D295:D296"/>
    <mergeCell ref="E295:E296"/>
    <mergeCell ref="D271:D272"/>
    <mergeCell ref="L279:L280"/>
    <mergeCell ref="B281:B282"/>
    <mergeCell ref="K271:K272"/>
    <mergeCell ref="L271:L272"/>
    <mergeCell ref="L283:L284"/>
    <mergeCell ref="K275:K276"/>
    <mergeCell ref="D281:D282"/>
    <mergeCell ref="N279:N280"/>
    <mergeCell ref="N316:N317"/>
    <mergeCell ref="J271:J272"/>
    <mergeCell ref="B271:B272"/>
    <mergeCell ref="B273:B274"/>
    <mergeCell ref="C273:C274"/>
    <mergeCell ref="D273:D274"/>
    <mergeCell ref="E273:E274"/>
    <mergeCell ref="F273:F274"/>
    <mergeCell ref="G285:G286"/>
    <mergeCell ref="H285:H286"/>
    <mergeCell ref="I285:I286"/>
    <mergeCell ref="J285:J286"/>
    <mergeCell ref="K285:K286"/>
    <mergeCell ref="L285:L286"/>
    <mergeCell ref="M285:M286"/>
    <mergeCell ref="N285:N286"/>
    <mergeCell ref="B287:B288"/>
    <mergeCell ref="D285:D286"/>
    <mergeCell ref="E285:E286"/>
    <mergeCell ref="F285:F286"/>
    <mergeCell ref="G314:G315"/>
    <mergeCell ref="H314:H315"/>
    <mergeCell ref="I314:I315"/>
    <mergeCell ref="J314:J315"/>
    <mergeCell ref="N271:N272"/>
    <mergeCell ref="M281:M282"/>
    <mergeCell ref="F271:F272"/>
    <mergeCell ref="G271:G272"/>
    <mergeCell ref="I306:O306"/>
    <mergeCell ref="B305:H306"/>
    <mergeCell ref="B309:B312"/>
    <mergeCell ref="C309:H309"/>
    <mergeCell ref="I309:K309"/>
    <mergeCell ref="L309:N309"/>
    <mergeCell ref="O309:O312"/>
    <mergeCell ref="J295:J296"/>
    <mergeCell ref="K295:K296"/>
    <mergeCell ref="I279:I280"/>
    <mergeCell ref="J279:J280"/>
    <mergeCell ref="N273:N274"/>
    <mergeCell ref="L277:L278"/>
    <mergeCell ref="M277:M278"/>
    <mergeCell ref="B291:B292"/>
    <mergeCell ref="D289:D290"/>
    <mergeCell ref="E289:E290"/>
    <mergeCell ref="F289:F290"/>
    <mergeCell ref="G289:G290"/>
    <mergeCell ref="H289:H290"/>
    <mergeCell ref="I289:I290"/>
    <mergeCell ref="G287:G288"/>
    <mergeCell ref="H287:H288"/>
    <mergeCell ref="I287:I288"/>
    <mergeCell ref="J287:J288"/>
    <mergeCell ref="K287:K288"/>
    <mergeCell ref="L287:L288"/>
    <mergeCell ref="M287:M288"/>
    <mergeCell ref="N287:N288"/>
    <mergeCell ref="B289:B290"/>
    <mergeCell ref="C289:C290"/>
    <mergeCell ref="L275:L276"/>
    <mergeCell ref="C275:C276"/>
    <mergeCell ref="N233:N234"/>
    <mergeCell ref="I233:I234"/>
    <mergeCell ref="J233:J234"/>
    <mergeCell ref="N277:N278"/>
    <mergeCell ref="F275:F276"/>
    <mergeCell ref="B275:B276"/>
    <mergeCell ref="J253:J254"/>
    <mergeCell ref="K253:K254"/>
    <mergeCell ref="B253:B254"/>
    <mergeCell ref="L253:L254"/>
    <mergeCell ref="M253:M254"/>
    <mergeCell ref="N253:N254"/>
    <mergeCell ref="I253:I254"/>
    <mergeCell ref="C279:C280"/>
    <mergeCell ref="G279:G280"/>
    <mergeCell ref="H279:H280"/>
    <mergeCell ref="N283:N284"/>
    <mergeCell ref="D277:D278"/>
    <mergeCell ref="G275:G276"/>
    <mergeCell ref="D279:D280"/>
    <mergeCell ref="B251:B252"/>
    <mergeCell ref="B307:O307"/>
    <mergeCell ref="B308:O308"/>
    <mergeCell ref="B119:B124"/>
    <mergeCell ref="G221:G222"/>
    <mergeCell ref="H221:H222"/>
    <mergeCell ref="F241:F242"/>
    <mergeCell ref="H271:H272"/>
    <mergeCell ref="M269:M270"/>
    <mergeCell ref="N269:N270"/>
    <mergeCell ref="I269:I270"/>
    <mergeCell ref="C269:C270"/>
    <mergeCell ref="D269:D270"/>
    <mergeCell ref="L295:L296"/>
    <mergeCell ref="M295:M296"/>
    <mergeCell ref="N295:N296"/>
    <mergeCell ref="I295:I296"/>
    <mergeCell ref="J227:J228"/>
    <mergeCell ref="B227:B228"/>
    <mergeCell ref="L227:L228"/>
    <mergeCell ref="M227:M228"/>
    <mergeCell ref="N227:N228"/>
    <mergeCell ref="F161:F162"/>
    <mergeCell ref="L269:L270"/>
    <mergeCell ref="L263:L264"/>
    <mergeCell ref="I227:I228"/>
    <mergeCell ref="C271:C272"/>
    <mergeCell ref="I271:I272"/>
    <mergeCell ref="C287:C288"/>
    <mergeCell ref="D287:D288"/>
    <mergeCell ref="E287:E288"/>
    <mergeCell ref="F287:F288"/>
    <mergeCell ref="D175:D176"/>
    <mergeCell ref="E175:E176"/>
    <mergeCell ref="N281:N282"/>
    <mergeCell ref="I281:I282"/>
    <mergeCell ref="M283:M284"/>
    <mergeCell ref="J277:J278"/>
    <mergeCell ref="K277:K278"/>
    <mergeCell ref="M263:M264"/>
    <mergeCell ref="I263:I264"/>
    <mergeCell ref="E271:E272"/>
    <mergeCell ref="F263:F264"/>
    <mergeCell ref="G263:G264"/>
    <mergeCell ref="H263:H264"/>
    <mergeCell ref="J281:J282"/>
    <mergeCell ref="K281:K282"/>
    <mergeCell ref="C281:C282"/>
    <mergeCell ref="F269:F270"/>
    <mergeCell ref="G269:G270"/>
    <mergeCell ref="K273:K274"/>
    <mergeCell ref="L273:L274"/>
    <mergeCell ref="M273:M274"/>
    <mergeCell ref="E281:E282"/>
    <mergeCell ref="D275:D276"/>
    <mergeCell ref="E275:E276"/>
    <mergeCell ref="F279:F280"/>
    <mergeCell ref="J263:J264"/>
    <mergeCell ref="C265:C266"/>
    <mergeCell ref="C277:C278"/>
    <mergeCell ref="N263:N264"/>
    <mergeCell ref="E279:E280"/>
    <mergeCell ref="D283:D284"/>
    <mergeCell ref="D227:D228"/>
    <mergeCell ref="B207:B208"/>
    <mergeCell ref="C165:C166"/>
    <mergeCell ref="D165:D166"/>
    <mergeCell ref="E165:E166"/>
    <mergeCell ref="H197:H198"/>
    <mergeCell ref="G131:G132"/>
    <mergeCell ref="C207:C208"/>
    <mergeCell ref="D207:D208"/>
    <mergeCell ref="E207:E208"/>
    <mergeCell ref="C91:C92"/>
    <mergeCell ref="D91:D92"/>
    <mergeCell ref="E91:E92"/>
    <mergeCell ref="B203:B204"/>
    <mergeCell ref="M203:M204"/>
    <mergeCell ref="N203:N204"/>
    <mergeCell ref="I203:I204"/>
    <mergeCell ref="C203:C204"/>
    <mergeCell ref="D203:D204"/>
    <mergeCell ref="B161:B162"/>
    <mergeCell ref="C161:C162"/>
    <mergeCell ref="N143:N144"/>
    <mergeCell ref="B105:B106"/>
    <mergeCell ref="J143:J144"/>
    <mergeCell ref="K207:K208"/>
    <mergeCell ref="K131:K132"/>
    <mergeCell ref="B91:B92"/>
    <mergeCell ref="J91:J92"/>
    <mergeCell ref="J105:J106"/>
    <mergeCell ref="L105:L106"/>
    <mergeCell ref="M105:M106"/>
    <mergeCell ref="N105:N106"/>
    <mergeCell ref="K143:K144"/>
    <mergeCell ref="E107:E108"/>
    <mergeCell ref="F107:F108"/>
    <mergeCell ref="J203:J204"/>
    <mergeCell ref="B283:B284"/>
    <mergeCell ref="F283:F284"/>
    <mergeCell ref="G283:G284"/>
    <mergeCell ref="H283:H284"/>
    <mergeCell ref="K279:K280"/>
    <mergeCell ref="M279:M280"/>
    <mergeCell ref="E253:E254"/>
    <mergeCell ref="I283:I284"/>
    <mergeCell ref="C283:C284"/>
    <mergeCell ref="I277:I278"/>
    <mergeCell ref="B263:B264"/>
    <mergeCell ref="B221:B222"/>
    <mergeCell ref="B241:B242"/>
    <mergeCell ref="J283:J284"/>
    <mergeCell ref="K283:K284"/>
    <mergeCell ref="J275:J276"/>
    <mergeCell ref="D265:D266"/>
    <mergeCell ref="E265:E266"/>
    <mergeCell ref="D253:D254"/>
    <mergeCell ref="K263:K264"/>
    <mergeCell ref="J269:J270"/>
    <mergeCell ref="K269:K270"/>
    <mergeCell ref="B269:B270"/>
    <mergeCell ref="J165:J166"/>
    <mergeCell ref="J191:J192"/>
    <mergeCell ref="J265:J266"/>
    <mergeCell ref="B277:B278"/>
    <mergeCell ref="K267:K268"/>
    <mergeCell ref="D241:D242"/>
    <mergeCell ref="D111:D112"/>
    <mergeCell ref="H91:H92"/>
    <mergeCell ref="B73:B74"/>
    <mergeCell ref="C73:C74"/>
    <mergeCell ref="B109:B110"/>
    <mergeCell ref="C253:C254"/>
    <mergeCell ref="L73:L74"/>
    <mergeCell ref="M73:M74"/>
    <mergeCell ref="B163:B164"/>
    <mergeCell ref="C163:C164"/>
    <mergeCell ref="D163:D164"/>
    <mergeCell ref="E163:E164"/>
    <mergeCell ref="F163:F164"/>
    <mergeCell ref="G163:G164"/>
    <mergeCell ref="L161:L162"/>
    <mergeCell ref="G217:G218"/>
    <mergeCell ref="F191:F192"/>
    <mergeCell ref="G191:G192"/>
    <mergeCell ref="H191:H192"/>
    <mergeCell ref="I191:I192"/>
    <mergeCell ref="C191:C192"/>
    <mergeCell ref="D191:D192"/>
    <mergeCell ref="E191:E192"/>
    <mergeCell ref="B191:B192"/>
    <mergeCell ref="B143:B144"/>
    <mergeCell ref="D85:D86"/>
    <mergeCell ref="E85:E86"/>
    <mergeCell ref="B153:B154"/>
    <mergeCell ref="D211:D212"/>
    <mergeCell ref="D89:D90"/>
    <mergeCell ref="L89:L90"/>
    <mergeCell ref="E153:E154"/>
    <mergeCell ref="B111:B112"/>
    <mergeCell ref="H163:H164"/>
    <mergeCell ref="I163:I164"/>
    <mergeCell ref="C197:C198"/>
    <mergeCell ref="D197:D198"/>
    <mergeCell ref="E197:E198"/>
    <mergeCell ref="I85:I86"/>
    <mergeCell ref="B69:B70"/>
    <mergeCell ref="B265:B266"/>
    <mergeCell ref="E97:E98"/>
    <mergeCell ref="F265:F266"/>
    <mergeCell ref="G265:G266"/>
    <mergeCell ref="H265:H266"/>
    <mergeCell ref="I265:I266"/>
    <mergeCell ref="B101:B102"/>
    <mergeCell ref="F131:F132"/>
    <mergeCell ref="G137:G138"/>
    <mergeCell ref="H137:H138"/>
    <mergeCell ref="I137:I138"/>
    <mergeCell ref="E203:E204"/>
    <mergeCell ref="F219:F220"/>
    <mergeCell ref="G219:G220"/>
    <mergeCell ref="G233:G234"/>
    <mergeCell ref="B233:B234"/>
    <mergeCell ref="D233:D234"/>
    <mergeCell ref="C227:C228"/>
    <mergeCell ref="F73:F74"/>
    <mergeCell ref="G73:G74"/>
    <mergeCell ref="H73:H74"/>
    <mergeCell ref="I73:I74"/>
    <mergeCell ref="F245:H245"/>
    <mergeCell ref="C111:C112"/>
    <mergeCell ref="M165:M166"/>
    <mergeCell ref="J163:J164"/>
    <mergeCell ref="K163:K164"/>
    <mergeCell ref="L153:L154"/>
    <mergeCell ref="M153:M154"/>
    <mergeCell ref="M143:M144"/>
    <mergeCell ref="M163:M164"/>
    <mergeCell ref="M217:M218"/>
    <mergeCell ref="D161:D162"/>
    <mergeCell ref="E161:E162"/>
    <mergeCell ref="C219:C220"/>
    <mergeCell ref="D219:D220"/>
    <mergeCell ref="E241:E242"/>
    <mergeCell ref="C251:C252"/>
    <mergeCell ref="N251:N252"/>
    <mergeCell ref="M219:M220"/>
    <mergeCell ref="N219:N220"/>
    <mergeCell ref="M207:M208"/>
    <mergeCell ref="C217:C218"/>
    <mergeCell ref="D217:D218"/>
    <mergeCell ref="E217:E218"/>
    <mergeCell ref="L221:L222"/>
    <mergeCell ref="I221:I222"/>
    <mergeCell ref="F251:F252"/>
    <mergeCell ref="G251:G252"/>
    <mergeCell ref="C221:C222"/>
    <mergeCell ref="D221:D222"/>
    <mergeCell ref="E221:E222"/>
    <mergeCell ref="M241:M242"/>
    <mergeCell ref="C233:C234"/>
    <mergeCell ref="C211:C212"/>
    <mergeCell ref="C175:C176"/>
    <mergeCell ref="R227:R228"/>
    <mergeCell ref="F165:F166"/>
    <mergeCell ref="G165:G166"/>
    <mergeCell ref="H165:H166"/>
    <mergeCell ref="I165:I166"/>
    <mergeCell ref="I217:I218"/>
    <mergeCell ref="C291:C292"/>
    <mergeCell ref="F197:F198"/>
    <mergeCell ref="M221:M222"/>
    <mergeCell ref="O119:O124"/>
    <mergeCell ref="C120:E120"/>
    <mergeCell ref="F207:F208"/>
    <mergeCell ref="G207:G208"/>
    <mergeCell ref="H207:H208"/>
    <mergeCell ref="I207:I208"/>
    <mergeCell ref="M89:M90"/>
    <mergeCell ref="H109:H110"/>
    <mergeCell ref="M93:M94"/>
    <mergeCell ref="N93:N94"/>
    <mergeCell ref="N175:N176"/>
    <mergeCell ref="K265:K266"/>
    <mergeCell ref="L265:L266"/>
    <mergeCell ref="M265:M266"/>
    <mergeCell ref="J241:J242"/>
    <mergeCell ref="I241:I242"/>
    <mergeCell ref="K241:K242"/>
    <mergeCell ref="L241:L242"/>
    <mergeCell ref="C241:C242"/>
    <mergeCell ref="L143:L144"/>
    <mergeCell ref="L163:L164"/>
    <mergeCell ref="L217:L218"/>
    <mergeCell ref="K191:K192"/>
    <mergeCell ref="B219:B220"/>
    <mergeCell ref="I251:I252"/>
    <mergeCell ref="B267:B268"/>
    <mergeCell ref="C267:C268"/>
    <mergeCell ref="D267:D268"/>
    <mergeCell ref="J267:J268"/>
    <mergeCell ref="B75:B76"/>
    <mergeCell ref="C75:C76"/>
    <mergeCell ref="D75:D76"/>
    <mergeCell ref="I291:I292"/>
    <mergeCell ref="E75:E76"/>
    <mergeCell ref="C105:C106"/>
    <mergeCell ref="J291:J292"/>
    <mergeCell ref="F291:F292"/>
    <mergeCell ref="B245:B250"/>
    <mergeCell ref="C245:E245"/>
    <mergeCell ref="L75:L76"/>
    <mergeCell ref="B211:B212"/>
    <mergeCell ref="E291:E292"/>
    <mergeCell ref="E251:E252"/>
    <mergeCell ref="H251:H252"/>
    <mergeCell ref="I211:I212"/>
    <mergeCell ref="I161:I162"/>
    <mergeCell ref="K203:K204"/>
    <mergeCell ref="L165:L166"/>
    <mergeCell ref="C263:C264"/>
    <mergeCell ref="D263:D264"/>
    <mergeCell ref="E263:E264"/>
    <mergeCell ref="E89:E90"/>
    <mergeCell ref="F89:F90"/>
    <mergeCell ref="G89:G90"/>
    <mergeCell ref="H89:H90"/>
    <mergeCell ref="O61:O66"/>
    <mergeCell ref="C62:E62"/>
    <mergeCell ref="F62:H62"/>
    <mergeCell ref="C67:C68"/>
    <mergeCell ref="N89:N90"/>
    <mergeCell ref="B67:B68"/>
    <mergeCell ref="F67:F68"/>
    <mergeCell ref="J69:J70"/>
    <mergeCell ref="K69:K70"/>
    <mergeCell ref="J73:J74"/>
    <mergeCell ref="C109:C110"/>
    <mergeCell ref="I91:I92"/>
    <mergeCell ref="E69:E70"/>
    <mergeCell ref="I69:I70"/>
    <mergeCell ref="G91:G92"/>
    <mergeCell ref="H69:H70"/>
    <mergeCell ref="B71:B72"/>
    <mergeCell ref="C71:C72"/>
    <mergeCell ref="D71:D72"/>
    <mergeCell ref="B89:B90"/>
    <mergeCell ref="C89:C90"/>
    <mergeCell ref="F75:F76"/>
    <mergeCell ref="G75:G76"/>
    <mergeCell ref="M75:M76"/>
    <mergeCell ref="F71:F72"/>
    <mergeCell ref="G71:G72"/>
    <mergeCell ref="I71:I72"/>
    <mergeCell ref="J71:J72"/>
    <mergeCell ref="K67:K68"/>
    <mergeCell ref="L67:L68"/>
    <mergeCell ref="H71:H72"/>
    <mergeCell ref="D73:D74"/>
    <mergeCell ref="L5:N5"/>
    <mergeCell ref="L6:N6"/>
    <mergeCell ref="K71:K72"/>
    <mergeCell ref="K75:K76"/>
    <mergeCell ref="K91:K92"/>
    <mergeCell ref="L71:L72"/>
    <mergeCell ref="M71:M72"/>
    <mergeCell ref="N71:N72"/>
    <mergeCell ref="L85:L86"/>
    <mergeCell ref="G85:G86"/>
    <mergeCell ref="H85:H86"/>
    <mergeCell ref="D69:D70"/>
    <mergeCell ref="F85:F86"/>
    <mergeCell ref="B85:B86"/>
    <mergeCell ref="B61:B66"/>
    <mergeCell ref="C61:E61"/>
    <mergeCell ref="F61:H61"/>
    <mergeCell ref="I61:K61"/>
    <mergeCell ref="L61:N61"/>
    <mergeCell ref="B57:B58"/>
    <mergeCell ref="F57:F58"/>
    <mergeCell ref="N57:N58"/>
    <mergeCell ref="C57:C58"/>
    <mergeCell ref="E73:E74"/>
    <mergeCell ref="M91:M92"/>
    <mergeCell ref="C69:C70"/>
    <mergeCell ref="I89:I90"/>
    <mergeCell ref="J89:J90"/>
    <mergeCell ref="F91:F92"/>
    <mergeCell ref="J85:J86"/>
    <mergeCell ref="N91:N92"/>
    <mergeCell ref="F6:H6"/>
    <mergeCell ref="N111:N112"/>
    <mergeCell ref="L219:L220"/>
    <mergeCell ref="N11:N12"/>
    <mergeCell ref="M67:M68"/>
    <mergeCell ref="D57:D58"/>
    <mergeCell ref="E57:E58"/>
    <mergeCell ref="M69:M70"/>
    <mergeCell ref="D67:D68"/>
    <mergeCell ref="E67:E68"/>
    <mergeCell ref="G67:G68"/>
    <mergeCell ref="H67:H68"/>
    <mergeCell ref="I67:I68"/>
    <mergeCell ref="J57:J58"/>
    <mergeCell ref="F69:F70"/>
    <mergeCell ref="G69:G70"/>
    <mergeCell ref="B13:B14"/>
    <mergeCell ref="C13:C14"/>
    <mergeCell ref="K13:K14"/>
    <mergeCell ref="L13:L14"/>
    <mergeCell ref="M13:M14"/>
    <mergeCell ref="L69:L70"/>
    <mergeCell ref="E13:E14"/>
    <mergeCell ref="N69:N70"/>
    <mergeCell ref="N67:N68"/>
    <mergeCell ref="K57:K58"/>
    <mergeCell ref="G57:G58"/>
    <mergeCell ref="H57:H58"/>
    <mergeCell ref="I57:I58"/>
    <mergeCell ref="J67:J68"/>
    <mergeCell ref="F15:F16"/>
    <mergeCell ref="G15:G16"/>
    <mergeCell ref="H15:H16"/>
    <mergeCell ref="D291:D292"/>
    <mergeCell ref="C246:E246"/>
    <mergeCell ref="F246:H246"/>
    <mergeCell ref="I246:K246"/>
    <mergeCell ref="L246:N246"/>
    <mergeCell ref="C247:E247"/>
    <mergeCell ref="F247:H247"/>
    <mergeCell ref="I247:K247"/>
    <mergeCell ref="L247:N247"/>
    <mergeCell ref="O291:O292"/>
    <mergeCell ref="L291:L292"/>
    <mergeCell ref="N265:N266"/>
    <mergeCell ref="K291:K292"/>
    <mergeCell ref="E269:E270"/>
    <mergeCell ref="H233:H234"/>
    <mergeCell ref="M233:M234"/>
    <mergeCell ref="H269:H270"/>
    <mergeCell ref="I267:I268"/>
    <mergeCell ref="K233:K234"/>
    <mergeCell ref="G273:G274"/>
    <mergeCell ref="H273:H274"/>
    <mergeCell ref="I273:I274"/>
    <mergeCell ref="J273:J274"/>
    <mergeCell ref="N267:N268"/>
    <mergeCell ref="E277:E278"/>
    <mergeCell ref="F277:F278"/>
    <mergeCell ref="I245:K245"/>
    <mergeCell ref="L245:N245"/>
    <mergeCell ref="G291:G292"/>
    <mergeCell ref="H291:H292"/>
    <mergeCell ref="M291:M292"/>
    <mergeCell ref="N291:N292"/>
    <mergeCell ref="A1:P1"/>
    <mergeCell ref="A2:P2"/>
    <mergeCell ref="A3:P3"/>
    <mergeCell ref="P4:P9"/>
    <mergeCell ref="A4:A9"/>
    <mergeCell ref="P11:P12"/>
    <mergeCell ref="P15:P16"/>
    <mergeCell ref="P19:P20"/>
    <mergeCell ref="P23:P24"/>
    <mergeCell ref="P13:P14"/>
    <mergeCell ref="P17:P18"/>
    <mergeCell ref="P21:P22"/>
    <mergeCell ref="P25:P26"/>
    <mergeCell ref="P27:P28"/>
    <mergeCell ref="P29:P30"/>
    <mergeCell ref="P31:P32"/>
    <mergeCell ref="P33:P34"/>
    <mergeCell ref="I13:I14"/>
    <mergeCell ref="J13:J14"/>
    <mergeCell ref="N13:N14"/>
    <mergeCell ref="B11:B12"/>
    <mergeCell ref="C11:C12"/>
    <mergeCell ref="D11:D12"/>
    <mergeCell ref="E11:E12"/>
    <mergeCell ref="F11:F12"/>
    <mergeCell ref="G11:G12"/>
    <mergeCell ref="I15:I16"/>
    <mergeCell ref="J15:J16"/>
    <mergeCell ref="B4:B9"/>
    <mergeCell ref="I4:K4"/>
    <mergeCell ref="L4:N4"/>
    <mergeCell ref="O4:O9"/>
    <mergeCell ref="M11:M12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G277:G278"/>
    <mergeCell ref="H277:H278"/>
    <mergeCell ref="M275:M276"/>
    <mergeCell ref="N275:N276"/>
    <mergeCell ref="I275:I276"/>
    <mergeCell ref="L233:L234"/>
    <mergeCell ref="L251:L252"/>
    <mergeCell ref="M251:M252"/>
    <mergeCell ref="K219:K220"/>
    <mergeCell ref="L267:L268"/>
    <mergeCell ref="M267:M268"/>
    <mergeCell ref="M213:M214"/>
    <mergeCell ref="G111:G112"/>
    <mergeCell ref="H111:H112"/>
    <mergeCell ref="I111:I112"/>
    <mergeCell ref="J111:J112"/>
    <mergeCell ref="K111:K112"/>
    <mergeCell ref="L111:L112"/>
    <mergeCell ref="G153:G154"/>
    <mergeCell ref="H153:H154"/>
    <mergeCell ref="P57:P5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L57:L58"/>
    <mergeCell ref="M57:M58"/>
    <mergeCell ref="H11:H12"/>
    <mergeCell ref="I11:I12"/>
    <mergeCell ref="J11:J12"/>
    <mergeCell ref="K11:K12"/>
    <mergeCell ref="L11:L12"/>
    <mergeCell ref="K59:P59"/>
    <mergeCell ref="K60:P60"/>
    <mergeCell ref="A59:J60"/>
    <mergeCell ref="A61:A66"/>
    <mergeCell ref="P61:P66"/>
    <mergeCell ref="A117:J118"/>
    <mergeCell ref="K117:P117"/>
    <mergeCell ref="K118:P118"/>
    <mergeCell ref="A119:A124"/>
    <mergeCell ref="P119:P124"/>
    <mergeCell ref="A179:J180"/>
    <mergeCell ref="K179:P179"/>
    <mergeCell ref="K180:P180"/>
    <mergeCell ref="A67:A68"/>
    <mergeCell ref="N73:N74"/>
    <mergeCell ref="K93:K94"/>
    <mergeCell ref="N75:N76"/>
    <mergeCell ref="L99:L100"/>
    <mergeCell ref="M99:M100"/>
    <mergeCell ref="N99:N100"/>
    <mergeCell ref="K73:K74"/>
    <mergeCell ref="M85:M86"/>
    <mergeCell ref="N85:N86"/>
    <mergeCell ref="L91:L92"/>
    <mergeCell ref="K85:K86"/>
    <mergeCell ref="E71:E72"/>
    <mergeCell ref="E111:E112"/>
    <mergeCell ref="F111:F112"/>
    <mergeCell ref="F153:F154"/>
    <mergeCell ref="I153:I154"/>
    <mergeCell ref="J153:J154"/>
    <mergeCell ref="M111:M112"/>
    <mergeCell ref="A181:A186"/>
    <mergeCell ref="P181:P186"/>
    <mergeCell ref="A243:J244"/>
    <mergeCell ref="K243:P243"/>
    <mergeCell ref="K244:P244"/>
    <mergeCell ref="A245:A250"/>
    <mergeCell ref="P245:P250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O245:O250"/>
  </mergeCells>
  <pageMargins left="0.27" right="0.28000000000000003" top="0.196850393700787" bottom="0.511811023622047" header="0.15748031496063" footer="0.31496062992126"/>
  <pageSetup paperSize="9" scale="55" orientation="portrait" horizontalDpi="300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1" manualBreakCount="11">
    <brk id="116" max="15" man="1"/>
    <brk id="242" max="15" man="1"/>
    <brk id="353" min="1" max="11" man="1"/>
    <brk id="397" min="1" max="11" man="1"/>
    <brk id="441" min="1" max="11" man="1"/>
    <brk id="475" min="1" max="11" man="1"/>
    <brk id="513" min="1" max="11" man="1"/>
    <brk id="553" min="1" max="11" man="1"/>
    <brk id="601" min="1" max="11" man="1"/>
    <brk id="645" min="1" max="11" man="1"/>
    <brk id="691" min="1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30"/>
  <sheetViews>
    <sheetView view="pageBreakPreview" topLeftCell="A19" zoomScale="90" zoomScaleNormal="80" zoomScaleSheetLayoutView="90" workbookViewId="0">
      <selection activeCell="E19" sqref="E19:H19"/>
    </sheetView>
  </sheetViews>
  <sheetFormatPr defaultRowHeight="15"/>
  <cols>
    <col min="1" max="1" width="5.42578125" customWidth="1"/>
    <col min="2" max="2" width="14.42578125" customWidth="1"/>
    <col min="3" max="3" width="8.5703125" customWidth="1"/>
    <col min="4" max="4" width="9.42578125" customWidth="1"/>
    <col min="5" max="5" width="9.140625" customWidth="1"/>
    <col min="6" max="7" width="8.5703125" customWidth="1"/>
    <col min="8" max="8" width="9.7109375" customWidth="1"/>
    <col min="9" max="9" width="11.28515625" customWidth="1"/>
    <col min="10" max="10" width="21.7109375" customWidth="1"/>
    <col min="11" max="11" width="5.140625" customWidth="1"/>
  </cols>
  <sheetData>
    <row r="1" spans="1:23" ht="35.1" customHeight="1">
      <c r="A1" s="1406" t="s">
        <v>893</v>
      </c>
      <c r="B1" s="1406"/>
      <c r="C1" s="1406"/>
      <c r="D1" s="1406"/>
      <c r="E1" s="1406"/>
      <c r="F1" s="1406"/>
      <c r="G1" s="1406"/>
      <c r="H1" s="1406"/>
      <c r="I1" s="1406"/>
      <c r="J1" s="1406"/>
      <c r="K1" s="1406"/>
    </row>
    <row r="2" spans="1:23" ht="35.1" customHeight="1">
      <c r="A2" s="1437" t="s">
        <v>894</v>
      </c>
      <c r="B2" s="1437"/>
      <c r="C2" s="1437"/>
      <c r="D2" s="1437"/>
      <c r="E2" s="1437"/>
      <c r="F2" s="1437"/>
      <c r="G2" s="1437"/>
      <c r="H2" s="1437"/>
      <c r="I2" s="1437"/>
      <c r="J2" s="1437"/>
      <c r="K2" s="1437"/>
    </row>
    <row r="3" spans="1:23" ht="35.1" customHeight="1">
      <c r="A3" s="1472" t="s">
        <v>895</v>
      </c>
      <c r="B3" s="1472"/>
      <c r="C3" s="1472"/>
      <c r="D3" s="1472"/>
      <c r="E3" s="1472"/>
      <c r="F3" s="1472"/>
      <c r="G3" s="1472"/>
      <c r="H3" s="1472"/>
      <c r="I3" s="1472"/>
      <c r="J3" s="1472"/>
      <c r="K3" s="1472"/>
    </row>
    <row r="4" spans="1:23" ht="35.1" customHeight="1">
      <c r="A4" s="1459" t="s">
        <v>2028</v>
      </c>
      <c r="B4" s="1443" t="s">
        <v>399</v>
      </c>
      <c r="C4" s="1443" t="s">
        <v>94</v>
      </c>
      <c r="D4" s="1443" t="s">
        <v>95</v>
      </c>
      <c r="E4" s="940">
        <v>1396</v>
      </c>
      <c r="F4" s="940">
        <v>1395</v>
      </c>
      <c r="G4" s="940">
        <v>1394</v>
      </c>
      <c r="H4" s="937" t="s">
        <v>96</v>
      </c>
      <c r="I4" s="1459" t="s">
        <v>97</v>
      </c>
      <c r="J4" s="1459" t="s">
        <v>398</v>
      </c>
      <c r="K4" s="1459" t="s">
        <v>2027</v>
      </c>
      <c r="T4">
        <v>59</v>
      </c>
    </row>
    <row r="5" spans="1:23" ht="35.1" customHeight="1">
      <c r="A5" s="1461"/>
      <c r="B5" s="1467"/>
      <c r="C5" s="1467"/>
      <c r="D5" s="1467"/>
      <c r="E5" s="1141" t="s">
        <v>1774</v>
      </c>
      <c r="F5" s="1141" t="s">
        <v>1305</v>
      </c>
      <c r="G5" s="1141" t="s">
        <v>1156</v>
      </c>
      <c r="H5" s="939" t="s">
        <v>507</v>
      </c>
      <c r="I5" s="1461"/>
      <c r="J5" s="1461"/>
      <c r="K5" s="1460"/>
      <c r="T5">
        <v>59</v>
      </c>
    </row>
    <row r="6" spans="1:23" ht="45" customHeight="1">
      <c r="A6" s="915">
        <v>1</v>
      </c>
      <c r="B6" s="622" t="s">
        <v>98</v>
      </c>
      <c r="C6" s="690"/>
      <c r="D6" s="690" t="s">
        <v>99</v>
      </c>
      <c r="E6" s="623">
        <v>9</v>
      </c>
      <c r="F6" s="624">
        <v>9</v>
      </c>
      <c r="G6" s="625">
        <v>9</v>
      </c>
      <c r="H6" s="691" t="s">
        <v>100</v>
      </c>
      <c r="I6" s="691"/>
      <c r="J6" s="656" t="s">
        <v>2031</v>
      </c>
      <c r="K6" s="915">
        <v>1</v>
      </c>
      <c r="O6" t="s">
        <v>1770</v>
      </c>
      <c r="T6">
        <f>SUM(T4:T5)</f>
        <v>118</v>
      </c>
    </row>
    <row r="7" spans="1:23" ht="45" customHeight="1">
      <c r="A7" s="938"/>
      <c r="C7" s="98" t="s">
        <v>28</v>
      </c>
      <c r="D7" s="98" t="s">
        <v>101</v>
      </c>
      <c r="E7" s="516">
        <f>E8+E9</f>
        <v>3335</v>
      </c>
      <c r="F7" s="514">
        <f>F8+F9</f>
        <v>3027</v>
      </c>
      <c r="G7" s="515">
        <f>G8+G9</f>
        <v>3699</v>
      </c>
      <c r="H7" s="99" t="s">
        <v>102</v>
      </c>
      <c r="I7" s="99" t="s">
        <v>644</v>
      </c>
      <c r="K7" s="938"/>
      <c r="O7" s="457">
        <f>O8+O9</f>
        <v>770</v>
      </c>
    </row>
    <row r="8" spans="1:23" ht="45" customHeight="1">
      <c r="A8" s="914">
        <v>2</v>
      </c>
      <c r="B8" s="1144" t="s">
        <v>62</v>
      </c>
      <c r="C8" s="690" t="s">
        <v>53</v>
      </c>
      <c r="D8" s="690" t="s">
        <v>101</v>
      </c>
      <c r="E8" s="1048">
        <v>1982</v>
      </c>
      <c r="F8" s="1047">
        <f>459+508+204+165+175+110+112+187</f>
        <v>1920</v>
      </c>
      <c r="G8" s="1030">
        <v>2033</v>
      </c>
      <c r="H8" s="691" t="s">
        <v>102</v>
      </c>
      <c r="I8" s="691" t="s">
        <v>648</v>
      </c>
      <c r="J8" s="1144" t="s">
        <v>645</v>
      </c>
      <c r="K8" s="914">
        <v>2</v>
      </c>
      <c r="O8" s="457">
        <v>459</v>
      </c>
      <c r="P8">
        <v>1214</v>
      </c>
      <c r="R8">
        <v>10949</v>
      </c>
      <c r="T8">
        <v>2979</v>
      </c>
      <c r="W8" s="49">
        <f>52832/39409*100-100</f>
        <v>34.060747544977033</v>
      </c>
    </row>
    <row r="9" spans="1:23" ht="45" customHeight="1">
      <c r="A9" s="938"/>
      <c r="B9" s="1143"/>
      <c r="C9" s="98" t="s">
        <v>52</v>
      </c>
      <c r="D9" s="98" t="s">
        <v>101</v>
      </c>
      <c r="E9" s="516">
        <v>1353</v>
      </c>
      <c r="F9" s="514">
        <f>173+143+160+65+89+65+101+311</f>
        <v>1107</v>
      </c>
      <c r="G9" s="515">
        <v>1666</v>
      </c>
      <c r="H9" s="99" t="s">
        <v>102</v>
      </c>
      <c r="I9" s="99" t="s">
        <v>649</v>
      </c>
      <c r="J9" s="1143"/>
      <c r="K9" s="938"/>
      <c r="O9" s="457">
        <v>311</v>
      </c>
      <c r="P9">
        <v>155</v>
      </c>
      <c r="R9">
        <v>432</v>
      </c>
      <c r="T9">
        <v>147788</v>
      </c>
    </row>
    <row r="10" spans="1:23" ht="45" customHeight="1">
      <c r="A10" s="914"/>
      <c r="B10" s="1142"/>
      <c r="C10" s="690" t="s">
        <v>28</v>
      </c>
      <c r="D10" s="690" t="s">
        <v>101</v>
      </c>
      <c r="E10" s="1048">
        <f>E11+E12</f>
        <v>1731</v>
      </c>
      <c r="F10" s="1047">
        <f>F11+F12</f>
        <v>1347</v>
      </c>
      <c r="G10" s="1030">
        <f>G11+G12</f>
        <v>1796</v>
      </c>
      <c r="H10" s="691" t="s">
        <v>102</v>
      </c>
      <c r="I10" s="691" t="s">
        <v>644</v>
      </c>
      <c r="J10" s="1142"/>
      <c r="K10" s="914"/>
      <c r="O10" s="457">
        <f>O11+O12</f>
        <v>327</v>
      </c>
      <c r="P10">
        <f>SUM(P8:P9)</f>
        <v>1369</v>
      </c>
      <c r="R10">
        <f>SUM(R8:R9)</f>
        <v>11381</v>
      </c>
      <c r="T10">
        <f>SUM(T8:T9)</f>
        <v>150767</v>
      </c>
    </row>
    <row r="11" spans="1:23" ht="45" customHeight="1">
      <c r="A11" s="938">
        <v>3</v>
      </c>
      <c r="B11" s="1143" t="s">
        <v>104</v>
      </c>
      <c r="C11" s="98" t="s">
        <v>53</v>
      </c>
      <c r="D11" s="98" t="s">
        <v>101</v>
      </c>
      <c r="E11" s="516">
        <v>931</v>
      </c>
      <c r="F11" s="514">
        <f>205+139+21+109+65+97+90+206</f>
        <v>932</v>
      </c>
      <c r="G11" s="515">
        <v>943</v>
      </c>
      <c r="H11" s="99" t="s">
        <v>102</v>
      </c>
      <c r="I11" s="99" t="s">
        <v>648</v>
      </c>
      <c r="J11" s="1143" t="s">
        <v>646</v>
      </c>
      <c r="K11" s="938">
        <v>3</v>
      </c>
      <c r="O11" s="457">
        <v>206</v>
      </c>
    </row>
    <row r="12" spans="1:23" ht="45" customHeight="1">
      <c r="A12" s="914"/>
      <c r="B12" s="1144"/>
      <c r="C12" s="690" t="s">
        <v>52</v>
      </c>
      <c r="D12" s="690" t="s">
        <v>101</v>
      </c>
      <c r="E12" s="1048">
        <v>800</v>
      </c>
      <c r="F12" s="1047">
        <f>22+104+22+50+44+8+44+121</f>
        <v>415</v>
      </c>
      <c r="G12" s="1030">
        <v>853</v>
      </c>
      <c r="H12" s="691" t="s">
        <v>102</v>
      </c>
      <c r="I12" s="691" t="s">
        <v>649</v>
      </c>
      <c r="J12" s="1144"/>
      <c r="K12" s="914"/>
      <c r="O12" s="457">
        <v>121</v>
      </c>
    </row>
    <row r="13" spans="1:23" ht="45" customHeight="1">
      <c r="A13" s="938"/>
      <c r="C13" s="98" t="s">
        <v>28</v>
      </c>
      <c r="D13" s="98" t="s">
        <v>101</v>
      </c>
      <c r="E13" s="516">
        <f>E14+E15</f>
        <v>1585</v>
      </c>
      <c r="F13" s="514">
        <f>F14+F15</f>
        <v>1222</v>
      </c>
      <c r="G13" s="515">
        <f>G14+G15</f>
        <v>465</v>
      </c>
      <c r="H13" s="99" t="s">
        <v>102</v>
      </c>
      <c r="I13" s="99" t="s">
        <v>644</v>
      </c>
      <c r="K13" s="938"/>
      <c r="O13" s="457">
        <f>O14+O15</f>
        <v>308</v>
      </c>
    </row>
    <row r="14" spans="1:23" ht="45" customHeight="1">
      <c r="A14" s="914">
        <v>4</v>
      </c>
      <c r="B14" s="1144" t="s">
        <v>106</v>
      </c>
      <c r="C14" s="690" t="s">
        <v>53</v>
      </c>
      <c r="D14" s="690" t="s">
        <v>101</v>
      </c>
      <c r="E14" s="1048">
        <v>775</v>
      </c>
      <c r="F14" s="1047">
        <f>102+54+60+99+34+30+116+186</f>
        <v>681</v>
      </c>
      <c r="G14" s="1030">
        <v>287</v>
      </c>
      <c r="H14" s="691" t="s">
        <v>102</v>
      </c>
      <c r="I14" s="691" t="s">
        <v>648</v>
      </c>
      <c r="J14" s="1144" t="s">
        <v>647</v>
      </c>
      <c r="K14" s="914">
        <v>4</v>
      </c>
      <c r="O14" s="457">
        <v>186</v>
      </c>
    </row>
    <row r="15" spans="1:23" ht="45" customHeight="1">
      <c r="A15" s="938"/>
      <c r="B15" s="1143"/>
      <c r="C15" s="98" t="s">
        <v>52</v>
      </c>
      <c r="D15" s="98" t="s">
        <v>101</v>
      </c>
      <c r="E15" s="516">
        <v>810</v>
      </c>
      <c r="F15" s="514">
        <f>52+69+112+70+43+45+28+122</f>
        <v>541</v>
      </c>
      <c r="G15" s="515">
        <v>178</v>
      </c>
      <c r="H15" s="99" t="s">
        <v>102</v>
      </c>
      <c r="I15" s="99" t="s">
        <v>649</v>
      </c>
      <c r="J15" s="1143"/>
      <c r="K15" s="938"/>
      <c r="O15" s="457">
        <v>122</v>
      </c>
    </row>
    <row r="16" spans="1:23" ht="45" customHeight="1">
      <c r="A16" s="914"/>
      <c r="B16" s="1142"/>
      <c r="C16" s="690" t="s">
        <v>28</v>
      </c>
      <c r="D16" s="690" t="s">
        <v>107</v>
      </c>
      <c r="E16" s="1048">
        <f>E17+E18</f>
        <v>300</v>
      </c>
      <c r="F16" s="1047">
        <f>F17+F18</f>
        <v>283</v>
      </c>
      <c r="G16" s="1030">
        <f>G17+G18</f>
        <v>292</v>
      </c>
      <c r="H16" s="691" t="s">
        <v>108</v>
      </c>
      <c r="I16" s="691" t="s">
        <v>644</v>
      </c>
      <c r="J16" s="1142"/>
      <c r="K16" s="914"/>
      <c r="O16" s="457">
        <f>O17+O18</f>
        <v>115</v>
      </c>
      <c r="T16">
        <v>13544</v>
      </c>
    </row>
    <row r="17" spans="1:20" ht="45" customHeight="1">
      <c r="A17" s="938">
        <v>5</v>
      </c>
      <c r="B17" s="1143" t="s">
        <v>73</v>
      </c>
      <c r="C17" s="98" t="s">
        <v>53</v>
      </c>
      <c r="D17" s="98" t="s">
        <v>107</v>
      </c>
      <c r="E17" s="516">
        <v>193</v>
      </c>
      <c r="F17" s="514">
        <f>25+8+8+16+13+16+22+53</f>
        <v>161</v>
      </c>
      <c r="G17" s="515">
        <v>174</v>
      </c>
      <c r="H17" s="99" t="s">
        <v>108</v>
      </c>
      <c r="I17" s="99" t="s">
        <v>648</v>
      </c>
      <c r="J17" s="1143" t="s">
        <v>655</v>
      </c>
      <c r="K17" s="938">
        <v>5</v>
      </c>
      <c r="O17" s="457">
        <v>53</v>
      </c>
      <c r="T17">
        <v>292</v>
      </c>
    </row>
    <row r="18" spans="1:20" ht="45" customHeight="1">
      <c r="A18" s="916"/>
      <c r="B18" s="1145"/>
      <c r="C18" s="692" t="s">
        <v>52</v>
      </c>
      <c r="D18" s="692" t="s">
        <v>107</v>
      </c>
      <c r="E18" s="667">
        <v>107</v>
      </c>
      <c r="F18" s="668">
        <f>6+6+5+8+10+13+12+62</f>
        <v>122</v>
      </c>
      <c r="G18" s="669">
        <v>118</v>
      </c>
      <c r="H18" s="693" t="s">
        <v>108</v>
      </c>
      <c r="I18" s="693" t="s">
        <v>649</v>
      </c>
      <c r="J18" s="1145"/>
      <c r="K18" s="916"/>
      <c r="O18" s="612">
        <v>62</v>
      </c>
      <c r="T18">
        <f>SUM(T16:T17)</f>
        <v>13836</v>
      </c>
    </row>
    <row r="19" spans="1:20" ht="30" customHeight="1">
      <c r="A19" s="1416" t="s">
        <v>109</v>
      </c>
      <c r="B19" s="1416"/>
      <c r="C19" s="1416"/>
      <c r="D19" s="1416"/>
      <c r="E19" s="1422" t="s">
        <v>675</v>
      </c>
      <c r="F19" s="1422"/>
      <c r="G19" s="1422"/>
      <c r="H19" s="1422"/>
      <c r="I19" s="1414" t="s">
        <v>110</v>
      </c>
      <c r="J19" s="1414"/>
      <c r="K19" s="1414"/>
      <c r="M19">
        <f>182344+158929+770</f>
        <v>342043</v>
      </c>
      <c r="N19">
        <f>41041+36557+311</f>
        <v>77909</v>
      </c>
    </row>
    <row r="20" spans="1:20" ht="20.100000000000001" customHeight="1">
      <c r="A20" s="1475" t="s">
        <v>2032</v>
      </c>
      <c r="B20" s="1475"/>
      <c r="C20" s="1475"/>
      <c r="D20" s="1475"/>
      <c r="E20" s="1475"/>
      <c r="F20" s="1475"/>
      <c r="G20" s="1475"/>
      <c r="H20" s="1475"/>
      <c r="I20" s="1475"/>
      <c r="J20" s="1475"/>
      <c r="K20" s="1475"/>
    </row>
    <row r="21" spans="1:20" ht="20.100000000000001" customHeight="1">
      <c r="B21" s="604"/>
      <c r="C21" s="604"/>
      <c r="D21" s="604"/>
      <c r="E21" s="604"/>
      <c r="F21" s="604"/>
      <c r="G21" s="1610"/>
      <c r="H21" s="1610"/>
      <c r="I21" s="1610"/>
      <c r="J21" s="1610"/>
    </row>
    <row r="26" spans="1:20">
      <c r="O26" s="2" t="s">
        <v>1156</v>
      </c>
      <c r="P26" s="2" t="s">
        <v>1305</v>
      </c>
      <c r="Q26" s="2" t="s">
        <v>1774</v>
      </c>
    </row>
    <row r="27" spans="1:20">
      <c r="O27">
        <v>1394</v>
      </c>
      <c r="P27">
        <v>1395</v>
      </c>
      <c r="Q27">
        <v>1396</v>
      </c>
    </row>
    <row r="28" spans="1:20">
      <c r="N28" t="s">
        <v>1097</v>
      </c>
      <c r="O28">
        <v>3699</v>
      </c>
      <c r="P28">
        <v>3027</v>
      </c>
      <c r="Q28">
        <v>3335</v>
      </c>
    </row>
    <row r="29" spans="1:20">
      <c r="N29" t="s">
        <v>1098</v>
      </c>
      <c r="O29">
        <v>2033</v>
      </c>
      <c r="P29">
        <v>1920</v>
      </c>
      <c r="Q29">
        <v>1982</v>
      </c>
    </row>
    <row r="30" spans="1:20">
      <c r="N30" t="s">
        <v>1100</v>
      </c>
      <c r="O30">
        <v>1666</v>
      </c>
      <c r="P30">
        <v>1107</v>
      </c>
      <c r="Q30">
        <v>1353</v>
      </c>
    </row>
  </sheetData>
  <dataConsolidate/>
  <mergeCells count="15">
    <mergeCell ref="A1:K1"/>
    <mergeCell ref="A2:K2"/>
    <mergeCell ref="A3:K3"/>
    <mergeCell ref="A4:A5"/>
    <mergeCell ref="K4:K5"/>
    <mergeCell ref="J4:J5"/>
    <mergeCell ref="B4:B5"/>
    <mergeCell ref="C4:C5"/>
    <mergeCell ref="D4:D5"/>
    <mergeCell ref="I4:I5"/>
    <mergeCell ref="G21:J21"/>
    <mergeCell ref="E19:H19"/>
    <mergeCell ref="I19:K19"/>
    <mergeCell ref="A19:D19"/>
    <mergeCell ref="A20:K20"/>
  </mergeCells>
  <pageMargins left="0.55118110236220497" right="0.55118110236220497" top="0.35433070866141703" bottom="0.70866141732283505" header="0.196850393700787" footer="0.35433070866141703"/>
  <pageSetup paperSize="9" scale="75" orientation="portrait" horizontalDpi="300" verticalDpi="300" r:id="rId1"/>
  <headerFooter>
    <oddFooter>&amp;L&amp;"Times New Roman,Bold"Afghanistan Statistical Yearbook 2017-18
&amp;R&amp;"Times New Roman,Bold"  سالنامۀ احصائیوی / احصا ئيوي کالنی1396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7"/>
  <sheetViews>
    <sheetView view="pageBreakPreview" topLeftCell="C1" zoomScale="80" zoomScaleSheetLayoutView="80" workbookViewId="0">
      <selection activeCell="G9" sqref="G9"/>
    </sheetView>
  </sheetViews>
  <sheetFormatPr defaultRowHeight="15"/>
  <cols>
    <col min="1" max="1" width="6.5703125" customWidth="1"/>
    <col min="2" max="2" width="22.7109375" customWidth="1"/>
    <col min="3" max="3" width="10.42578125" customWidth="1"/>
    <col min="4" max="4" width="10" customWidth="1"/>
    <col min="5" max="5" width="9.85546875" customWidth="1"/>
    <col min="6" max="6" width="10.140625" customWidth="1"/>
    <col min="7" max="7" width="13" customWidth="1"/>
    <col min="8" max="8" width="28.5703125" customWidth="1"/>
    <col min="9" max="9" width="7.42578125" customWidth="1"/>
    <col min="14" max="14" width="27.28515625" customWidth="1"/>
    <col min="16" max="16" width="13.7109375" customWidth="1"/>
    <col min="17" max="17" width="13.140625" customWidth="1"/>
    <col min="18" max="18" width="15.28515625" customWidth="1"/>
  </cols>
  <sheetData>
    <row r="1" spans="1:20" ht="30" customHeight="1">
      <c r="A1" s="1437" t="s">
        <v>1120</v>
      </c>
      <c r="B1" s="1437"/>
      <c r="C1" s="1437"/>
      <c r="D1" s="1437"/>
      <c r="E1" s="1437"/>
      <c r="F1" s="1437"/>
      <c r="G1" s="1437"/>
      <c r="H1" s="1437"/>
      <c r="I1" s="1437"/>
      <c r="J1" s="37"/>
      <c r="K1" s="37"/>
      <c r="L1" s="37"/>
    </row>
    <row r="2" spans="1:20" ht="30" customHeight="1">
      <c r="A2" s="1437" t="s">
        <v>1119</v>
      </c>
      <c r="B2" s="1437"/>
      <c r="C2" s="1437"/>
      <c r="D2" s="1437"/>
      <c r="E2" s="1437"/>
      <c r="F2" s="1437"/>
      <c r="G2" s="1437"/>
      <c r="H2" s="1437"/>
      <c r="I2" s="1437"/>
      <c r="J2" s="37"/>
      <c r="K2" s="37"/>
      <c r="L2" s="37"/>
    </row>
    <row r="3" spans="1:20" ht="30" customHeight="1">
      <c r="A3" s="1408" t="s">
        <v>1760</v>
      </c>
      <c r="B3" s="1408"/>
      <c r="C3" s="1408"/>
      <c r="D3" s="1408"/>
      <c r="E3" s="1408"/>
      <c r="F3" s="1408"/>
      <c r="G3" s="1408"/>
      <c r="H3" s="1408"/>
      <c r="I3" s="1408"/>
      <c r="J3" s="37"/>
      <c r="K3" s="37"/>
      <c r="L3" s="37"/>
    </row>
    <row r="4" spans="1:20" ht="30" customHeight="1">
      <c r="A4" s="1418" t="s">
        <v>2026</v>
      </c>
      <c r="B4" s="1410" t="s">
        <v>399</v>
      </c>
      <c r="C4" s="1613" t="s">
        <v>95</v>
      </c>
      <c r="D4" s="802">
        <v>1396</v>
      </c>
      <c r="E4" s="802">
        <v>1395</v>
      </c>
      <c r="F4" s="802">
        <v>1394</v>
      </c>
      <c r="G4" s="804" t="s">
        <v>349</v>
      </c>
      <c r="H4" s="1431" t="s">
        <v>398</v>
      </c>
      <c r="I4" s="1418" t="s">
        <v>2027</v>
      </c>
      <c r="J4" s="10"/>
      <c r="K4" s="10"/>
      <c r="L4" s="10"/>
      <c r="M4" s="10"/>
      <c r="N4" s="10">
        <f>66-9</f>
        <v>57</v>
      </c>
    </row>
    <row r="5" spans="1:20" ht="30" customHeight="1">
      <c r="A5" s="1433"/>
      <c r="B5" s="1611"/>
      <c r="C5" s="1614"/>
      <c r="D5" s="831" t="s">
        <v>1774</v>
      </c>
      <c r="E5" s="831" t="s">
        <v>1305</v>
      </c>
      <c r="F5" s="831" t="s">
        <v>1156</v>
      </c>
      <c r="G5" s="144" t="s">
        <v>509</v>
      </c>
      <c r="H5" s="1612"/>
      <c r="I5" s="1433"/>
      <c r="J5" s="10"/>
      <c r="K5" s="10"/>
      <c r="L5" s="10"/>
      <c r="M5" s="10"/>
      <c r="N5" s="10"/>
    </row>
    <row r="6" spans="1:20" ht="42.95" customHeight="1">
      <c r="A6" s="834">
        <v>1</v>
      </c>
      <c r="B6" s="695" t="s">
        <v>829</v>
      </c>
      <c r="C6" s="699" t="s">
        <v>99</v>
      </c>
      <c r="D6" s="806">
        <f>D7+D9</f>
        <v>167</v>
      </c>
      <c r="E6" s="806">
        <f>E7+E9</f>
        <v>149</v>
      </c>
      <c r="F6" s="807">
        <f>F7+F9</f>
        <v>79</v>
      </c>
      <c r="G6" s="694" t="s">
        <v>100</v>
      </c>
      <c r="H6" s="808" t="s">
        <v>824</v>
      </c>
      <c r="I6" s="834">
        <v>1</v>
      </c>
      <c r="J6" s="10"/>
      <c r="K6" s="10"/>
      <c r="L6" s="10">
        <v>14475</v>
      </c>
      <c r="M6" s="10"/>
      <c r="N6" s="189">
        <v>34996</v>
      </c>
    </row>
    <row r="7" spans="1:20" ht="42.95" customHeight="1">
      <c r="A7" s="832">
        <v>2</v>
      </c>
      <c r="B7" s="136" t="s">
        <v>430</v>
      </c>
      <c r="C7" s="698" t="s">
        <v>99</v>
      </c>
      <c r="D7" s="619">
        <f>127+9</f>
        <v>136</v>
      </c>
      <c r="E7" s="588">
        <f>9+125</f>
        <v>134</v>
      </c>
      <c r="F7" s="591">
        <v>66</v>
      </c>
      <c r="G7" s="149" t="s">
        <v>100</v>
      </c>
      <c r="H7" s="29" t="s">
        <v>428</v>
      </c>
      <c r="I7" s="832">
        <v>2</v>
      </c>
      <c r="J7" s="10">
        <f>37138-2124</f>
        <v>35014</v>
      </c>
      <c r="K7" s="10"/>
      <c r="L7" s="10">
        <v>828</v>
      </c>
      <c r="M7" s="10"/>
      <c r="N7" s="10">
        <v>73191</v>
      </c>
    </row>
    <row r="8" spans="1:20" ht="42.95" customHeight="1">
      <c r="A8" s="835">
        <v>3</v>
      </c>
      <c r="B8" s="695" t="s">
        <v>488</v>
      </c>
      <c r="C8" s="696" t="s">
        <v>99</v>
      </c>
      <c r="D8" s="640">
        <v>9</v>
      </c>
      <c r="E8" s="641">
        <v>9</v>
      </c>
      <c r="F8" s="642">
        <v>9</v>
      </c>
      <c r="G8" s="694" t="s">
        <v>100</v>
      </c>
      <c r="H8" s="677" t="s">
        <v>892</v>
      </c>
      <c r="I8" s="835">
        <v>3</v>
      </c>
      <c r="J8" s="10"/>
      <c r="K8" s="10"/>
      <c r="L8" s="10">
        <v>134</v>
      </c>
      <c r="M8" s="10"/>
      <c r="N8" s="10">
        <v>25248</v>
      </c>
    </row>
    <row r="9" spans="1:20" ht="42.95" customHeight="1">
      <c r="A9" s="832">
        <v>4</v>
      </c>
      <c r="B9" s="136" t="s">
        <v>446</v>
      </c>
      <c r="C9" s="145" t="s">
        <v>99</v>
      </c>
      <c r="D9" s="589">
        <v>31</v>
      </c>
      <c r="E9" s="588">
        <v>15</v>
      </c>
      <c r="F9" s="591">
        <v>13</v>
      </c>
      <c r="G9" s="149" t="s">
        <v>100</v>
      </c>
      <c r="H9" s="29" t="s">
        <v>429</v>
      </c>
      <c r="I9" s="832">
        <v>4</v>
      </c>
      <c r="J9" s="10"/>
      <c r="K9" s="10"/>
      <c r="L9" s="130">
        <v>17</v>
      </c>
      <c r="M9" s="10"/>
      <c r="N9" s="130">
        <v>8172321</v>
      </c>
    </row>
    <row r="10" spans="1:20" ht="42.95" customHeight="1">
      <c r="A10" s="835">
        <v>5</v>
      </c>
      <c r="B10" s="695" t="s">
        <v>26</v>
      </c>
      <c r="C10" s="699" t="s">
        <v>62</v>
      </c>
      <c r="D10" s="640">
        <f>D11+D13</f>
        <v>59445</v>
      </c>
      <c r="E10" s="641">
        <f>E11+E13</f>
        <v>61536</v>
      </c>
      <c r="F10" s="642">
        <f>F11+F13</f>
        <v>30921</v>
      </c>
      <c r="G10" s="697" t="s">
        <v>889</v>
      </c>
      <c r="H10" s="677" t="s">
        <v>825</v>
      </c>
      <c r="I10" s="835">
        <v>5</v>
      </c>
      <c r="J10">
        <f>D11+D13</f>
        <v>59445</v>
      </c>
      <c r="L10" s="130">
        <v>77</v>
      </c>
      <c r="M10" s="10"/>
      <c r="N10" s="130">
        <v>255041</v>
      </c>
      <c r="O10" s="10"/>
      <c r="P10" s="10"/>
      <c r="Q10" s="10">
        <v>34181</v>
      </c>
      <c r="R10" s="10"/>
      <c r="S10" s="10"/>
      <c r="T10" s="10"/>
    </row>
    <row r="11" spans="1:20" ht="42.95" customHeight="1">
      <c r="A11" s="832">
        <v>6</v>
      </c>
      <c r="B11" s="136" t="s">
        <v>430</v>
      </c>
      <c r="C11" s="698" t="s">
        <v>62</v>
      </c>
      <c r="D11" s="589">
        <f>51044+3335</f>
        <v>54379</v>
      </c>
      <c r="E11" s="574">
        <f>59216+770</f>
        <v>59986</v>
      </c>
      <c r="F11" s="579">
        <v>29588</v>
      </c>
      <c r="G11" s="150" t="s">
        <v>889</v>
      </c>
      <c r="H11" s="29" t="s">
        <v>428</v>
      </c>
      <c r="I11" s="832">
        <v>6</v>
      </c>
      <c r="L11" s="130">
        <v>46</v>
      </c>
      <c r="M11" s="10"/>
      <c r="N11" s="130">
        <f>E11+E12-E13</f>
        <v>59206</v>
      </c>
      <c r="O11" s="10"/>
      <c r="P11" s="10"/>
      <c r="Q11" s="10">
        <v>2124</v>
      </c>
      <c r="R11" s="10"/>
      <c r="S11" s="10"/>
      <c r="T11" s="10"/>
    </row>
    <row r="12" spans="1:20" ht="42.95" customHeight="1">
      <c r="A12" s="835">
        <v>7</v>
      </c>
      <c r="B12" s="695" t="s">
        <v>488</v>
      </c>
      <c r="C12" s="699" t="s">
        <v>62</v>
      </c>
      <c r="D12" s="640">
        <v>3335</v>
      </c>
      <c r="E12" s="641">
        <v>770</v>
      </c>
      <c r="F12" s="642">
        <v>3699</v>
      </c>
      <c r="G12" s="697" t="s">
        <v>889</v>
      </c>
      <c r="H12" s="677" t="s">
        <v>892</v>
      </c>
      <c r="I12" s="835">
        <v>7</v>
      </c>
      <c r="J12">
        <f>46469+2979</f>
        <v>49448</v>
      </c>
      <c r="L12" s="10">
        <f>SUM(L6:L11)</f>
        <v>15577</v>
      </c>
      <c r="M12" s="10"/>
      <c r="N12" s="130">
        <f>SUM(N6:N11)</f>
        <v>8620003</v>
      </c>
      <c r="O12" s="10"/>
      <c r="P12" s="10"/>
      <c r="Q12" s="10">
        <f>SUM(Q10:Q11)</f>
        <v>36305</v>
      </c>
      <c r="R12" s="10"/>
      <c r="S12" s="10"/>
      <c r="T12" s="10"/>
    </row>
    <row r="13" spans="1:20" ht="42.95" customHeight="1">
      <c r="A13" s="832">
        <v>8</v>
      </c>
      <c r="B13" s="136" t="s">
        <v>446</v>
      </c>
      <c r="C13" s="621" t="s">
        <v>62</v>
      </c>
      <c r="D13" s="581">
        <v>5066</v>
      </c>
      <c r="E13" s="574">
        <v>1550</v>
      </c>
      <c r="F13" s="579">
        <v>1333</v>
      </c>
      <c r="G13" s="150" t="s">
        <v>889</v>
      </c>
      <c r="H13" s="29" t="s">
        <v>429</v>
      </c>
      <c r="I13" s="832">
        <v>8</v>
      </c>
      <c r="L13" s="10"/>
      <c r="M13" s="10"/>
      <c r="N13" s="200">
        <f>8579938/1000000</f>
        <v>8.5799380000000003</v>
      </c>
      <c r="O13" s="10"/>
      <c r="P13" s="187"/>
      <c r="Q13" s="186"/>
      <c r="R13" s="186"/>
      <c r="S13" s="10"/>
      <c r="T13" s="10"/>
    </row>
    <row r="14" spans="1:20" ht="42.95" customHeight="1">
      <c r="A14" s="835">
        <v>9</v>
      </c>
      <c r="B14" s="695" t="s">
        <v>544</v>
      </c>
      <c r="C14" s="699" t="s">
        <v>62</v>
      </c>
      <c r="D14" s="640">
        <f>D15+D17</f>
        <v>27502</v>
      </c>
      <c r="E14" s="641">
        <f>E15+E17</f>
        <v>20259</v>
      </c>
      <c r="F14" s="642">
        <f>F15+F17</f>
        <v>3368</v>
      </c>
      <c r="G14" s="697" t="s">
        <v>889</v>
      </c>
      <c r="H14" s="677" t="s">
        <v>826</v>
      </c>
      <c r="I14" s="835">
        <v>9</v>
      </c>
      <c r="J14">
        <f>E15+E16+E17</f>
        <v>20586</v>
      </c>
      <c r="L14" s="10"/>
      <c r="M14" s="10"/>
      <c r="N14" s="10"/>
      <c r="O14" s="10"/>
      <c r="P14" s="186"/>
      <c r="Q14" s="186"/>
      <c r="R14" s="186"/>
      <c r="S14" s="10"/>
      <c r="T14" s="10"/>
    </row>
    <row r="15" spans="1:20" ht="42.95" customHeight="1">
      <c r="A15" s="832">
        <v>10</v>
      </c>
      <c r="B15" s="136" t="s">
        <v>430</v>
      </c>
      <c r="C15" s="621" t="s">
        <v>62</v>
      </c>
      <c r="D15" s="589">
        <f>23027+1731</f>
        <v>24758</v>
      </c>
      <c r="E15" s="574">
        <f>19330+327</f>
        <v>19657</v>
      </c>
      <c r="F15" s="579">
        <v>2822</v>
      </c>
      <c r="G15" s="150" t="s">
        <v>889</v>
      </c>
      <c r="H15" s="48" t="s">
        <v>428</v>
      </c>
      <c r="I15" s="832">
        <v>10</v>
      </c>
      <c r="L15" s="10"/>
      <c r="M15" s="10">
        <v>11121</v>
      </c>
      <c r="N15" s="10">
        <v>27</v>
      </c>
      <c r="O15" s="10"/>
      <c r="P15" s="186"/>
      <c r="Q15" s="186"/>
      <c r="R15" s="186"/>
      <c r="S15" s="10"/>
      <c r="T15" s="10"/>
    </row>
    <row r="16" spans="1:20" ht="42.95" customHeight="1">
      <c r="A16" s="835">
        <v>11</v>
      </c>
      <c r="B16" s="695" t="s">
        <v>488</v>
      </c>
      <c r="C16" s="699" t="s">
        <v>62</v>
      </c>
      <c r="D16" s="640">
        <v>1731</v>
      </c>
      <c r="E16" s="641">
        <v>327</v>
      </c>
      <c r="F16" s="642">
        <v>1796</v>
      </c>
      <c r="G16" s="697" t="s">
        <v>889</v>
      </c>
      <c r="H16" s="677" t="s">
        <v>892</v>
      </c>
      <c r="I16" s="835">
        <v>11</v>
      </c>
      <c r="L16" s="10"/>
      <c r="M16" s="10">
        <v>731</v>
      </c>
      <c r="N16" s="10">
        <v>4</v>
      </c>
      <c r="O16" s="10"/>
      <c r="P16" s="187">
        <v>12941</v>
      </c>
      <c r="Q16" s="186"/>
      <c r="R16" s="186"/>
      <c r="S16" s="10"/>
      <c r="T16" s="10"/>
    </row>
    <row r="17" spans="1:20" ht="42.95" customHeight="1">
      <c r="A17" s="832">
        <v>12</v>
      </c>
      <c r="B17" s="136" t="s">
        <v>446</v>
      </c>
      <c r="C17" s="621" t="s">
        <v>62</v>
      </c>
      <c r="D17" s="576">
        <v>2744</v>
      </c>
      <c r="E17" s="574">
        <v>602</v>
      </c>
      <c r="F17" s="579">
        <v>546</v>
      </c>
      <c r="G17" s="150" t="s">
        <v>889</v>
      </c>
      <c r="H17" s="29" t="s">
        <v>429</v>
      </c>
      <c r="I17" s="832">
        <v>12</v>
      </c>
      <c r="L17" s="10"/>
      <c r="M17" s="10">
        <f>SUM(M15:M16)</f>
        <v>11852</v>
      </c>
      <c r="N17" s="10">
        <v>32</v>
      </c>
      <c r="O17" s="10"/>
      <c r="P17" s="186">
        <v>447</v>
      </c>
      <c r="Q17" s="186"/>
      <c r="R17" s="186"/>
      <c r="S17" s="146"/>
      <c r="T17" s="10"/>
    </row>
    <row r="18" spans="1:20" ht="42.95" customHeight="1">
      <c r="A18" s="835">
        <v>13</v>
      </c>
      <c r="B18" s="695" t="s">
        <v>51</v>
      </c>
      <c r="C18" s="699" t="s">
        <v>62</v>
      </c>
      <c r="D18" s="640">
        <f>D19+D21</f>
        <v>18824</v>
      </c>
      <c r="E18" s="641">
        <f>E19+E21</f>
        <v>29222</v>
      </c>
      <c r="F18" s="642">
        <f>F19+F21</f>
        <v>8867</v>
      </c>
      <c r="G18" s="697" t="s">
        <v>889</v>
      </c>
      <c r="H18" s="677" t="s">
        <v>827</v>
      </c>
      <c r="I18" s="835">
        <v>13</v>
      </c>
      <c r="K18">
        <f>3699+25889</f>
        <v>29588</v>
      </c>
      <c r="L18" s="10"/>
      <c r="M18" s="10"/>
      <c r="N18" s="130">
        <v>25</v>
      </c>
      <c r="O18" s="10"/>
      <c r="P18" s="146">
        <f>P17+P16</f>
        <v>13388</v>
      </c>
      <c r="Q18" s="146"/>
      <c r="R18" s="146"/>
      <c r="S18" s="146"/>
      <c r="T18" s="10"/>
    </row>
    <row r="19" spans="1:20" ht="42.95" customHeight="1">
      <c r="A19" s="832">
        <v>14</v>
      </c>
      <c r="B19" s="136" t="s">
        <v>430</v>
      </c>
      <c r="C19" s="621" t="s">
        <v>62</v>
      </c>
      <c r="D19" s="611">
        <f>16867+1585</f>
        <v>18452</v>
      </c>
      <c r="E19" s="574">
        <f>26806+308</f>
        <v>27114</v>
      </c>
      <c r="F19" s="579">
        <f>7885+465</f>
        <v>8350</v>
      </c>
      <c r="G19" s="150" t="s">
        <v>889</v>
      </c>
      <c r="H19" s="29" t="s">
        <v>428</v>
      </c>
      <c r="I19" s="832">
        <v>14</v>
      </c>
      <c r="L19" s="10"/>
      <c r="M19" s="10"/>
      <c r="N19" s="130">
        <v>144</v>
      </c>
      <c r="O19" s="10"/>
      <c r="P19" s="10"/>
      <c r="Q19" s="10"/>
      <c r="R19" s="10"/>
      <c r="S19" s="10"/>
      <c r="T19" s="10"/>
    </row>
    <row r="20" spans="1:20" ht="42.95" customHeight="1">
      <c r="A20" s="835">
        <v>15</v>
      </c>
      <c r="B20" s="695" t="s">
        <v>488</v>
      </c>
      <c r="C20" s="699" t="s">
        <v>62</v>
      </c>
      <c r="D20" s="640">
        <v>1585</v>
      </c>
      <c r="E20" s="641">
        <v>308</v>
      </c>
      <c r="F20" s="642">
        <v>465</v>
      </c>
      <c r="G20" s="697" t="s">
        <v>889</v>
      </c>
      <c r="H20" s="677" t="s">
        <v>892</v>
      </c>
      <c r="I20" s="835">
        <v>15</v>
      </c>
      <c r="L20" s="10"/>
      <c r="M20" s="10"/>
      <c r="N20" s="130">
        <v>31</v>
      </c>
      <c r="O20" s="10"/>
      <c r="P20" s="147"/>
      <c r="Q20" s="147"/>
      <c r="R20" s="147"/>
      <c r="S20" s="186"/>
      <c r="T20" s="10"/>
    </row>
    <row r="21" spans="1:20" ht="42.95" customHeight="1">
      <c r="A21" s="832">
        <v>16</v>
      </c>
      <c r="B21" s="136" t="s">
        <v>446</v>
      </c>
      <c r="C21" s="621" t="s">
        <v>62</v>
      </c>
      <c r="D21" s="581">
        <v>372</v>
      </c>
      <c r="E21" s="574">
        <v>2108</v>
      </c>
      <c r="F21" s="579">
        <v>517</v>
      </c>
      <c r="G21" s="150" t="s">
        <v>889</v>
      </c>
      <c r="H21" s="29" t="s">
        <v>429</v>
      </c>
      <c r="I21" s="832">
        <v>16</v>
      </c>
      <c r="K21">
        <f>2067-432+251</f>
        <v>1886</v>
      </c>
      <c r="L21" s="10"/>
      <c r="M21" s="10"/>
      <c r="N21" s="130">
        <v>22</v>
      </c>
      <c r="O21" s="10"/>
      <c r="P21" s="147"/>
      <c r="Q21" s="147"/>
      <c r="R21" s="147"/>
      <c r="S21" s="186"/>
      <c r="T21" s="10"/>
    </row>
    <row r="22" spans="1:20" ht="42.95" customHeight="1">
      <c r="A22" s="835">
        <v>17</v>
      </c>
      <c r="B22" s="695" t="s">
        <v>93</v>
      </c>
      <c r="C22" s="700" t="s">
        <v>891</v>
      </c>
      <c r="D22" s="640">
        <f>D23+D25</f>
        <v>3691</v>
      </c>
      <c r="E22" s="641">
        <f>E23+E25</f>
        <v>3090</v>
      </c>
      <c r="F22" s="642">
        <f>F23+F25</f>
        <v>1310</v>
      </c>
      <c r="G22" s="701" t="s">
        <v>890</v>
      </c>
      <c r="H22" s="677" t="s">
        <v>828</v>
      </c>
      <c r="I22" s="835">
        <v>17</v>
      </c>
      <c r="L22" s="10"/>
      <c r="M22" s="10"/>
      <c r="N22" s="10">
        <v>60</v>
      </c>
      <c r="O22" s="10"/>
      <c r="P22" s="148"/>
      <c r="Q22" s="147"/>
      <c r="R22" s="147"/>
      <c r="S22" s="186"/>
      <c r="T22" s="10"/>
    </row>
    <row r="23" spans="1:20" ht="42.95" customHeight="1">
      <c r="A23" s="832">
        <v>18</v>
      </c>
      <c r="B23" s="136" t="s">
        <v>430</v>
      </c>
      <c r="C23" s="165" t="s">
        <v>891</v>
      </c>
      <c r="D23" s="592">
        <f>2994+300</f>
        <v>3294</v>
      </c>
      <c r="E23" s="574">
        <f>2830+115</f>
        <v>2945</v>
      </c>
      <c r="F23" s="579">
        <f>292+849</f>
        <v>1141</v>
      </c>
      <c r="G23" s="160" t="s">
        <v>890</v>
      </c>
      <c r="H23" s="29" t="s">
        <v>428</v>
      </c>
      <c r="I23" s="832">
        <v>18</v>
      </c>
      <c r="N23" s="10">
        <v>60</v>
      </c>
      <c r="O23" s="10"/>
      <c r="P23" s="10"/>
      <c r="Q23" s="10"/>
      <c r="R23" s="10"/>
      <c r="S23" s="10"/>
      <c r="T23" s="10"/>
    </row>
    <row r="24" spans="1:20" ht="42.95" customHeight="1">
      <c r="A24" s="835">
        <v>19</v>
      </c>
      <c r="B24" s="695" t="s">
        <v>488</v>
      </c>
      <c r="C24" s="700" t="s">
        <v>891</v>
      </c>
      <c r="D24" s="640">
        <v>300</v>
      </c>
      <c r="E24" s="641">
        <v>115</v>
      </c>
      <c r="F24" s="642">
        <v>292</v>
      </c>
      <c r="G24" s="701" t="s">
        <v>890</v>
      </c>
      <c r="H24" s="677" t="s">
        <v>892</v>
      </c>
      <c r="I24" s="835">
        <v>19</v>
      </c>
      <c r="K24">
        <v>45898</v>
      </c>
      <c r="N24">
        <v>128</v>
      </c>
    </row>
    <row r="25" spans="1:20" ht="42.95" customHeight="1">
      <c r="A25" s="833">
        <v>20</v>
      </c>
      <c r="B25" s="137" t="s">
        <v>446</v>
      </c>
      <c r="C25" s="166" t="s">
        <v>891</v>
      </c>
      <c r="D25" s="319">
        <v>397</v>
      </c>
      <c r="E25" s="575">
        <v>145</v>
      </c>
      <c r="F25" s="580">
        <v>169</v>
      </c>
      <c r="G25" s="161" t="s">
        <v>890</v>
      </c>
      <c r="H25" s="101" t="s">
        <v>429</v>
      </c>
      <c r="I25" s="833">
        <v>20</v>
      </c>
      <c r="K25">
        <v>2979</v>
      </c>
      <c r="N25">
        <v>13</v>
      </c>
    </row>
    <row r="26" spans="1:20" ht="39.950000000000003" customHeight="1">
      <c r="A26" s="1417" t="s">
        <v>489</v>
      </c>
      <c r="B26" s="1417"/>
      <c r="C26" s="1417"/>
      <c r="D26" s="1417"/>
      <c r="E26" s="1422" t="s">
        <v>543</v>
      </c>
      <c r="F26" s="1422"/>
      <c r="G26" s="1409"/>
      <c r="H26" s="1414" t="s">
        <v>490</v>
      </c>
      <c r="I26" s="1414"/>
      <c r="K26">
        <f>SUM(K24:K25)</f>
        <v>48877</v>
      </c>
      <c r="N26">
        <f>SUM(N15:N25)</f>
        <v>546</v>
      </c>
    </row>
    <row r="27" spans="1:20" ht="15" customHeight="1">
      <c r="C27" s="151"/>
    </row>
  </sheetData>
  <mergeCells count="11">
    <mergeCell ref="A1:I1"/>
    <mergeCell ref="A2:I2"/>
    <mergeCell ref="A3:I3"/>
    <mergeCell ref="E26:G26"/>
    <mergeCell ref="B4:B5"/>
    <mergeCell ref="H4:H5"/>
    <mergeCell ref="C4:C5"/>
    <mergeCell ref="A26:D26"/>
    <mergeCell ref="H26:I26"/>
    <mergeCell ref="I4:I5"/>
    <mergeCell ref="A4:A5"/>
  </mergeCells>
  <pageMargins left="0.39" right="0.28999999999999998" top="0.59055118110236227" bottom="0.55118110236220474" header="0.51181102362204722" footer="0.35433070866141736"/>
  <pageSetup paperSize="9" scale="75" orientation="portrait" r:id="rId1"/>
  <headerFooter>
    <oddFooter>&amp;L&amp;"Times New Roman,Bold"Afghanistan Statistical Yearbook 2017-18&amp;R&amp;"Times New Roman,Bold"سالنامۀ احصائیوی / احصا ئيوي کالنی 1396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8"/>
  <sheetViews>
    <sheetView view="pageBreakPreview" zoomScale="73" zoomScaleSheetLayoutView="73" workbookViewId="0">
      <selection activeCell="B10" sqref="B10"/>
    </sheetView>
  </sheetViews>
  <sheetFormatPr defaultRowHeight="15"/>
  <cols>
    <col min="1" max="1" width="5.85546875" customWidth="1"/>
    <col min="2" max="2" width="28.5703125" customWidth="1"/>
    <col min="3" max="3" width="10.7109375" customWidth="1"/>
    <col min="4" max="5" width="7.42578125" customWidth="1"/>
    <col min="6" max="6" width="7.5703125" customWidth="1"/>
    <col min="7" max="7" width="8.140625" customWidth="1"/>
    <col min="8" max="8" width="7.5703125" customWidth="1"/>
    <col min="9" max="9" width="7.85546875" customWidth="1"/>
    <col min="10" max="10" width="8" customWidth="1"/>
    <col min="11" max="11" width="35.28515625" customWidth="1"/>
    <col min="12" max="12" width="5.42578125" style="1006" customWidth="1"/>
    <col min="14" max="14" width="24.140625" customWidth="1"/>
  </cols>
  <sheetData>
    <row r="1" spans="1:16" ht="20.100000000000001" customHeight="1">
      <c r="A1" s="1428" t="s">
        <v>1825</v>
      </c>
      <c r="B1" s="1428"/>
      <c r="C1" s="1428"/>
      <c r="D1" s="1428"/>
      <c r="E1" s="1428"/>
      <c r="F1" s="1428"/>
      <c r="G1" s="1428"/>
      <c r="H1" s="1428"/>
      <c r="I1" s="1428"/>
      <c r="J1" s="1428"/>
      <c r="K1" s="1428"/>
      <c r="L1" s="1428"/>
    </row>
    <row r="2" spans="1:16" ht="20.100000000000001" customHeight="1">
      <c r="A2" s="1615" t="s">
        <v>1824</v>
      </c>
      <c r="B2" s="1615"/>
      <c r="C2" s="1615"/>
      <c r="D2" s="1615"/>
      <c r="E2" s="1615"/>
      <c r="F2" s="1615"/>
      <c r="G2" s="1615"/>
      <c r="H2" s="1615"/>
      <c r="I2" s="1615"/>
      <c r="J2" s="1615"/>
      <c r="K2" s="1615"/>
      <c r="L2" s="1615"/>
    </row>
    <row r="3" spans="1:16" ht="20.100000000000001" customHeight="1">
      <c r="A3" s="1428" t="s">
        <v>1826</v>
      </c>
      <c r="B3" s="1428"/>
      <c r="C3" s="1428"/>
      <c r="D3" s="1428"/>
      <c r="E3" s="1428"/>
      <c r="F3" s="1428"/>
      <c r="G3" s="1428"/>
      <c r="H3" s="1428"/>
      <c r="I3" s="1428"/>
      <c r="J3" s="1428"/>
      <c r="K3" s="1428"/>
      <c r="L3" s="1428"/>
    </row>
    <row r="4" spans="1:16" ht="20.100000000000001" customHeight="1">
      <c r="A4" s="1412" t="s">
        <v>2026</v>
      </c>
      <c r="B4" s="1410" t="s">
        <v>410</v>
      </c>
      <c r="C4" s="1410" t="s">
        <v>414</v>
      </c>
      <c r="D4" s="1429" t="s">
        <v>751</v>
      </c>
      <c r="E4" s="1492"/>
      <c r="F4" s="1432"/>
      <c r="G4" s="1410" t="s">
        <v>508</v>
      </c>
      <c r="H4" s="1430"/>
      <c r="I4" s="1431"/>
      <c r="J4" s="1431" t="s">
        <v>411</v>
      </c>
      <c r="K4" s="1431" t="s">
        <v>409</v>
      </c>
      <c r="L4" s="1412" t="s">
        <v>2027</v>
      </c>
    </row>
    <row r="5" spans="1:16" ht="20.100000000000001" customHeight="1">
      <c r="A5" s="1491"/>
      <c r="B5" s="1411"/>
      <c r="C5" s="1411"/>
      <c r="D5" s="1097" t="s">
        <v>0</v>
      </c>
      <c r="E5" s="1099" t="s">
        <v>1</v>
      </c>
      <c r="F5" s="1102" t="s">
        <v>2</v>
      </c>
      <c r="G5" s="1101" t="s">
        <v>0</v>
      </c>
      <c r="H5" s="1099" t="s">
        <v>1</v>
      </c>
      <c r="I5" s="1102" t="s">
        <v>2</v>
      </c>
      <c r="J5" s="1616"/>
      <c r="K5" s="1616"/>
      <c r="L5" s="1491"/>
      <c r="N5">
        <v>8667321</v>
      </c>
      <c r="O5" s="10"/>
      <c r="P5" s="10"/>
    </row>
    <row r="6" spans="1:16" ht="20.100000000000001" customHeight="1">
      <c r="A6" s="1491"/>
      <c r="B6" s="1411"/>
      <c r="C6" s="1411"/>
      <c r="D6" s="1135" t="s">
        <v>500</v>
      </c>
      <c r="E6" s="357" t="s">
        <v>501</v>
      </c>
      <c r="F6" s="89" t="s">
        <v>502</v>
      </c>
      <c r="G6" s="163" t="s">
        <v>500</v>
      </c>
      <c r="H6" s="357" t="s">
        <v>501</v>
      </c>
      <c r="I6" s="89" t="s">
        <v>502</v>
      </c>
      <c r="J6" s="1616"/>
      <c r="K6" s="1616"/>
      <c r="L6" s="1491"/>
      <c r="N6">
        <v>333837</v>
      </c>
      <c r="O6" s="10"/>
      <c r="P6" s="10"/>
    </row>
    <row r="7" spans="1:16" ht="20.100000000000001" customHeight="1">
      <c r="A7" s="1413"/>
      <c r="B7" s="1611"/>
      <c r="C7" s="1611"/>
      <c r="D7" s="1132" t="s">
        <v>3</v>
      </c>
      <c r="E7" s="1100" t="s">
        <v>4</v>
      </c>
      <c r="F7" s="1133" t="s">
        <v>5</v>
      </c>
      <c r="G7" s="352" t="s">
        <v>3</v>
      </c>
      <c r="H7" s="1100" t="s">
        <v>4</v>
      </c>
      <c r="I7" s="1133" t="s">
        <v>5</v>
      </c>
      <c r="J7" s="1612"/>
      <c r="K7" s="1612"/>
      <c r="L7" s="1413"/>
      <c r="N7">
        <f>SUM(N5:N6)</f>
        <v>9001158</v>
      </c>
      <c r="O7" s="10"/>
      <c r="P7" s="10"/>
    </row>
    <row r="8" spans="1:16" ht="30" customHeight="1">
      <c r="A8" s="1399"/>
      <c r="B8" s="695" t="s">
        <v>28</v>
      </c>
      <c r="C8" s="690"/>
      <c r="D8" s="1124">
        <f>D9+D10+D11+D12+D13+D16+D19+D20+D21+D22+D23+D24+D26+D28+D36+D38</f>
        <v>44</v>
      </c>
      <c r="E8" s="1121">
        <f>E9+E10+E11+E12+E13+E14+E15+E16+E17+E18+E19+E20+E21+E22+E23+E24+E25+E26+E27+E28+E29+E30+E31+E32+E33+E34+E35+E36+E37+E38+E39</f>
        <v>361</v>
      </c>
      <c r="F8" s="1136">
        <f>F9+F10+F11+F12+F13+F14+F15+F16+F17+F18+F19+F20+F21+F22+F23+F24+F25+F26+F27+F28+F29+F30+F31+F32+F33+F34+F35+F36+F37+F38+F39</f>
        <v>397</v>
      </c>
      <c r="G8" s="1121">
        <f>G9+G10+G11+G12+G13+G14+G15+G16+G17+G18+G19+G20+G21+G22+G23+G24+G26+G27+G28+G29+G30+G31+G32+G33+G34+G35+G36+G37+G38+G39</f>
        <v>1134</v>
      </c>
      <c r="H8" s="1121">
        <f>H9+H10+H11+H12+H13+H14+H15+H16+H17+H18+H19+H20+H21+H22+H23+H24+H25+H26+H27+H28+H29+H30+H31+H32+H33+H34+H35+H36+H37+H38+H39</f>
        <v>3932</v>
      </c>
      <c r="I8" s="1136">
        <f>I9+I10+I11+I12+I13+I14+I15+I16+I17+I18+I19+I20+I21+I22+I23+I24+I25+I26+I27+I28+I29+I30+I31+I32+I33+I34+I35+I36+I37+I38+I39</f>
        <v>5066</v>
      </c>
      <c r="J8" s="702"/>
      <c r="K8" s="1136" t="s">
        <v>750</v>
      </c>
      <c r="L8" s="1398"/>
      <c r="O8" s="10"/>
      <c r="P8" s="10"/>
    </row>
    <row r="9" spans="1:16" ht="35.450000000000003" customHeight="1">
      <c r="A9" s="1400">
        <v>1</v>
      </c>
      <c r="B9" s="1106" t="s">
        <v>1319</v>
      </c>
      <c r="C9" s="1098" t="s">
        <v>113</v>
      </c>
      <c r="D9" s="1128">
        <v>5</v>
      </c>
      <c r="E9" s="1119">
        <v>30</v>
      </c>
      <c r="F9" s="1137">
        <f>E9+D9</f>
        <v>35</v>
      </c>
      <c r="G9" s="1119">
        <v>233</v>
      </c>
      <c r="H9" s="1119">
        <v>655</v>
      </c>
      <c r="I9" s="1137">
        <f>H9+G9</f>
        <v>888</v>
      </c>
      <c r="J9" s="1112" t="s">
        <v>114</v>
      </c>
      <c r="K9" s="432" t="s">
        <v>1823</v>
      </c>
      <c r="L9" s="1401">
        <v>1</v>
      </c>
      <c r="O9" s="10"/>
      <c r="P9" s="10"/>
    </row>
    <row r="10" spans="1:16" ht="35.450000000000003" customHeight="1">
      <c r="A10" s="1402">
        <v>2</v>
      </c>
      <c r="B10" s="622" t="s">
        <v>1828</v>
      </c>
      <c r="C10" s="690" t="s">
        <v>113</v>
      </c>
      <c r="D10" s="1124">
        <v>3</v>
      </c>
      <c r="E10" s="1121">
        <v>38</v>
      </c>
      <c r="F10" s="1136">
        <f t="shared" ref="F10:F13" si="0">E10+D10</f>
        <v>41</v>
      </c>
      <c r="G10" s="1121">
        <f>14+73</f>
        <v>87</v>
      </c>
      <c r="H10" s="1121">
        <f>51+176</f>
        <v>227</v>
      </c>
      <c r="I10" s="1136">
        <f t="shared" ref="I10:I24" si="1">H10+G10</f>
        <v>314</v>
      </c>
      <c r="J10" s="702" t="s">
        <v>114</v>
      </c>
      <c r="K10" s="1116" t="s">
        <v>1827</v>
      </c>
      <c r="L10" s="1403">
        <v>2</v>
      </c>
      <c r="O10" s="10"/>
      <c r="P10" s="10"/>
    </row>
    <row r="11" spans="1:16" ht="45" customHeight="1">
      <c r="A11" s="1400">
        <v>3</v>
      </c>
      <c r="B11" s="1106" t="s">
        <v>1830</v>
      </c>
      <c r="C11" s="1098" t="s">
        <v>113</v>
      </c>
      <c r="D11" s="1128">
        <v>5</v>
      </c>
      <c r="E11" s="1119">
        <v>19</v>
      </c>
      <c r="F11" s="1137">
        <f t="shared" si="0"/>
        <v>24</v>
      </c>
      <c r="G11" s="1119">
        <v>7</v>
      </c>
      <c r="H11" s="1119">
        <v>40</v>
      </c>
      <c r="I11" s="1137">
        <f t="shared" si="1"/>
        <v>47</v>
      </c>
      <c r="J11" s="1112" t="s">
        <v>114</v>
      </c>
      <c r="K11" s="432" t="s">
        <v>1829</v>
      </c>
      <c r="L11" s="1401">
        <v>3</v>
      </c>
      <c r="O11" s="10"/>
      <c r="P11" s="10"/>
    </row>
    <row r="12" spans="1:16" ht="35.450000000000003" customHeight="1">
      <c r="A12" s="1402">
        <v>4</v>
      </c>
      <c r="B12" s="622" t="s">
        <v>1832</v>
      </c>
      <c r="C12" s="690" t="s">
        <v>113</v>
      </c>
      <c r="D12" s="1124">
        <v>1</v>
      </c>
      <c r="E12" s="1121">
        <v>19</v>
      </c>
      <c r="F12" s="1136">
        <f t="shared" si="0"/>
        <v>20</v>
      </c>
      <c r="G12" s="1121">
        <v>80</v>
      </c>
      <c r="H12" s="1121">
        <v>210</v>
      </c>
      <c r="I12" s="1136">
        <f t="shared" si="1"/>
        <v>290</v>
      </c>
      <c r="J12" s="702" t="s">
        <v>114</v>
      </c>
      <c r="K12" s="1116" t="s">
        <v>1831</v>
      </c>
      <c r="L12" s="1403">
        <v>4</v>
      </c>
      <c r="O12" s="10"/>
      <c r="P12" s="10"/>
    </row>
    <row r="13" spans="1:16" ht="35.450000000000003" customHeight="1">
      <c r="A13" s="1400">
        <v>5</v>
      </c>
      <c r="B13" s="1106" t="s">
        <v>1834</v>
      </c>
      <c r="C13" s="1098" t="s">
        <v>113</v>
      </c>
      <c r="D13" s="1128">
        <v>5</v>
      </c>
      <c r="E13" s="1119">
        <v>7</v>
      </c>
      <c r="F13" s="1137">
        <f t="shared" si="0"/>
        <v>12</v>
      </c>
      <c r="G13" s="1119">
        <v>57</v>
      </c>
      <c r="H13" s="1119">
        <v>87</v>
      </c>
      <c r="I13" s="1137">
        <f t="shared" si="1"/>
        <v>144</v>
      </c>
      <c r="J13" s="1112" t="s">
        <v>114</v>
      </c>
      <c r="K13" s="432" t="s">
        <v>1833</v>
      </c>
      <c r="L13" s="1401">
        <v>5</v>
      </c>
      <c r="O13" s="10"/>
      <c r="P13" s="10"/>
    </row>
    <row r="14" spans="1:16" ht="35.450000000000003" customHeight="1">
      <c r="A14" s="1402">
        <v>6</v>
      </c>
      <c r="B14" s="622" t="s">
        <v>1836</v>
      </c>
      <c r="C14" s="690" t="s">
        <v>113</v>
      </c>
      <c r="D14" s="1124" t="s">
        <v>14</v>
      </c>
      <c r="E14" s="1121">
        <v>8</v>
      </c>
      <c r="F14" s="1136">
        <f>E14</f>
        <v>8</v>
      </c>
      <c r="G14" s="1121">
        <v>13</v>
      </c>
      <c r="H14" s="1121">
        <v>64</v>
      </c>
      <c r="I14" s="1136">
        <f t="shared" si="1"/>
        <v>77</v>
      </c>
      <c r="J14" s="702" t="s">
        <v>114</v>
      </c>
      <c r="K14" s="1116" t="s">
        <v>1835</v>
      </c>
      <c r="L14" s="1403">
        <v>6</v>
      </c>
      <c r="O14" s="10"/>
      <c r="P14" s="10"/>
    </row>
    <row r="15" spans="1:16" ht="35.450000000000003" customHeight="1">
      <c r="A15" s="1400">
        <v>7</v>
      </c>
      <c r="B15" s="1106" t="s">
        <v>1838</v>
      </c>
      <c r="C15" s="1098" t="s">
        <v>113</v>
      </c>
      <c r="D15" s="1128" t="s">
        <v>14</v>
      </c>
      <c r="E15" s="1119">
        <v>12</v>
      </c>
      <c r="F15" s="1137">
        <f>E15</f>
        <v>12</v>
      </c>
      <c r="G15" s="1119">
        <v>25</v>
      </c>
      <c r="H15" s="1119">
        <v>85</v>
      </c>
      <c r="I15" s="1137">
        <f t="shared" si="1"/>
        <v>110</v>
      </c>
      <c r="J15" s="1112" t="s">
        <v>114</v>
      </c>
      <c r="K15" s="432" t="s">
        <v>1837</v>
      </c>
      <c r="L15" s="1401">
        <v>7</v>
      </c>
      <c r="O15" s="10"/>
      <c r="P15" s="10"/>
    </row>
    <row r="16" spans="1:16" ht="35.450000000000003" customHeight="1">
      <c r="A16" s="1402">
        <v>8</v>
      </c>
      <c r="B16" s="622" t="s">
        <v>1839</v>
      </c>
      <c r="C16" s="690" t="s">
        <v>113</v>
      </c>
      <c r="D16" s="1124">
        <v>2</v>
      </c>
      <c r="E16" s="1121">
        <v>5</v>
      </c>
      <c r="F16" s="1136">
        <f>E16+D16</f>
        <v>7</v>
      </c>
      <c r="G16" s="1121">
        <v>13</v>
      </c>
      <c r="H16" s="1121">
        <v>26</v>
      </c>
      <c r="I16" s="1136">
        <f t="shared" si="1"/>
        <v>39</v>
      </c>
      <c r="J16" s="702" t="s">
        <v>114</v>
      </c>
      <c r="K16" s="1116" t="s">
        <v>1846</v>
      </c>
      <c r="L16" s="1403">
        <v>8</v>
      </c>
      <c r="O16" s="10"/>
      <c r="P16" s="10"/>
    </row>
    <row r="17" spans="1:16" ht="35.450000000000003" customHeight="1">
      <c r="A17" s="1400">
        <v>9</v>
      </c>
      <c r="B17" s="1106" t="s">
        <v>1840</v>
      </c>
      <c r="C17" s="1098" t="s">
        <v>113</v>
      </c>
      <c r="D17" s="1128" t="s">
        <v>14</v>
      </c>
      <c r="E17" s="1119">
        <v>21</v>
      </c>
      <c r="F17" s="1137">
        <f>E17</f>
        <v>21</v>
      </c>
      <c r="G17" s="1119">
        <v>139</v>
      </c>
      <c r="H17" s="1119">
        <v>379</v>
      </c>
      <c r="I17" s="1137">
        <f t="shared" si="1"/>
        <v>518</v>
      </c>
      <c r="J17" s="1112" t="s">
        <v>114</v>
      </c>
      <c r="K17" s="432" t="s">
        <v>1841</v>
      </c>
      <c r="L17" s="1401">
        <v>9</v>
      </c>
      <c r="O17" s="10"/>
      <c r="P17" s="10"/>
    </row>
    <row r="18" spans="1:16" ht="35.450000000000003" customHeight="1">
      <c r="A18" s="1402">
        <v>10</v>
      </c>
      <c r="B18" s="622" t="s">
        <v>1845</v>
      </c>
      <c r="C18" s="690" t="s">
        <v>113</v>
      </c>
      <c r="D18" s="1124" t="s">
        <v>14</v>
      </c>
      <c r="E18" s="1121">
        <v>5</v>
      </c>
      <c r="F18" s="1136">
        <f>E18</f>
        <v>5</v>
      </c>
      <c r="G18" s="1121">
        <v>13</v>
      </c>
      <c r="H18" s="1121">
        <v>22</v>
      </c>
      <c r="I18" s="1136">
        <f t="shared" si="1"/>
        <v>35</v>
      </c>
      <c r="J18" s="702" t="s">
        <v>114</v>
      </c>
      <c r="K18" s="1116" t="s">
        <v>1844</v>
      </c>
      <c r="L18" s="1403">
        <v>10</v>
      </c>
      <c r="O18" s="10"/>
      <c r="P18" s="10"/>
    </row>
    <row r="19" spans="1:16" ht="35.450000000000003" customHeight="1">
      <c r="A19" s="1400">
        <v>11</v>
      </c>
      <c r="B19" s="1106" t="s">
        <v>1842</v>
      </c>
      <c r="C19" s="1098" t="s">
        <v>113</v>
      </c>
      <c r="D19" s="1128">
        <v>1</v>
      </c>
      <c r="E19" s="1119">
        <v>9</v>
      </c>
      <c r="F19" s="1137">
        <f>E19+D19</f>
        <v>10</v>
      </c>
      <c r="G19" s="1119">
        <v>56</v>
      </c>
      <c r="H19" s="1119">
        <v>185</v>
      </c>
      <c r="I19" s="1137">
        <f t="shared" si="1"/>
        <v>241</v>
      </c>
      <c r="J19" s="1112" t="s">
        <v>114</v>
      </c>
      <c r="K19" s="432" t="s">
        <v>1843</v>
      </c>
      <c r="L19" s="1401">
        <v>11</v>
      </c>
      <c r="O19" s="10"/>
      <c r="P19" s="10"/>
    </row>
    <row r="20" spans="1:16" ht="35.450000000000003" customHeight="1">
      <c r="A20" s="1402">
        <v>12</v>
      </c>
      <c r="B20" s="622" t="s">
        <v>1842</v>
      </c>
      <c r="C20" s="690" t="s">
        <v>113</v>
      </c>
      <c r="D20" s="1124">
        <v>1</v>
      </c>
      <c r="E20" s="1121">
        <v>9</v>
      </c>
      <c r="F20" s="1136">
        <f t="shared" ref="F20:F24" si="2">E20+D20</f>
        <v>10</v>
      </c>
      <c r="G20" s="1121">
        <v>56</v>
      </c>
      <c r="H20" s="1121">
        <v>185</v>
      </c>
      <c r="I20" s="1136">
        <f t="shared" si="1"/>
        <v>241</v>
      </c>
      <c r="J20" s="702" t="s">
        <v>114</v>
      </c>
      <c r="K20" s="1116" t="s">
        <v>1843</v>
      </c>
      <c r="L20" s="1403">
        <v>12</v>
      </c>
      <c r="O20" s="10"/>
      <c r="P20" s="10"/>
    </row>
    <row r="21" spans="1:16" ht="35.450000000000003" customHeight="1">
      <c r="A21" s="1402">
        <v>13</v>
      </c>
      <c r="B21" s="1106" t="s">
        <v>1328</v>
      </c>
      <c r="C21" s="1098" t="s">
        <v>113</v>
      </c>
      <c r="D21" s="1128">
        <v>2</v>
      </c>
      <c r="E21" s="1119">
        <v>4</v>
      </c>
      <c r="F21" s="1137">
        <f t="shared" si="2"/>
        <v>6</v>
      </c>
      <c r="G21" s="1119">
        <v>24</v>
      </c>
      <c r="H21" s="1119">
        <v>78</v>
      </c>
      <c r="I21" s="1137">
        <f t="shared" si="1"/>
        <v>102</v>
      </c>
      <c r="J21" s="1112" t="s">
        <v>114</v>
      </c>
      <c r="K21" s="432" t="s">
        <v>1327</v>
      </c>
      <c r="L21" s="1401">
        <v>13</v>
      </c>
      <c r="O21" s="10">
        <v>4</v>
      </c>
      <c r="P21" s="10">
        <v>0</v>
      </c>
    </row>
    <row r="22" spans="1:16" ht="35.450000000000003" customHeight="1">
      <c r="A22" s="1402">
        <v>14</v>
      </c>
      <c r="B22" s="622" t="s">
        <v>1331</v>
      </c>
      <c r="C22" s="690" t="s">
        <v>113</v>
      </c>
      <c r="D22" s="1124">
        <v>3</v>
      </c>
      <c r="E22" s="1121">
        <v>10</v>
      </c>
      <c r="F22" s="1136">
        <f t="shared" si="2"/>
        <v>13</v>
      </c>
      <c r="G22" s="1121">
        <v>89</v>
      </c>
      <c r="H22" s="1121">
        <v>209</v>
      </c>
      <c r="I22" s="1136">
        <f t="shared" si="1"/>
        <v>298</v>
      </c>
      <c r="J22" s="702" t="s">
        <v>114</v>
      </c>
      <c r="K22" s="1116" t="s">
        <v>1847</v>
      </c>
      <c r="L22" s="1403">
        <v>14</v>
      </c>
      <c r="O22" s="10">
        <v>28</v>
      </c>
      <c r="P22" s="10">
        <v>88</v>
      </c>
    </row>
    <row r="23" spans="1:16" ht="35.450000000000003" customHeight="1">
      <c r="A23" s="1400">
        <v>15</v>
      </c>
      <c r="B23" s="1106" t="s">
        <v>1264</v>
      </c>
      <c r="C23" s="1111" t="s">
        <v>238</v>
      </c>
      <c r="D23" s="1113">
        <v>1</v>
      </c>
      <c r="E23" s="1114">
        <v>3</v>
      </c>
      <c r="F23" s="1137">
        <f t="shared" si="2"/>
        <v>4</v>
      </c>
      <c r="G23" s="1114">
        <v>2</v>
      </c>
      <c r="H23" s="1114">
        <v>25</v>
      </c>
      <c r="I23" s="1137">
        <f t="shared" si="1"/>
        <v>27</v>
      </c>
      <c r="J23" s="1112" t="s">
        <v>310</v>
      </c>
      <c r="K23" s="432" t="s">
        <v>1260</v>
      </c>
      <c r="L23" s="1401">
        <v>15</v>
      </c>
      <c r="O23" s="10">
        <v>8</v>
      </c>
      <c r="P23" s="10">
        <v>52</v>
      </c>
    </row>
    <row r="24" spans="1:16" ht="35.450000000000003" customHeight="1">
      <c r="A24" s="1402">
        <v>16</v>
      </c>
      <c r="B24" s="622" t="s">
        <v>1265</v>
      </c>
      <c r="C24" s="703" t="s">
        <v>253</v>
      </c>
      <c r="D24" s="1120">
        <v>1</v>
      </c>
      <c r="E24" s="1117">
        <v>3</v>
      </c>
      <c r="F24" s="1136">
        <f t="shared" si="2"/>
        <v>4</v>
      </c>
      <c r="G24" s="1117">
        <v>2</v>
      </c>
      <c r="H24" s="1117">
        <v>25</v>
      </c>
      <c r="I24" s="1136">
        <f t="shared" si="1"/>
        <v>27</v>
      </c>
      <c r="J24" s="702" t="s">
        <v>314</v>
      </c>
      <c r="K24" s="1116" t="s">
        <v>1261</v>
      </c>
      <c r="L24" s="1403">
        <v>16</v>
      </c>
      <c r="O24" s="130">
        <v>2</v>
      </c>
      <c r="P24" s="130">
        <v>25</v>
      </c>
    </row>
    <row r="25" spans="1:16" ht="35.450000000000003" customHeight="1">
      <c r="A25" s="1400">
        <v>17</v>
      </c>
      <c r="B25" s="1106" t="s">
        <v>1319</v>
      </c>
      <c r="C25" s="1111" t="s">
        <v>312</v>
      </c>
      <c r="D25" s="1113" t="s">
        <v>14</v>
      </c>
      <c r="E25" s="1114">
        <v>24</v>
      </c>
      <c r="F25" s="1115">
        <f>E25</f>
        <v>24</v>
      </c>
      <c r="G25" s="1114" t="s">
        <v>14</v>
      </c>
      <c r="H25" s="1114">
        <v>269</v>
      </c>
      <c r="I25" s="1115">
        <f>H25</f>
        <v>269</v>
      </c>
      <c r="J25" s="1134" t="s">
        <v>247</v>
      </c>
      <c r="K25" s="432" t="s">
        <v>1316</v>
      </c>
      <c r="L25" s="1401">
        <v>17</v>
      </c>
      <c r="O25" s="130">
        <v>27</v>
      </c>
      <c r="P25" s="130">
        <v>60</v>
      </c>
    </row>
    <row r="26" spans="1:16" ht="35.450000000000003" customHeight="1">
      <c r="A26" s="1402">
        <v>18</v>
      </c>
      <c r="B26" s="1118" t="s">
        <v>1055</v>
      </c>
      <c r="C26" s="1139" t="s">
        <v>115</v>
      </c>
      <c r="D26" s="1120">
        <v>3</v>
      </c>
      <c r="E26" s="1117">
        <v>12</v>
      </c>
      <c r="F26" s="1116">
        <f>E26+D26</f>
        <v>15</v>
      </c>
      <c r="G26" s="1117">
        <v>9</v>
      </c>
      <c r="H26" s="1117">
        <v>79</v>
      </c>
      <c r="I26" s="1116">
        <f>H26+G26</f>
        <v>88</v>
      </c>
      <c r="J26" s="702" t="s">
        <v>116</v>
      </c>
      <c r="K26" s="1116" t="s">
        <v>1054</v>
      </c>
      <c r="L26" s="1403">
        <v>18</v>
      </c>
      <c r="O26" s="130">
        <v>16</v>
      </c>
      <c r="P26" s="130">
        <v>44</v>
      </c>
    </row>
    <row r="27" spans="1:16" ht="35.450000000000003" customHeight="1">
      <c r="A27" s="1400">
        <v>19</v>
      </c>
      <c r="B27" s="1106" t="s">
        <v>1266</v>
      </c>
      <c r="C27" s="1111" t="s">
        <v>115</v>
      </c>
      <c r="D27" s="1113" t="s">
        <v>14</v>
      </c>
      <c r="E27" s="1114">
        <v>20</v>
      </c>
      <c r="F27" s="1115">
        <f>E27</f>
        <v>20</v>
      </c>
      <c r="G27" s="1114">
        <v>34</v>
      </c>
      <c r="H27" s="1114">
        <v>96</v>
      </c>
      <c r="I27" s="1115">
        <f t="shared" ref="I27:I38" si="3">H27+G27</f>
        <v>130</v>
      </c>
      <c r="J27" s="1134" t="s">
        <v>116</v>
      </c>
      <c r="K27" s="1115" t="s">
        <v>1262</v>
      </c>
      <c r="L27" s="1401">
        <v>19</v>
      </c>
      <c r="O27" s="130">
        <v>12</v>
      </c>
      <c r="P27" s="130">
        <v>33</v>
      </c>
    </row>
    <row r="28" spans="1:16" ht="45" customHeight="1">
      <c r="A28" s="1402">
        <v>20</v>
      </c>
      <c r="B28" s="1118" t="s">
        <v>1318</v>
      </c>
      <c r="C28" s="703" t="s">
        <v>115</v>
      </c>
      <c r="D28" s="1120">
        <v>3</v>
      </c>
      <c r="E28" s="1117">
        <v>3</v>
      </c>
      <c r="F28" s="1116">
        <f>E28+D28</f>
        <v>6</v>
      </c>
      <c r="G28" s="1117">
        <v>28</v>
      </c>
      <c r="H28" s="1117">
        <v>62</v>
      </c>
      <c r="I28" s="1116">
        <f t="shared" si="3"/>
        <v>90</v>
      </c>
      <c r="J28" s="702" t="s">
        <v>116</v>
      </c>
      <c r="K28" s="1116" t="s">
        <v>1317</v>
      </c>
      <c r="L28" s="1403">
        <v>20</v>
      </c>
      <c r="O28" s="130">
        <v>2</v>
      </c>
      <c r="P28" s="130">
        <v>43</v>
      </c>
    </row>
    <row r="29" spans="1:16" ht="35.450000000000003" customHeight="1">
      <c r="A29" s="1400">
        <v>21</v>
      </c>
      <c r="B29" s="1106" t="s">
        <v>1326</v>
      </c>
      <c r="C29" s="1111" t="s">
        <v>115</v>
      </c>
      <c r="D29" s="1113" t="s">
        <v>14</v>
      </c>
      <c r="E29" s="1114">
        <v>6</v>
      </c>
      <c r="F29" s="1115">
        <f>E29</f>
        <v>6</v>
      </c>
      <c r="G29" s="1114">
        <v>9</v>
      </c>
      <c r="H29" s="1114">
        <v>53</v>
      </c>
      <c r="I29" s="1115">
        <f t="shared" si="3"/>
        <v>62</v>
      </c>
      <c r="J29" s="1112" t="s">
        <v>116</v>
      </c>
      <c r="K29" s="1115" t="s">
        <v>1814</v>
      </c>
      <c r="L29" s="1401">
        <v>21</v>
      </c>
      <c r="O29" s="10">
        <v>6</v>
      </c>
      <c r="P29" s="10">
        <v>14</v>
      </c>
    </row>
    <row r="30" spans="1:16" ht="45" customHeight="1">
      <c r="A30" s="1402">
        <v>22</v>
      </c>
      <c r="B30" s="622" t="s">
        <v>1329</v>
      </c>
      <c r="C30" s="703" t="s">
        <v>311</v>
      </c>
      <c r="D30" s="1120" t="s">
        <v>14</v>
      </c>
      <c r="E30" s="1117">
        <v>8</v>
      </c>
      <c r="F30" s="1116">
        <f t="shared" ref="F30:F38" si="4">E30</f>
        <v>8</v>
      </c>
      <c r="G30" s="1117">
        <v>12</v>
      </c>
      <c r="H30" s="1117">
        <v>68</v>
      </c>
      <c r="I30" s="1116">
        <f t="shared" si="3"/>
        <v>80</v>
      </c>
      <c r="J30" s="702" t="s">
        <v>245</v>
      </c>
      <c r="K30" s="1116" t="s">
        <v>1330</v>
      </c>
      <c r="L30" s="1403">
        <v>22</v>
      </c>
      <c r="O30" s="130">
        <v>4</v>
      </c>
      <c r="P30" s="130">
        <v>34</v>
      </c>
    </row>
    <row r="31" spans="1:16" ht="45" customHeight="1">
      <c r="A31" s="1400">
        <v>23</v>
      </c>
      <c r="B31" s="1106" t="s">
        <v>1320</v>
      </c>
      <c r="C31" s="1111" t="s">
        <v>242</v>
      </c>
      <c r="D31" s="1113" t="s">
        <v>14</v>
      </c>
      <c r="E31" s="1114">
        <v>5</v>
      </c>
      <c r="F31" s="1115">
        <f t="shared" si="4"/>
        <v>5</v>
      </c>
      <c r="G31" s="1114">
        <v>1</v>
      </c>
      <c r="H31" s="1114">
        <v>81</v>
      </c>
      <c r="I31" s="1115">
        <f t="shared" si="3"/>
        <v>82</v>
      </c>
      <c r="J31" s="1112" t="s">
        <v>243</v>
      </c>
      <c r="K31" s="1115" t="s">
        <v>1321</v>
      </c>
      <c r="L31" s="1401">
        <v>23</v>
      </c>
      <c r="O31" s="130">
        <v>4</v>
      </c>
      <c r="P31" s="130">
        <v>55</v>
      </c>
    </row>
    <row r="32" spans="1:16" ht="35.450000000000003" customHeight="1">
      <c r="A32" s="1402">
        <v>24</v>
      </c>
      <c r="B32" s="622" t="s">
        <v>1323</v>
      </c>
      <c r="C32" s="703" t="s">
        <v>242</v>
      </c>
      <c r="D32" s="1120" t="s">
        <v>14</v>
      </c>
      <c r="E32" s="1117">
        <v>6</v>
      </c>
      <c r="F32" s="1116">
        <f t="shared" si="4"/>
        <v>6</v>
      </c>
      <c r="G32" s="1117">
        <v>7</v>
      </c>
      <c r="H32" s="1117">
        <v>103</v>
      </c>
      <c r="I32" s="1116">
        <f t="shared" si="3"/>
        <v>110</v>
      </c>
      <c r="J32" s="702" t="s">
        <v>243</v>
      </c>
      <c r="K32" s="1116" t="s">
        <v>1322</v>
      </c>
      <c r="L32" s="1403">
        <v>24</v>
      </c>
      <c r="O32" s="130">
        <v>5</v>
      </c>
      <c r="P32" s="130">
        <v>36</v>
      </c>
    </row>
    <row r="33" spans="1:16" ht="35.450000000000003" customHeight="1">
      <c r="A33" s="1400">
        <v>25</v>
      </c>
      <c r="B33" s="1106" t="s">
        <v>1325</v>
      </c>
      <c r="C33" s="1111" t="s">
        <v>121</v>
      </c>
      <c r="D33" s="1113" t="s">
        <v>14</v>
      </c>
      <c r="E33" s="1114">
        <v>6</v>
      </c>
      <c r="F33" s="1115">
        <f t="shared" si="4"/>
        <v>6</v>
      </c>
      <c r="G33" s="1114">
        <v>4</v>
      </c>
      <c r="H33" s="1114">
        <v>34</v>
      </c>
      <c r="I33" s="1115">
        <f t="shared" si="3"/>
        <v>38</v>
      </c>
      <c r="J33" s="1112" t="s">
        <v>122</v>
      </c>
      <c r="K33" s="1115" t="s">
        <v>1324</v>
      </c>
      <c r="L33" s="1401">
        <v>25</v>
      </c>
      <c r="O33" s="10">
        <f>SUM(O21:O32)</f>
        <v>118</v>
      </c>
      <c r="P33" s="10">
        <f>SUM(P21:P32)</f>
        <v>484</v>
      </c>
    </row>
    <row r="34" spans="1:16" ht="35.450000000000003" customHeight="1">
      <c r="A34" s="1402">
        <v>26</v>
      </c>
      <c r="B34" s="1118" t="s">
        <v>1813</v>
      </c>
      <c r="C34" s="1139" t="s">
        <v>276</v>
      </c>
      <c r="D34" s="1120" t="s">
        <v>14</v>
      </c>
      <c r="E34" s="1117">
        <v>4</v>
      </c>
      <c r="F34" s="1116">
        <f t="shared" si="4"/>
        <v>4</v>
      </c>
      <c r="G34" s="1117">
        <v>38</v>
      </c>
      <c r="H34" s="1117">
        <v>111</v>
      </c>
      <c r="I34" s="1116">
        <f t="shared" si="3"/>
        <v>149</v>
      </c>
      <c r="J34" s="1138" t="s">
        <v>277</v>
      </c>
      <c r="K34" s="1116" t="s">
        <v>1812</v>
      </c>
      <c r="L34" s="1403">
        <v>26</v>
      </c>
      <c r="N34">
        <v>109</v>
      </c>
      <c r="O34" s="955"/>
      <c r="P34" s="10"/>
    </row>
    <row r="35" spans="1:16" ht="35.450000000000003" customHeight="1">
      <c r="A35" s="1400">
        <v>27</v>
      </c>
      <c r="B35" s="1122" t="s">
        <v>1819</v>
      </c>
      <c r="C35" s="958" t="s">
        <v>276</v>
      </c>
      <c r="D35" s="1113" t="s">
        <v>14</v>
      </c>
      <c r="E35" s="1114">
        <v>6</v>
      </c>
      <c r="F35" s="1115">
        <f t="shared" si="4"/>
        <v>6</v>
      </c>
      <c r="G35" s="1114">
        <v>25</v>
      </c>
      <c r="H35" s="1114">
        <v>112</v>
      </c>
      <c r="I35" s="1115">
        <f t="shared" si="3"/>
        <v>137</v>
      </c>
      <c r="J35" s="1134" t="s">
        <v>277</v>
      </c>
      <c r="K35" s="1115" t="s">
        <v>1820</v>
      </c>
      <c r="L35" s="1401">
        <v>27</v>
      </c>
      <c r="O35" s="955"/>
      <c r="P35" s="10"/>
    </row>
    <row r="36" spans="1:16" ht="35.450000000000003" customHeight="1">
      <c r="A36" s="1402">
        <v>28</v>
      </c>
      <c r="B36" s="1118" t="s">
        <v>1822</v>
      </c>
      <c r="C36" s="1139" t="s">
        <v>276</v>
      </c>
      <c r="D36" s="1120">
        <v>1</v>
      </c>
      <c r="E36" s="1117">
        <v>2</v>
      </c>
      <c r="F36" s="1116">
        <f t="shared" si="4"/>
        <v>2</v>
      </c>
      <c r="G36" s="1117">
        <v>11</v>
      </c>
      <c r="H36" s="1117">
        <v>49</v>
      </c>
      <c r="I36" s="1116">
        <f t="shared" si="3"/>
        <v>60</v>
      </c>
      <c r="J36" s="1138" t="s">
        <v>277</v>
      </c>
      <c r="K36" s="1116" t="s">
        <v>1821</v>
      </c>
      <c r="L36" s="1403">
        <v>28</v>
      </c>
      <c r="O36" s="955"/>
      <c r="P36" s="10"/>
    </row>
    <row r="37" spans="1:16" ht="35.450000000000003" customHeight="1">
      <c r="A37" s="1400">
        <v>29</v>
      </c>
      <c r="B37" s="1106" t="s">
        <v>1815</v>
      </c>
      <c r="C37" s="582" t="s">
        <v>312</v>
      </c>
      <c r="D37" s="1113" t="s">
        <v>14</v>
      </c>
      <c r="E37" s="1114">
        <v>26</v>
      </c>
      <c r="F37" s="1115">
        <f t="shared" si="4"/>
        <v>26</v>
      </c>
      <c r="G37" s="1129">
        <v>46</v>
      </c>
      <c r="H37" s="1129">
        <v>170</v>
      </c>
      <c r="I37" s="1115">
        <f t="shared" si="3"/>
        <v>216</v>
      </c>
      <c r="J37" s="583" t="s">
        <v>120</v>
      </c>
      <c r="K37" s="208" t="s">
        <v>1816</v>
      </c>
      <c r="L37" s="1401">
        <v>29</v>
      </c>
      <c r="O37" s="955"/>
      <c r="P37" s="10"/>
    </row>
    <row r="38" spans="1:16" ht="35.450000000000003" customHeight="1">
      <c r="A38" s="1402">
        <v>30</v>
      </c>
      <c r="B38" s="622" t="s">
        <v>1267</v>
      </c>
      <c r="C38" s="703" t="s">
        <v>312</v>
      </c>
      <c r="D38" s="1120">
        <v>7</v>
      </c>
      <c r="E38" s="1117">
        <v>11</v>
      </c>
      <c r="F38" s="1116">
        <f t="shared" si="4"/>
        <v>11</v>
      </c>
      <c r="G38" s="1117">
        <v>10</v>
      </c>
      <c r="H38" s="1117">
        <v>62</v>
      </c>
      <c r="I38" s="1116">
        <f t="shared" si="3"/>
        <v>72</v>
      </c>
      <c r="J38" s="702" t="s">
        <v>120</v>
      </c>
      <c r="K38" s="626" t="s">
        <v>1263</v>
      </c>
      <c r="L38" s="1403">
        <v>30</v>
      </c>
      <c r="O38" s="955"/>
      <c r="P38" s="10"/>
    </row>
    <row r="39" spans="1:16" ht="35.450000000000003" customHeight="1">
      <c r="A39" s="1404">
        <v>31</v>
      </c>
      <c r="B39" s="388" t="s">
        <v>1818</v>
      </c>
      <c r="C39" s="339" t="s">
        <v>312</v>
      </c>
      <c r="D39" s="1131" t="s">
        <v>14</v>
      </c>
      <c r="E39" s="1125">
        <v>20</v>
      </c>
      <c r="F39" s="1126">
        <f>E39</f>
        <v>20</v>
      </c>
      <c r="G39" s="1130">
        <v>4</v>
      </c>
      <c r="H39" s="1130">
        <v>81</v>
      </c>
      <c r="I39" s="587">
        <f>H39+G39</f>
        <v>85</v>
      </c>
      <c r="J39" s="338" t="s">
        <v>120</v>
      </c>
      <c r="K39" s="337" t="s">
        <v>1817</v>
      </c>
      <c r="L39" s="1405">
        <v>31</v>
      </c>
      <c r="O39" s="955"/>
      <c r="P39" s="10"/>
    </row>
    <row r="40" spans="1:16" ht="20.100000000000001" customHeight="1">
      <c r="A40" s="1417" t="s">
        <v>117</v>
      </c>
      <c r="B40" s="1417"/>
      <c r="C40" s="1417"/>
      <c r="D40" s="1422" t="s">
        <v>737</v>
      </c>
      <c r="E40" s="1422"/>
      <c r="F40" s="1422"/>
      <c r="G40" s="1422"/>
      <c r="H40" s="1422"/>
      <c r="I40" s="1422"/>
      <c r="J40" s="1414" t="s">
        <v>118</v>
      </c>
      <c r="K40" s="1414"/>
      <c r="L40" s="1414"/>
      <c r="N40" s="1617" t="s">
        <v>1268</v>
      </c>
      <c r="O40" s="1617"/>
      <c r="P40" s="1617"/>
    </row>
    <row r="41" spans="1:16" ht="39.950000000000003" customHeight="1">
      <c r="O41" s="10"/>
      <c r="P41" s="10"/>
    </row>
    <row r="42" spans="1:16" ht="39.950000000000003" customHeight="1">
      <c r="O42" s="10"/>
      <c r="P42" s="10"/>
    </row>
    <row r="43" spans="1:16" ht="39.950000000000003" customHeight="1">
      <c r="O43" s="10"/>
      <c r="P43" s="10"/>
    </row>
    <row r="44" spans="1:16" ht="39.950000000000003" customHeight="1">
      <c r="O44" s="10"/>
      <c r="P44" s="10"/>
    </row>
    <row r="45" spans="1:16" ht="39.950000000000003" customHeight="1">
      <c r="O45" s="10"/>
      <c r="P45" s="10"/>
    </row>
    <row r="46" spans="1:16" ht="39.950000000000003" customHeight="1">
      <c r="O46" s="10"/>
      <c r="P46" s="10"/>
    </row>
    <row r="47" spans="1:16" ht="39.950000000000003" customHeight="1">
      <c r="O47" s="10"/>
      <c r="P47" s="10"/>
    </row>
    <row r="48" spans="1:16" ht="39.950000000000003" customHeight="1">
      <c r="O48" s="10"/>
      <c r="P48" s="10"/>
    </row>
    <row r="49" spans="15:16" ht="39.950000000000003" customHeight="1">
      <c r="O49" s="10"/>
      <c r="P49" s="10"/>
    </row>
    <row r="50" spans="15:16" ht="39.950000000000003" customHeight="1">
      <c r="O50" s="10"/>
      <c r="P50" s="10"/>
    </row>
    <row r="51" spans="15:16" ht="39.950000000000003" customHeight="1">
      <c r="O51" s="10"/>
      <c r="P51" s="10"/>
    </row>
    <row r="52" spans="15:16" ht="39.950000000000003" customHeight="1">
      <c r="O52" s="10"/>
      <c r="P52" s="10"/>
    </row>
    <row r="53" spans="15:16" ht="39.950000000000003" customHeight="1">
      <c r="O53" s="10"/>
      <c r="P53" s="10"/>
    </row>
    <row r="54" spans="15:16" ht="39.950000000000003" customHeight="1">
      <c r="O54" s="10"/>
      <c r="P54" s="10"/>
    </row>
    <row r="55" spans="15:16" ht="39.950000000000003" customHeight="1">
      <c r="O55" s="10"/>
      <c r="P55" s="10"/>
    </row>
    <row r="56" spans="15:16" ht="39.950000000000003" customHeight="1">
      <c r="O56" s="10"/>
      <c r="P56" s="10"/>
    </row>
    <row r="57" spans="15:16" ht="39.950000000000003" customHeight="1">
      <c r="O57" s="10"/>
      <c r="P57" s="10"/>
    </row>
    <row r="58" spans="15:16" ht="39.950000000000003" customHeight="1">
      <c r="O58" s="10"/>
      <c r="P58" s="10"/>
    </row>
    <row r="59" spans="15:16" ht="39.950000000000003" customHeight="1">
      <c r="O59" s="10"/>
      <c r="P59" s="10"/>
    </row>
    <row r="60" spans="15:16" ht="39.950000000000003" customHeight="1">
      <c r="O60" s="10"/>
      <c r="P60" s="10"/>
    </row>
    <row r="61" spans="15:16" ht="39.950000000000003" customHeight="1">
      <c r="O61" s="10"/>
      <c r="P61" s="10"/>
    </row>
    <row r="62" spans="15:16" ht="39.950000000000003" customHeight="1">
      <c r="O62" s="10"/>
      <c r="P62" s="10"/>
    </row>
    <row r="63" spans="15:16" ht="39.950000000000003" customHeight="1">
      <c r="O63" s="10"/>
      <c r="P63" s="10"/>
    </row>
    <row r="64" spans="15:16" ht="39.950000000000003" customHeight="1">
      <c r="O64" s="10"/>
      <c r="P64" s="10"/>
    </row>
    <row r="65" spans="2:16" ht="39.950000000000003" customHeight="1">
      <c r="B65" s="946"/>
      <c r="C65" s="947"/>
      <c r="D65" s="943"/>
      <c r="E65" s="943"/>
      <c r="F65" s="943"/>
      <c r="G65" s="943"/>
      <c r="H65" s="943"/>
      <c r="I65" s="943"/>
      <c r="J65" s="977"/>
      <c r="K65" s="943"/>
      <c r="O65" s="10"/>
      <c r="P65" s="10"/>
    </row>
    <row r="66" spans="2:16" ht="39.950000000000003" customHeight="1">
      <c r="B66" s="946"/>
      <c r="C66" s="947"/>
      <c r="D66" s="943"/>
      <c r="E66" s="943"/>
      <c r="F66" s="943"/>
      <c r="G66" s="943"/>
      <c r="H66" s="943"/>
      <c r="I66" s="943"/>
      <c r="J66" s="977"/>
      <c r="K66" s="943"/>
      <c r="O66" s="10"/>
      <c r="P66" s="10"/>
    </row>
    <row r="67" spans="2:16" ht="39.950000000000003" customHeight="1">
      <c r="B67" s="946"/>
      <c r="C67" s="947"/>
      <c r="D67" s="943"/>
      <c r="E67" s="943"/>
      <c r="F67" s="943"/>
      <c r="G67" s="943"/>
      <c r="H67" s="943"/>
      <c r="I67" s="943"/>
      <c r="J67" s="977"/>
      <c r="K67" s="943"/>
      <c r="O67" s="10"/>
      <c r="P67" s="10"/>
    </row>
    <row r="68" spans="2:16" ht="39.950000000000003" customHeight="1"/>
  </sheetData>
  <mergeCells count="15">
    <mergeCell ref="N40:P40"/>
    <mergeCell ref="A40:C40"/>
    <mergeCell ref="J40:L40"/>
    <mergeCell ref="A1:L1"/>
    <mergeCell ref="A2:L2"/>
    <mergeCell ref="A3:L3"/>
    <mergeCell ref="A4:A7"/>
    <mergeCell ref="B4:B7"/>
    <mergeCell ref="C4:C7"/>
    <mergeCell ref="D4:F4"/>
    <mergeCell ref="G4:I4"/>
    <mergeCell ref="J4:J7"/>
    <mergeCell ref="K4:K7"/>
    <mergeCell ref="L4:L7"/>
    <mergeCell ref="D40:I40"/>
  </mergeCells>
  <pageMargins left="0.55118110236220497" right="0.55118110236220497" top="0.39370078740157499" bottom="0.55118110236220497" header="0.27559055118110198" footer="0.39370078740157499"/>
  <pageSetup paperSize="9" scale="60" orientation="portrait" verticalDpi="300" r:id="rId1"/>
  <headerFooter>
    <oddFooter>&amp;L&amp;"Times New Roman,Bold"Afghanistan Statistical Yearbook 2017-18
&amp;R&amp;"Times New Roman,Bold"سالنامۀ احصائیوی / احصا ئيوي کالنی1396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98"/>
  <sheetViews>
    <sheetView view="pageBreakPreview" topLeftCell="A142" zoomScale="80" zoomScaleSheetLayoutView="80" workbookViewId="0">
      <selection activeCell="I146" sqref="I146:P147"/>
    </sheetView>
  </sheetViews>
  <sheetFormatPr defaultRowHeight="15"/>
  <cols>
    <col min="1" max="1" width="5.42578125" customWidth="1"/>
    <col min="2" max="2" width="20.85546875" customWidth="1"/>
    <col min="3" max="3" width="7.42578125" customWidth="1"/>
    <col min="4" max="4" width="8.42578125" customWidth="1"/>
    <col min="5" max="5" width="7.7109375" customWidth="1"/>
    <col min="6" max="6" width="8.42578125" style="172" customWidth="1"/>
    <col min="7" max="7" width="8.5703125" style="172" customWidth="1"/>
    <col min="8" max="8" width="9.5703125" style="172" customWidth="1"/>
    <col min="9" max="9" width="9.140625" customWidth="1"/>
    <col min="10" max="10" width="8.5703125" customWidth="1"/>
    <col min="11" max="11" width="8.7109375" customWidth="1"/>
    <col min="12" max="12" width="9" customWidth="1"/>
    <col min="13" max="13" width="8.7109375" customWidth="1"/>
    <col min="14" max="14" width="8.85546875" customWidth="1"/>
    <col min="15" max="15" width="25.85546875" customWidth="1"/>
    <col min="16" max="16" width="5.5703125" customWidth="1"/>
    <col min="24" max="24" width="10.140625" bestFit="1" customWidth="1"/>
    <col min="26" max="26" width="10.140625" bestFit="1" customWidth="1"/>
  </cols>
  <sheetData>
    <row r="1" spans="1:29" ht="21.95" customHeight="1">
      <c r="A1" s="1625" t="s">
        <v>1854</v>
      </c>
      <c r="B1" s="1625"/>
      <c r="C1" s="1625"/>
      <c r="D1" s="1625"/>
      <c r="E1" s="1625"/>
      <c r="F1" s="1625"/>
      <c r="G1" s="1625"/>
      <c r="H1" s="1625"/>
      <c r="I1" s="1625"/>
      <c r="J1" s="1625"/>
      <c r="K1" s="1625"/>
      <c r="L1" s="1625"/>
      <c r="M1" s="1625"/>
      <c r="N1" s="1625"/>
      <c r="O1" s="1625"/>
      <c r="P1" s="1625"/>
    </row>
    <row r="2" spans="1:29" ht="21.95" customHeight="1">
      <c r="A2" s="1625" t="s">
        <v>1855</v>
      </c>
      <c r="B2" s="1625"/>
      <c r="C2" s="1625"/>
      <c r="D2" s="1625"/>
      <c r="E2" s="1625"/>
      <c r="F2" s="1625"/>
      <c r="G2" s="1625"/>
      <c r="H2" s="1625"/>
      <c r="I2" s="1625"/>
      <c r="J2" s="1625"/>
      <c r="K2" s="1625"/>
      <c r="L2" s="1625"/>
      <c r="M2" s="1625"/>
      <c r="N2" s="1625"/>
      <c r="O2" s="1625"/>
      <c r="P2" s="1625"/>
    </row>
    <row r="3" spans="1:29" ht="21.95" customHeight="1">
      <c r="A3" s="1626" t="s">
        <v>1856</v>
      </c>
      <c r="B3" s="1626"/>
      <c r="C3" s="1626"/>
      <c r="D3" s="1626"/>
      <c r="E3" s="1626"/>
      <c r="F3" s="1626"/>
      <c r="G3" s="1626"/>
      <c r="H3" s="1626"/>
      <c r="I3" s="1626"/>
      <c r="J3" s="1626"/>
      <c r="K3" s="1626"/>
      <c r="L3" s="1626"/>
      <c r="M3" s="1626"/>
      <c r="N3" s="1626"/>
      <c r="O3" s="1626"/>
      <c r="P3" s="1626"/>
      <c r="Q3">
        <f>E10-2519</f>
        <v>0</v>
      </c>
      <c r="S3">
        <f>30280-30280</f>
        <v>0</v>
      </c>
    </row>
    <row r="4" spans="1:29" ht="21.95" customHeight="1">
      <c r="A4" s="1459" t="s">
        <v>2026</v>
      </c>
      <c r="B4" s="1549" t="s">
        <v>427</v>
      </c>
      <c r="C4" s="1549" t="s">
        <v>123</v>
      </c>
      <c r="D4" s="1550"/>
      <c r="E4" s="1550"/>
      <c r="F4" s="1627" t="s">
        <v>124</v>
      </c>
      <c r="G4" s="1628"/>
      <c r="H4" s="1629"/>
      <c r="I4" s="1549" t="s">
        <v>105</v>
      </c>
      <c r="J4" s="1550"/>
      <c r="K4" s="1557"/>
      <c r="L4" s="1550" t="s">
        <v>125</v>
      </c>
      <c r="M4" s="1550"/>
      <c r="N4" s="1557"/>
      <c r="O4" s="1557" t="s">
        <v>426</v>
      </c>
      <c r="P4" s="1459" t="s">
        <v>2027</v>
      </c>
      <c r="R4">
        <f>21389-21389</f>
        <v>0</v>
      </c>
      <c r="S4">
        <f>15519-15519</f>
        <v>0</v>
      </c>
    </row>
    <row r="5" spans="1:29" ht="21.95" customHeight="1">
      <c r="A5" s="1460"/>
      <c r="B5" s="1619"/>
      <c r="C5" s="1541" t="s">
        <v>546</v>
      </c>
      <c r="D5" s="1542"/>
      <c r="E5" s="1542"/>
      <c r="F5" s="1446" t="s">
        <v>506</v>
      </c>
      <c r="G5" s="1447"/>
      <c r="H5" s="1618"/>
      <c r="I5" s="1544" t="s">
        <v>505</v>
      </c>
      <c r="J5" s="1545"/>
      <c r="K5" s="1546"/>
      <c r="L5" s="1545" t="s">
        <v>550</v>
      </c>
      <c r="M5" s="1545"/>
      <c r="N5" s="1546"/>
      <c r="O5" s="1624"/>
      <c r="P5" s="1460"/>
      <c r="R5">
        <f>22637-22637</f>
        <v>0</v>
      </c>
      <c r="S5">
        <f>13418-13518</f>
        <v>-100</v>
      </c>
      <c r="X5" t="s">
        <v>0</v>
      </c>
      <c r="Y5" t="s">
        <v>1111</v>
      </c>
      <c r="Z5" t="s">
        <v>1112</v>
      </c>
      <c r="AA5" t="s">
        <v>0</v>
      </c>
    </row>
    <row r="6" spans="1:29" ht="21.95" customHeight="1">
      <c r="A6" s="1460"/>
      <c r="B6" s="1619"/>
      <c r="C6" s="1619" t="s">
        <v>73</v>
      </c>
      <c r="D6" s="1620"/>
      <c r="E6" s="1620"/>
      <c r="F6" s="1621" t="s">
        <v>126</v>
      </c>
      <c r="G6" s="1622"/>
      <c r="H6" s="1623"/>
      <c r="I6" s="1619" t="s">
        <v>127</v>
      </c>
      <c r="J6" s="1620"/>
      <c r="K6" s="1624"/>
      <c r="L6" s="1620" t="s">
        <v>128</v>
      </c>
      <c r="M6" s="1620"/>
      <c r="N6" s="1624"/>
      <c r="O6" s="1624"/>
      <c r="P6" s="1460"/>
      <c r="Q6">
        <f>J10-9838</f>
        <v>0</v>
      </c>
    </row>
    <row r="7" spans="1:29" ht="21.95" customHeight="1">
      <c r="A7" s="1460"/>
      <c r="B7" s="1619"/>
      <c r="C7" s="1085" t="s">
        <v>0</v>
      </c>
      <c r="D7" s="1078" t="s">
        <v>103</v>
      </c>
      <c r="E7" s="1060" t="s">
        <v>2</v>
      </c>
      <c r="F7" s="1370" t="s">
        <v>0</v>
      </c>
      <c r="G7" s="1371" t="s">
        <v>103</v>
      </c>
      <c r="H7" s="942" t="s">
        <v>2</v>
      </c>
      <c r="I7" s="1085" t="s">
        <v>0</v>
      </c>
      <c r="J7" s="1078" t="s">
        <v>103</v>
      </c>
      <c r="K7" s="1060" t="s">
        <v>2</v>
      </c>
      <c r="L7" s="1085" t="s">
        <v>0</v>
      </c>
      <c r="M7" s="1078" t="s">
        <v>103</v>
      </c>
      <c r="N7" s="1060" t="s">
        <v>2</v>
      </c>
      <c r="O7" s="1624"/>
      <c r="P7" s="1460"/>
      <c r="Q7">
        <f>I10-13188</f>
        <v>0</v>
      </c>
      <c r="S7">
        <f>M10+L10</f>
        <v>43430</v>
      </c>
      <c r="W7">
        <v>75</v>
      </c>
      <c r="X7" s="51">
        <v>62086</v>
      </c>
      <c r="Y7">
        <v>188017</v>
      </c>
      <c r="Z7">
        <v>186895</v>
      </c>
      <c r="AA7" s="51">
        <v>61504</v>
      </c>
      <c r="AC7" t="s">
        <v>341</v>
      </c>
    </row>
    <row r="8" spans="1:29" ht="21.95" customHeight="1">
      <c r="A8" s="1460"/>
      <c r="B8" s="1619"/>
      <c r="C8" s="1089" t="s">
        <v>500</v>
      </c>
      <c r="D8" s="1090" t="s">
        <v>501</v>
      </c>
      <c r="E8" s="1067" t="s">
        <v>502</v>
      </c>
      <c r="F8" s="1372" t="s">
        <v>500</v>
      </c>
      <c r="G8" s="1244" t="s">
        <v>501</v>
      </c>
      <c r="H8" s="945" t="s">
        <v>502</v>
      </c>
      <c r="I8" s="1089" t="s">
        <v>500</v>
      </c>
      <c r="J8" s="1090" t="s">
        <v>501</v>
      </c>
      <c r="K8" s="1067" t="s">
        <v>502</v>
      </c>
      <c r="L8" s="1089" t="s">
        <v>500</v>
      </c>
      <c r="M8" s="1090" t="s">
        <v>501</v>
      </c>
      <c r="N8" s="1067" t="s">
        <v>502</v>
      </c>
      <c r="O8" s="1624"/>
      <c r="P8" s="1460"/>
      <c r="R8">
        <f>F10+G10</f>
        <v>26684</v>
      </c>
      <c r="S8">
        <f>S7-54460</f>
        <v>-11030</v>
      </c>
      <c r="T8">
        <v>40</v>
      </c>
      <c r="U8">
        <v>36</v>
      </c>
      <c r="W8">
        <v>14302</v>
      </c>
      <c r="X8" s="51">
        <v>153</v>
      </c>
      <c r="Y8">
        <v>1635</v>
      </c>
      <c r="Z8">
        <v>1779</v>
      </c>
      <c r="AA8" s="51">
        <v>322</v>
      </c>
      <c r="AC8" t="s">
        <v>409</v>
      </c>
    </row>
    <row r="9" spans="1:29" ht="21.95" customHeight="1">
      <c r="A9" s="1461"/>
      <c r="B9" s="1500"/>
      <c r="C9" s="1062" t="s">
        <v>52</v>
      </c>
      <c r="D9" s="1080" t="s">
        <v>53</v>
      </c>
      <c r="E9" s="1064" t="s">
        <v>28</v>
      </c>
      <c r="F9" s="1373" t="s">
        <v>52</v>
      </c>
      <c r="G9" s="1245" t="s">
        <v>53</v>
      </c>
      <c r="H9" s="1374" t="s">
        <v>28</v>
      </c>
      <c r="I9" s="1062" t="s">
        <v>52</v>
      </c>
      <c r="J9" s="1080" t="s">
        <v>53</v>
      </c>
      <c r="K9" s="1064" t="s">
        <v>28</v>
      </c>
      <c r="L9" s="1062" t="s">
        <v>52</v>
      </c>
      <c r="M9" s="1080" t="s">
        <v>53</v>
      </c>
      <c r="N9" s="1064" t="s">
        <v>28</v>
      </c>
      <c r="O9" s="1502"/>
      <c r="P9" s="1461"/>
      <c r="Q9" s="39">
        <f>C10/E10*100</f>
        <v>12.504962286621677</v>
      </c>
      <c r="T9">
        <v>26</v>
      </c>
      <c r="U9">
        <v>0</v>
      </c>
      <c r="W9">
        <v>70</v>
      </c>
      <c r="X9" s="51">
        <v>344</v>
      </c>
      <c r="Y9">
        <v>1437</v>
      </c>
      <c r="Z9">
        <v>840</v>
      </c>
      <c r="AA9" s="51">
        <v>305</v>
      </c>
      <c r="AC9" t="s">
        <v>994</v>
      </c>
    </row>
    <row r="10" spans="1:29" ht="30" customHeight="1">
      <c r="A10" s="1633"/>
      <c r="B10" s="1640" t="s">
        <v>28</v>
      </c>
      <c r="C10" s="1639">
        <f>C12+C16+C18+C40+C44+C46+C50+C62+C68+C70+C74+C76+C80+C82+C90+C92+C94+C96+C106+C108+C112+C116+C120+C122+C136+C140+C160+C162+C168+C170+C178+C180+C190</f>
        <v>315</v>
      </c>
      <c r="D10" s="1630">
        <f>D12+D14+D16+D18+D20+D22+D24+D26+D28+D30+D32+D34+D36+D38+D40+D42+D44+D46+D48+D50+D60+D62+D64+D66+D68+D70+D72+D74+D76+D78+D80+D82+D84+D86+D88+D90+D92+D94+D96+D106+D108+D110+D112+D114+D116+D118+D120+D122+D124+D126+D128+D130+D132+D134+D136+D138+D140+D142+D144+D154+D156+D158+D160+D162+D164+D166+D168+D170+D172+D174+D176+D178+D180+D182+D184+D186+D188+D190+D192+D194</f>
        <v>2204</v>
      </c>
      <c r="E10" s="1630">
        <f>E12+E14+E16+E18+E20+E22+E24+E26+E28+E30+E32+E34+E36+E38+E40+E42+E44+E46+E48+E50+E60+E62+E64+E66+E68+E70+E72+E74+E76+E78+E80+E82+E84+E86+E88+E90+E92+E94+E96+E106+E108+E110+E112+E114+E116+E118+E120+E122+E124+E126+E128+E130+E132+E134+E136+E138+E140+E142+E144+E154+E156+E158+E160+E162+E164+E166+E168+E170+E172+E174+E176+E178+E180+E182+E184+E186+E188+E190+E192+E194</f>
        <v>2519</v>
      </c>
      <c r="F10" s="1639">
        <f>F12+F14+F16+F18+F20+F22+F24+F26+F28+F34+F36+F38+F40+F42+F44+F46+F50+F60+F62+F66+F68+F70+F72+F74+F76+F78+F80+F82+F84+F86+F92+F94+F96+F106+F108+F110+F112+F114+F116+F118+F122+F124+F126+F130+F132+F134+F136+F138+F140+F144+F154+F160+F162+F164+F166+F168+F170+F172+F174+F176+F178+F180+F184+F186+F190</f>
        <v>13155</v>
      </c>
      <c r="G10" s="1630">
        <f>G12+G14+G16+G18+G20+G22+G24+G26+G28+G30+G32+G34+G36+G38+G40+G42+G44+G46+G48+G50+G60+G62+G64+G66+G68+G70+G72+G74+G76+G78+G80+G82+G84+G86+G88+G90+G92+G94+G96+G106+G108+G110+G112+G114+G116+G118+G120+G122+G124+G126+G128+G130+G132+G134+G136+G140+G138+G142+G144+G154+G156+G158+G160+G162+G164+G166+G168+G170+G172+G174+G176+G178+G180+G184+G186+G188+G190</f>
        <v>13529</v>
      </c>
      <c r="H10" s="1631">
        <f>H12+H14+H16+H18+H20+H22+H24+H26+H28+H30+H32+H34+H36+H38+H40+H42+H44+H46+H48+H50+H60+H62+H64+H66+H68+H70+H72+H74+H76+H78+H80+H82+H84+H86+H88+H90+H92+H94+H96+H106+H108+H110+H112+H114+H116+H118+H120+H122+H124+H126+H128+H130+H132+H134+H136+H140+H138+H142+H144+H154+H156+H158+H160+H162+H164+H166+H168+H170+H172+H174+H176+H178+H180+H184+H186+H188+H190</f>
        <v>26684</v>
      </c>
      <c r="I10" s="1639">
        <f>I12+I14+I16+I18+I20+I22+I24+I26+I28+I32+I34+I36+I38+I40+I42+I44+I46+I50+I60+I62+I64+I66+I68+I70+I72+I74+I76+I78+I80+I82+I84+I86+I88+I90+I92+I94+I96+I106+I108+I110+I112+I116+I118+I120+I122+I124+I126+I128+I130+I132+I134+I136+I138+I140+I144+I154+I156+I158+I160+I162+I164+I166+I168+I170+I172+I174+I176+I178+I180+I182+I186+I190+I192</f>
        <v>13188</v>
      </c>
      <c r="J10" s="1630">
        <f>J12+J14+J16+J18+J20+J22+J24+J26+J28+J30+J32+J34+J36+J38+J40+J42+J44+J46+J48+J50+J60+J62+J66+J68+J70+J72+J74+J76+J78+J80+J82+J84+J86+J88+J90+J92+J94+J96+J106+J108+J110+J112+J116+J118+J120+J122+J124+J126+J128+J130+J132+J134+J136+J138+J140+J142+J144+J154+J156+J158+J160+J162+J164+J166+J168+J170+J172+J174+J176+J178+J182+J184+J186+J188+J190+J192</f>
        <v>9838</v>
      </c>
      <c r="K10" s="1631">
        <f>K12+K14+K16+K18+K20+K22+K24+K26+K28+K30+K32+K34+K36+K38+K40+K42+K44+K46+K48+K50+K60+K62+K64+K66+K68+K70+K72+K74+K76+K78+K80+K82+K84+K86+K88+K90+K92+K94+K96+K106+K108+K110+K112+K116+K118+K120+K122+K124+K126+K128+K130+K132+K134+K136+K138+K140+K142+K144+K154+K156+K158+K160+K162+K164+K166+K168+K170+K172+K174+K176+K178+K180+K182+K184+K186+K188+K190+K192</f>
        <v>23026</v>
      </c>
      <c r="L10" s="1639">
        <f>L12+L14+L16+L18+L20+L22+L24+L26+L28+L32+L34+L36+L38+L40+L42+L44+L46+L48+L50+L60+L62+L64+L66+L68+L70+L72+L74+L76+L78+L80+L82+L84+L86+L88+L90+L92+L94+L96+L106+L108+L110+L112+L116+L118+L120+L122+L124+L126+L128+L130+L132+L134+L136+L138+L140+L142+L144+L154+L156+L158+L160+L162+L164+L166+L168+L170+L172+L174+L176+L178+L180+L182+L186+L190+L192+L194</f>
        <v>24604</v>
      </c>
      <c r="M10" s="1630">
        <f>SUM(M12:M51,M60:M97,M106:M145,M154:M195)</f>
        <v>18826</v>
      </c>
      <c r="N10" s="1631">
        <f>SUM(N12:N51,N60:N97,N106:N145,N154:N195)</f>
        <v>43430</v>
      </c>
      <c r="O10" s="1632" t="s">
        <v>888</v>
      </c>
      <c r="P10" s="1633"/>
      <c r="Q10" s="39">
        <f>L10/N10*100</f>
        <v>56.652083813032462</v>
      </c>
      <c r="T10">
        <v>118</v>
      </c>
      <c r="U10">
        <v>130</v>
      </c>
      <c r="W10">
        <v>168</v>
      </c>
      <c r="X10" s="51">
        <v>598</v>
      </c>
      <c r="Y10">
        <v>7396</v>
      </c>
      <c r="Z10">
        <v>2483</v>
      </c>
      <c r="AA10" s="51">
        <v>152</v>
      </c>
      <c r="AC10" t="s">
        <v>990</v>
      </c>
    </row>
    <row r="11" spans="1:29" ht="30" customHeight="1">
      <c r="A11" s="1634"/>
      <c r="B11" s="1640"/>
      <c r="C11" s="1639"/>
      <c r="D11" s="1630"/>
      <c r="E11" s="1630"/>
      <c r="F11" s="1639"/>
      <c r="G11" s="1630"/>
      <c r="H11" s="1631"/>
      <c r="I11" s="1639"/>
      <c r="J11" s="1630"/>
      <c r="K11" s="1631"/>
      <c r="L11" s="1639"/>
      <c r="M11" s="1630"/>
      <c r="N11" s="1631"/>
      <c r="O11" s="1632"/>
      <c r="P11" s="1634"/>
      <c r="T11">
        <v>0</v>
      </c>
      <c r="U11">
        <v>189</v>
      </c>
      <c r="W11">
        <v>27</v>
      </c>
      <c r="X11" s="51">
        <v>354</v>
      </c>
      <c r="Y11">
        <v>1635</v>
      </c>
      <c r="Z11">
        <v>1492</v>
      </c>
      <c r="AA11" s="51">
        <v>598</v>
      </c>
      <c r="AC11" t="s">
        <v>1012</v>
      </c>
    </row>
    <row r="12" spans="1:29" ht="30" customHeight="1">
      <c r="A12" s="1460">
        <v>1</v>
      </c>
      <c r="B12" s="1635" t="s">
        <v>129</v>
      </c>
      <c r="C12" s="1636">
        <v>118</v>
      </c>
      <c r="D12" s="1637">
        <v>81</v>
      </c>
      <c r="E12" s="1638">
        <f>D12+C12</f>
        <v>199</v>
      </c>
      <c r="F12" s="1636">
        <f>1816+113</f>
        <v>1929</v>
      </c>
      <c r="G12" s="1637">
        <v>196</v>
      </c>
      <c r="H12" s="1637">
        <f>G12+F12</f>
        <v>2125</v>
      </c>
      <c r="I12" s="1636">
        <v>850</v>
      </c>
      <c r="J12" s="1637">
        <v>83</v>
      </c>
      <c r="K12" s="1638">
        <f>J12+I12</f>
        <v>933</v>
      </c>
      <c r="L12" s="1636">
        <v>1496</v>
      </c>
      <c r="M12" s="1637">
        <v>134</v>
      </c>
      <c r="N12" s="1642">
        <f>M12+L12</f>
        <v>1630</v>
      </c>
      <c r="O12" s="1375" t="s">
        <v>130</v>
      </c>
      <c r="P12" s="1460">
        <v>1</v>
      </c>
      <c r="R12" t="s">
        <v>1251</v>
      </c>
      <c r="T12">
        <v>10</v>
      </c>
      <c r="U12">
        <v>115</v>
      </c>
      <c r="W12">
        <v>837</v>
      </c>
      <c r="X12">
        <f>SUM(X7:X11)</f>
        <v>63535</v>
      </c>
      <c r="Y12">
        <f>SUM(Y7:Y11)</f>
        <v>200120</v>
      </c>
      <c r="Z12">
        <f>SUM(Z7:Z11)</f>
        <v>193489</v>
      </c>
      <c r="AA12">
        <f>SUM(AA7:AA11)</f>
        <v>62881</v>
      </c>
    </row>
    <row r="13" spans="1:29" ht="30" customHeight="1">
      <c r="A13" s="1460"/>
      <c r="B13" s="1635"/>
      <c r="C13" s="1636"/>
      <c r="D13" s="1637"/>
      <c r="E13" s="1638"/>
      <c r="F13" s="1636"/>
      <c r="G13" s="1637"/>
      <c r="H13" s="1637"/>
      <c r="I13" s="1636"/>
      <c r="J13" s="1637"/>
      <c r="K13" s="1638"/>
      <c r="L13" s="1636"/>
      <c r="M13" s="1637"/>
      <c r="N13" s="1642"/>
      <c r="O13" s="1375" t="s">
        <v>556</v>
      </c>
      <c r="P13" s="1460"/>
      <c r="T13">
        <v>85</v>
      </c>
      <c r="U13">
        <v>0</v>
      </c>
      <c r="W13">
        <f>SUM(W7:W12)</f>
        <v>15479</v>
      </c>
    </row>
    <row r="14" spans="1:29" ht="30" customHeight="1">
      <c r="A14" s="1634">
        <v>2</v>
      </c>
      <c r="B14" s="1643" t="s">
        <v>417</v>
      </c>
      <c r="C14" s="1639" t="s">
        <v>14</v>
      </c>
      <c r="D14" s="1630">
        <v>19</v>
      </c>
      <c r="E14" s="1631">
        <f>D14</f>
        <v>19</v>
      </c>
      <c r="F14" s="1639">
        <v>29</v>
      </c>
      <c r="G14" s="1630">
        <v>90</v>
      </c>
      <c r="H14" s="1630">
        <f t="shared" ref="H14" si="0">G14+F14</f>
        <v>119</v>
      </c>
      <c r="I14" s="1639">
        <v>34</v>
      </c>
      <c r="J14" s="1630">
        <v>166</v>
      </c>
      <c r="K14" s="1631">
        <f t="shared" ref="K14" si="1">J14+I14</f>
        <v>200</v>
      </c>
      <c r="L14" s="1639">
        <v>69</v>
      </c>
      <c r="M14" s="1630">
        <v>337</v>
      </c>
      <c r="N14" s="1641">
        <f t="shared" ref="N14" si="2">M14+L14</f>
        <v>406</v>
      </c>
      <c r="O14" s="1376" t="s">
        <v>418</v>
      </c>
      <c r="P14" s="1634">
        <v>2</v>
      </c>
      <c r="Q14" s="39">
        <f>2305/2660*100</f>
        <v>86.654135338345867</v>
      </c>
      <c r="R14" s="39">
        <f>355/2660*100</f>
        <v>13.345864661654137</v>
      </c>
      <c r="S14" s="39"/>
      <c r="T14">
        <f>SUM(T8:T13)</f>
        <v>279</v>
      </c>
      <c r="U14">
        <f>SUM(U8:U13)</f>
        <v>470</v>
      </c>
      <c r="Z14" s="49">
        <f>Y12/Z12*100-100</f>
        <v>3.4270682054277017</v>
      </c>
    </row>
    <row r="15" spans="1:29" ht="30" customHeight="1">
      <c r="A15" s="1634"/>
      <c r="B15" s="1643"/>
      <c r="C15" s="1639"/>
      <c r="D15" s="1630"/>
      <c r="E15" s="1631"/>
      <c r="F15" s="1639"/>
      <c r="G15" s="1630"/>
      <c r="H15" s="1630"/>
      <c r="I15" s="1639"/>
      <c r="J15" s="1630"/>
      <c r="K15" s="1631"/>
      <c r="L15" s="1639"/>
      <c r="M15" s="1630"/>
      <c r="N15" s="1641"/>
      <c r="O15" s="1376" t="s">
        <v>557</v>
      </c>
      <c r="P15" s="1634"/>
      <c r="Q15" s="39">
        <f>31628/80487*100</f>
        <v>39.295786897262914</v>
      </c>
      <c r="R15" s="39">
        <f>48859/80487*100</f>
        <v>60.704213102737093</v>
      </c>
      <c r="S15" s="39"/>
    </row>
    <row r="16" spans="1:29" ht="30" customHeight="1">
      <c r="A16" s="1460">
        <v>3</v>
      </c>
      <c r="B16" s="1635" t="s">
        <v>131</v>
      </c>
      <c r="C16" s="1636">
        <v>3</v>
      </c>
      <c r="D16" s="1637">
        <v>45</v>
      </c>
      <c r="E16" s="1638">
        <f>D16+C16</f>
        <v>48</v>
      </c>
      <c r="F16" s="1636">
        <f>12+272</f>
        <v>284</v>
      </c>
      <c r="G16" s="1637">
        <f>96+121</f>
        <v>217</v>
      </c>
      <c r="H16" s="1637">
        <f t="shared" ref="H16" si="3">G16+F16</f>
        <v>501</v>
      </c>
      <c r="I16" s="1636">
        <v>171</v>
      </c>
      <c r="J16" s="1637">
        <v>139</v>
      </c>
      <c r="K16" s="1638">
        <f t="shared" ref="K16" si="4">J16+I16</f>
        <v>310</v>
      </c>
      <c r="L16" s="1636">
        <v>440</v>
      </c>
      <c r="M16" s="1637">
        <v>336</v>
      </c>
      <c r="N16" s="1642">
        <f t="shared" ref="N16" si="5">M16+L16</f>
        <v>776</v>
      </c>
      <c r="O16" s="1377" t="s">
        <v>132</v>
      </c>
      <c r="P16" s="1460">
        <v>3</v>
      </c>
      <c r="R16" s="49"/>
    </row>
    <row r="17" spans="1:27" ht="30" customHeight="1">
      <c r="A17" s="1460"/>
      <c r="B17" s="1635"/>
      <c r="C17" s="1636"/>
      <c r="D17" s="1637"/>
      <c r="E17" s="1638"/>
      <c r="F17" s="1636"/>
      <c r="G17" s="1637"/>
      <c r="H17" s="1637"/>
      <c r="I17" s="1636"/>
      <c r="J17" s="1637"/>
      <c r="K17" s="1638"/>
      <c r="L17" s="1636"/>
      <c r="M17" s="1637"/>
      <c r="N17" s="1642"/>
      <c r="O17" s="1377" t="s">
        <v>558</v>
      </c>
      <c r="P17" s="1460"/>
      <c r="Q17" s="39">
        <f>D10/E10*100</f>
        <v>87.495037713378323</v>
      </c>
      <c r="R17" s="39">
        <f>C10/E10*100</f>
        <v>12.504962286621677</v>
      </c>
      <c r="AA17">
        <f>AA12+640</f>
        <v>63521</v>
      </c>
    </row>
    <row r="18" spans="1:27" ht="30" customHeight="1">
      <c r="A18" s="1634">
        <v>4</v>
      </c>
      <c r="B18" s="1640" t="s">
        <v>133</v>
      </c>
      <c r="C18" s="1639">
        <v>3</v>
      </c>
      <c r="D18" s="1630">
        <v>40</v>
      </c>
      <c r="E18" s="1631">
        <f>D18+C18</f>
        <v>43</v>
      </c>
      <c r="F18" s="1630">
        <f>19+222</f>
        <v>241</v>
      </c>
      <c r="G18" s="1630">
        <f>17+116</f>
        <v>133</v>
      </c>
      <c r="H18" s="1630">
        <f t="shared" ref="H18" si="6">G18+F18</f>
        <v>374</v>
      </c>
      <c r="I18" s="1639">
        <v>80</v>
      </c>
      <c r="J18" s="1630">
        <v>156</v>
      </c>
      <c r="K18" s="1631">
        <f t="shared" ref="K18" si="7">J18+I18</f>
        <v>236</v>
      </c>
      <c r="L18" s="1639">
        <v>194</v>
      </c>
      <c r="M18" s="1630">
        <v>463</v>
      </c>
      <c r="N18" s="1641">
        <f t="shared" ref="N18" si="8">M18+L18</f>
        <v>657</v>
      </c>
      <c r="O18" s="1376" t="s">
        <v>134</v>
      </c>
      <c r="P18" s="1634">
        <v>4</v>
      </c>
      <c r="Q18" s="39">
        <f>M10/N10*100</f>
        <v>43.347916186967531</v>
      </c>
      <c r="R18" s="39">
        <f>L10/N10*100</f>
        <v>56.652083813032462</v>
      </c>
    </row>
    <row r="19" spans="1:27" ht="30" customHeight="1">
      <c r="A19" s="1634"/>
      <c r="B19" s="1640"/>
      <c r="C19" s="1639"/>
      <c r="D19" s="1630"/>
      <c r="E19" s="1631"/>
      <c r="F19" s="1630"/>
      <c r="G19" s="1630"/>
      <c r="H19" s="1630"/>
      <c r="I19" s="1639"/>
      <c r="J19" s="1630"/>
      <c r="K19" s="1631"/>
      <c r="L19" s="1639"/>
      <c r="M19" s="1630"/>
      <c r="N19" s="1641"/>
      <c r="O19" s="1376" t="s">
        <v>559</v>
      </c>
      <c r="P19" s="1634"/>
    </row>
    <row r="20" spans="1:27" ht="30" customHeight="1">
      <c r="A20" s="1460">
        <v>5</v>
      </c>
      <c r="B20" s="1644" t="s">
        <v>419</v>
      </c>
      <c r="C20" s="1636" t="s">
        <v>14</v>
      </c>
      <c r="D20" s="1637">
        <v>19</v>
      </c>
      <c r="E20" s="1638">
        <f>D20</f>
        <v>19</v>
      </c>
      <c r="F20" s="1637">
        <v>54</v>
      </c>
      <c r="G20" s="1637">
        <v>82</v>
      </c>
      <c r="H20" s="1637">
        <f t="shared" ref="H20" si="9">G20+F20</f>
        <v>136</v>
      </c>
      <c r="I20" s="1636">
        <v>227</v>
      </c>
      <c r="J20" s="1637">
        <v>114</v>
      </c>
      <c r="K20" s="1638">
        <f t="shared" ref="K20" si="10">J20+I20</f>
        <v>341</v>
      </c>
      <c r="L20" s="1636">
        <v>419</v>
      </c>
      <c r="M20" s="1637">
        <v>238</v>
      </c>
      <c r="N20" s="1642">
        <f t="shared" ref="N20" si="11">M20+L20</f>
        <v>657</v>
      </c>
      <c r="O20" s="1377" t="s">
        <v>420</v>
      </c>
      <c r="P20" s="1460">
        <v>5</v>
      </c>
    </row>
    <row r="21" spans="1:27" ht="30" customHeight="1">
      <c r="A21" s="1460"/>
      <c r="B21" s="1644"/>
      <c r="C21" s="1636"/>
      <c r="D21" s="1637"/>
      <c r="E21" s="1638"/>
      <c r="F21" s="1637"/>
      <c r="G21" s="1637"/>
      <c r="H21" s="1637"/>
      <c r="I21" s="1636"/>
      <c r="J21" s="1637"/>
      <c r="K21" s="1638"/>
      <c r="L21" s="1636"/>
      <c r="M21" s="1637"/>
      <c r="N21" s="1642"/>
      <c r="O21" s="1377" t="s">
        <v>560</v>
      </c>
      <c r="P21" s="1460"/>
      <c r="U21" s="49"/>
    </row>
    <row r="22" spans="1:27" ht="30" customHeight="1">
      <c r="A22" s="1634">
        <v>6</v>
      </c>
      <c r="B22" s="1643" t="s">
        <v>942</v>
      </c>
      <c r="C22" s="1639" t="s">
        <v>14</v>
      </c>
      <c r="D22" s="1630">
        <v>8</v>
      </c>
      <c r="E22" s="1631">
        <f t="shared" ref="E22" si="12">D22</f>
        <v>8</v>
      </c>
      <c r="F22" s="1630">
        <v>16</v>
      </c>
      <c r="G22" s="1630">
        <v>45</v>
      </c>
      <c r="H22" s="1630">
        <f t="shared" ref="H22" si="13">G22+F22</f>
        <v>61</v>
      </c>
      <c r="I22" s="1639">
        <v>46</v>
      </c>
      <c r="J22" s="1630">
        <v>90</v>
      </c>
      <c r="K22" s="1631">
        <f t="shared" ref="K22" si="14">J22+I22</f>
        <v>136</v>
      </c>
      <c r="L22" s="1639">
        <v>72</v>
      </c>
      <c r="M22" s="1630">
        <v>90</v>
      </c>
      <c r="N22" s="1641">
        <f t="shared" ref="N22" si="15">M22+L22</f>
        <v>162</v>
      </c>
      <c r="O22" s="1378" t="s">
        <v>943</v>
      </c>
      <c r="P22" s="1634">
        <v>6</v>
      </c>
      <c r="T22">
        <f>226920/19</f>
        <v>11943.157894736842</v>
      </c>
      <c r="V22">
        <v>150</v>
      </c>
    </row>
    <row r="23" spans="1:27" ht="30" customHeight="1">
      <c r="A23" s="1634"/>
      <c r="B23" s="1643"/>
      <c r="C23" s="1639"/>
      <c r="D23" s="1630"/>
      <c r="E23" s="1631"/>
      <c r="F23" s="1630"/>
      <c r="G23" s="1630"/>
      <c r="H23" s="1630"/>
      <c r="I23" s="1639"/>
      <c r="J23" s="1630"/>
      <c r="K23" s="1631"/>
      <c r="L23" s="1639"/>
      <c r="M23" s="1630"/>
      <c r="N23" s="1641"/>
      <c r="O23" s="1378" t="s">
        <v>944</v>
      </c>
      <c r="P23" s="1634"/>
      <c r="V23">
        <v>400</v>
      </c>
    </row>
    <row r="24" spans="1:27" ht="30" customHeight="1">
      <c r="A24" s="1460">
        <v>7</v>
      </c>
      <c r="B24" s="1635" t="s">
        <v>135</v>
      </c>
      <c r="C24" s="1636" t="s">
        <v>14</v>
      </c>
      <c r="D24" s="1637">
        <v>37</v>
      </c>
      <c r="E24" s="1638">
        <f t="shared" ref="E24" si="16">D24</f>
        <v>37</v>
      </c>
      <c r="F24" s="1637">
        <v>1</v>
      </c>
      <c r="G24" s="1637">
        <v>67</v>
      </c>
      <c r="H24" s="1637">
        <f t="shared" ref="H24" si="17">G24+F24</f>
        <v>68</v>
      </c>
      <c r="I24" s="1636">
        <v>5</v>
      </c>
      <c r="J24" s="1637">
        <v>153</v>
      </c>
      <c r="K24" s="1638">
        <f t="shared" ref="K24" si="18">J24+I24</f>
        <v>158</v>
      </c>
      <c r="L24" s="1636">
        <v>5</v>
      </c>
      <c r="M24" s="1637">
        <v>321</v>
      </c>
      <c r="N24" s="1642">
        <f t="shared" ref="N24" si="19">M24+L24</f>
        <v>326</v>
      </c>
      <c r="O24" s="1377" t="s">
        <v>136</v>
      </c>
      <c r="P24" s="1460">
        <v>7</v>
      </c>
    </row>
    <row r="25" spans="1:27" ht="30" customHeight="1">
      <c r="A25" s="1460"/>
      <c r="B25" s="1635"/>
      <c r="C25" s="1636"/>
      <c r="D25" s="1637"/>
      <c r="E25" s="1638"/>
      <c r="F25" s="1637"/>
      <c r="G25" s="1637"/>
      <c r="H25" s="1637"/>
      <c r="I25" s="1636"/>
      <c r="J25" s="1637"/>
      <c r="K25" s="1638"/>
      <c r="L25" s="1636"/>
      <c r="M25" s="1637"/>
      <c r="N25" s="1642"/>
      <c r="O25" s="1377" t="s">
        <v>561</v>
      </c>
      <c r="P25" s="1460"/>
      <c r="V25">
        <v>500</v>
      </c>
    </row>
    <row r="26" spans="1:27" ht="30" customHeight="1">
      <c r="A26" s="1634">
        <v>8</v>
      </c>
      <c r="B26" s="1640" t="s">
        <v>137</v>
      </c>
      <c r="C26" s="1639" t="s">
        <v>14</v>
      </c>
      <c r="D26" s="1630">
        <v>32</v>
      </c>
      <c r="E26" s="1631">
        <f t="shared" ref="E26" si="20">D26</f>
        <v>32</v>
      </c>
      <c r="F26" s="1639">
        <v>55</v>
      </c>
      <c r="G26" s="1630">
        <v>68</v>
      </c>
      <c r="H26" s="1630">
        <f t="shared" ref="H26" si="21">G26+F26</f>
        <v>123</v>
      </c>
      <c r="I26" s="1639">
        <v>23</v>
      </c>
      <c r="J26" s="1630">
        <v>50</v>
      </c>
      <c r="K26" s="1631">
        <f t="shared" ref="K26" si="22">J26+I26</f>
        <v>73</v>
      </c>
      <c r="L26" s="1639">
        <v>88</v>
      </c>
      <c r="M26" s="1630">
        <v>132</v>
      </c>
      <c r="N26" s="1641">
        <f t="shared" ref="N26" si="23">M26+L26</f>
        <v>220</v>
      </c>
      <c r="O26" s="1376" t="s">
        <v>138</v>
      </c>
      <c r="P26" s="1634">
        <v>8</v>
      </c>
      <c r="V26">
        <v>1400</v>
      </c>
    </row>
    <row r="27" spans="1:27" ht="30" customHeight="1">
      <c r="A27" s="1634"/>
      <c r="B27" s="1640"/>
      <c r="C27" s="1639"/>
      <c r="D27" s="1630"/>
      <c r="E27" s="1631"/>
      <c r="F27" s="1639"/>
      <c r="G27" s="1630"/>
      <c r="H27" s="1630"/>
      <c r="I27" s="1639"/>
      <c r="J27" s="1630"/>
      <c r="K27" s="1631"/>
      <c r="L27" s="1639"/>
      <c r="M27" s="1630"/>
      <c r="N27" s="1641"/>
      <c r="O27" s="1376" t="s">
        <v>562</v>
      </c>
      <c r="P27" s="1634"/>
      <c r="V27">
        <v>6000</v>
      </c>
    </row>
    <row r="28" spans="1:27" ht="30" customHeight="1">
      <c r="A28" s="1460">
        <v>9</v>
      </c>
      <c r="B28" s="1635" t="s">
        <v>139</v>
      </c>
      <c r="C28" s="1636" t="s">
        <v>14</v>
      </c>
      <c r="D28" s="1637">
        <v>74</v>
      </c>
      <c r="E28" s="1638">
        <f t="shared" ref="E28" si="24">D28</f>
        <v>74</v>
      </c>
      <c r="F28" s="1636">
        <f>212+169</f>
        <v>381</v>
      </c>
      <c r="G28" s="1637">
        <f>176+292</f>
        <v>468</v>
      </c>
      <c r="H28" s="1637">
        <f t="shared" ref="H28" si="25">G28+F28</f>
        <v>849</v>
      </c>
      <c r="I28" s="1636">
        <v>416</v>
      </c>
      <c r="J28" s="1637">
        <v>83</v>
      </c>
      <c r="K28" s="1638">
        <f t="shared" ref="K28" si="26">J28+I28</f>
        <v>499</v>
      </c>
      <c r="L28" s="1636">
        <v>899</v>
      </c>
      <c r="M28" s="1637">
        <v>218</v>
      </c>
      <c r="N28" s="1642">
        <f t="shared" ref="N28" si="27">M28+L28</f>
        <v>1117</v>
      </c>
      <c r="O28" s="1377" t="s">
        <v>140</v>
      </c>
      <c r="P28" s="1460">
        <v>9</v>
      </c>
      <c r="V28">
        <f>SUM(V20:V27)</f>
        <v>8450</v>
      </c>
    </row>
    <row r="29" spans="1:27" ht="30" customHeight="1">
      <c r="A29" s="1460"/>
      <c r="B29" s="1635"/>
      <c r="C29" s="1636"/>
      <c r="D29" s="1637"/>
      <c r="E29" s="1638"/>
      <c r="F29" s="1636"/>
      <c r="G29" s="1637"/>
      <c r="H29" s="1637"/>
      <c r="I29" s="1636"/>
      <c r="J29" s="1637"/>
      <c r="K29" s="1638"/>
      <c r="L29" s="1636"/>
      <c r="M29" s="1637"/>
      <c r="N29" s="1642"/>
      <c r="O29" s="1377" t="s">
        <v>563</v>
      </c>
      <c r="P29" s="1460"/>
    </row>
    <row r="30" spans="1:27" ht="30" customHeight="1">
      <c r="A30" s="1634">
        <v>10</v>
      </c>
      <c r="B30" s="1640" t="s">
        <v>947</v>
      </c>
      <c r="C30" s="1639" t="s">
        <v>14</v>
      </c>
      <c r="D30" s="1630">
        <v>9</v>
      </c>
      <c r="E30" s="1631">
        <f t="shared" ref="E30" si="28">D30</f>
        <v>9</v>
      </c>
      <c r="F30" s="1639" t="s">
        <v>14</v>
      </c>
      <c r="G30" s="1630">
        <v>50</v>
      </c>
      <c r="H30" s="1630">
        <f>G30</f>
        <v>50</v>
      </c>
      <c r="I30" s="1639" t="s">
        <v>14</v>
      </c>
      <c r="J30" s="1630">
        <v>19</v>
      </c>
      <c r="K30" s="1631">
        <f>J30</f>
        <v>19</v>
      </c>
      <c r="L30" s="1639" t="s">
        <v>14</v>
      </c>
      <c r="M30" s="1630">
        <v>114</v>
      </c>
      <c r="N30" s="1641">
        <f>M30</f>
        <v>114</v>
      </c>
      <c r="O30" s="1376" t="s">
        <v>945</v>
      </c>
      <c r="P30" s="1634">
        <v>10</v>
      </c>
    </row>
    <row r="31" spans="1:27" ht="30" customHeight="1">
      <c r="A31" s="1634"/>
      <c r="B31" s="1640"/>
      <c r="C31" s="1639"/>
      <c r="D31" s="1630"/>
      <c r="E31" s="1631"/>
      <c r="F31" s="1639"/>
      <c r="G31" s="1630"/>
      <c r="H31" s="1630"/>
      <c r="I31" s="1639"/>
      <c r="J31" s="1630"/>
      <c r="K31" s="1631"/>
      <c r="L31" s="1639"/>
      <c r="M31" s="1630"/>
      <c r="N31" s="1641"/>
      <c r="O31" s="1376" t="s">
        <v>946</v>
      </c>
      <c r="P31" s="1634"/>
    </row>
    <row r="32" spans="1:27" ht="30" customHeight="1">
      <c r="A32" s="1460">
        <v>11</v>
      </c>
      <c r="B32" s="1635" t="s">
        <v>950</v>
      </c>
      <c r="C32" s="1636" t="s">
        <v>14</v>
      </c>
      <c r="D32" s="1637">
        <v>17</v>
      </c>
      <c r="E32" s="1638">
        <f t="shared" ref="E32" si="29">D32</f>
        <v>17</v>
      </c>
      <c r="F32" s="1636" t="s">
        <v>14</v>
      </c>
      <c r="G32" s="1637">
        <f>79+35</f>
        <v>114</v>
      </c>
      <c r="H32" s="1637">
        <f>G32</f>
        <v>114</v>
      </c>
      <c r="I32" s="1636">
        <v>62</v>
      </c>
      <c r="J32" s="1637">
        <v>27</v>
      </c>
      <c r="K32" s="1638">
        <f>J32+I32</f>
        <v>89</v>
      </c>
      <c r="L32" s="1636">
        <v>62</v>
      </c>
      <c r="M32" s="1637">
        <v>27</v>
      </c>
      <c r="N32" s="1642">
        <f>M32+L32</f>
        <v>89</v>
      </c>
      <c r="O32" s="1377" t="s">
        <v>948</v>
      </c>
      <c r="P32" s="1460">
        <v>11</v>
      </c>
    </row>
    <row r="33" spans="1:16" ht="30" customHeight="1">
      <c r="A33" s="1460"/>
      <c r="B33" s="1635"/>
      <c r="C33" s="1636"/>
      <c r="D33" s="1637"/>
      <c r="E33" s="1638"/>
      <c r="F33" s="1636"/>
      <c r="G33" s="1637"/>
      <c r="H33" s="1637"/>
      <c r="I33" s="1636"/>
      <c r="J33" s="1637"/>
      <c r="K33" s="1638"/>
      <c r="L33" s="1636"/>
      <c r="M33" s="1637"/>
      <c r="N33" s="1642"/>
      <c r="O33" s="1377" t="s">
        <v>949</v>
      </c>
      <c r="P33" s="1460"/>
    </row>
    <row r="34" spans="1:16" ht="30" customHeight="1">
      <c r="A34" s="1634">
        <v>12</v>
      </c>
      <c r="B34" s="1640" t="s">
        <v>141</v>
      </c>
      <c r="C34" s="1639" t="s">
        <v>14</v>
      </c>
      <c r="D34" s="1630">
        <v>37</v>
      </c>
      <c r="E34" s="1631">
        <f>D34</f>
        <v>37</v>
      </c>
      <c r="F34" s="1639">
        <f>17+76</f>
        <v>93</v>
      </c>
      <c r="G34" s="1630">
        <f>46+147</f>
        <v>193</v>
      </c>
      <c r="H34" s="1630">
        <f>G34+F34</f>
        <v>286</v>
      </c>
      <c r="I34" s="1639">
        <v>138</v>
      </c>
      <c r="J34" s="1630">
        <v>267</v>
      </c>
      <c r="K34" s="1631">
        <f t="shared" ref="K34" si="30">J34+I34</f>
        <v>405</v>
      </c>
      <c r="L34" s="1639">
        <v>259</v>
      </c>
      <c r="M34" s="1630">
        <v>382</v>
      </c>
      <c r="N34" s="1641">
        <f t="shared" ref="N34" si="31">M34+L34</f>
        <v>641</v>
      </c>
      <c r="O34" s="1376" t="s">
        <v>142</v>
      </c>
      <c r="P34" s="1634">
        <v>12</v>
      </c>
    </row>
    <row r="35" spans="1:16" ht="30" customHeight="1">
      <c r="A35" s="1634"/>
      <c r="B35" s="1640"/>
      <c r="C35" s="1639"/>
      <c r="D35" s="1630"/>
      <c r="E35" s="1631"/>
      <c r="F35" s="1639"/>
      <c r="G35" s="1630"/>
      <c r="H35" s="1630"/>
      <c r="I35" s="1639"/>
      <c r="J35" s="1630"/>
      <c r="K35" s="1631"/>
      <c r="L35" s="1639"/>
      <c r="M35" s="1630"/>
      <c r="N35" s="1641"/>
      <c r="O35" s="1376" t="s">
        <v>564</v>
      </c>
      <c r="P35" s="1634"/>
    </row>
    <row r="36" spans="1:16" ht="30" customHeight="1">
      <c r="A36" s="1460">
        <v>13</v>
      </c>
      <c r="B36" s="1635" t="s">
        <v>953</v>
      </c>
      <c r="C36" s="1636" t="s">
        <v>14</v>
      </c>
      <c r="D36" s="1637">
        <v>7</v>
      </c>
      <c r="E36" s="1638">
        <f t="shared" ref="E36:E38" si="32">D36</f>
        <v>7</v>
      </c>
      <c r="F36" s="1636">
        <v>47</v>
      </c>
      <c r="G36" s="1637">
        <v>16</v>
      </c>
      <c r="H36" s="1637">
        <f t="shared" ref="H36" si="33">G36+F36</f>
        <v>63</v>
      </c>
      <c r="I36" s="1636">
        <v>64</v>
      </c>
      <c r="J36" s="1637">
        <v>10</v>
      </c>
      <c r="K36" s="1638">
        <f t="shared" ref="K36" si="34">J36+I36</f>
        <v>74</v>
      </c>
      <c r="L36" s="1636">
        <v>112</v>
      </c>
      <c r="M36" s="1637">
        <v>7</v>
      </c>
      <c r="N36" s="1642">
        <f t="shared" ref="N36" si="35">M36+L36</f>
        <v>119</v>
      </c>
      <c r="O36" s="1377" t="s">
        <v>951</v>
      </c>
      <c r="P36" s="1460">
        <v>13</v>
      </c>
    </row>
    <row r="37" spans="1:16" ht="30" customHeight="1">
      <c r="A37" s="1460"/>
      <c r="B37" s="1635"/>
      <c r="C37" s="1636"/>
      <c r="D37" s="1637"/>
      <c r="E37" s="1638"/>
      <c r="F37" s="1636"/>
      <c r="G37" s="1637"/>
      <c r="H37" s="1637"/>
      <c r="I37" s="1636"/>
      <c r="J37" s="1637"/>
      <c r="K37" s="1638"/>
      <c r="L37" s="1636"/>
      <c r="M37" s="1637"/>
      <c r="N37" s="1642"/>
      <c r="O37" s="1377" t="s">
        <v>952</v>
      </c>
      <c r="P37" s="1460"/>
    </row>
    <row r="38" spans="1:16" ht="30" customHeight="1">
      <c r="A38" s="1634">
        <v>14</v>
      </c>
      <c r="B38" s="1640" t="s">
        <v>143</v>
      </c>
      <c r="C38" s="1639" t="s">
        <v>14</v>
      </c>
      <c r="D38" s="1630">
        <v>24</v>
      </c>
      <c r="E38" s="1631">
        <f t="shared" si="32"/>
        <v>24</v>
      </c>
      <c r="F38" s="1639">
        <v>33</v>
      </c>
      <c r="G38" s="1630">
        <v>37</v>
      </c>
      <c r="H38" s="1630">
        <f t="shared" ref="H38" si="36">G38+F38</f>
        <v>70</v>
      </c>
      <c r="I38" s="1639">
        <v>50</v>
      </c>
      <c r="J38" s="1630">
        <v>74</v>
      </c>
      <c r="K38" s="1631">
        <f t="shared" ref="K38" si="37">J38+I38</f>
        <v>124</v>
      </c>
      <c r="L38" s="1639">
        <v>152</v>
      </c>
      <c r="M38" s="1630">
        <v>234</v>
      </c>
      <c r="N38" s="1641">
        <f t="shared" ref="N38" si="38">M38+L38</f>
        <v>386</v>
      </c>
      <c r="O38" s="1379" t="s">
        <v>144</v>
      </c>
      <c r="P38" s="1634">
        <v>14</v>
      </c>
    </row>
    <row r="39" spans="1:16" ht="30" customHeight="1">
      <c r="A39" s="1634"/>
      <c r="B39" s="1640"/>
      <c r="C39" s="1639"/>
      <c r="D39" s="1630"/>
      <c r="E39" s="1631"/>
      <c r="F39" s="1639"/>
      <c r="G39" s="1630"/>
      <c r="H39" s="1630"/>
      <c r="I39" s="1639"/>
      <c r="J39" s="1630"/>
      <c r="K39" s="1631"/>
      <c r="L39" s="1639"/>
      <c r="M39" s="1630"/>
      <c r="N39" s="1641"/>
      <c r="O39" s="1376" t="s">
        <v>565</v>
      </c>
      <c r="P39" s="1634"/>
    </row>
    <row r="40" spans="1:16" ht="30" customHeight="1">
      <c r="A40" s="1460">
        <v>15</v>
      </c>
      <c r="B40" s="1635" t="s">
        <v>145</v>
      </c>
      <c r="C40" s="1636">
        <v>5</v>
      </c>
      <c r="D40" s="1637">
        <v>43</v>
      </c>
      <c r="E40" s="1638">
        <f>D40+C40</f>
        <v>48</v>
      </c>
      <c r="F40" s="1636">
        <f>72+135</f>
        <v>207</v>
      </c>
      <c r="G40" s="1637">
        <f>53+125</f>
        <v>178</v>
      </c>
      <c r="H40" s="1637">
        <f t="shared" ref="H40" si="39">G40+F40</f>
        <v>385</v>
      </c>
      <c r="I40" s="1636">
        <v>315</v>
      </c>
      <c r="J40" s="1637">
        <v>191</v>
      </c>
      <c r="K40" s="1638">
        <f t="shared" ref="K40" si="40">J40+I40</f>
        <v>506</v>
      </c>
      <c r="L40" s="1636">
        <v>519</v>
      </c>
      <c r="M40" s="1637">
        <v>318</v>
      </c>
      <c r="N40" s="1642">
        <f t="shared" ref="N40" si="41">M40+L40</f>
        <v>837</v>
      </c>
      <c r="O40" s="1375" t="s">
        <v>146</v>
      </c>
      <c r="P40" s="1460">
        <v>15</v>
      </c>
    </row>
    <row r="41" spans="1:16" ht="30" customHeight="1">
      <c r="A41" s="1460"/>
      <c r="B41" s="1635"/>
      <c r="C41" s="1636"/>
      <c r="D41" s="1637"/>
      <c r="E41" s="1638"/>
      <c r="F41" s="1636"/>
      <c r="G41" s="1637"/>
      <c r="H41" s="1637"/>
      <c r="I41" s="1636"/>
      <c r="J41" s="1637"/>
      <c r="K41" s="1638"/>
      <c r="L41" s="1636"/>
      <c r="M41" s="1637"/>
      <c r="N41" s="1642"/>
      <c r="O41" s="1375" t="s">
        <v>566</v>
      </c>
      <c r="P41" s="1460"/>
    </row>
    <row r="42" spans="1:16" ht="30" customHeight="1">
      <c r="A42" s="1634">
        <v>16</v>
      </c>
      <c r="B42" s="1643" t="s">
        <v>147</v>
      </c>
      <c r="C42" s="1639" t="s">
        <v>14</v>
      </c>
      <c r="D42" s="1630">
        <v>29</v>
      </c>
      <c r="E42" s="1631">
        <f>D42</f>
        <v>29</v>
      </c>
      <c r="F42" s="1639">
        <f>187+8</f>
        <v>195</v>
      </c>
      <c r="G42" s="1630">
        <f>129</f>
        <v>129</v>
      </c>
      <c r="H42" s="1630">
        <f t="shared" ref="H42" si="42">G42+F42</f>
        <v>324</v>
      </c>
      <c r="I42" s="1639">
        <v>156</v>
      </c>
      <c r="J42" s="1630">
        <v>74</v>
      </c>
      <c r="K42" s="1631">
        <f t="shared" ref="K42" si="43">J42+I42</f>
        <v>230</v>
      </c>
      <c r="L42" s="1639">
        <v>324</v>
      </c>
      <c r="M42" s="1630">
        <v>141</v>
      </c>
      <c r="N42" s="1641">
        <f t="shared" ref="N42" si="44">M42+L42</f>
        <v>465</v>
      </c>
      <c r="O42" s="1376" t="s">
        <v>148</v>
      </c>
      <c r="P42" s="1634">
        <v>16</v>
      </c>
    </row>
    <row r="43" spans="1:16" ht="30" customHeight="1">
      <c r="A43" s="1634"/>
      <c r="B43" s="1643"/>
      <c r="C43" s="1639"/>
      <c r="D43" s="1630"/>
      <c r="E43" s="1631"/>
      <c r="F43" s="1639"/>
      <c r="G43" s="1630"/>
      <c r="H43" s="1630"/>
      <c r="I43" s="1639"/>
      <c r="J43" s="1630"/>
      <c r="K43" s="1631"/>
      <c r="L43" s="1639"/>
      <c r="M43" s="1630"/>
      <c r="N43" s="1641"/>
      <c r="O43" s="1376" t="s">
        <v>567</v>
      </c>
      <c r="P43" s="1634"/>
    </row>
    <row r="44" spans="1:16" ht="30" customHeight="1">
      <c r="A44" s="1460">
        <v>17</v>
      </c>
      <c r="B44" s="1644" t="s">
        <v>149</v>
      </c>
      <c r="C44" s="1636">
        <v>7</v>
      </c>
      <c r="D44" s="1637">
        <v>34</v>
      </c>
      <c r="E44" s="1638">
        <f>D44+C44</f>
        <v>41</v>
      </c>
      <c r="F44" s="1496">
        <f>148+113</f>
        <v>261</v>
      </c>
      <c r="G44" s="1645">
        <f>145+66</f>
        <v>211</v>
      </c>
      <c r="H44" s="1637">
        <f t="shared" ref="H44" si="45">G44+F44</f>
        <v>472</v>
      </c>
      <c r="I44" s="1636">
        <v>197</v>
      </c>
      <c r="J44" s="1637">
        <v>49</v>
      </c>
      <c r="K44" s="1638">
        <f t="shared" ref="K44" si="46">J44+I44</f>
        <v>246</v>
      </c>
      <c r="L44" s="1636">
        <v>360</v>
      </c>
      <c r="M44" s="1637">
        <v>82</v>
      </c>
      <c r="N44" s="1642">
        <f t="shared" ref="N44" si="47">M44+L44</f>
        <v>442</v>
      </c>
      <c r="O44" s="1377" t="s">
        <v>150</v>
      </c>
      <c r="P44" s="1460">
        <v>17</v>
      </c>
    </row>
    <row r="45" spans="1:16" ht="30" customHeight="1">
      <c r="A45" s="1460"/>
      <c r="B45" s="1644"/>
      <c r="C45" s="1636"/>
      <c r="D45" s="1637"/>
      <c r="E45" s="1638"/>
      <c r="F45" s="1496"/>
      <c r="G45" s="1645"/>
      <c r="H45" s="1637"/>
      <c r="I45" s="1636"/>
      <c r="J45" s="1637"/>
      <c r="K45" s="1638"/>
      <c r="L45" s="1636"/>
      <c r="M45" s="1637"/>
      <c r="N45" s="1642"/>
      <c r="O45" s="1377" t="s">
        <v>568</v>
      </c>
      <c r="P45" s="1460"/>
    </row>
    <row r="46" spans="1:16" ht="30" customHeight="1">
      <c r="A46" s="1634">
        <v>18</v>
      </c>
      <c r="B46" s="1643" t="s">
        <v>151</v>
      </c>
      <c r="C46" s="1639">
        <v>1</v>
      </c>
      <c r="D46" s="1630">
        <v>14</v>
      </c>
      <c r="E46" s="1631">
        <f>D46+C46</f>
        <v>15</v>
      </c>
      <c r="F46" s="1639">
        <v>45</v>
      </c>
      <c r="G46" s="1630">
        <v>25</v>
      </c>
      <c r="H46" s="1630">
        <f t="shared" ref="H46" si="48">G46+F46</f>
        <v>70</v>
      </c>
      <c r="I46" s="1639">
        <v>56</v>
      </c>
      <c r="J46" s="1630">
        <v>30</v>
      </c>
      <c r="K46" s="1631">
        <f t="shared" ref="K46" si="49">J46+I46</f>
        <v>86</v>
      </c>
      <c r="L46" s="1639">
        <v>123</v>
      </c>
      <c r="M46" s="1630">
        <v>63</v>
      </c>
      <c r="N46" s="1641">
        <f t="shared" ref="N46" si="50">M46+L46</f>
        <v>186</v>
      </c>
      <c r="O46" s="1376" t="s">
        <v>152</v>
      </c>
      <c r="P46" s="1634">
        <v>18</v>
      </c>
    </row>
    <row r="47" spans="1:16" ht="30" customHeight="1">
      <c r="A47" s="1634"/>
      <c r="B47" s="1643"/>
      <c r="C47" s="1639"/>
      <c r="D47" s="1630"/>
      <c r="E47" s="1631"/>
      <c r="F47" s="1639"/>
      <c r="G47" s="1630"/>
      <c r="H47" s="1630"/>
      <c r="I47" s="1639"/>
      <c r="J47" s="1630"/>
      <c r="K47" s="1631"/>
      <c r="L47" s="1639"/>
      <c r="M47" s="1630"/>
      <c r="N47" s="1641"/>
      <c r="O47" s="1376" t="s">
        <v>569</v>
      </c>
      <c r="P47" s="1634"/>
    </row>
    <row r="48" spans="1:16" ht="30" customHeight="1">
      <c r="A48" s="1460">
        <v>19</v>
      </c>
      <c r="B48" s="1644" t="s">
        <v>153</v>
      </c>
      <c r="C48" s="1636" t="s">
        <v>14</v>
      </c>
      <c r="D48" s="1637">
        <v>11</v>
      </c>
      <c r="E48" s="1638">
        <f>D48</f>
        <v>11</v>
      </c>
      <c r="F48" s="1496" t="s">
        <v>14</v>
      </c>
      <c r="G48" s="1645">
        <f>26+43</f>
        <v>69</v>
      </c>
      <c r="H48" s="1637">
        <f>G48</f>
        <v>69</v>
      </c>
      <c r="I48" s="1636" t="s">
        <v>14</v>
      </c>
      <c r="J48" s="1637">
        <v>17</v>
      </c>
      <c r="K48" s="1638">
        <f>J48</f>
        <v>17</v>
      </c>
      <c r="L48" s="1636">
        <v>55</v>
      </c>
      <c r="M48" s="1637">
        <v>93</v>
      </c>
      <c r="N48" s="1642">
        <f t="shared" ref="N48" si="51">M48+L48</f>
        <v>148</v>
      </c>
      <c r="O48" s="1377" t="s">
        <v>154</v>
      </c>
      <c r="P48" s="1460">
        <v>19</v>
      </c>
    </row>
    <row r="49" spans="1:16" ht="30" customHeight="1">
      <c r="A49" s="1460"/>
      <c r="B49" s="1644"/>
      <c r="C49" s="1636"/>
      <c r="D49" s="1637"/>
      <c r="E49" s="1638"/>
      <c r="F49" s="1496"/>
      <c r="G49" s="1645"/>
      <c r="H49" s="1637"/>
      <c r="I49" s="1636"/>
      <c r="J49" s="1637"/>
      <c r="K49" s="1638"/>
      <c r="L49" s="1636"/>
      <c r="M49" s="1637"/>
      <c r="N49" s="1642"/>
      <c r="O49" s="1377" t="s">
        <v>570</v>
      </c>
      <c r="P49" s="1460"/>
    </row>
    <row r="50" spans="1:16" ht="30" customHeight="1">
      <c r="A50" s="1634">
        <v>20</v>
      </c>
      <c r="B50" s="1640" t="s">
        <v>155</v>
      </c>
      <c r="C50" s="1639">
        <v>1</v>
      </c>
      <c r="D50" s="1630">
        <v>48</v>
      </c>
      <c r="E50" s="1630">
        <f>D50+C50</f>
        <v>49</v>
      </c>
      <c r="F50" s="1639">
        <f>18+13</f>
        <v>31</v>
      </c>
      <c r="G50" s="1630">
        <f>122+39</f>
        <v>161</v>
      </c>
      <c r="H50" s="1630">
        <f>G50+F50</f>
        <v>192</v>
      </c>
      <c r="I50" s="1639">
        <v>22</v>
      </c>
      <c r="J50" s="1630">
        <v>60</v>
      </c>
      <c r="K50" s="1631">
        <f>J50+I50</f>
        <v>82</v>
      </c>
      <c r="L50" s="1639">
        <v>88</v>
      </c>
      <c r="M50" s="1630">
        <v>160</v>
      </c>
      <c r="N50" s="1641">
        <f t="shared" ref="N50" si="52">M50+L50</f>
        <v>248</v>
      </c>
      <c r="O50" s="1378" t="s">
        <v>156</v>
      </c>
      <c r="P50" s="1634">
        <v>20</v>
      </c>
    </row>
    <row r="51" spans="1:16" ht="30" customHeight="1">
      <c r="A51" s="1650"/>
      <c r="B51" s="1651"/>
      <c r="C51" s="1648"/>
      <c r="D51" s="1646"/>
      <c r="E51" s="1646"/>
      <c r="F51" s="1648"/>
      <c r="G51" s="1646"/>
      <c r="H51" s="1646"/>
      <c r="I51" s="1648"/>
      <c r="J51" s="1646"/>
      <c r="K51" s="1647"/>
      <c r="L51" s="1648"/>
      <c r="M51" s="1646"/>
      <c r="N51" s="1649"/>
      <c r="O51" s="1380" t="s">
        <v>571</v>
      </c>
      <c r="P51" s="1650"/>
    </row>
    <row r="52" spans="1:16" ht="21.95" customHeight="1">
      <c r="A52" s="1653" t="s">
        <v>905</v>
      </c>
      <c r="B52" s="1653"/>
      <c r="C52" s="1653"/>
      <c r="D52" s="1653"/>
      <c r="E52" s="1653"/>
      <c r="F52" s="1653"/>
      <c r="G52" s="1653"/>
      <c r="H52" s="1653"/>
      <c r="I52" s="1654" t="s">
        <v>903</v>
      </c>
      <c r="J52" s="1654"/>
      <c r="K52" s="1654"/>
      <c r="L52" s="1654"/>
      <c r="M52" s="1654"/>
      <c r="N52" s="1654"/>
      <c r="O52" s="1654"/>
      <c r="P52" s="1654"/>
    </row>
    <row r="53" spans="1:16" ht="21.95" customHeight="1">
      <c r="A53" s="1653"/>
      <c r="B53" s="1653"/>
      <c r="C53" s="1653"/>
      <c r="D53" s="1653"/>
      <c r="E53" s="1653"/>
      <c r="F53" s="1653"/>
      <c r="G53" s="1653"/>
      <c r="H53" s="1653"/>
      <c r="I53" s="1654" t="s">
        <v>904</v>
      </c>
      <c r="J53" s="1654"/>
      <c r="K53" s="1654"/>
      <c r="L53" s="1654"/>
      <c r="M53" s="1654"/>
      <c r="N53" s="1654"/>
      <c r="O53" s="1654"/>
      <c r="P53" s="1654"/>
    </row>
    <row r="54" spans="1:16" ht="21.95" customHeight="1">
      <c r="A54" s="1459" t="s">
        <v>2026</v>
      </c>
      <c r="B54" s="1549" t="s">
        <v>427</v>
      </c>
      <c r="C54" s="1549" t="s">
        <v>123</v>
      </c>
      <c r="D54" s="1550"/>
      <c r="E54" s="1550"/>
      <c r="F54" s="1627" t="s">
        <v>124</v>
      </c>
      <c r="G54" s="1628"/>
      <c r="H54" s="1629"/>
      <c r="I54" s="1549" t="s">
        <v>105</v>
      </c>
      <c r="J54" s="1550"/>
      <c r="K54" s="1557"/>
      <c r="L54" s="1550" t="s">
        <v>125</v>
      </c>
      <c r="M54" s="1550"/>
      <c r="N54" s="1557"/>
      <c r="O54" s="1557" t="s">
        <v>426</v>
      </c>
      <c r="P54" s="1459" t="s">
        <v>2027</v>
      </c>
    </row>
    <row r="55" spans="1:16" ht="21.95" customHeight="1">
      <c r="A55" s="1460"/>
      <c r="B55" s="1619"/>
      <c r="C55" s="1541" t="s">
        <v>546</v>
      </c>
      <c r="D55" s="1542"/>
      <c r="E55" s="1542"/>
      <c r="F55" s="1446" t="s">
        <v>506</v>
      </c>
      <c r="G55" s="1447"/>
      <c r="H55" s="1618"/>
      <c r="I55" s="1544" t="s">
        <v>505</v>
      </c>
      <c r="J55" s="1545"/>
      <c r="K55" s="1546"/>
      <c r="L55" s="1545" t="s">
        <v>550</v>
      </c>
      <c r="M55" s="1545"/>
      <c r="N55" s="1546"/>
      <c r="O55" s="1624"/>
      <c r="P55" s="1460"/>
    </row>
    <row r="56" spans="1:16" ht="21.95" customHeight="1">
      <c r="A56" s="1460"/>
      <c r="B56" s="1619"/>
      <c r="C56" s="1619" t="s">
        <v>73</v>
      </c>
      <c r="D56" s="1620"/>
      <c r="E56" s="1620"/>
      <c r="F56" s="1621" t="s">
        <v>126</v>
      </c>
      <c r="G56" s="1622"/>
      <c r="H56" s="1623"/>
      <c r="I56" s="1619" t="s">
        <v>127</v>
      </c>
      <c r="J56" s="1620"/>
      <c r="K56" s="1624"/>
      <c r="L56" s="1620" t="s">
        <v>128</v>
      </c>
      <c r="M56" s="1620"/>
      <c r="N56" s="1624"/>
      <c r="O56" s="1624"/>
      <c r="P56" s="1460"/>
    </row>
    <row r="57" spans="1:16" ht="21.95" customHeight="1">
      <c r="A57" s="1460"/>
      <c r="B57" s="1619"/>
      <c r="C57" s="1085" t="s">
        <v>0</v>
      </c>
      <c r="D57" s="1078" t="s">
        <v>103</v>
      </c>
      <c r="E57" s="1060" t="s">
        <v>2</v>
      </c>
      <c r="F57" s="1370" t="s">
        <v>0</v>
      </c>
      <c r="G57" s="1371" t="s">
        <v>103</v>
      </c>
      <c r="H57" s="942" t="s">
        <v>2</v>
      </c>
      <c r="I57" s="1085" t="s">
        <v>0</v>
      </c>
      <c r="J57" s="1078" t="s">
        <v>103</v>
      </c>
      <c r="K57" s="1060" t="s">
        <v>2</v>
      </c>
      <c r="L57" s="1085" t="s">
        <v>0</v>
      </c>
      <c r="M57" s="1078" t="s">
        <v>103</v>
      </c>
      <c r="N57" s="1060" t="s">
        <v>2</v>
      </c>
      <c r="O57" s="1624"/>
      <c r="P57" s="1460"/>
    </row>
    <row r="58" spans="1:16" ht="21.95" customHeight="1">
      <c r="A58" s="1460"/>
      <c r="B58" s="1619"/>
      <c r="C58" s="1089" t="s">
        <v>500</v>
      </c>
      <c r="D58" s="1090" t="s">
        <v>501</v>
      </c>
      <c r="E58" s="1067" t="s">
        <v>502</v>
      </c>
      <c r="F58" s="1372" t="s">
        <v>500</v>
      </c>
      <c r="G58" s="1244" t="s">
        <v>501</v>
      </c>
      <c r="H58" s="945" t="s">
        <v>502</v>
      </c>
      <c r="I58" s="1089" t="s">
        <v>500</v>
      </c>
      <c r="J58" s="1090" t="s">
        <v>501</v>
      </c>
      <c r="K58" s="1067" t="s">
        <v>502</v>
      </c>
      <c r="L58" s="1089" t="s">
        <v>500</v>
      </c>
      <c r="M58" s="1090" t="s">
        <v>501</v>
      </c>
      <c r="N58" s="1067" t="s">
        <v>502</v>
      </c>
      <c r="O58" s="1624"/>
      <c r="P58" s="1460"/>
    </row>
    <row r="59" spans="1:16" ht="21.95" customHeight="1">
      <c r="A59" s="1461"/>
      <c r="B59" s="1500"/>
      <c r="C59" s="1062" t="s">
        <v>52</v>
      </c>
      <c r="D59" s="1080" t="s">
        <v>53</v>
      </c>
      <c r="E59" s="1064" t="s">
        <v>28</v>
      </c>
      <c r="F59" s="1373" t="s">
        <v>52</v>
      </c>
      <c r="G59" s="1245" t="s">
        <v>53</v>
      </c>
      <c r="H59" s="1374" t="s">
        <v>28</v>
      </c>
      <c r="I59" s="1062" t="s">
        <v>52</v>
      </c>
      <c r="J59" s="1080" t="s">
        <v>53</v>
      </c>
      <c r="K59" s="1064" t="s">
        <v>28</v>
      </c>
      <c r="L59" s="1062" t="s">
        <v>52</v>
      </c>
      <c r="M59" s="1080" t="s">
        <v>53</v>
      </c>
      <c r="N59" s="1064" t="s">
        <v>28</v>
      </c>
      <c r="O59" s="1502"/>
      <c r="P59" s="1461"/>
    </row>
    <row r="60" spans="1:16" ht="33.950000000000003" customHeight="1">
      <c r="A60" s="1459">
        <v>21</v>
      </c>
      <c r="B60" s="1652" t="s">
        <v>157</v>
      </c>
      <c r="C60" s="1636" t="s">
        <v>14</v>
      </c>
      <c r="D60" s="1637">
        <v>36</v>
      </c>
      <c r="E60" s="1637">
        <f>D60</f>
        <v>36</v>
      </c>
      <c r="F60" s="1636">
        <v>11</v>
      </c>
      <c r="G60" s="1637">
        <f>164+91</f>
        <v>255</v>
      </c>
      <c r="H60" s="1638">
        <f>G60+F60</f>
        <v>266</v>
      </c>
      <c r="I60" s="1636">
        <v>11</v>
      </c>
      <c r="J60" s="1637">
        <v>212</v>
      </c>
      <c r="K60" s="1638">
        <f>J60+I60</f>
        <v>223</v>
      </c>
      <c r="L60" s="1636">
        <v>27</v>
      </c>
      <c r="M60" s="1637">
        <v>343</v>
      </c>
      <c r="N60" s="1642">
        <f>M60+L60</f>
        <v>370</v>
      </c>
      <c r="O60" s="1377" t="s">
        <v>158</v>
      </c>
      <c r="P60" s="1459">
        <v>21</v>
      </c>
    </row>
    <row r="61" spans="1:16" ht="33.950000000000003" customHeight="1">
      <c r="A61" s="1460"/>
      <c r="B61" s="1652"/>
      <c r="C61" s="1636"/>
      <c r="D61" s="1637"/>
      <c r="E61" s="1637"/>
      <c r="F61" s="1636"/>
      <c r="G61" s="1637"/>
      <c r="H61" s="1638"/>
      <c r="I61" s="1636"/>
      <c r="J61" s="1637"/>
      <c r="K61" s="1638"/>
      <c r="L61" s="1636"/>
      <c r="M61" s="1637"/>
      <c r="N61" s="1642"/>
      <c r="O61" s="1377" t="s">
        <v>572</v>
      </c>
      <c r="P61" s="1460"/>
    </row>
    <row r="62" spans="1:16" ht="33.950000000000003" customHeight="1">
      <c r="A62" s="1634">
        <v>22</v>
      </c>
      <c r="B62" s="1656" t="s">
        <v>159</v>
      </c>
      <c r="C62" s="1639">
        <v>1</v>
      </c>
      <c r="D62" s="1630">
        <v>32</v>
      </c>
      <c r="E62" s="1630">
        <f>D62+C62</f>
        <v>33</v>
      </c>
      <c r="F62" s="1639">
        <v>17</v>
      </c>
      <c r="G62" s="1630">
        <f>55+166</f>
        <v>221</v>
      </c>
      <c r="H62" s="1631">
        <f>G62+F62</f>
        <v>238</v>
      </c>
      <c r="I62" s="1639">
        <v>31</v>
      </c>
      <c r="J62" s="1630">
        <v>285</v>
      </c>
      <c r="K62" s="1631">
        <f>J62+I62</f>
        <v>316</v>
      </c>
      <c r="L62" s="1639">
        <v>77</v>
      </c>
      <c r="M62" s="1630">
        <v>505</v>
      </c>
      <c r="N62" s="1641">
        <f t="shared" ref="N62" si="53">M62+L62</f>
        <v>582</v>
      </c>
      <c r="O62" s="1378" t="s">
        <v>160</v>
      </c>
      <c r="P62" s="1634">
        <v>22</v>
      </c>
    </row>
    <row r="63" spans="1:16" ht="33.950000000000003" customHeight="1">
      <c r="A63" s="1634"/>
      <c r="B63" s="1656"/>
      <c r="C63" s="1639"/>
      <c r="D63" s="1630"/>
      <c r="E63" s="1630"/>
      <c r="F63" s="1639"/>
      <c r="G63" s="1630"/>
      <c r="H63" s="1631"/>
      <c r="I63" s="1639"/>
      <c r="J63" s="1630"/>
      <c r="K63" s="1631"/>
      <c r="L63" s="1639"/>
      <c r="M63" s="1630"/>
      <c r="N63" s="1641"/>
      <c r="O63" s="1378" t="s">
        <v>863</v>
      </c>
      <c r="P63" s="1634"/>
    </row>
    <row r="64" spans="1:16" ht="33.950000000000003" customHeight="1">
      <c r="A64" s="1460">
        <v>23</v>
      </c>
      <c r="B64" s="1655" t="s">
        <v>956</v>
      </c>
      <c r="C64" s="1636" t="s">
        <v>14</v>
      </c>
      <c r="D64" s="1637">
        <v>13</v>
      </c>
      <c r="E64" s="1637">
        <f>D64</f>
        <v>13</v>
      </c>
      <c r="F64" s="1636" t="s">
        <v>14</v>
      </c>
      <c r="G64" s="1637">
        <v>8</v>
      </c>
      <c r="H64" s="1638">
        <f>G64</f>
        <v>8</v>
      </c>
      <c r="I64" s="1636">
        <v>43</v>
      </c>
      <c r="J64" s="1637" t="s">
        <v>14</v>
      </c>
      <c r="K64" s="1638">
        <f>I64</f>
        <v>43</v>
      </c>
      <c r="L64" s="1636">
        <v>76</v>
      </c>
      <c r="M64" s="1637" t="s">
        <v>14</v>
      </c>
      <c r="N64" s="1642">
        <f>L64</f>
        <v>76</v>
      </c>
      <c r="O64" s="1375" t="s">
        <v>954</v>
      </c>
      <c r="P64" s="1460">
        <v>23</v>
      </c>
    </row>
    <row r="65" spans="1:17" ht="33.950000000000003" customHeight="1">
      <c r="A65" s="1460"/>
      <c r="B65" s="1655"/>
      <c r="C65" s="1636"/>
      <c r="D65" s="1637"/>
      <c r="E65" s="1637"/>
      <c r="F65" s="1636"/>
      <c r="G65" s="1637"/>
      <c r="H65" s="1638"/>
      <c r="I65" s="1636"/>
      <c r="J65" s="1637"/>
      <c r="K65" s="1638"/>
      <c r="L65" s="1636"/>
      <c r="M65" s="1637"/>
      <c r="N65" s="1642"/>
      <c r="O65" s="1375" t="s">
        <v>955</v>
      </c>
      <c r="P65" s="1460"/>
    </row>
    <row r="66" spans="1:17" ht="33.950000000000003" customHeight="1">
      <c r="A66" s="1634">
        <v>24</v>
      </c>
      <c r="B66" s="1656" t="s">
        <v>161</v>
      </c>
      <c r="C66" s="1639" t="s">
        <v>14</v>
      </c>
      <c r="D66" s="1630">
        <v>20</v>
      </c>
      <c r="E66" s="1630">
        <f>D66</f>
        <v>20</v>
      </c>
      <c r="F66" s="1639">
        <v>8</v>
      </c>
      <c r="G66" s="1630">
        <v>36</v>
      </c>
      <c r="H66" s="1631">
        <f>G66+F66</f>
        <v>44</v>
      </c>
      <c r="I66" s="1639">
        <v>1</v>
      </c>
      <c r="J66" s="1630">
        <v>100</v>
      </c>
      <c r="K66" s="1631">
        <f>J66+I66</f>
        <v>101</v>
      </c>
      <c r="L66" s="1639">
        <v>25</v>
      </c>
      <c r="M66" s="1630">
        <v>236</v>
      </c>
      <c r="N66" s="1641">
        <f t="shared" ref="N66" si="54">M66+L66</f>
        <v>261</v>
      </c>
      <c r="O66" s="1378" t="s">
        <v>162</v>
      </c>
      <c r="P66" s="1634">
        <v>24</v>
      </c>
    </row>
    <row r="67" spans="1:17" ht="33.950000000000003" customHeight="1">
      <c r="A67" s="1634"/>
      <c r="B67" s="1656"/>
      <c r="C67" s="1639"/>
      <c r="D67" s="1630"/>
      <c r="E67" s="1630"/>
      <c r="F67" s="1639"/>
      <c r="G67" s="1630"/>
      <c r="H67" s="1631"/>
      <c r="I67" s="1639"/>
      <c r="J67" s="1630"/>
      <c r="K67" s="1631"/>
      <c r="L67" s="1639"/>
      <c r="M67" s="1630"/>
      <c r="N67" s="1641"/>
      <c r="O67" s="1378" t="s">
        <v>573</v>
      </c>
      <c r="P67" s="1634"/>
    </row>
    <row r="68" spans="1:17" ht="33.950000000000003" customHeight="1">
      <c r="A68" s="1460">
        <v>25</v>
      </c>
      <c r="B68" s="1655" t="s">
        <v>163</v>
      </c>
      <c r="C68" s="1636">
        <v>1</v>
      </c>
      <c r="D68" s="1637">
        <v>48</v>
      </c>
      <c r="E68" s="1637">
        <f>D68+C68</f>
        <v>49</v>
      </c>
      <c r="F68" s="1636">
        <v>409</v>
      </c>
      <c r="G68" s="1637">
        <v>390</v>
      </c>
      <c r="H68" s="1638">
        <f t="shared" ref="H68" si="55">G68+F68</f>
        <v>799</v>
      </c>
      <c r="I68" s="1636">
        <v>163</v>
      </c>
      <c r="J68" s="1637">
        <v>203</v>
      </c>
      <c r="K68" s="1638">
        <f t="shared" ref="K68" si="56">J68+I68</f>
        <v>366</v>
      </c>
      <c r="L68" s="1636">
        <v>416</v>
      </c>
      <c r="M68" s="1637">
        <v>561</v>
      </c>
      <c r="N68" s="1642">
        <f t="shared" ref="N68" si="57">M68+L68</f>
        <v>977</v>
      </c>
      <c r="O68" s="1377" t="s">
        <v>164</v>
      </c>
      <c r="P68" s="1460">
        <v>25</v>
      </c>
    </row>
    <row r="69" spans="1:17" ht="33.950000000000003" customHeight="1">
      <c r="A69" s="1460"/>
      <c r="B69" s="1655"/>
      <c r="C69" s="1636"/>
      <c r="D69" s="1637"/>
      <c r="E69" s="1637"/>
      <c r="F69" s="1636"/>
      <c r="G69" s="1637"/>
      <c r="H69" s="1638"/>
      <c r="I69" s="1636"/>
      <c r="J69" s="1637"/>
      <c r="K69" s="1638"/>
      <c r="L69" s="1636"/>
      <c r="M69" s="1637"/>
      <c r="N69" s="1642"/>
      <c r="O69" s="1377" t="s">
        <v>574</v>
      </c>
      <c r="P69" s="1460"/>
    </row>
    <row r="70" spans="1:17" ht="33.950000000000003" customHeight="1">
      <c r="A70" s="1634">
        <v>26</v>
      </c>
      <c r="B70" s="1656" t="s">
        <v>165</v>
      </c>
      <c r="C70" s="1639">
        <v>1</v>
      </c>
      <c r="D70" s="1630">
        <v>9</v>
      </c>
      <c r="E70" s="1630">
        <f>D70+C70</f>
        <v>10</v>
      </c>
      <c r="F70" s="1639">
        <v>149</v>
      </c>
      <c r="G70" s="1630">
        <v>197</v>
      </c>
      <c r="H70" s="1631">
        <f t="shared" ref="H70" si="58">G70+F70</f>
        <v>346</v>
      </c>
      <c r="I70" s="1639">
        <v>96</v>
      </c>
      <c r="J70" s="1630">
        <v>50</v>
      </c>
      <c r="K70" s="1631">
        <f t="shared" ref="K70" si="59">J70+I70</f>
        <v>146</v>
      </c>
      <c r="L70" s="1639">
        <v>136</v>
      </c>
      <c r="M70" s="1630">
        <v>57</v>
      </c>
      <c r="N70" s="1641">
        <f t="shared" ref="N70" si="60">M70+L70</f>
        <v>193</v>
      </c>
      <c r="O70" s="1376" t="s">
        <v>166</v>
      </c>
      <c r="P70" s="1634">
        <v>26</v>
      </c>
    </row>
    <row r="71" spans="1:17" ht="33.950000000000003" customHeight="1">
      <c r="A71" s="1634"/>
      <c r="B71" s="1656"/>
      <c r="C71" s="1639"/>
      <c r="D71" s="1630"/>
      <c r="E71" s="1630"/>
      <c r="F71" s="1639"/>
      <c r="G71" s="1630"/>
      <c r="H71" s="1631"/>
      <c r="I71" s="1639"/>
      <c r="J71" s="1630"/>
      <c r="K71" s="1631"/>
      <c r="L71" s="1639"/>
      <c r="M71" s="1630"/>
      <c r="N71" s="1641"/>
      <c r="O71" s="1376" t="s">
        <v>833</v>
      </c>
      <c r="P71" s="1634"/>
    </row>
    <row r="72" spans="1:17" ht="33.950000000000003" customHeight="1">
      <c r="A72" s="1460">
        <v>27</v>
      </c>
      <c r="B72" s="1657" t="s">
        <v>167</v>
      </c>
      <c r="C72" s="1636" t="s">
        <v>14</v>
      </c>
      <c r="D72" s="1637">
        <v>7</v>
      </c>
      <c r="E72" s="1637">
        <f>D72</f>
        <v>7</v>
      </c>
      <c r="F72" s="1636">
        <v>172</v>
      </c>
      <c r="G72" s="1637">
        <v>70</v>
      </c>
      <c r="H72" s="1638">
        <f t="shared" ref="H72" si="61">G72+F72</f>
        <v>242</v>
      </c>
      <c r="I72" s="1636">
        <v>60</v>
      </c>
      <c r="J72" s="1637">
        <v>45</v>
      </c>
      <c r="K72" s="1638">
        <f t="shared" ref="K72" si="62">J72+I72</f>
        <v>105</v>
      </c>
      <c r="L72" s="1636">
        <v>101</v>
      </c>
      <c r="M72" s="1637">
        <v>108</v>
      </c>
      <c r="N72" s="1642">
        <f t="shared" ref="N72" si="63">M72+L72</f>
        <v>209</v>
      </c>
      <c r="O72" s="1381" t="s">
        <v>168</v>
      </c>
      <c r="P72" s="1460">
        <v>27</v>
      </c>
    </row>
    <row r="73" spans="1:17" ht="33.950000000000003" customHeight="1">
      <c r="A73" s="1460"/>
      <c r="B73" s="1657"/>
      <c r="C73" s="1636"/>
      <c r="D73" s="1637"/>
      <c r="E73" s="1637"/>
      <c r="F73" s="1636"/>
      <c r="G73" s="1637"/>
      <c r="H73" s="1638"/>
      <c r="I73" s="1636"/>
      <c r="J73" s="1637"/>
      <c r="K73" s="1638"/>
      <c r="L73" s="1636"/>
      <c r="M73" s="1637"/>
      <c r="N73" s="1642"/>
      <c r="O73" s="1377" t="s">
        <v>862</v>
      </c>
      <c r="P73" s="1460"/>
    </row>
    <row r="74" spans="1:17" ht="33.950000000000003" customHeight="1">
      <c r="A74" s="1634">
        <v>28</v>
      </c>
      <c r="B74" s="1656" t="s">
        <v>169</v>
      </c>
      <c r="C74" s="1639">
        <v>15</v>
      </c>
      <c r="D74" s="1630">
        <v>49</v>
      </c>
      <c r="E74" s="1630">
        <f>D74+C74</f>
        <v>64</v>
      </c>
      <c r="F74" s="1658">
        <f>65+396</f>
        <v>461</v>
      </c>
      <c r="G74" s="1659">
        <v>181</v>
      </c>
      <c r="H74" s="1631">
        <f t="shared" ref="H74" si="64">G74+F74</f>
        <v>642</v>
      </c>
      <c r="I74" s="1639">
        <v>224</v>
      </c>
      <c r="J74" s="1630">
        <v>35</v>
      </c>
      <c r="K74" s="1631">
        <f t="shared" ref="K74" si="65">J74+I74</f>
        <v>259</v>
      </c>
      <c r="L74" s="1639">
        <v>470</v>
      </c>
      <c r="M74" s="1630">
        <v>116</v>
      </c>
      <c r="N74" s="1641">
        <f t="shared" ref="N74" si="66">M74+L74</f>
        <v>586</v>
      </c>
      <c r="O74" s="1376" t="s">
        <v>170</v>
      </c>
      <c r="P74" s="1634">
        <v>28</v>
      </c>
      <c r="Q74" t="s">
        <v>1246</v>
      </c>
    </row>
    <row r="75" spans="1:17" ht="33.950000000000003" customHeight="1">
      <c r="A75" s="1634"/>
      <c r="B75" s="1656"/>
      <c r="C75" s="1639"/>
      <c r="D75" s="1630"/>
      <c r="E75" s="1630"/>
      <c r="F75" s="1658"/>
      <c r="G75" s="1659"/>
      <c r="H75" s="1631"/>
      <c r="I75" s="1639"/>
      <c r="J75" s="1630"/>
      <c r="K75" s="1631"/>
      <c r="L75" s="1639"/>
      <c r="M75" s="1630"/>
      <c r="N75" s="1641"/>
      <c r="O75" s="1376" t="s">
        <v>575</v>
      </c>
      <c r="P75" s="1634"/>
      <c r="Q75" t="s">
        <v>1250</v>
      </c>
    </row>
    <row r="76" spans="1:17" ht="33.950000000000003" customHeight="1">
      <c r="A76" s="1460">
        <v>29</v>
      </c>
      <c r="B76" s="1655" t="s">
        <v>171</v>
      </c>
      <c r="C76" s="1636">
        <v>11</v>
      </c>
      <c r="D76" s="1637">
        <v>42</v>
      </c>
      <c r="E76" s="1637">
        <f>D76+C76</f>
        <v>53</v>
      </c>
      <c r="F76" s="1636">
        <f>28+380</f>
        <v>408</v>
      </c>
      <c r="G76" s="1637">
        <f>71+191</f>
        <v>262</v>
      </c>
      <c r="H76" s="1638">
        <f t="shared" ref="H76" si="67">G76+F76</f>
        <v>670</v>
      </c>
      <c r="I76" s="1636">
        <v>430</v>
      </c>
      <c r="J76" s="1637">
        <v>310</v>
      </c>
      <c r="K76" s="1638">
        <f t="shared" ref="K76" si="68">J76+I76</f>
        <v>740</v>
      </c>
      <c r="L76" s="1636">
        <v>747</v>
      </c>
      <c r="M76" s="1637">
        <v>407</v>
      </c>
      <c r="N76" s="1642">
        <f t="shared" ref="N76" si="69">M76+L76</f>
        <v>1154</v>
      </c>
      <c r="O76" s="1377" t="s">
        <v>172</v>
      </c>
      <c r="P76" s="1460">
        <v>29</v>
      </c>
    </row>
    <row r="77" spans="1:17" ht="33.950000000000003" customHeight="1">
      <c r="A77" s="1460"/>
      <c r="B77" s="1655"/>
      <c r="C77" s="1636"/>
      <c r="D77" s="1637"/>
      <c r="E77" s="1637"/>
      <c r="F77" s="1636"/>
      <c r="G77" s="1637"/>
      <c r="H77" s="1638"/>
      <c r="I77" s="1636"/>
      <c r="J77" s="1637"/>
      <c r="K77" s="1638"/>
      <c r="L77" s="1636"/>
      <c r="M77" s="1637"/>
      <c r="N77" s="1642"/>
      <c r="O77" s="1377" t="s">
        <v>576</v>
      </c>
      <c r="P77" s="1460"/>
      <c r="Q77" t="s">
        <v>1246</v>
      </c>
    </row>
    <row r="78" spans="1:17" ht="33.950000000000003" customHeight="1">
      <c r="A78" s="1634">
        <v>30</v>
      </c>
      <c r="B78" s="1656" t="s">
        <v>173</v>
      </c>
      <c r="C78" s="1639" t="s">
        <v>14</v>
      </c>
      <c r="D78" s="1630">
        <v>25</v>
      </c>
      <c r="E78" s="1630">
        <f>D78</f>
        <v>25</v>
      </c>
      <c r="F78" s="1639">
        <v>100</v>
      </c>
      <c r="G78" s="1630">
        <v>56</v>
      </c>
      <c r="H78" s="1631">
        <f t="shared" ref="H78" si="70">G78+F78</f>
        <v>156</v>
      </c>
      <c r="I78" s="1639">
        <v>98</v>
      </c>
      <c r="J78" s="1630">
        <v>117</v>
      </c>
      <c r="K78" s="1631">
        <f t="shared" ref="K78" si="71">J78+I78</f>
        <v>215</v>
      </c>
      <c r="L78" s="1639">
        <v>207</v>
      </c>
      <c r="M78" s="1630">
        <v>222</v>
      </c>
      <c r="N78" s="1641">
        <f t="shared" ref="N78" si="72">M78+L78</f>
        <v>429</v>
      </c>
      <c r="O78" s="1376" t="s">
        <v>174</v>
      </c>
      <c r="P78" s="1634">
        <v>30</v>
      </c>
    </row>
    <row r="79" spans="1:17" ht="33.950000000000003" customHeight="1">
      <c r="A79" s="1634"/>
      <c r="B79" s="1656"/>
      <c r="C79" s="1639"/>
      <c r="D79" s="1630"/>
      <c r="E79" s="1630"/>
      <c r="F79" s="1639"/>
      <c r="G79" s="1630"/>
      <c r="H79" s="1631"/>
      <c r="I79" s="1639"/>
      <c r="J79" s="1630"/>
      <c r="K79" s="1631"/>
      <c r="L79" s="1639"/>
      <c r="M79" s="1630"/>
      <c r="N79" s="1641"/>
      <c r="O79" s="1376" t="s">
        <v>577</v>
      </c>
      <c r="P79" s="1634"/>
    </row>
    <row r="80" spans="1:17" ht="33.950000000000003" customHeight="1">
      <c r="A80" s="1460">
        <v>31</v>
      </c>
      <c r="B80" s="1655" t="s">
        <v>175</v>
      </c>
      <c r="C80" s="1636">
        <v>39</v>
      </c>
      <c r="D80" s="1637">
        <v>32</v>
      </c>
      <c r="E80" s="1637">
        <f>D80+C80</f>
        <v>71</v>
      </c>
      <c r="F80" s="1636">
        <f>145+712</f>
        <v>857</v>
      </c>
      <c r="G80" s="1637">
        <f>29+207</f>
        <v>236</v>
      </c>
      <c r="H80" s="1638">
        <f t="shared" ref="H80" si="73">G80+F80</f>
        <v>1093</v>
      </c>
      <c r="I80" s="1636">
        <v>807</v>
      </c>
      <c r="J80" s="1637">
        <v>219</v>
      </c>
      <c r="K80" s="1638">
        <f t="shared" ref="K80" si="74">J80+I80</f>
        <v>1026</v>
      </c>
      <c r="L80" s="1636">
        <v>1279</v>
      </c>
      <c r="M80" s="1637">
        <v>375</v>
      </c>
      <c r="N80" s="1642">
        <f t="shared" ref="N80" si="75">M80+L80</f>
        <v>1654</v>
      </c>
      <c r="O80" s="1377" t="s">
        <v>176</v>
      </c>
      <c r="P80" s="1460">
        <v>31</v>
      </c>
    </row>
    <row r="81" spans="1:24" ht="33.950000000000003" customHeight="1">
      <c r="A81" s="1460"/>
      <c r="B81" s="1655"/>
      <c r="C81" s="1636"/>
      <c r="D81" s="1637"/>
      <c r="E81" s="1637"/>
      <c r="F81" s="1636"/>
      <c r="G81" s="1637"/>
      <c r="H81" s="1638"/>
      <c r="I81" s="1636"/>
      <c r="J81" s="1637"/>
      <c r="K81" s="1638"/>
      <c r="L81" s="1636"/>
      <c r="M81" s="1637"/>
      <c r="N81" s="1642"/>
      <c r="O81" s="1377" t="s">
        <v>578</v>
      </c>
      <c r="P81" s="1460"/>
      <c r="Q81" t="s">
        <v>1247</v>
      </c>
    </row>
    <row r="82" spans="1:24" ht="33.950000000000003" customHeight="1">
      <c r="A82" s="1634">
        <v>32</v>
      </c>
      <c r="B82" s="1656" t="s">
        <v>177</v>
      </c>
      <c r="C82" s="1639">
        <v>2</v>
      </c>
      <c r="D82" s="1630">
        <v>25</v>
      </c>
      <c r="E82" s="1630">
        <f>D82+C82</f>
        <v>27</v>
      </c>
      <c r="F82" s="1639">
        <v>42</v>
      </c>
      <c r="G82" s="1630">
        <v>68</v>
      </c>
      <c r="H82" s="1631">
        <f t="shared" ref="H82" si="76">G82+F82</f>
        <v>110</v>
      </c>
      <c r="I82" s="1639">
        <v>66</v>
      </c>
      <c r="J82" s="1630">
        <v>48</v>
      </c>
      <c r="K82" s="1631">
        <f t="shared" ref="K82" si="77">J82+I82</f>
        <v>114</v>
      </c>
      <c r="L82" s="1639">
        <v>162</v>
      </c>
      <c r="M82" s="1630">
        <v>62</v>
      </c>
      <c r="N82" s="1641">
        <f t="shared" ref="N82" si="78">M82+L82</f>
        <v>224</v>
      </c>
      <c r="O82" s="1382" t="s">
        <v>178</v>
      </c>
      <c r="P82" s="1634">
        <v>32</v>
      </c>
    </row>
    <row r="83" spans="1:24" ht="33.950000000000003" customHeight="1">
      <c r="A83" s="1634"/>
      <c r="B83" s="1656"/>
      <c r="C83" s="1639"/>
      <c r="D83" s="1630"/>
      <c r="E83" s="1630"/>
      <c r="F83" s="1639"/>
      <c r="G83" s="1630"/>
      <c r="H83" s="1631"/>
      <c r="I83" s="1639"/>
      <c r="J83" s="1630"/>
      <c r="K83" s="1631"/>
      <c r="L83" s="1639"/>
      <c r="M83" s="1630"/>
      <c r="N83" s="1641"/>
      <c r="O83" s="1376" t="s">
        <v>579</v>
      </c>
      <c r="P83" s="1634"/>
    </row>
    <row r="84" spans="1:24" ht="33.950000000000003" customHeight="1">
      <c r="A84" s="1460">
        <v>33</v>
      </c>
      <c r="B84" s="1655" t="s">
        <v>179</v>
      </c>
      <c r="C84" s="1636" t="s">
        <v>14</v>
      </c>
      <c r="D84" s="1637">
        <v>26</v>
      </c>
      <c r="E84" s="1637">
        <f>D84</f>
        <v>26</v>
      </c>
      <c r="F84" s="1636">
        <v>21</v>
      </c>
      <c r="G84" s="1637">
        <v>157</v>
      </c>
      <c r="H84" s="1638">
        <f t="shared" ref="H84" si="79">G84+F84</f>
        <v>178</v>
      </c>
      <c r="I84" s="1636">
        <v>66</v>
      </c>
      <c r="J84" s="1637">
        <v>104</v>
      </c>
      <c r="K84" s="1638">
        <f t="shared" ref="K84" si="80">J84+I84</f>
        <v>170</v>
      </c>
      <c r="L84" s="1636">
        <v>102</v>
      </c>
      <c r="M84" s="1637">
        <v>202</v>
      </c>
      <c r="N84" s="1642">
        <f t="shared" ref="N84" si="81">M84+L84</f>
        <v>304</v>
      </c>
      <c r="O84" s="1375" t="s">
        <v>180</v>
      </c>
      <c r="P84" s="1460">
        <v>33</v>
      </c>
      <c r="U84">
        <v>26</v>
      </c>
      <c r="V84">
        <v>2</v>
      </c>
    </row>
    <row r="85" spans="1:24" ht="33.950000000000003" customHeight="1">
      <c r="A85" s="1460"/>
      <c r="B85" s="1655"/>
      <c r="C85" s="1636"/>
      <c r="D85" s="1637"/>
      <c r="E85" s="1637"/>
      <c r="F85" s="1636"/>
      <c r="G85" s="1637"/>
      <c r="H85" s="1638"/>
      <c r="I85" s="1636"/>
      <c r="J85" s="1637"/>
      <c r="K85" s="1638"/>
      <c r="L85" s="1636"/>
      <c r="M85" s="1637"/>
      <c r="N85" s="1642"/>
      <c r="O85" s="1375" t="s">
        <v>580</v>
      </c>
      <c r="P85" s="1460"/>
      <c r="U85">
        <v>305</v>
      </c>
      <c r="V85">
        <v>73</v>
      </c>
    </row>
    <row r="86" spans="1:24" ht="33.950000000000003" customHeight="1">
      <c r="A86" s="1634">
        <v>34</v>
      </c>
      <c r="B86" s="1656" t="s">
        <v>181</v>
      </c>
      <c r="C86" s="1639" t="s">
        <v>14</v>
      </c>
      <c r="D86" s="1630">
        <v>18</v>
      </c>
      <c r="E86" s="1630">
        <f t="shared" ref="E86" si="82">D86</f>
        <v>18</v>
      </c>
      <c r="F86" s="1639">
        <v>31</v>
      </c>
      <c r="G86" s="1630">
        <v>63</v>
      </c>
      <c r="H86" s="1631">
        <f t="shared" ref="H86" si="83">G86+F86</f>
        <v>94</v>
      </c>
      <c r="I86" s="1639">
        <v>151</v>
      </c>
      <c r="J86" s="1630">
        <v>138</v>
      </c>
      <c r="K86" s="1631">
        <f t="shared" ref="K86" si="84">J86+I86</f>
        <v>289</v>
      </c>
      <c r="L86" s="1639">
        <v>241</v>
      </c>
      <c r="M86" s="1630">
        <v>187</v>
      </c>
      <c r="N86" s="1641">
        <f t="shared" ref="N86" si="85">M86+L86</f>
        <v>428</v>
      </c>
      <c r="O86" s="1376" t="s">
        <v>182</v>
      </c>
      <c r="P86" s="1634">
        <v>34</v>
      </c>
      <c r="U86">
        <v>121</v>
      </c>
      <c r="V86">
        <v>9</v>
      </c>
    </row>
    <row r="87" spans="1:24" ht="33.950000000000003" customHeight="1">
      <c r="A87" s="1634"/>
      <c r="B87" s="1656"/>
      <c r="C87" s="1639"/>
      <c r="D87" s="1630"/>
      <c r="E87" s="1630"/>
      <c r="F87" s="1639"/>
      <c r="G87" s="1630"/>
      <c r="H87" s="1631"/>
      <c r="I87" s="1639"/>
      <c r="J87" s="1630"/>
      <c r="K87" s="1631"/>
      <c r="L87" s="1639"/>
      <c r="M87" s="1630"/>
      <c r="N87" s="1641"/>
      <c r="O87" s="1376" t="s">
        <v>581</v>
      </c>
      <c r="P87" s="1634"/>
      <c r="U87">
        <v>131</v>
      </c>
      <c r="V87">
        <v>0</v>
      </c>
    </row>
    <row r="88" spans="1:24" ht="33.950000000000003" customHeight="1">
      <c r="A88" s="1460">
        <v>35</v>
      </c>
      <c r="B88" s="1655" t="s">
        <v>183</v>
      </c>
      <c r="C88" s="1636" t="s">
        <v>14</v>
      </c>
      <c r="D88" s="1637">
        <v>10</v>
      </c>
      <c r="E88" s="1637">
        <f t="shared" ref="E88" si="86">D88</f>
        <v>10</v>
      </c>
      <c r="F88" s="1636" t="s">
        <v>14</v>
      </c>
      <c r="G88" s="1637">
        <v>71</v>
      </c>
      <c r="H88" s="1638">
        <f>G88</f>
        <v>71</v>
      </c>
      <c r="I88" s="1636">
        <v>12</v>
      </c>
      <c r="J88" s="1637">
        <v>31</v>
      </c>
      <c r="K88" s="1638">
        <f t="shared" ref="K88" si="87">J88+I88</f>
        <v>43</v>
      </c>
      <c r="L88" s="1636">
        <v>46</v>
      </c>
      <c r="M88" s="1637">
        <v>101</v>
      </c>
      <c r="N88" s="1642">
        <f t="shared" ref="N88" si="88">M88+L88</f>
        <v>147</v>
      </c>
      <c r="O88" s="1383" t="s">
        <v>184</v>
      </c>
      <c r="P88" s="1460">
        <v>35</v>
      </c>
      <c r="T88" s="959"/>
      <c r="U88" s="959">
        <v>24</v>
      </c>
      <c r="V88" s="959">
        <v>14</v>
      </c>
      <c r="W88" s="7"/>
      <c r="X88" s="10"/>
    </row>
    <row r="89" spans="1:24" ht="33.950000000000003" customHeight="1">
      <c r="A89" s="1460"/>
      <c r="B89" s="1655"/>
      <c r="C89" s="1636"/>
      <c r="D89" s="1637"/>
      <c r="E89" s="1637"/>
      <c r="F89" s="1636"/>
      <c r="G89" s="1637"/>
      <c r="H89" s="1638"/>
      <c r="I89" s="1636"/>
      <c r="J89" s="1637"/>
      <c r="K89" s="1638"/>
      <c r="L89" s="1636"/>
      <c r="M89" s="1637"/>
      <c r="N89" s="1642"/>
      <c r="O89" s="1377" t="s">
        <v>582</v>
      </c>
      <c r="P89" s="1460"/>
      <c r="U89">
        <v>63</v>
      </c>
      <c r="V89">
        <v>5</v>
      </c>
    </row>
    <row r="90" spans="1:24" ht="33.950000000000003" customHeight="1">
      <c r="A90" s="1634">
        <v>36</v>
      </c>
      <c r="B90" s="1656" t="s">
        <v>185</v>
      </c>
      <c r="C90" s="1639">
        <v>1</v>
      </c>
      <c r="D90" s="1630">
        <v>17</v>
      </c>
      <c r="E90" s="1630">
        <f>D90+C90</f>
        <v>18</v>
      </c>
      <c r="F90" s="1639" t="s">
        <v>14</v>
      </c>
      <c r="G90" s="1630">
        <v>30</v>
      </c>
      <c r="H90" s="1631">
        <f>G90</f>
        <v>30</v>
      </c>
      <c r="I90" s="1639">
        <v>21</v>
      </c>
      <c r="J90" s="1630">
        <v>42</v>
      </c>
      <c r="K90" s="1631">
        <f t="shared" ref="K90" si="89">J90+I90</f>
        <v>63</v>
      </c>
      <c r="L90" s="1639">
        <v>39</v>
      </c>
      <c r="M90" s="1630">
        <v>59</v>
      </c>
      <c r="N90" s="1641">
        <f t="shared" ref="N90" si="90">M90+L90</f>
        <v>98</v>
      </c>
      <c r="O90" s="1378" t="s">
        <v>186</v>
      </c>
      <c r="P90" s="1634">
        <v>36</v>
      </c>
      <c r="U90">
        <v>179</v>
      </c>
      <c r="V90">
        <v>41</v>
      </c>
    </row>
    <row r="91" spans="1:24" ht="33.950000000000003" customHeight="1">
      <c r="A91" s="1634"/>
      <c r="B91" s="1656"/>
      <c r="C91" s="1639"/>
      <c r="D91" s="1630"/>
      <c r="E91" s="1630"/>
      <c r="F91" s="1639"/>
      <c r="G91" s="1630"/>
      <c r="H91" s="1631"/>
      <c r="I91" s="1639"/>
      <c r="J91" s="1630"/>
      <c r="K91" s="1631"/>
      <c r="L91" s="1639"/>
      <c r="M91" s="1630"/>
      <c r="N91" s="1641"/>
      <c r="O91" s="1378" t="s">
        <v>583</v>
      </c>
      <c r="P91" s="1634"/>
      <c r="U91">
        <v>21</v>
      </c>
      <c r="V91">
        <v>1</v>
      </c>
    </row>
    <row r="92" spans="1:24" ht="33.950000000000003" customHeight="1">
      <c r="A92" s="1460">
        <v>37</v>
      </c>
      <c r="B92" s="1652" t="s">
        <v>187</v>
      </c>
      <c r="C92" s="1636">
        <v>4</v>
      </c>
      <c r="D92" s="1637">
        <v>47</v>
      </c>
      <c r="E92" s="1637">
        <f>D92+C92</f>
        <v>51</v>
      </c>
      <c r="F92" s="1636">
        <v>58</v>
      </c>
      <c r="G92" s="1637">
        <v>153</v>
      </c>
      <c r="H92" s="1638">
        <f>G92+F92</f>
        <v>211</v>
      </c>
      <c r="I92" s="1636">
        <v>71</v>
      </c>
      <c r="J92" s="1637">
        <v>266</v>
      </c>
      <c r="K92" s="1638">
        <f t="shared" ref="K92" si="91">J92+I92</f>
        <v>337</v>
      </c>
      <c r="L92" s="1636">
        <v>152</v>
      </c>
      <c r="M92" s="1637">
        <v>459</v>
      </c>
      <c r="N92" s="1642">
        <f t="shared" ref="N92" si="92">M92+L92</f>
        <v>611</v>
      </c>
      <c r="O92" s="1377" t="s">
        <v>188</v>
      </c>
      <c r="P92" s="1460">
        <v>37</v>
      </c>
      <c r="U92">
        <v>32</v>
      </c>
      <c r="V92">
        <v>2</v>
      </c>
    </row>
    <row r="93" spans="1:24" ht="33.950000000000003" customHeight="1">
      <c r="A93" s="1460"/>
      <c r="B93" s="1652"/>
      <c r="C93" s="1636"/>
      <c r="D93" s="1637"/>
      <c r="E93" s="1637"/>
      <c r="F93" s="1636"/>
      <c r="G93" s="1637"/>
      <c r="H93" s="1638"/>
      <c r="I93" s="1636"/>
      <c r="J93" s="1637"/>
      <c r="K93" s="1638"/>
      <c r="L93" s="1636"/>
      <c r="M93" s="1637"/>
      <c r="N93" s="1642"/>
      <c r="O93" s="1377" t="s">
        <v>584</v>
      </c>
      <c r="P93" s="1460"/>
      <c r="U93">
        <v>53</v>
      </c>
      <c r="V93">
        <v>14</v>
      </c>
    </row>
    <row r="94" spans="1:24" ht="33.950000000000003" customHeight="1">
      <c r="A94" s="1634">
        <v>38</v>
      </c>
      <c r="B94" s="1656" t="s">
        <v>189</v>
      </c>
      <c r="C94" s="1658">
        <v>20</v>
      </c>
      <c r="D94" s="1659">
        <v>29</v>
      </c>
      <c r="E94" s="1630">
        <f>D94+C94</f>
        <v>49</v>
      </c>
      <c r="F94" s="1639">
        <f>48+717</f>
        <v>765</v>
      </c>
      <c r="G94" s="1630">
        <f>21+394</f>
        <v>415</v>
      </c>
      <c r="H94" s="1631">
        <f>G94+F94</f>
        <v>1180</v>
      </c>
      <c r="I94" s="1639">
        <v>250</v>
      </c>
      <c r="J94" s="1630">
        <v>85</v>
      </c>
      <c r="K94" s="1631">
        <f t="shared" ref="K94" si="93">J94+I94</f>
        <v>335</v>
      </c>
      <c r="L94" s="1639">
        <v>408</v>
      </c>
      <c r="M94" s="1630">
        <v>133</v>
      </c>
      <c r="N94" s="1641">
        <f t="shared" ref="N94" si="94">M94+L94</f>
        <v>541</v>
      </c>
      <c r="O94" s="1378" t="s">
        <v>190</v>
      </c>
      <c r="P94" s="1634">
        <v>38</v>
      </c>
      <c r="U94">
        <v>25</v>
      </c>
      <c r="V94">
        <v>5</v>
      </c>
    </row>
    <row r="95" spans="1:24" ht="33.950000000000003" customHeight="1">
      <c r="A95" s="1634"/>
      <c r="B95" s="1656"/>
      <c r="C95" s="1658"/>
      <c r="D95" s="1659"/>
      <c r="E95" s="1630"/>
      <c r="F95" s="1639"/>
      <c r="G95" s="1630"/>
      <c r="H95" s="1631"/>
      <c r="I95" s="1639"/>
      <c r="J95" s="1630"/>
      <c r="K95" s="1631"/>
      <c r="L95" s="1639"/>
      <c r="M95" s="1630"/>
      <c r="N95" s="1641"/>
      <c r="O95" s="1382" t="s">
        <v>585</v>
      </c>
      <c r="P95" s="1634"/>
      <c r="U95">
        <v>45</v>
      </c>
      <c r="V95">
        <v>7</v>
      </c>
    </row>
    <row r="96" spans="1:24" ht="33.950000000000003" customHeight="1">
      <c r="A96" s="1460">
        <v>39</v>
      </c>
      <c r="B96" s="1655" t="s">
        <v>191</v>
      </c>
      <c r="C96" s="1636">
        <v>16</v>
      </c>
      <c r="D96" s="1637">
        <v>21</v>
      </c>
      <c r="E96" s="1663">
        <f>D96+C96</f>
        <v>37</v>
      </c>
      <c r="F96" s="1636">
        <v>100</v>
      </c>
      <c r="G96" s="1637">
        <v>31</v>
      </c>
      <c r="H96" s="1638">
        <f>G96+F96</f>
        <v>131</v>
      </c>
      <c r="I96" s="1636">
        <v>173</v>
      </c>
      <c r="J96" s="1637">
        <v>115</v>
      </c>
      <c r="K96" s="1638">
        <f>J96+I96</f>
        <v>288</v>
      </c>
      <c r="L96" s="1636">
        <v>362</v>
      </c>
      <c r="M96" s="1637">
        <v>177</v>
      </c>
      <c r="N96" s="1642">
        <f t="shared" ref="N96" si="95">M96+L96</f>
        <v>539</v>
      </c>
      <c r="O96" s="1377" t="s">
        <v>192</v>
      </c>
      <c r="P96" s="1460">
        <v>39</v>
      </c>
      <c r="U96">
        <v>28</v>
      </c>
      <c r="V96">
        <v>18</v>
      </c>
    </row>
    <row r="97" spans="1:22" ht="33.950000000000003" customHeight="1">
      <c r="A97" s="1461"/>
      <c r="B97" s="1660"/>
      <c r="C97" s="1661"/>
      <c r="D97" s="1662"/>
      <c r="E97" s="1664"/>
      <c r="F97" s="1661"/>
      <c r="G97" s="1662"/>
      <c r="H97" s="1665"/>
      <c r="I97" s="1661"/>
      <c r="J97" s="1662"/>
      <c r="K97" s="1665"/>
      <c r="L97" s="1661"/>
      <c r="M97" s="1662"/>
      <c r="N97" s="1666"/>
      <c r="O97" s="1384" t="s">
        <v>586</v>
      </c>
      <c r="P97" s="1461"/>
      <c r="U97">
        <v>166</v>
      </c>
      <c r="V97">
        <v>0</v>
      </c>
    </row>
    <row r="98" spans="1:22" ht="20.100000000000001" customHeight="1">
      <c r="A98" s="1626" t="s">
        <v>905</v>
      </c>
      <c r="B98" s="1626"/>
      <c r="C98" s="1626"/>
      <c r="D98" s="1626"/>
      <c r="E98" s="1626"/>
      <c r="F98" s="1626"/>
      <c r="G98" s="1626"/>
      <c r="H98" s="1626"/>
      <c r="I98" s="1654" t="s">
        <v>903</v>
      </c>
      <c r="J98" s="1654"/>
      <c r="K98" s="1654"/>
      <c r="L98" s="1654"/>
      <c r="M98" s="1654"/>
      <c r="N98" s="1654"/>
      <c r="O98" s="1654"/>
      <c r="P98" s="1654"/>
      <c r="U98">
        <v>190</v>
      </c>
      <c r="V98">
        <v>0</v>
      </c>
    </row>
    <row r="99" spans="1:22" ht="20.100000000000001" customHeight="1">
      <c r="A99" s="1626"/>
      <c r="B99" s="1626"/>
      <c r="C99" s="1626"/>
      <c r="D99" s="1626"/>
      <c r="E99" s="1626"/>
      <c r="F99" s="1626"/>
      <c r="G99" s="1626"/>
      <c r="H99" s="1626"/>
      <c r="I99" s="1654" t="s">
        <v>904</v>
      </c>
      <c r="J99" s="1654"/>
      <c r="K99" s="1654"/>
      <c r="L99" s="1654"/>
      <c r="M99" s="1654"/>
      <c r="N99" s="1654"/>
      <c r="O99" s="1654"/>
      <c r="P99" s="1654"/>
      <c r="U99">
        <v>53</v>
      </c>
      <c r="V99">
        <v>3</v>
      </c>
    </row>
    <row r="100" spans="1:22" ht="20.100000000000001" customHeight="1">
      <c r="A100" s="1459" t="s">
        <v>2026</v>
      </c>
      <c r="B100" s="1549" t="s">
        <v>427</v>
      </c>
      <c r="C100" s="1549" t="s">
        <v>123</v>
      </c>
      <c r="D100" s="1550"/>
      <c r="E100" s="1550"/>
      <c r="F100" s="1627" t="s">
        <v>124</v>
      </c>
      <c r="G100" s="1628"/>
      <c r="H100" s="1629"/>
      <c r="I100" s="1549" t="s">
        <v>105</v>
      </c>
      <c r="J100" s="1550"/>
      <c r="K100" s="1557"/>
      <c r="L100" s="1550" t="s">
        <v>125</v>
      </c>
      <c r="M100" s="1550"/>
      <c r="N100" s="1557"/>
      <c r="O100" s="1557" t="s">
        <v>426</v>
      </c>
      <c r="P100" s="1459" t="s">
        <v>2027</v>
      </c>
      <c r="U100">
        <v>15</v>
      </c>
      <c r="V100">
        <v>2</v>
      </c>
    </row>
    <row r="101" spans="1:22" ht="20.100000000000001" customHeight="1">
      <c r="A101" s="1460"/>
      <c r="B101" s="1619"/>
      <c r="C101" s="1541" t="s">
        <v>546</v>
      </c>
      <c r="D101" s="1542"/>
      <c r="E101" s="1542"/>
      <c r="F101" s="1446" t="s">
        <v>506</v>
      </c>
      <c r="G101" s="1447"/>
      <c r="H101" s="1618"/>
      <c r="I101" s="1544" t="s">
        <v>505</v>
      </c>
      <c r="J101" s="1545"/>
      <c r="K101" s="1546"/>
      <c r="L101" s="1545" t="s">
        <v>550</v>
      </c>
      <c r="M101" s="1545"/>
      <c r="N101" s="1546"/>
      <c r="O101" s="1624"/>
      <c r="P101" s="1460"/>
      <c r="U101">
        <v>67</v>
      </c>
      <c r="V101">
        <v>31</v>
      </c>
    </row>
    <row r="102" spans="1:22" ht="20.100000000000001" customHeight="1">
      <c r="A102" s="1460"/>
      <c r="B102" s="1619"/>
      <c r="C102" s="1619" t="s">
        <v>73</v>
      </c>
      <c r="D102" s="1620"/>
      <c r="E102" s="1620"/>
      <c r="F102" s="1621" t="s">
        <v>126</v>
      </c>
      <c r="G102" s="1622"/>
      <c r="H102" s="1623"/>
      <c r="I102" s="1619" t="s">
        <v>127</v>
      </c>
      <c r="J102" s="1620"/>
      <c r="K102" s="1624"/>
      <c r="L102" s="1620" t="s">
        <v>128</v>
      </c>
      <c r="M102" s="1620"/>
      <c r="N102" s="1624"/>
      <c r="O102" s="1624"/>
      <c r="P102" s="1460"/>
      <c r="U102">
        <v>12</v>
      </c>
      <c r="V102">
        <v>2</v>
      </c>
    </row>
    <row r="103" spans="1:22" ht="20.100000000000001" customHeight="1">
      <c r="A103" s="1460"/>
      <c r="B103" s="1619"/>
      <c r="C103" s="1085" t="s">
        <v>0</v>
      </c>
      <c r="D103" s="1078" t="s">
        <v>103</v>
      </c>
      <c r="E103" s="1060" t="s">
        <v>2</v>
      </c>
      <c r="F103" s="1370" t="s">
        <v>0</v>
      </c>
      <c r="G103" s="1371" t="s">
        <v>103</v>
      </c>
      <c r="H103" s="942" t="s">
        <v>2</v>
      </c>
      <c r="I103" s="1085" t="s">
        <v>0</v>
      </c>
      <c r="J103" s="1078" t="s">
        <v>103</v>
      </c>
      <c r="K103" s="1060" t="s">
        <v>2</v>
      </c>
      <c r="L103" s="1085" t="s">
        <v>0</v>
      </c>
      <c r="M103" s="1078" t="s">
        <v>103</v>
      </c>
      <c r="N103" s="1087" t="s">
        <v>2</v>
      </c>
      <c r="O103" s="1624"/>
      <c r="P103" s="1460"/>
      <c r="U103">
        <v>67</v>
      </c>
      <c r="V103">
        <v>2</v>
      </c>
    </row>
    <row r="104" spans="1:22" ht="20.100000000000001" customHeight="1">
      <c r="A104" s="1460"/>
      <c r="B104" s="1619"/>
      <c r="C104" s="1089" t="s">
        <v>500</v>
      </c>
      <c r="D104" s="1090" t="s">
        <v>501</v>
      </c>
      <c r="E104" s="1067" t="s">
        <v>502</v>
      </c>
      <c r="F104" s="1372" t="s">
        <v>500</v>
      </c>
      <c r="G104" s="1244" t="s">
        <v>501</v>
      </c>
      <c r="H104" s="945" t="s">
        <v>502</v>
      </c>
      <c r="I104" s="1089" t="s">
        <v>500</v>
      </c>
      <c r="J104" s="1090" t="s">
        <v>501</v>
      </c>
      <c r="K104" s="1067" t="s">
        <v>502</v>
      </c>
      <c r="L104" s="1089" t="s">
        <v>500</v>
      </c>
      <c r="M104" s="1090" t="s">
        <v>501</v>
      </c>
      <c r="N104" s="1088" t="s">
        <v>502</v>
      </c>
      <c r="O104" s="1624"/>
      <c r="P104" s="1460"/>
      <c r="U104">
        <f>SUM(U84:U103)</f>
        <v>1623</v>
      </c>
      <c r="V104">
        <f>SUM(V84:V103)</f>
        <v>231</v>
      </c>
    </row>
    <row r="105" spans="1:22" ht="20.100000000000001" customHeight="1">
      <c r="A105" s="1461"/>
      <c r="B105" s="1500"/>
      <c r="C105" s="1062" t="s">
        <v>52</v>
      </c>
      <c r="D105" s="1080" t="s">
        <v>53</v>
      </c>
      <c r="E105" s="1064" t="s">
        <v>28</v>
      </c>
      <c r="F105" s="1373" t="s">
        <v>52</v>
      </c>
      <c r="G105" s="1245" t="s">
        <v>53</v>
      </c>
      <c r="H105" s="1374" t="s">
        <v>28</v>
      </c>
      <c r="I105" s="1062" t="s">
        <v>52</v>
      </c>
      <c r="J105" s="1080" t="s">
        <v>53</v>
      </c>
      <c r="K105" s="1064" t="s">
        <v>28</v>
      </c>
      <c r="L105" s="1062" t="s">
        <v>52</v>
      </c>
      <c r="M105" s="1080" t="s">
        <v>53</v>
      </c>
      <c r="N105" s="1080" t="s">
        <v>28</v>
      </c>
      <c r="O105" s="1502"/>
      <c r="P105" s="1461"/>
    </row>
    <row r="106" spans="1:22" ht="32.85" customHeight="1">
      <c r="A106" s="1633">
        <v>40</v>
      </c>
      <c r="B106" s="1656" t="s">
        <v>193</v>
      </c>
      <c r="C106" s="1639">
        <v>2</v>
      </c>
      <c r="D106" s="1630">
        <v>7</v>
      </c>
      <c r="E106" s="1659">
        <f>D106+C106</f>
        <v>9</v>
      </c>
      <c r="F106" s="1639">
        <v>112</v>
      </c>
      <c r="G106" s="1630">
        <v>80</v>
      </c>
      <c r="H106" s="1631">
        <f>G106+F106</f>
        <v>192</v>
      </c>
      <c r="I106" s="1639">
        <v>161</v>
      </c>
      <c r="J106" s="1630">
        <v>61</v>
      </c>
      <c r="K106" s="1631">
        <f>J106+I106</f>
        <v>222</v>
      </c>
      <c r="L106" s="1639">
        <v>412</v>
      </c>
      <c r="M106" s="1630">
        <v>154</v>
      </c>
      <c r="N106" s="1641">
        <f>M106+L106</f>
        <v>566</v>
      </c>
      <c r="O106" s="1376" t="s">
        <v>194</v>
      </c>
      <c r="P106" s="1633">
        <v>40</v>
      </c>
    </row>
    <row r="107" spans="1:22" ht="32.85" customHeight="1">
      <c r="A107" s="1634"/>
      <c r="B107" s="1656"/>
      <c r="C107" s="1639"/>
      <c r="D107" s="1630"/>
      <c r="E107" s="1659"/>
      <c r="F107" s="1639"/>
      <c r="G107" s="1630"/>
      <c r="H107" s="1631"/>
      <c r="I107" s="1639"/>
      <c r="J107" s="1630"/>
      <c r="K107" s="1631"/>
      <c r="L107" s="1639"/>
      <c r="M107" s="1630"/>
      <c r="N107" s="1641"/>
      <c r="O107" s="1376" t="s">
        <v>834</v>
      </c>
      <c r="P107" s="1634"/>
    </row>
    <row r="108" spans="1:22" ht="32.85" customHeight="1">
      <c r="A108" s="1460">
        <v>41</v>
      </c>
      <c r="B108" s="1652" t="s">
        <v>195</v>
      </c>
      <c r="C108" s="1636">
        <v>3</v>
      </c>
      <c r="D108" s="1637">
        <v>20</v>
      </c>
      <c r="E108" s="1663">
        <f>D108+C108</f>
        <v>23</v>
      </c>
      <c r="F108" s="1636">
        <v>87</v>
      </c>
      <c r="G108" s="1637">
        <v>75</v>
      </c>
      <c r="H108" s="1638">
        <f>G108+F108</f>
        <v>162</v>
      </c>
      <c r="I108" s="1636">
        <v>117</v>
      </c>
      <c r="J108" s="1637">
        <v>484</v>
      </c>
      <c r="K108" s="1638">
        <f>J108+I108</f>
        <v>601</v>
      </c>
      <c r="L108" s="1636">
        <v>211</v>
      </c>
      <c r="M108" s="1637">
        <v>611</v>
      </c>
      <c r="N108" s="1642">
        <f t="shared" ref="N108" si="96">M108+L108</f>
        <v>822</v>
      </c>
      <c r="O108" s="1375" t="s">
        <v>196</v>
      </c>
      <c r="P108" s="1460">
        <v>41</v>
      </c>
    </row>
    <row r="109" spans="1:22" ht="32.85" customHeight="1">
      <c r="A109" s="1460"/>
      <c r="B109" s="1652"/>
      <c r="C109" s="1636"/>
      <c r="D109" s="1637"/>
      <c r="E109" s="1663"/>
      <c r="F109" s="1636"/>
      <c r="G109" s="1637"/>
      <c r="H109" s="1638"/>
      <c r="I109" s="1636"/>
      <c r="J109" s="1637"/>
      <c r="K109" s="1638"/>
      <c r="L109" s="1636"/>
      <c r="M109" s="1637"/>
      <c r="N109" s="1642"/>
      <c r="O109" s="1375" t="s">
        <v>587</v>
      </c>
      <c r="P109" s="1460"/>
    </row>
    <row r="110" spans="1:22" ht="32.85" customHeight="1">
      <c r="A110" s="1634">
        <v>42</v>
      </c>
      <c r="B110" s="1656" t="s">
        <v>197</v>
      </c>
      <c r="C110" s="1639" t="s">
        <v>14</v>
      </c>
      <c r="D110" s="1630">
        <v>11</v>
      </c>
      <c r="E110" s="1659">
        <f>D110</f>
        <v>11</v>
      </c>
      <c r="F110" s="1639">
        <v>38</v>
      </c>
      <c r="G110" s="1630">
        <v>82</v>
      </c>
      <c r="H110" s="1631">
        <f t="shared" ref="H110" si="97">G110+F110</f>
        <v>120</v>
      </c>
      <c r="I110" s="1639">
        <v>120</v>
      </c>
      <c r="J110" s="1630">
        <v>65</v>
      </c>
      <c r="K110" s="1631">
        <f t="shared" ref="K110" si="98">J110+I110</f>
        <v>185</v>
      </c>
      <c r="L110" s="1639">
        <v>239</v>
      </c>
      <c r="M110" s="1630">
        <v>135</v>
      </c>
      <c r="N110" s="1641">
        <f t="shared" ref="N110" si="99">M110+L110</f>
        <v>374</v>
      </c>
      <c r="O110" s="1376" t="s">
        <v>198</v>
      </c>
      <c r="P110" s="1634">
        <v>42</v>
      </c>
      <c r="Q110" t="s">
        <v>1248</v>
      </c>
    </row>
    <row r="111" spans="1:22" ht="32.85" customHeight="1">
      <c r="A111" s="1634"/>
      <c r="B111" s="1656"/>
      <c r="C111" s="1639"/>
      <c r="D111" s="1630"/>
      <c r="E111" s="1659"/>
      <c r="F111" s="1639"/>
      <c r="G111" s="1630"/>
      <c r="H111" s="1631"/>
      <c r="I111" s="1639"/>
      <c r="J111" s="1630"/>
      <c r="K111" s="1631"/>
      <c r="L111" s="1639"/>
      <c r="M111" s="1630"/>
      <c r="N111" s="1641"/>
      <c r="O111" s="1376" t="s">
        <v>588</v>
      </c>
      <c r="P111" s="1634"/>
    </row>
    <row r="112" spans="1:22" ht="32.85" customHeight="1">
      <c r="A112" s="1460">
        <v>43</v>
      </c>
      <c r="B112" s="1655" t="s">
        <v>199</v>
      </c>
      <c r="C112" s="1636">
        <v>31</v>
      </c>
      <c r="D112" s="1637">
        <v>34</v>
      </c>
      <c r="E112" s="1663">
        <f>D112+C112</f>
        <v>65</v>
      </c>
      <c r="F112" s="1636">
        <f>290+467</f>
        <v>757</v>
      </c>
      <c r="G112" s="1637">
        <v>122</v>
      </c>
      <c r="H112" s="1638">
        <f t="shared" ref="H112" si="100">G112+F112</f>
        <v>879</v>
      </c>
      <c r="I112" s="1636">
        <v>551</v>
      </c>
      <c r="J112" s="1637">
        <v>55</v>
      </c>
      <c r="K112" s="1638">
        <f t="shared" ref="K112" si="101">J112+I112</f>
        <v>606</v>
      </c>
      <c r="L112" s="1636">
        <v>1164</v>
      </c>
      <c r="M112" s="1637">
        <v>134</v>
      </c>
      <c r="N112" s="1642">
        <f t="shared" ref="N112" si="102">M112+L112</f>
        <v>1298</v>
      </c>
      <c r="O112" s="1375" t="s">
        <v>200</v>
      </c>
      <c r="P112" s="1460">
        <v>43</v>
      </c>
      <c r="Q112" t="s">
        <v>1249</v>
      </c>
    </row>
    <row r="113" spans="1:16" ht="32.85" customHeight="1">
      <c r="A113" s="1460"/>
      <c r="B113" s="1655"/>
      <c r="C113" s="1636"/>
      <c r="D113" s="1637"/>
      <c r="E113" s="1663"/>
      <c r="F113" s="1636"/>
      <c r="G113" s="1637"/>
      <c r="H113" s="1638"/>
      <c r="I113" s="1636"/>
      <c r="J113" s="1637"/>
      <c r="K113" s="1638"/>
      <c r="L113" s="1636"/>
      <c r="M113" s="1637"/>
      <c r="N113" s="1642"/>
      <c r="O113" s="1375" t="s">
        <v>589</v>
      </c>
      <c r="P113" s="1460"/>
    </row>
    <row r="114" spans="1:16" ht="32.85" customHeight="1">
      <c r="A114" s="1634">
        <v>44</v>
      </c>
      <c r="B114" s="1656" t="s">
        <v>421</v>
      </c>
      <c r="C114" s="1639" t="s">
        <v>14</v>
      </c>
      <c r="D114" s="1630">
        <v>6</v>
      </c>
      <c r="E114" s="1659">
        <f>D114</f>
        <v>6</v>
      </c>
      <c r="F114" s="1639">
        <v>28</v>
      </c>
      <c r="G114" s="1630">
        <v>38</v>
      </c>
      <c r="H114" s="1631">
        <f t="shared" ref="H114" si="103">G114+F114</f>
        <v>66</v>
      </c>
      <c r="I114" s="1639" t="s">
        <v>14</v>
      </c>
      <c r="J114" s="1630" t="s">
        <v>14</v>
      </c>
      <c r="K114" s="1631" t="s">
        <v>14</v>
      </c>
      <c r="L114" s="1639" t="s">
        <v>14</v>
      </c>
      <c r="M114" s="1630" t="s">
        <v>14</v>
      </c>
      <c r="N114" s="1641" t="s">
        <v>14</v>
      </c>
      <c r="O114" s="1378" t="s">
        <v>861</v>
      </c>
      <c r="P114" s="1634">
        <v>44</v>
      </c>
    </row>
    <row r="115" spans="1:16" ht="32.85" customHeight="1">
      <c r="A115" s="1634"/>
      <c r="B115" s="1656"/>
      <c r="C115" s="1639"/>
      <c r="D115" s="1630"/>
      <c r="E115" s="1659"/>
      <c r="F115" s="1639"/>
      <c r="G115" s="1630"/>
      <c r="H115" s="1631"/>
      <c r="I115" s="1639"/>
      <c r="J115" s="1630"/>
      <c r="K115" s="1631"/>
      <c r="L115" s="1639"/>
      <c r="M115" s="1630"/>
      <c r="N115" s="1641"/>
      <c r="O115" s="1378" t="s">
        <v>835</v>
      </c>
      <c r="P115" s="1634"/>
    </row>
    <row r="116" spans="1:16" ht="32.85" customHeight="1">
      <c r="A116" s="1460">
        <v>45</v>
      </c>
      <c r="B116" s="1652" t="s">
        <v>201</v>
      </c>
      <c r="C116" s="1636">
        <v>6</v>
      </c>
      <c r="D116" s="1637">
        <v>32</v>
      </c>
      <c r="E116" s="1663">
        <f>D116+C116</f>
        <v>38</v>
      </c>
      <c r="F116" s="1636">
        <v>302</v>
      </c>
      <c r="G116" s="1637">
        <v>285</v>
      </c>
      <c r="H116" s="1638">
        <f t="shared" ref="H116" si="104">G116+F116</f>
        <v>587</v>
      </c>
      <c r="I116" s="1636">
        <v>450</v>
      </c>
      <c r="J116" s="1637">
        <v>281</v>
      </c>
      <c r="K116" s="1638">
        <f>J116+I116</f>
        <v>731</v>
      </c>
      <c r="L116" s="1636">
        <v>938</v>
      </c>
      <c r="M116" s="1637">
        <v>549</v>
      </c>
      <c r="N116" s="1642">
        <f t="shared" ref="N116" si="105">M116+L116</f>
        <v>1487</v>
      </c>
      <c r="O116" s="1377" t="s">
        <v>202</v>
      </c>
      <c r="P116" s="1460">
        <v>45</v>
      </c>
    </row>
    <row r="117" spans="1:16" ht="32.85" customHeight="1">
      <c r="A117" s="1460"/>
      <c r="B117" s="1652"/>
      <c r="C117" s="1636"/>
      <c r="D117" s="1637"/>
      <c r="E117" s="1663"/>
      <c r="F117" s="1636"/>
      <c r="G117" s="1637"/>
      <c r="H117" s="1638"/>
      <c r="I117" s="1636"/>
      <c r="J117" s="1637"/>
      <c r="K117" s="1638"/>
      <c r="L117" s="1636"/>
      <c r="M117" s="1637"/>
      <c r="N117" s="1642"/>
      <c r="O117" s="1377" t="s">
        <v>590</v>
      </c>
      <c r="P117" s="1460"/>
    </row>
    <row r="118" spans="1:16" ht="32.85" customHeight="1">
      <c r="A118" s="1634">
        <v>46</v>
      </c>
      <c r="B118" s="1667" t="s">
        <v>203</v>
      </c>
      <c r="C118" s="1639" t="s">
        <v>14</v>
      </c>
      <c r="D118" s="1630">
        <v>21</v>
      </c>
      <c r="E118" s="1659">
        <f>D118</f>
        <v>21</v>
      </c>
      <c r="F118" s="1639">
        <v>72</v>
      </c>
      <c r="G118" s="1630">
        <v>67</v>
      </c>
      <c r="H118" s="1631">
        <f t="shared" ref="H118" si="106">G118+F118</f>
        <v>139</v>
      </c>
      <c r="I118" s="1639">
        <v>176</v>
      </c>
      <c r="J118" s="1630">
        <v>59</v>
      </c>
      <c r="K118" s="1631">
        <f t="shared" ref="K118" si="107">J118+I118</f>
        <v>235</v>
      </c>
      <c r="L118" s="1639">
        <v>268</v>
      </c>
      <c r="M118" s="1630">
        <v>79</v>
      </c>
      <c r="N118" s="1641">
        <f t="shared" ref="N118" si="108">M118+L118</f>
        <v>347</v>
      </c>
      <c r="O118" s="1376" t="s">
        <v>204</v>
      </c>
      <c r="P118" s="1634">
        <v>46</v>
      </c>
    </row>
    <row r="119" spans="1:16" ht="32.85" customHeight="1">
      <c r="A119" s="1634"/>
      <c r="B119" s="1667"/>
      <c r="C119" s="1639"/>
      <c r="D119" s="1630"/>
      <c r="E119" s="1659"/>
      <c r="F119" s="1639"/>
      <c r="G119" s="1630"/>
      <c r="H119" s="1631"/>
      <c r="I119" s="1639"/>
      <c r="J119" s="1630"/>
      <c r="K119" s="1631"/>
      <c r="L119" s="1639"/>
      <c r="M119" s="1630"/>
      <c r="N119" s="1641"/>
      <c r="O119" s="1385" t="s">
        <v>591</v>
      </c>
      <c r="P119" s="1634"/>
    </row>
    <row r="120" spans="1:16" ht="32.85" customHeight="1">
      <c r="A120" s="1460">
        <v>47</v>
      </c>
      <c r="B120" s="1652" t="s">
        <v>1020</v>
      </c>
      <c r="C120" s="1636">
        <v>1</v>
      </c>
      <c r="D120" s="1637">
        <f>14+21</f>
        <v>35</v>
      </c>
      <c r="E120" s="1663">
        <f>D120+C120</f>
        <v>36</v>
      </c>
      <c r="F120" s="1636" t="s">
        <v>14</v>
      </c>
      <c r="G120" s="1637">
        <v>564</v>
      </c>
      <c r="H120" s="1638">
        <f>G120</f>
        <v>564</v>
      </c>
      <c r="I120" s="1636">
        <v>349</v>
      </c>
      <c r="J120" s="1637">
        <v>35</v>
      </c>
      <c r="K120" s="1638">
        <f t="shared" ref="K120" si="109">J120+I120</f>
        <v>384</v>
      </c>
      <c r="L120" s="1636">
        <v>601</v>
      </c>
      <c r="M120" s="1637">
        <v>50</v>
      </c>
      <c r="N120" s="1642">
        <f t="shared" ref="N120" si="110">M120+L120</f>
        <v>651</v>
      </c>
      <c r="O120" s="1377" t="s">
        <v>205</v>
      </c>
      <c r="P120" s="1460">
        <v>47</v>
      </c>
    </row>
    <row r="121" spans="1:16" ht="32.85" customHeight="1">
      <c r="A121" s="1460"/>
      <c r="B121" s="1652"/>
      <c r="C121" s="1636"/>
      <c r="D121" s="1637"/>
      <c r="E121" s="1663"/>
      <c r="F121" s="1636"/>
      <c r="G121" s="1637"/>
      <c r="H121" s="1638"/>
      <c r="I121" s="1636"/>
      <c r="J121" s="1637"/>
      <c r="K121" s="1638"/>
      <c r="L121" s="1636"/>
      <c r="M121" s="1637"/>
      <c r="N121" s="1642"/>
      <c r="O121" s="1386" t="s">
        <v>836</v>
      </c>
      <c r="P121" s="1460"/>
    </row>
    <row r="122" spans="1:16" ht="32.85" customHeight="1">
      <c r="A122" s="1634">
        <v>48</v>
      </c>
      <c r="B122" s="1667" t="s">
        <v>1021</v>
      </c>
      <c r="C122" s="1639">
        <v>1</v>
      </c>
      <c r="D122" s="1630">
        <v>34</v>
      </c>
      <c r="E122" s="1659">
        <f>D122+C122</f>
        <v>35</v>
      </c>
      <c r="F122" s="1639">
        <f>9+98</f>
        <v>107</v>
      </c>
      <c r="G122" s="1630">
        <f>50+64</f>
        <v>114</v>
      </c>
      <c r="H122" s="1631">
        <f>G122+F122</f>
        <v>221</v>
      </c>
      <c r="I122" s="1639">
        <v>140</v>
      </c>
      <c r="J122" s="1630">
        <v>132</v>
      </c>
      <c r="K122" s="1631">
        <f t="shared" ref="K122" si="111">J122+I122</f>
        <v>272</v>
      </c>
      <c r="L122" s="1639">
        <v>299</v>
      </c>
      <c r="M122" s="1630">
        <v>260</v>
      </c>
      <c r="N122" s="1641">
        <f t="shared" ref="N122" si="112">M122+L122</f>
        <v>559</v>
      </c>
      <c r="O122" s="1376" t="s">
        <v>206</v>
      </c>
      <c r="P122" s="1634">
        <v>48</v>
      </c>
    </row>
    <row r="123" spans="1:16" ht="32.85" customHeight="1">
      <c r="A123" s="1634"/>
      <c r="B123" s="1667"/>
      <c r="C123" s="1639"/>
      <c r="D123" s="1630"/>
      <c r="E123" s="1659"/>
      <c r="F123" s="1639"/>
      <c r="G123" s="1630"/>
      <c r="H123" s="1631"/>
      <c r="I123" s="1639"/>
      <c r="J123" s="1630"/>
      <c r="K123" s="1631"/>
      <c r="L123" s="1639"/>
      <c r="M123" s="1630"/>
      <c r="N123" s="1641"/>
      <c r="O123" s="1387" t="s">
        <v>837</v>
      </c>
      <c r="P123" s="1634"/>
    </row>
    <row r="124" spans="1:16" ht="32.85" customHeight="1">
      <c r="A124" s="1460">
        <v>49</v>
      </c>
      <c r="B124" s="1652" t="s">
        <v>1022</v>
      </c>
      <c r="C124" s="1636" t="s">
        <v>14</v>
      </c>
      <c r="D124" s="1637">
        <v>21</v>
      </c>
      <c r="E124" s="1663">
        <f>D124</f>
        <v>21</v>
      </c>
      <c r="F124" s="1636">
        <f>52</f>
        <v>52</v>
      </c>
      <c r="G124" s="1637">
        <f>46+103+25+31+97</f>
        <v>302</v>
      </c>
      <c r="H124" s="1638">
        <f t="shared" ref="H124" si="113">G124+F124</f>
        <v>354</v>
      </c>
      <c r="I124" s="1636">
        <v>155</v>
      </c>
      <c r="J124" s="1637">
        <v>175</v>
      </c>
      <c r="K124" s="1638">
        <f t="shared" ref="K124" si="114">J124+I124</f>
        <v>330</v>
      </c>
      <c r="L124" s="1636">
        <v>239</v>
      </c>
      <c r="M124" s="1637">
        <v>334</v>
      </c>
      <c r="N124" s="1642">
        <f t="shared" ref="N124" si="115">M124+L124</f>
        <v>573</v>
      </c>
      <c r="O124" s="1377" t="s">
        <v>207</v>
      </c>
      <c r="P124" s="1460">
        <v>49</v>
      </c>
    </row>
    <row r="125" spans="1:16" ht="32.85" customHeight="1">
      <c r="A125" s="1460"/>
      <c r="B125" s="1652"/>
      <c r="C125" s="1636"/>
      <c r="D125" s="1637"/>
      <c r="E125" s="1663"/>
      <c r="F125" s="1636"/>
      <c r="G125" s="1637"/>
      <c r="H125" s="1638"/>
      <c r="I125" s="1636"/>
      <c r="J125" s="1637"/>
      <c r="K125" s="1638"/>
      <c r="L125" s="1636"/>
      <c r="M125" s="1637"/>
      <c r="N125" s="1642"/>
      <c r="O125" s="1386" t="s">
        <v>838</v>
      </c>
      <c r="P125" s="1460"/>
    </row>
    <row r="126" spans="1:16" ht="32.85" customHeight="1">
      <c r="A126" s="1634">
        <v>50</v>
      </c>
      <c r="B126" s="1667" t="s">
        <v>1023</v>
      </c>
      <c r="C126" s="1639" t="s">
        <v>14</v>
      </c>
      <c r="D126" s="1630">
        <v>33</v>
      </c>
      <c r="E126" s="1659">
        <f t="shared" ref="E126" si="116">D126</f>
        <v>33</v>
      </c>
      <c r="F126" s="1639">
        <v>1</v>
      </c>
      <c r="G126" s="1630">
        <f>13+58+16+39+19+22</f>
        <v>167</v>
      </c>
      <c r="H126" s="1631">
        <f t="shared" ref="H126" si="117">G126+F126</f>
        <v>168</v>
      </c>
      <c r="I126" s="1639">
        <v>51</v>
      </c>
      <c r="J126" s="1630">
        <v>128</v>
      </c>
      <c r="K126" s="1631">
        <f t="shared" ref="K126" si="118">J126+I126</f>
        <v>179</v>
      </c>
      <c r="L126" s="1639">
        <v>98</v>
      </c>
      <c r="M126" s="1630">
        <v>319</v>
      </c>
      <c r="N126" s="1641">
        <f t="shared" ref="N126" si="119">M126+L126</f>
        <v>417</v>
      </c>
      <c r="O126" s="1382" t="s">
        <v>208</v>
      </c>
      <c r="P126" s="1634">
        <v>50</v>
      </c>
    </row>
    <row r="127" spans="1:16" ht="32.85" customHeight="1">
      <c r="A127" s="1634"/>
      <c r="B127" s="1667"/>
      <c r="C127" s="1639"/>
      <c r="D127" s="1630"/>
      <c r="E127" s="1659"/>
      <c r="F127" s="1639"/>
      <c r="G127" s="1630"/>
      <c r="H127" s="1631"/>
      <c r="I127" s="1639"/>
      <c r="J127" s="1630"/>
      <c r="K127" s="1631"/>
      <c r="L127" s="1639"/>
      <c r="M127" s="1630"/>
      <c r="N127" s="1641"/>
      <c r="O127" s="1388" t="s">
        <v>839</v>
      </c>
      <c r="P127" s="1634"/>
    </row>
    <row r="128" spans="1:16" ht="32.85" customHeight="1">
      <c r="A128" s="1460">
        <v>51</v>
      </c>
      <c r="B128" s="1652" t="s">
        <v>1024</v>
      </c>
      <c r="C128" s="1668" t="s">
        <v>14</v>
      </c>
      <c r="D128" s="1663">
        <v>24</v>
      </c>
      <c r="E128" s="1663">
        <f t="shared" ref="E128" si="120">D128</f>
        <v>24</v>
      </c>
      <c r="F128" s="1668" t="s">
        <v>14</v>
      </c>
      <c r="G128" s="1663">
        <f>56+42+155+22</f>
        <v>275</v>
      </c>
      <c r="H128" s="1638">
        <f>G128</f>
        <v>275</v>
      </c>
      <c r="I128" s="1668">
        <v>64</v>
      </c>
      <c r="J128" s="1663">
        <v>219</v>
      </c>
      <c r="K128" s="1638">
        <f t="shared" ref="K128" si="121">J128+I128</f>
        <v>283</v>
      </c>
      <c r="L128" s="1668">
        <v>160</v>
      </c>
      <c r="M128" s="1663">
        <v>279</v>
      </c>
      <c r="N128" s="1642">
        <f t="shared" ref="N128" si="122">M128+L128</f>
        <v>439</v>
      </c>
      <c r="O128" s="1377" t="s">
        <v>209</v>
      </c>
      <c r="P128" s="1460">
        <v>51</v>
      </c>
    </row>
    <row r="129" spans="1:16" ht="32.85" customHeight="1">
      <c r="A129" s="1460"/>
      <c r="B129" s="1652"/>
      <c r="C129" s="1668"/>
      <c r="D129" s="1663"/>
      <c r="E129" s="1663"/>
      <c r="F129" s="1668"/>
      <c r="G129" s="1663"/>
      <c r="H129" s="1638"/>
      <c r="I129" s="1668"/>
      <c r="J129" s="1663"/>
      <c r="K129" s="1638"/>
      <c r="L129" s="1668"/>
      <c r="M129" s="1663"/>
      <c r="N129" s="1642"/>
      <c r="O129" s="1386" t="s">
        <v>840</v>
      </c>
      <c r="P129" s="1460"/>
    </row>
    <row r="130" spans="1:16" ht="32.85" customHeight="1">
      <c r="A130" s="1634">
        <v>52</v>
      </c>
      <c r="B130" s="1667" t="s">
        <v>1025</v>
      </c>
      <c r="C130" s="1658" t="s">
        <v>14</v>
      </c>
      <c r="D130" s="1659">
        <v>87</v>
      </c>
      <c r="E130" s="1659">
        <f t="shared" ref="E130" si="123">D130</f>
        <v>87</v>
      </c>
      <c r="F130" s="1658">
        <f>8+49</f>
        <v>57</v>
      </c>
      <c r="G130" s="1659">
        <f>82+139+90+134+25+81+70+72+188+27+102</f>
        <v>1010</v>
      </c>
      <c r="H130" s="1631">
        <f>G130+F130</f>
        <v>1067</v>
      </c>
      <c r="I130" s="1658">
        <v>370</v>
      </c>
      <c r="J130" s="1659">
        <v>140</v>
      </c>
      <c r="K130" s="1631">
        <f>J130+I130</f>
        <v>510</v>
      </c>
      <c r="L130" s="1658">
        <v>859</v>
      </c>
      <c r="M130" s="1659">
        <v>764</v>
      </c>
      <c r="N130" s="1641">
        <f t="shared" ref="N130" si="124">M130+L130</f>
        <v>1623</v>
      </c>
      <c r="O130" s="1376" t="s">
        <v>210</v>
      </c>
      <c r="P130" s="1634">
        <v>52</v>
      </c>
    </row>
    <row r="131" spans="1:16" ht="32.85" customHeight="1">
      <c r="A131" s="1634"/>
      <c r="B131" s="1667"/>
      <c r="C131" s="1658"/>
      <c r="D131" s="1659"/>
      <c r="E131" s="1659"/>
      <c r="F131" s="1658"/>
      <c r="G131" s="1659"/>
      <c r="H131" s="1631"/>
      <c r="I131" s="1658"/>
      <c r="J131" s="1659"/>
      <c r="K131" s="1631"/>
      <c r="L131" s="1658"/>
      <c r="M131" s="1659"/>
      <c r="N131" s="1641"/>
      <c r="O131" s="1387" t="s">
        <v>841</v>
      </c>
      <c r="P131" s="1634"/>
    </row>
    <row r="132" spans="1:16" ht="32.85" customHeight="1">
      <c r="A132" s="1460">
        <v>53</v>
      </c>
      <c r="B132" s="1652" t="s">
        <v>1026</v>
      </c>
      <c r="C132" s="1668" t="s">
        <v>14</v>
      </c>
      <c r="D132" s="1663">
        <v>19</v>
      </c>
      <c r="E132" s="1663">
        <f t="shared" ref="E132" si="125">D132</f>
        <v>19</v>
      </c>
      <c r="F132" s="1668">
        <f>21+21</f>
        <v>42</v>
      </c>
      <c r="G132" s="1663">
        <f>65+24</f>
        <v>89</v>
      </c>
      <c r="H132" s="1638">
        <f t="shared" ref="H132" si="126">G132+F132</f>
        <v>131</v>
      </c>
      <c r="I132" s="1668">
        <v>106</v>
      </c>
      <c r="J132" s="1663">
        <v>191</v>
      </c>
      <c r="K132" s="1638">
        <f t="shared" ref="K132" si="127">J132+I132</f>
        <v>297</v>
      </c>
      <c r="L132" s="1668">
        <v>55</v>
      </c>
      <c r="M132" s="1663">
        <v>276</v>
      </c>
      <c r="N132" s="1642">
        <f t="shared" ref="N132" si="128">M132+L132</f>
        <v>331</v>
      </c>
      <c r="O132" s="1377" t="s">
        <v>211</v>
      </c>
      <c r="P132" s="1460">
        <v>53</v>
      </c>
    </row>
    <row r="133" spans="1:16" ht="32.85" customHeight="1">
      <c r="A133" s="1460"/>
      <c r="B133" s="1652"/>
      <c r="C133" s="1668"/>
      <c r="D133" s="1663"/>
      <c r="E133" s="1663"/>
      <c r="F133" s="1668"/>
      <c r="G133" s="1663"/>
      <c r="H133" s="1638"/>
      <c r="I133" s="1668"/>
      <c r="J133" s="1663"/>
      <c r="K133" s="1638"/>
      <c r="L133" s="1668"/>
      <c r="M133" s="1663"/>
      <c r="N133" s="1642"/>
      <c r="O133" s="1386" t="s">
        <v>842</v>
      </c>
      <c r="P133" s="1460"/>
    </row>
    <row r="134" spans="1:16" ht="32.85" customHeight="1">
      <c r="A134" s="1634">
        <v>54</v>
      </c>
      <c r="B134" s="1667" t="s">
        <v>1027</v>
      </c>
      <c r="C134" s="1658" t="s">
        <v>14</v>
      </c>
      <c r="D134" s="1659">
        <v>24</v>
      </c>
      <c r="E134" s="1659">
        <f t="shared" ref="E134" si="129">D134</f>
        <v>24</v>
      </c>
      <c r="F134" s="1658">
        <v>16</v>
      </c>
      <c r="G134" s="1659">
        <v>77</v>
      </c>
      <c r="H134" s="1631">
        <f t="shared" ref="H134" si="130">G134+F134</f>
        <v>93</v>
      </c>
      <c r="I134" s="1658">
        <v>79</v>
      </c>
      <c r="J134" s="1659">
        <v>85</v>
      </c>
      <c r="K134" s="1631">
        <f t="shared" ref="K134" si="131">J134+I134</f>
        <v>164</v>
      </c>
      <c r="L134" s="1658">
        <v>143</v>
      </c>
      <c r="M134" s="1659">
        <v>138</v>
      </c>
      <c r="N134" s="1641">
        <f t="shared" ref="N134" si="132">M134+L134</f>
        <v>281</v>
      </c>
      <c r="O134" s="1376" t="s">
        <v>212</v>
      </c>
      <c r="P134" s="1634">
        <v>54</v>
      </c>
    </row>
    <row r="135" spans="1:16" ht="32.85" customHeight="1">
      <c r="A135" s="1634"/>
      <c r="B135" s="1667"/>
      <c r="C135" s="1658"/>
      <c r="D135" s="1659"/>
      <c r="E135" s="1659"/>
      <c r="F135" s="1658"/>
      <c r="G135" s="1659"/>
      <c r="H135" s="1631"/>
      <c r="I135" s="1658"/>
      <c r="J135" s="1659"/>
      <c r="K135" s="1631"/>
      <c r="L135" s="1658"/>
      <c r="M135" s="1659"/>
      <c r="N135" s="1641"/>
      <c r="O135" s="1387" t="s">
        <v>843</v>
      </c>
      <c r="P135" s="1634"/>
    </row>
    <row r="136" spans="1:16" ht="32.85" customHeight="1">
      <c r="A136" s="1460">
        <v>55</v>
      </c>
      <c r="B136" s="1652" t="s">
        <v>1028</v>
      </c>
      <c r="C136" s="1668">
        <v>1</v>
      </c>
      <c r="D136" s="1663">
        <v>37</v>
      </c>
      <c r="E136" s="1663">
        <f>D136+C136</f>
        <v>38</v>
      </c>
      <c r="F136" s="1668">
        <f>46+36+41+32+46</f>
        <v>201</v>
      </c>
      <c r="G136" s="1663">
        <f>52+49+35+46+32</f>
        <v>214</v>
      </c>
      <c r="H136" s="1638">
        <f t="shared" ref="H136" si="133">G136+F136</f>
        <v>415</v>
      </c>
      <c r="I136" s="1668">
        <v>408</v>
      </c>
      <c r="J136" s="1663">
        <v>84</v>
      </c>
      <c r="K136" s="1638">
        <f t="shared" ref="K136" si="134">J136+I136</f>
        <v>492</v>
      </c>
      <c r="L136" s="1668">
        <v>717</v>
      </c>
      <c r="M136" s="1663">
        <v>275</v>
      </c>
      <c r="N136" s="1642">
        <f t="shared" ref="N136" si="135">M136+L136</f>
        <v>992</v>
      </c>
      <c r="O136" s="1377" t="s">
        <v>213</v>
      </c>
      <c r="P136" s="1460">
        <v>55</v>
      </c>
    </row>
    <row r="137" spans="1:16" ht="32.85" customHeight="1">
      <c r="A137" s="1460"/>
      <c r="B137" s="1652"/>
      <c r="C137" s="1668"/>
      <c r="D137" s="1663"/>
      <c r="E137" s="1663"/>
      <c r="F137" s="1668"/>
      <c r="G137" s="1663"/>
      <c r="H137" s="1638"/>
      <c r="I137" s="1668"/>
      <c r="J137" s="1663"/>
      <c r="K137" s="1638"/>
      <c r="L137" s="1668"/>
      <c r="M137" s="1663"/>
      <c r="N137" s="1642"/>
      <c r="O137" s="1386" t="s">
        <v>844</v>
      </c>
      <c r="P137" s="1460"/>
    </row>
    <row r="138" spans="1:16" ht="32.85" customHeight="1">
      <c r="A138" s="1634">
        <v>56</v>
      </c>
      <c r="B138" s="1667" t="s">
        <v>1029</v>
      </c>
      <c r="C138" s="1658" t="s">
        <v>14</v>
      </c>
      <c r="D138" s="1659">
        <v>37</v>
      </c>
      <c r="E138" s="1630">
        <f>D138</f>
        <v>37</v>
      </c>
      <c r="F138" s="1658">
        <f>48+43</f>
        <v>91</v>
      </c>
      <c r="G138" s="1659">
        <f>6+51+35+64</f>
        <v>156</v>
      </c>
      <c r="H138" s="1631">
        <f t="shared" ref="H138" si="136">G138+F138</f>
        <v>247</v>
      </c>
      <c r="I138" s="1658">
        <v>225</v>
      </c>
      <c r="J138" s="1659">
        <v>15</v>
      </c>
      <c r="K138" s="1631">
        <f t="shared" ref="K138" si="137">J138+I138</f>
        <v>240</v>
      </c>
      <c r="L138" s="1658">
        <v>287</v>
      </c>
      <c r="M138" s="1659">
        <v>35</v>
      </c>
      <c r="N138" s="1641">
        <f t="shared" ref="N138" si="138">M138+L138</f>
        <v>322</v>
      </c>
      <c r="O138" s="1376" t="s">
        <v>467</v>
      </c>
      <c r="P138" s="1634">
        <v>56</v>
      </c>
    </row>
    <row r="139" spans="1:16" ht="32.85" customHeight="1">
      <c r="A139" s="1634"/>
      <c r="B139" s="1667"/>
      <c r="C139" s="1658"/>
      <c r="D139" s="1659"/>
      <c r="E139" s="1630"/>
      <c r="F139" s="1658"/>
      <c r="G139" s="1659"/>
      <c r="H139" s="1631"/>
      <c r="I139" s="1658"/>
      <c r="J139" s="1659"/>
      <c r="K139" s="1631"/>
      <c r="L139" s="1658"/>
      <c r="M139" s="1659"/>
      <c r="N139" s="1641"/>
      <c r="O139" s="1387" t="s">
        <v>845</v>
      </c>
      <c r="P139" s="1634"/>
    </row>
    <row r="140" spans="1:16" ht="32.85" customHeight="1">
      <c r="A140" s="1460">
        <v>57</v>
      </c>
      <c r="B140" s="1652" t="s">
        <v>1271</v>
      </c>
      <c r="C140" s="1669">
        <v>1</v>
      </c>
      <c r="D140" s="1670">
        <f>12+14+9</f>
        <v>35</v>
      </c>
      <c r="E140" s="1637">
        <f>D140+C140</f>
        <v>36</v>
      </c>
      <c r="F140" s="1669">
        <f>36+42+39+62+29+11</f>
        <v>219</v>
      </c>
      <c r="G140" s="1670">
        <f>23+18+156+171+103+134+102</f>
        <v>707</v>
      </c>
      <c r="H140" s="1638">
        <f t="shared" ref="H140" si="139">G140+F140</f>
        <v>926</v>
      </c>
      <c r="I140" s="1669">
        <v>104</v>
      </c>
      <c r="J140" s="1670">
        <v>94</v>
      </c>
      <c r="K140" s="1638">
        <f>J140+I140</f>
        <v>198</v>
      </c>
      <c r="L140" s="1669">
        <v>169</v>
      </c>
      <c r="M140" s="1670">
        <v>183</v>
      </c>
      <c r="N140" s="1543">
        <f t="shared" ref="N140" si="140">M140+L140</f>
        <v>352</v>
      </c>
      <c r="O140" s="1389" t="s">
        <v>1269</v>
      </c>
      <c r="P140" s="1460">
        <v>57</v>
      </c>
    </row>
    <row r="141" spans="1:16" ht="32.85" customHeight="1">
      <c r="A141" s="1460"/>
      <c r="B141" s="1652"/>
      <c r="C141" s="1669"/>
      <c r="D141" s="1670"/>
      <c r="E141" s="1637"/>
      <c r="F141" s="1669"/>
      <c r="G141" s="1670"/>
      <c r="H141" s="1638"/>
      <c r="I141" s="1669"/>
      <c r="J141" s="1670"/>
      <c r="K141" s="1638"/>
      <c r="L141" s="1669"/>
      <c r="M141" s="1670"/>
      <c r="N141" s="1543"/>
      <c r="O141" s="1390" t="s">
        <v>1270</v>
      </c>
      <c r="P141" s="1460"/>
    </row>
    <row r="142" spans="1:16" ht="32.85" customHeight="1">
      <c r="A142" s="1634">
        <v>58</v>
      </c>
      <c r="B142" s="1667" t="s">
        <v>1030</v>
      </c>
      <c r="C142" s="1658" t="s">
        <v>14</v>
      </c>
      <c r="D142" s="1659">
        <v>16</v>
      </c>
      <c r="E142" s="1630">
        <f>D142</f>
        <v>16</v>
      </c>
      <c r="F142" s="1658" t="s">
        <v>14</v>
      </c>
      <c r="G142" s="1659">
        <v>73</v>
      </c>
      <c r="H142" s="1631">
        <f>G142</f>
        <v>73</v>
      </c>
      <c r="I142" s="1658" t="s">
        <v>14</v>
      </c>
      <c r="J142" s="1659">
        <v>178</v>
      </c>
      <c r="K142" s="1631">
        <f>J142</f>
        <v>178</v>
      </c>
      <c r="L142" s="1658">
        <v>82</v>
      </c>
      <c r="M142" s="1659">
        <v>345</v>
      </c>
      <c r="N142" s="1641">
        <f t="shared" ref="N142" si="141">M142+L142</f>
        <v>427</v>
      </c>
      <c r="O142" s="1376" t="s">
        <v>468</v>
      </c>
      <c r="P142" s="1634">
        <v>58</v>
      </c>
    </row>
    <row r="143" spans="1:16" ht="32.85" customHeight="1">
      <c r="A143" s="1634"/>
      <c r="B143" s="1667"/>
      <c r="C143" s="1658"/>
      <c r="D143" s="1659"/>
      <c r="E143" s="1630"/>
      <c r="F143" s="1658"/>
      <c r="G143" s="1659"/>
      <c r="H143" s="1631"/>
      <c r="I143" s="1658"/>
      <c r="J143" s="1659"/>
      <c r="K143" s="1631"/>
      <c r="L143" s="1658"/>
      <c r="M143" s="1659"/>
      <c r="N143" s="1641"/>
      <c r="O143" s="1387" t="s">
        <v>846</v>
      </c>
      <c r="P143" s="1634"/>
    </row>
    <row r="144" spans="1:16" ht="32.85" customHeight="1">
      <c r="A144" s="1460">
        <v>59</v>
      </c>
      <c r="B144" s="1652" t="s">
        <v>1031</v>
      </c>
      <c r="C144" s="1668" t="s">
        <v>14</v>
      </c>
      <c r="D144" s="1663">
        <v>34</v>
      </c>
      <c r="E144" s="1637">
        <f>D144</f>
        <v>34</v>
      </c>
      <c r="F144" s="1668">
        <v>20</v>
      </c>
      <c r="G144" s="1663">
        <f>64+54+71+48+29+34+38+25</f>
        <v>363</v>
      </c>
      <c r="H144" s="1638">
        <f>G144+F144</f>
        <v>383</v>
      </c>
      <c r="I144" s="1668">
        <v>78</v>
      </c>
      <c r="J144" s="1663">
        <v>362</v>
      </c>
      <c r="K144" s="1638">
        <f>J144+I144</f>
        <v>440</v>
      </c>
      <c r="L144" s="1668">
        <v>99</v>
      </c>
      <c r="M144" s="1663">
        <v>561</v>
      </c>
      <c r="N144" s="1642">
        <f t="shared" ref="N144" si="142">M144+L144</f>
        <v>660</v>
      </c>
      <c r="O144" s="1375" t="s">
        <v>469</v>
      </c>
      <c r="P144" s="1460">
        <v>59</v>
      </c>
    </row>
    <row r="145" spans="1:16" ht="32.85" customHeight="1">
      <c r="A145" s="1461"/>
      <c r="B145" s="1672"/>
      <c r="C145" s="1671"/>
      <c r="D145" s="1664"/>
      <c r="E145" s="1662"/>
      <c r="F145" s="1671"/>
      <c r="G145" s="1664"/>
      <c r="H145" s="1665"/>
      <c r="I145" s="1671"/>
      <c r="J145" s="1664"/>
      <c r="K145" s="1665"/>
      <c r="L145" s="1671"/>
      <c r="M145" s="1664"/>
      <c r="N145" s="1666"/>
      <c r="O145" s="1391" t="s">
        <v>847</v>
      </c>
      <c r="P145" s="1461"/>
    </row>
    <row r="146" spans="1:16" ht="18" customHeight="1">
      <c r="A146" s="1653" t="s">
        <v>905</v>
      </c>
      <c r="B146" s="1653"/>
      <c r="C146" s="1653"/>
      <c r="D146" s="1653"/>
      <c r="E146" s="1653"/>
      <c r="F146" s="1653"/>
      <c r="G146" s="1653"/>
      <c r="H146" s="1653"/>
      <c r="I146" s="1654" t="s">
        <v>903</v>
      </c>
      <c r="J146" s="1654"/>
      <c r="K146" s="1654"/>
      <c r="L146" s="1654"/>
      <c r="M146" s="1654"/>
      <c r="N146" s="1654"/>
      <c r="O146" s="1654"/>
      <c r="P146" s="1654"/>
    </row>
    <row r="147" spans="1:16" ht="18" customHeight="1">
      <c r="A147" s="1653"/>
      <c r="B147" s="1653"/>
      <c r="C147" s="1653"/>
      <c r="D147" s="1653"/>
      <c r="E147" s="1653"/>
      <c r="F147" s="1653"/>
      <c r="G147" s="1653"/>
      <c r="H147" s="1653"/>
      <c r="I147" s="1654" t="s">
        <v>904</v>
      </c>
      <c r="J147" s="1654"/>
      <c r="K147" s="1654"/>
      <c r="L147" s="1654"/>
      <c r="M147" s="1654"/>
      <c r="N147" s="1654"/>
      <c r="O147" s="1654"/>
      <c r="P147" s="1654"/>
    </row>
    <row r="148" spans="1:16" ht="15.95" customHeight="1">
      <c r="A148" s="1459" t="s">
        <v>2026</v>
      </c>
      <c r="B148" s="1549" t="s">
        <v>427</v>
      </c>
      <c r="C148" s="1549" t="s">
        <v>123</v>
      </c>
      <c r="D148" s="1550"/>
      <c r="E148" s="1550"/>
      <c r="F148" s="1627" t="s">
        <v>124</v>
      </c>
      <c r="G148" s="1628"/>
      <c r="H148" s="1629"/>
      <c r="I148" s="1549" t="s">
        <v>105</v>
      </c>
      <c r="J148" s="1550"/>
      <c r="K148" s="1557"/>
      <c r="L148" s="1550" t="s">
        <v>125</v>
      </c>
      <c r="M148" s="1550"/>
      <c r="N148" s="1557"/>
      <c r="O148" s="1557" t="s">
        <v>426</v>
      </c>
      <c r="P148" s="1459" t="s">
        <v>2027</v>
      </c>
    </row>
    <row r="149" spans="1:16" ht="15.95" customHeight="1">
      <c r="A149" s="1460"/>
      <c r="B149" s="1619"/>
      <c r="C149" s="1541" t="s">
        <v>546</v>
      </c>
      <c r="D149" s="1542"/>
      <c r="E149" s="1542"/>
      <c r="F149" s="1446" t="s">
        <v>506</v>
      </c>
      <c r="G149" s="1447"/>
      <c r="H149" s="1618"/>
      <c r="I149" s="1544" t="s">
        <v>505</v>
      </c>
      <c r="J149" s="1545"/>
      <c r="K149" s="1546"/>
      <c r="L149" s="1545" t="s">
        <v>550</v>
      </c>
      <c r="M149" s="1545"/>
      <c r="N149" s="1546"/>
      <c r="O149" s="1624"/>
      <c r="P149" s="1460"/>
    </row>
    <row r="150" spans="1:16" ht="15.95" customHeight="1">
      <c r="A150" s="1460"/>
      <c r="B150" s="1619"/>
      <c r="C150" s="1619" t="s">
        <v>73</v>
      </c>
      <c r="D150" s="1620"/>
      <c r="E150" s="1620"/>
      <c r="F150" s="1621" t="s">
        <v>126</v>
      </c>
      <c r="G150" s="1622"/>
      <c r="H150" s="1623"/>
      <c r="I150" s="1619" t="s">
        <v>127</v>
      </c>
      <c r="J150" s="1620"/>
      <c r="K150" s="1624"/>
      <c r="L150" s="1620" t="s">
        <v>128</v>
      </c>
      <c r="M150" s="1620"/>
      <c r="N150" s="1624"/>
      <c r="O150" s="1624"/>
      <c r="P150" s="1460"/>
    </row>
    <row r="151" spans="1:16" ht="15.95" customHeight="1">
      <c r="A151" s="1460"/>
      <c r="B151" s="1619"/>
      <c r="C151" s="1085" t="s">
        <v>0</v>
      </c>
      <c r="D151" s="1078" t="s">
        <v>103</v>
      </c>
      <c r="E151" s="1059" t="s">
        <v>2</v>
      </c>
      <c r="F151" s="1370" t="s">
        <v>0</v>
      </c>
      <c r="G151" s="1371" t="s">
        <v>103</v>
      </c>
      <c r="H151" s="942" t="s">
        <v>2</v>
      </c>
      <c r="I151" s="1085" t="s">
        <v>0</v>
      </c>
      <c r="J151" s="1078" t="s">
        <v>103</v>
      </c>
      <c r="K151" s="1060" t="s">
        <v>2</v>
      </c>
      <c r="L151" s="1086" t="s">
        <v>0</v>
      </c>
      <c r="M151" s="1078" t="s">
        <v>103</v>
      </c>
      <c r="N151" s="1060" t="s">
        <v>2</v>
      </c>
      <c r="O151" s="1624"/>
      <c r="P151" s="1460"/>
    </row>
    <row r="152" spans="1:16" ht="15.95" customHeight="1">
      <c r="A152" s="1460"/>
      <c r="B152" s="1619"/>
      <c r="C152" s="1089" t="s">
        <v>500</v>
      </c>
      <c r="D152" s="1090" t="s">
        <v>501</v>
      </c>
      <c r="E152" s="1075" t="s">
        <v>502</v>
      </c>
      <c r="F152" s="1372" t="s">
        <v>500</v>
      </c>
      <c r="G152" s="1244" t="s">
        <v>501</v>
      </c>
      <c r="H152" s="945" t="s">
        <v>502</v>
      </c>
      <c r="I152" s="1089" t="s">
        <v>500</v>
      </c>
      <c r="J152" s="1090" t="s">
        <v>501</v>
      </c>
      <c r="K152" s="1067" t="s">
        <v>502</v>
      </c>
      <c r="L152" s="1392" t="s">
        <v>500</v>
      </c>
      <c r="M152" s="1090" t="s">
        <v>501</v>
      </c>
      <c r="N152" s="1067" t="s">
        <v>502</v>
      </c>
      <c r="O152" s="1624"/>
      <c r="P152" s="1460"/>
    </row>
    <row r="153" spans="1:16" ht="15.95" customHeight="1">
      <c r="A153" s="1461"/>
      <c r="B153" s="1500"/>
      <c r="C153" s="1062" t="s">
        <v>52</v>
      </c>
      <c r="D153" s="1080" t="s">
        <v>53</v>
      </c>
      <c r="E153" s="1063" t="s">
        <v>28</v>
      </c>
      <c r="F153" s="1373" t="s">
        <v>52</v>
      </c>
      <c r="G153" s="1245" t="s">
        <v>53</v>
      </c>
      <c r="H153" s="1374" t="s">
        <v>28</v>
      </c>
      <c r="I153" s="1062" t="s">
        <v>52</v>
      </c>
      <c r="J153" s="1080" t="s">
        <v>53</v>
      </c>
      <c r="K153" s="1064" t="s">
        <v>28</v>
      </c>
      <c r="L153" s="1063" t="s">
        <v>52</v>
      </c>
      <c r="M153" s="1080" t="s">
        <v>53</v>
      </c>
      <c r="N153" s="1064" t="s">
        <v>28</v>
      </c>
      <c r="O153" s="1502"/>
      <c r="P153" s="1461"/>
    </row>
    <row r="154" spans="1:16" ht="30" customHeight="1">
      <c r="A154" s="1633">
        <v>60</v>
      </c>
      <c r="B154" s="1667" t="s">
        <v>1032</v>
      </c>
      <c r="C154" s="1658" t="s">
        <v>14</v>
      </c>
      <c r="D154" s="1659">
        <v>23</v>
      </c>
      <c r="E154" s="1630">
        <f>D154</f>
        <v>23</v>
      </c>
      <c r="F154" s="1658">
        <v>4</v>
      </c>
      <c r="G154" s="1659">
        <f>55+32+70+26+28+74</f>
        <v>285</v>
      </c>
      <c r="H154" s="1630">
        <f>G154+F154</f>
        <v>289</v>
      </c>
      <c r="I154" s="1658">
        <v>46</v>
      </c>
      <c r="J154" s="1659">
        <v>308</v>
      </c>
      <c r="K154" s="1631">
        <f>J154+I154</f>
        <v>354</v>
      </c>
      <c r="L154" s="1658">
        <v>83</v>
      </c>
      <c r="M154" s="1659">
        <v>504</v>
      </c>
      <c r="N154" s="1631">
        <f>M154+L154</f>
        <v>587</v>
      </c>
      <c r="O154" s="1376" t="s">
        <v>214</v>
      </c>
      <c r="P154" s="1633">
        <v>60</v>
      </c>
    </row>
    <row r="155" spans="1:16" ht="30" customHeight="1">
      <c r="A155" s="1634"/>
      <c r="B155" s="1667"/>
      <c r="C155" s="1658"/>
      <c r="D155" s="1659"/>
      <c r="E155" s="1630"/>
      <c r="F155" s="1658"/>
      <c r="G155" s="1659"/>
      <c r="H155" s="1630"/>
      <c r="I155" s="1658"/>
      <c r="J155" s="1659"/>
      <c r="K155" s="1631"/>
      <c r="L155" s="1658"/>
      <c r="M155" s="1659"/>
      <c r="N155" s="1631"/>
      <c r="O155" s="1387" t="s">
        <v>848</v>
      </c>
      <c r="P155" s="1634"/>
    </row>
    <row r="156" spans="1:16" ht="30" customHeight="1">
      <c r="A156" s="1634">
        <v>61</v>
      </c>
      <c r="B156" s="1655" t="s">
        <v>1033</v>
      </c>
      <c r="C156" s="1668" t="s">
        <v>14</v>
      </c>
      <c r="D156" s="1663">
        <v>34</v>
      </c>
      <c r="E156" s="1637">
        <f>D156</f>
        <v>34</v>
      </c>
      <c r="F156" s="1668" t="s">
        <v>14</v>
      </c>
      <c r="G156" s="1663">
        <f>44+13+125+28</f>
        <v>210</v>
      </c>
      <c r="H156" s="1637">
        <f>G156</f>
        <v>210</v>
      </c>
      <c r="I156" s="1668">
        <v>102</v>
      </c>
      <c r="J156" s="1663">
        <v>201</v>
      </c>
      <c r="K156" s="1638">
        <f>J156+I156</f>
        <v>303</v>
      </c>
      <c r="L156" s="1668">
        <v>193</v>
      </c>
      <c r="M156" s="1663">
        <v>455</v>
      </c>
      <c r="N156" s="1638">
        <f t="shared" ref="N156" si="143">M156+L156</f>
        <v>648</v>
      </c>
      <c r="O156" s="1377" t="s">
        <v>215</v>
      </c>
      <c r="P156" s="1460">
        <v>61</v>
      </c>
    </row>
    <row r="157" spans="1:16" ht="30" customHeight="1">
      <c r="A157" s="1634"/>
      <c r="B157" s="1655"/>
      <c r="C157" s="1668"/>
      <c r="D157" s="1663"/>
      <c r="E157" s="1637"/>
      <c r="F157" s="1668"/>
      <c r="G157" s="1663"/>
      <c r="H157" s="1637"/>
      <c r="I157" s="1668"/>
      <c r="J157" s="1663"/>
      <c r="K157" s="1638"/>
      <c r="L157" s="1668"/>
      <c r="M157" s="1663"/>
      <c r="N157" s="1638"/>
      <c r="O157" s="1386" t="s">
        <v>849</v>
      </c>
      <c r="P157" s="1460"/>
    </row>
    <row r="158" spans="1:16" ht="30" customHeight="1">
      <c r="A158" s="1634">
        <v>62</v>
      </c>
      <c r="B158" s="1656" t="s">
        <v>1033</v>
      </c>
      <c r="C158" s="1658" t="s">
        <v>14</v>
      </c>
      <c r="D158" s="1659">
        <v>6</v>
      </c>
      <c r="E158" s="1630">
        <f>D158</f>
        <v>6</v>
      </c>
      <c r="F158" s="1658" t="s">
        <v>14</v>
      </c>
      <c r="G158" s="1659">
        <v>23</v>
      </c>
      <c r="H158" s="1630">
        <f>G158</f>
        <v>23</v>
      </c>
      <c r="I158" s="1658">
        <v>84</v>
      </c>
      <c r="J158" s="1659">
        <v>121</v>
      </c>
      <c r="K158" s="1631">
        <f t="shared" ref="K158" si="144">J158+I158</f>
        <v>205</v>
      </c>
      <c r="L158" s="1658">
        <v>133</v>
      </c>
      <c r="M158" s="1659">
        <v>151</v>
      </c>
      <c r="N158" s="1631">
        <f t="shared" ref="N158" si="145">M158+L158</f>
        <v>284</v>
      </c>
      <c r="O158" s="1376" t="s">
        <v>1281</v>
      </c>
      <c r="P158" s="1634">
        <v>62</v>
      </c>
    </row>
    <row r="159" spans="1:16" ht="30" customHeight="1">
      <c r="A159" s="1634"/>
      <c r="B159" s="1656"/>
      <c r="C159" s="1658"/>
      <c r="D159" s="1659"/>
      <c r="E159" s="1630"/>
      <c r="F159" s="1658"/>
      <c r="G159" s="1659"/>
      <c r="H159" s="1630"/>
      <c r="I159" s="1658"/>
      <c r="J159" s="1659"/>
      <c r="K159" s="1631"/>
      <c r="L159" s="1658"/>
      <c r="M159" s="1659"/>
      <c r="N159" s="1631"/>
      <c r="O159" s="1387" t="s">
        <v>1282</v>
      </c>
      <c r="P159" s="1634"/>
    </row>
    <row r="160" spans="1:16" ht="30" customHeight="1">
      <c r="A160" s="1634">
        <v>63</v>
      </c>
      <c r="B160" s="1655" t="s">
        <v>1034</v>
      </c>
      <c r="C160" s="1668">
        <v>4</v>
      </c>
      <c r="D160" s="1663">
        <v>71</v>
      </c>
      <c r="E160" s="1637">
        <f>D160+C160</f>
        <v>75</v>
      </c>
      <c r="F160" s="1668">
        <f>11+167+22+16+88+124+44+245+157+66+70+18+134+83+20</f>
        <v>1265</v>
      </c>
      <c r="G160" s="1663">
        <f>25+70+39+69+21+37+119+26+30</f>
        <v>436</v>
      </c>
      <c r="H160" s="1637">
        <f>G160+F160</f>
        <v>1701</v>
      </c>
      <c r="I160" s="1668">
        <v>825</v>
      </c>
      <c r="J160" s="1663">
        <v>46</v>
      </c>
      <c r="K160" s="1638">
        <f t="shared" ref="K160" si="146">J160+I160</f>
        <v>871</v>
      </c>
      <c r="L160" s="1668">
        <v>1356</v>
      </c>
      <c r="M160" s="1663">
        <v>196</v>
      </c>
      <c r="N160" s="1638">
        <f t="shared" ref="N160" si="147">M160+L160</f>
        <v>1552</v>
      </c>
      <c r="O160" s="1377" t="s">
        <v>216</v>
      </c>
      <c r="P160" s="1460">
        <v>63</v>
      </c>
    </row>
    <row r="161" spans="1:19" ht="30" customHeight="1">
      <c r="A161" s="1634"/>
      <c r="B161" s="1655"/>
      <c r="C161" s="1668"/>
      <c r="D161" s="1663"/>
      <c r="E161" s="1637"/>
      <c r="F161" s="1668"/>
      <c r="G161" s="1663"/>
      <c r="H161" s="1637"/>
      <c r="I161" s="1668"/>
      <c r="J161" s="1663"/>
      <c r="K161" s="1638"/>
      <c r="L161" s="1668"/>
      <c r="M161" s="1663"/>
      <c r="N161" s="1638"/>
      <c r="O161" s="1386" t="s">
        <v>850</v>
      </c>
      <c r="P161" s="1460"/>
    </row>
    <row r="162" spans="1:19" ht="30" customHeight="1">
      <c r="A162" s="1634">
        <v>64</v>
      </c>
      <c r="B162" s="1656" t="s">
        <v>1035</v>
      </c>
      <c r="C162" s="1658">
        <v>2</v>
      </c>
      <c r="D162" s="1659">
        <v>50</v>
      </c>
      <c r="E162" s="1630">
        <f>D162+C162</f>
        <v>52</v>
      </c>
      <c r="F162" s="1658">
        <f>19+29+19+24+40+15+57+57+94+128+73+42</f>
        <v>597</v>
      </c>
      <c r="G162" s="1659">
        <f>28+21+22+40+22+29+68+18</f>
        <v>248</v>
      </c>
      <c r="H162" s="1630">
        <f t="shared" ref="H162" si="148">G162+F162</f>
        <v>845</v>
      </c>
      <c r="I162" s="1658">
        <v>462</v>
      </c>
      <c r="J162" s="1659">
        <v>118</v>
      </c>
      <c r="K162" s="1631">
        <f t="shared" ref="K162" si="149">J162+I162</f>
        <v>580</v>
      </c>
      <c r="L162" s="1658">
        <v>686</v>
      </c>
      <c r="M162" s="1659">
        <v>160</v>
      </c>
      <c r="N162" s="1631">
        <f t="shared" ref="N162" si="150">M162+L162</f>
        <v>846</v>
      </c>
      <c r="O162" s="1376" t="s">
        <v>217</v>
      </c>
      <c r="P162" s="1634">
        <v>64</v>
      </c>
    </row>
    <row r="163" spans="1:19" ht="30" customHeight="1">
      <c r="A163" s="1634"/>
      <c r="B163" s="1656"/>
      <c r="C163" s="1658"/>
      <c r="D163" s="1659"/>
      <c r="E163" s="1630"/>
      <c r="F163" s="1658"/>
      <c r="G163" s="1659"/>
      <c r="H163" s="1630"/>
      <c r="I163" s="1658"/>
      <c r="J163" s="1659"/>
      <c r="K163" s="1631"/>
      <c r="L163" s="1658"/>
      <c r="M163" s="1659"/>
      <c r="N163" s="1631"/>
      <c r="O163" s="1387" t="s">
        <v>851</v>
      </c>
      <c r="P163" s="1634"/>
    </row>
    <row r="164" spans="1:19" ht="30" customHeight="1">
      <c r="A164" s="1634">
        <v>65</v>
      </c>
      <c r="B164" s="1655" t="s">
        <v>1036</v>
      </c>
      <c r="C164" s="1668" t="s">
        <v>14</v>
      </c>
      <c r="D164" s="1663">
        <v>49</v>
      </c>
      <c r="E164" s="1637">
        <f>D164</f>
        <v>49</v>
      </c>
      <c r="F164" s="1668">
        <f>45+17+112+35</f>
        <v>209</v>
      </c>
      <c r="G164" s="1663">
        <f>130+25+79+19+98+16</f>
        <v>367</v>
      </c>
      <c r="H164" s="1637">
        <f t="shared" ref="H164" si="151">G164+F164</f>
        <v>576</v>
      </c>
      <c r="I164" s="1668">
        <v>367</v>
      </c>
      <c r="J164" s="1663">
        <v>226</v>
      </c>
      <c r="K164" s="1638">
        <f t="shared" ref="K164" si="152">J164+I164</f>
        <v>593</v>
      </c>
      <c r="L164" s="1668">
        <v>656</v>
      </c>
      <c r="M164" s="1663">
        <v>395</v>
      </c>
      <c r="N164" s="1638">
        <f t="shared" ref="N164" si="153">M164+L164</f>
        <v>1051</v>
      </c>
      <c r="O164" s="1377" t="s">
        <v>218</v>
      </c>
      <c r="P164" s="1460">
        <v>65</v>
      </c>
    </row>
    <row r="165" spans="1:19" ht="30" customHeight="1">
      <c r="A165" s="1634"/>
      <c r="B165" s="1655"/>
      <c r="C165" s="1668"/>
      <c r="D165" s="1663"/>
      <c r="E165" s="1637"/>
      <c r="F165" s="1668"/>
      <c r="G165" s="1663"/>
      <c r="H165" s="1637"/>
      <c r="I165" s="1668"/>
      <c r="J165" s="1663"/>
      <c r="K165" s="1638"/>
      <c r="L165" s="1668"/>
      <c r="M165" s="1663"/>
      <c r="N165" s="1638"/>
      <c r="O165" s="1386" t="s">
        <v>852</v>
      </c>
      <c r="P165" s="1460"/>
    </row>
    <row r="166" spans="1:19" ht="30" customHeight="1">
      <c r="A166" s="1634">
        <v>66</v>
      </c>
      <c r="B166" s="1656" t="s">
        <v>1037</v>
      </c>
      <c r="C166" s="1658" t="s">
        <v>14</v>
      </c>
      <c r="D166" s="1659">
        <v>25</v>
      </c>
      <c r="E166" s="1630">
        <f>D166</f>
        <v>25</v>
      </c>
      <c r="F166" s="1658">
        <v>43</v>
      </c>
      <c r="G166" s="1659">
        <f>13+31+39+32</f>
        <v>115</v>
      </c>
      <c r="H166" s="1630">
        <f t="shared" ref="H166" si="154">G166+F166</f>
        <v>158</v>
      </c>
      <c r="I166" s="1658">
        <v>136</v>
      </c>
      <c r="J166" s="1659">
        <v>140</v>
      </c>
      <c r="K166" s="1631">
        <f t="shared" ref="K166" si="155">J166+I166</f>
        <v>276</v>
      </c>
      <c r="L166" s="1658">
        <v>271</v>
      </c>
      <c r="M166" s="1659">
        <v>209</v>
      </c>
      <c r="N166" s="1631">
        <f t="shared" ref="N166" si="156">M166+L166</f>
        <v>480</v>
      </c>
      <c r="O166" s="1378" t="s">
        <v>470</v>
      </c>
      <c r="P166" s="1634">
        <v>66</v>
      </c>
    </row>
    <row r="167" spans="1:19" ht="30" customHeight="1">
      <c r="A167" s="1634"/>
      <c r="B167" s="1656"/>
      <c r="C167" s="1658"/>
      <c r="D167" s="1659"/>
      <c r="E167" s="1630"/>
      <c r="F167" s="1658"/>
      <c r="G167" s="1659"/>
      <c r="H167" s="1630"/>
      <c r="I167" s="1658"/>
      <c r="J167" s="1659"/>
      <c r="K167" s="1631"/>
      <c r="L167" s="1658"/>
      <c r="M167" s="1659"/>
      <c r="N167" s="1631"/>
      <c r="O167" s="1393" t="s">
        <v>853</v>
      </c>
      <c r="P167" s="1634"/>
    </row>
    <row r="168" spans="1:19" ht="30" customHeight="1">
      <c r="A168" s="1634">
        <v>67</v>
      </c>
      <c r="B168" s="1655" t="s">
        <v>1038</v>
      </c>
      <c r="C168" s="1668">
        <v>8</v>
      </c>
      <c r="D168" s="1663">
        <f>11+26+9</f>
        <v>46</v>
      </c>
      <c r="E168" s="1637">
        <f>D168+C168</f>
        <v>54</v>
      </c>
      <c r="F168" s="1668">
        <f>113+70+26+127</f>
        <v>336</v>
      </c>
      <c r="G168" s="1663">
        <f>34+35+98+51+28</f>
        <v>246</v>
      </c>
      <c r="H168" s="1637">
        <f t="shared" ref="H168" si="157">G168+F168</f>
        <v>582</v>
      </c>
      <c r="I168" s="1668">
        <v>490</v>
      </c>
      <c r="J168" s="1663">
        <v>270</v>
      </c>
      <c r="K168" s="1638">
        <f t="shared" ref="K168" si="158">J168+I168</f>
        <v>760</v>
      </c>
      <c r="L168" s="1668">
        <v>909</v>
      </c>
      <c r="M168" s="1663">
        <v>395</v>
      </c>
      <c r="N168" s="1638">
        <f t="shared" ref="N168" si="159">M168+L168</f>
        <v>1304</v>
      </c>
      <c r="O168" s="1377" t="s">
        <v>219</v>
      </c>
      <c r="P168" s="1460">
        <v>67</v>
      </c>
    </row>
    <row r="169" spans="1:19" ht="30" customHeight="1">
      <c r="A169" s="1634"/>
      <c r="B169" s="1655"/>
      <c r="C169" s="1668"/>
      <c r="D169" s="1663"/>
      <c r="E169" s="1637"/>
      <c r="F169" s="1668"/>
      <c r="G169" s="1663"/>
      <c r="H169" s="1637"/>
      <c r="I169" s="1668"/>
      <c r="J169" s="1663"/>
      <c r="K169" s="1638"/>
      <c r="L169" s="1668"/>
      <c r="M169" s="1663"/>
      <c r="N169" s="1638"/>
      <c r="O169" s="1386" t="s">
        <v>854</v>
      </c>
      <c r="P169" s="1460"/>
    </row>
    <row r="170" spans="1:19" ht="30" customHeight="1">
      <c r="A170" s="1634">
        <v>68</v>
      </c>
      <c r="B170" s="1656" t="s">
        <v>1039</v>
      </c>
      <c r="C170" s="1658">
        <v>2</v>
      </c>
      <c r="D170" s="1659">
        <v>29</v>
      </c>
      <c r="E170" s="1630">
        <f>D170+C170</f>
        <v>31</v>
      </c>
      <c r="F170" s="1658">
        <f>53+31</f>
        <v>84</v>
      </c>
      <c r="G170" s="1659">
        <f>13+36+74+18</f>
        <v>141</v>
      </c>
      <c r="H170" s="1630">
        <f t="shared" ref="H170" si="160">G170+F170</f>
        <v>225</v>
      </c>
      <c r="I170" s="1658">
        <v>290</v>
      </c>
      <c r="J170" s="1659">
        <v>111</v>
      </c>
      <c r="K170" s="1631">
        <f t="shared" ref="K170" si="161">J170+I170</f>
        <v>401</v>
      </c>
      <c r="L170" s="1658">
        <v>432</v>
      </c>
      <c r="M170" s="1659">
        <v>162</v>
      </c>
      <c r="N170" s="1631">
        <f t="shared" ref="N170" si="162">M170+L170</f>
        <v>594</v>
      </c>
      <c r="O170" s="1378" t="s">
        <v>220</v>
      </c>
      <c r="P170" s="1634">
        <v>68</v>
      </c>
      <c r="S170" s="959"/>
    </row>
    <row r="171" spans="1:19" ht="30" customHeight="1">
      <c r="A171" s="1634"/>
      <c r="B171" s="1656"/>
      <c r="C171" s="1658"/>
      <c r="D171" s="1659"/>
      <c r="E171" s="1630"/>
      <c r="F171" s="1658"/>
      <c r="G171" s="1659"/>
      <c r="H171" s="1630"/>
      <c r="I171" s="1658"/>
      <c r="J171" s="1659"/>
      <c r="K171" s="1631"/>
      <c r="L171" s="1658"/>
      <c r="M171" s="1659"/>
      <c r="N171" s="1631"/>
      <c r="O171" s="1393" t="s">
        <v>855</v>
      </c>
      <c r="P171" s="1634"/>
      <c r="Q171" s="10"/>
      <c r="R171" s="959"/>
    </row>
    <row r="172" spans="1:19" ht="30" customHeight="1">
      <c r="A172" s="1634">
        <v>69</v>
      </c>
      <c r="B172" s="1655" t="s">
        <v>1040</v>
      </c>
      <c r="C172" s="1668" t="s">
        <v>14</v>
      </c>
      <c r="D172" s="1663">
        <v>21</v>
      </c>
      <c r="E172" s="1637">
        <f>D172</f>
        <v>21</v>
      </c>
      <c r="F172" s="1668">
        <f>22</f>
        <v>22</v>
      </c>
      <c r="G172" s="1663">
        <f>55+18</f>
        <v>73</v>
      </c>
      <c r="H172" s="1637">
        <f t="shared" ref="H172" si="163">G172+F172</f>
        <v>95</v>
      </c>
      <c r="I172" s="1668">
        <v>107</v>
      </c>
      <c r="J172" s="1663">
        <v>122</v>
      </c>
      <c r="K172" s="1638">
        <f t="shared" ref="K172" si="164">J172+I172</f>
        <v>229</v>
      </c>
      <c r="L172" s="1668">
        <v>278</v>
      </c>
      <c r="M172" s="1663">
        <v>265</v>
      </c>
      <c r="N172" s="1638">
        <f t="shared" ref="N172" si="165">M172+L172</f>
        <v>543</v>
      </c>
      <c r="O172" s="1375" t="s">
        <v>221</v>
      </c>
      <c r="P172" s="1460">
        <v>69</v>
      </c>
      <c r="Q172" s="130"/>
    </row>
    <row r="173" spans="1:19" ht="30" customHeight="1">
      <c r="A173" s="1634"/>
      <c r="B173" s="1655"/>
      <c r="C173" s="1668"/>
      <c r="D173" s="1663"/>
      <c r="E173" s="1637"/>
      <c r="F173" s="1668"/>
      <c r="G173" s="1663"/>
      <c r="H173" s="1637"/>
      <c r="I173" s="1668"/>
      <c r="J173" s="1663"/>
      <c r="K173" s="1638"/>
      <c r="L173" s="1668"/>
      <c r="M173" s="1663"/>
      <c r="N173" s="1638"/>
      <c r="O173" s="1394" t="s">
        <v>856</v>
      </c>
      <c r="P173" s="1460"/>
      <c r="Q173" s="130"/>
    </row>
    <row r="174" spans="1:19" ht="30" customHeight="1">
      <c r="A174" s="1634">
        <v>70</v>
      </c>
      <c r="B174" s="1656" t="s">
        <v>1041</v>
      </c>
      <c r="C174" s="1658" t="s">
        <v>14</v>
      </c>
      <c r="D174" s="1659">
        <v>27</v>
      </c>
      <c r="E174" s="1630">
        <f t="shared" ref="E174" si="166">D174</f>
        <v>27</v>
      </c>
      <c r="F174" s="1658">
        <f>16+22+34</f>
        <v>72</v>
      </c>
      <c r="G174" s="1659">
        <f>18+23+16+41</f>
        <v>98</v>
      </c>
      <c r="H174" s="1630">
        <f>G174+F174</f>
        <v>170</v>
      </c>
      <c r="I174" s="1658">
        <v>58</v>
      </c>
      <c r="J174" s="1659">
        <v>130</v>
      </c>
      <c r="K174" s="1631">
        <f t="shared" ref="K174" si="167">J174+I174</f>
        <v>188</v>
      </c>
      <c r="L174" s="1658">
        <v>180</v>
      </c>
      <c r="M174" s="1659">
        <v>195</v>
      </c>
      <c r="N174" s="1631">
        <f t="shared" ref="N174" si="168">M174+L174</f>
        <v>375</v>
      </c>
      <c r="O174" s="1378" t="s">
        <v>222</v>
      </c>
      <c r="P174" s="1634">
        <v>70</v>
      </c>
      <c r="Q174" s="130"/>
    </row>
    <row r="175" spans="1:19" ht="30" customHeight="1">
      <c r="A175" s="1634"/>
      <c r="B175" s="1656"/>
      <c r="C175" s="1658"/>
      <c r="D175" s="1659"/>
      <c r="E175" s="1630"/>
      <c r="F175" s="1658"/>
      <c r="G175" s="1659"/>
      <c r="H175" s="1630"/>
      <c r="I175" s="1658"/>
      <c r="J175" s="1659"/>
      <c r="K175" s="1631"/>
      <c r="L175" s="1658"/>
      <c r="M175" s="1659"/>
      <c r="N175" s="1631"/>
      <c r="O175" s="1393" t="s">
        <v>857</v>
      </c>
      <c r="P175" s="1634"/>
    </row>
    <row r="176" spans="1:19" ht="30" customHeight="1">
      <c r="A176" s="1634">
        <v>71</v>
      </c>
      <c r="B176" s="1655" t="s">
        <v>1042</v>
      </c>
      <c r="C176" s="1668" t="s">
        <v>14</v>
      </c>
      <c r="D176" s="1663">
        <v>32</v>
      </c>
      <c r="E176" s="1637">
        <f t="shared" ref="E176" si="169">D176</f>
        <v>32</v>
      </c>
      <c r="F176" s="1668">
        <f>14+50+12+76+3+152+95+29+82</f>
        <v>513</v>
      </c>
      <c r="G176" s="1663">
        <f>134+36+12+115+55+26+100+35</f>
        <v>513</v>
      </c>
      <c r="H176" s="1637">
        <f t="shared" ref="H176" si="170">G176+F176</f>
        <v>1026</v>
      </c>
      <c r="I176" s="1668">
        <v>235</v>
      </c>
      <c r="J176" s="1663">
        <v>50</v>
      </c>
      <c r="K176" s="1638">
        <f t="shared" ref="K176" si="171">J176+I176</f>
        <v>285</v>
      </c>
      <c r="L176" s="1668">
        <v>426</v>
      </c>
      <c r="M176" s="1663">
        <v>50</v>
      </c>
      <c r="N176" s="1638">
        <f t="shared" ref="N176" si="172">M176+L176</f>
        <v>476</v>
      </c>
      <c r="O176" s="1377" t="s">
        <v>471</v>
      </c>
      <c r="P176" s="1460">
        <v>71</v>
      </c>
    </row>
    <row r="177" spans="1:24" ht="30" customHeight="1">
      <c r="A177" s="1634"/>
      <c r="B177" s="1655"/>
      <c r="C177" s="1668"/>
      <c r="D177" s="1663"/>
      <c r="E177" s="1637"/>
      <c r="F177" s="1668"/>
      <c r="G177" s="1663"/>
      <c r="H177" s="1637"/>
      <c r="I177" s="1668"/>
      <c r="J177" s="1663"/>
      <c r="K177" s="1638"/>
      <c r="L177" s="1668"/>
      <c r="M177" s="1663"/>
      <c r="N177" s="1638"/>
      <c r="O177" s="1386" t="s">
        <v>858</v>
      </c>
      <c r="P177" s="1460"/>
    </row>
    <row r="178" spans="1:24" ht="30" customHeight="1">
      <c r="A178" s="1634">
        <v>72</v>
      </c>
      <c r="B178" s="1656" t="s">
        <v>1043</v>
      </c>
      <c r="C178" s="1658">
        <v>1</v>
      </c>
      <c r="D178" s="1659">
        <v>21</v>
      </c>
      <c r="E178" s="1630">
        <f>D178+C178</f>
        <v>22</v>
      </c>
      <c r="F178" s="1658">
        <f>15+28</f>
        <v>43</v>
      </c>
      <c r="G178" s="1659">
        <f>49+9+23+56+35+19</f>
        <v>191</v>
      </c>
      <c r="H178" s="1630">
        <f t="shared" ref="H178" si="173">G178+F178</f>
        <v>234</v>
      </c>
      <c r="I178" s="1658">
        <v>306</v>
      </c>
      <c r="J178" s="1659">
        <v>162</v>
      </c>
      <c r="K178" s="1631">
        <f t="shared" ref="K178" si="174">J178+I178</f>
        <v>468</v>
      </c>
      <c r="L178" s="1658">
        <v>458</v>
      </c>
      <c r="M178" s="1659">
        <v>184</v>
      </c>
      <c r="N178" s="1631">
        <f t="shared" ref="N178" si="175">M178+L178</f>
        <v>642</v>
      </c>
      <c r="O178" s="1376" t="s">
        <v>223</v>
      </c>
      <c r="P178" s="1634">
        <v>72</v>
      </c>
    </row>
    <row r="179" spans="1:24" ht="30" customHeight="1">
      <c r="A179" s="1634"/>
      <c r="B179" s="1656"/>
      <c r="C179" s="1658"/>
      <c r="D179" s="1659"/>
      <c r="E179" s="1630"/>
      <c r="F179" s="1658"/>
      <c r="G179" s="1659"/>
      <c r="H179" s="1630"/>
      <c r="I179" s="1658"/>
      <c r="J179" s="1659"/>
      <c r="K179" s="1631"/>
      <c r="L179" s="1658"/>
      <c r="M179" s="1659"/>
      <c r="N179" s="1631"/>
      <c r="O179" s="1387" t="s">
        <v>859</v>
      </c>
      <c r="P179" s="1634"/>
    </row>
    <row r="180" spans="1:24" ht="30" customHeight="1">
      <c r="A180" s="1634">
        <v>73</v>
      </c>
      <c r="B180" s="1655" t="s">
        <v>1044</v>
      </c>
      <c r="C180" s="1668">
        <v>1</v>
      </c>
      <c r="D180" s="1663">
        <v>6</v>
      </c>
      <c r="E180" s="1637">
        <f>D180+C180</f>
        <v>7</v>
      </c>
      <c r="F180" s="1668">
        <v>48</v>
      </c>
      <c r="G180" s="1663">
        <v>35</v>
      </c>
      <c r="H180" s="1637">
        <f t="shared" ref="H180" si="176">G180+F180</f>
        <v>83</v>
      </c>
      <c r="I180" s="1668">
        <v>40</v>
      </c>
      <c r="J180" s="1663" t="s">
        <v>14</v>
      </c>
      <c r="K180" s="1638">
        <f>I180</f>
        <v>40</v>
      </c>
      <c r="L180" s="1668">
        <v>47</v>
      </c>
      <c r="M180" s="1663">
        <v>156</v>
      </c>
      <c r="N180" s="1638">
        <f t="shared" ref="N180" si="177">M180+L180</f>
        <v>203</v>
      </c>
      <c r="O180" s="1377" t="s">
        <v>959</v>
      </c>
      <c r="P180" s="1460">
        <v>73</v>
      </c>
    </row>
    <row r="181" spans="1:24" ht="30" customHeight="1">
      <c r="A181" s="1634"/>
      <c r="B181" s="1655"/>
      <c r="C181" s="1668"/>
      <c r="D181" s="1663"/>
      <c r="E181" s="1637"/>
      <c r="F181" s="1668"/>
      <c r="G181" s="1663"/>
      <c r="H181" s="1637"/>
      <c r="I181" s="1668"/>
      <c r="J181" s="1663"/>
      <c r="K181" s="1638"/>
      <c r="L181" s="1668"/>
      <c r="M181" s="1663"/>
      <c r="N181" s="1638"/>
      <c r="O181" s="1386" t="s">
        <v>960</v>
      </c>
      <c r="P181" s="1460"/>
    </row>
    <row r="182" spans="1:24" ht="30" customHeight="1">
      <c r="A182" s="1634">
        <v>74</v>
      </c>
      <c r="B182" s="1656" t="s">
        <v>1272</v>
      </c>
      <c r="C182" s="1658" t="s">
        <v>14</v>
      </c>
      <c r="D182" s="1659">
        <v>4</v>
      </c>
      <c r="E182" s="1630">
        <f>D182</f>
        <v>4</v>
      </c>
      <c r="F182" s="1658" t="s">
        <v>14</v>
      </c>
      <c r="G182" s="1659" t="s">
        <v>14</v>
      </c>
      <c r="H182" s="1630" t="s">
        <v>14</v>
      </c>
      <c r="I182" s="1658">
        <v>16</v>
      </c>
      <c r="J182" s="1659">
        <v>23</v>
      </c>
      <c r="K182" s="1631">
        <f>J182+I182</f>
        <v>39</v>
      </c>
      <c r="L182" s="1658">
        <v>82</v>
      </c>
      <c r="M182" s="1659">
        <v>97</v>
      </c>
      <c r="N182" s="1631">
        <f t="shared" ref="N182" si="178">M182+L182</f>
        <v>179</v>
      </c>
      <c r="O182" s="1376" t="s">
        <v>1273</v>
      </c>
      <c r="P182" s="1634">
        <v>74</v>
      </c>
    </row>
    <row r="183" spans="1:24" ht="30" customHeight="1">
      <c r="A183" s="1634"/>
      <c r="B183" s="1656"/>
      <c r="C183" s="1658"/>
      <c r="D183" s="1659"/>
      <c r="E183" s="1630"/>
      <c r="F183" s="1658"/>
      <c r="G183" s="1659"/>
      <c r="H183" s="1630"/>
      <c r="I183" s="1658"/>
      <c r="J183" s="1659"/>
      <c r="K183" s="1631"/>
      <c r="L183" s="1658"/>
      <c r="M183" s="1659"/>
      <c r="N183" s="1631"/>
      <c r="O183" s="1387" t="s">
        <v>1274</v>
      </c>
      <c r="P183" s="1634"/>
    </row>
    <row r="184" spans="1:24" ht="30" customHeight="1">
      <c r="A184" s="1634">
        <v>75</v>
      </c>
      <c r="B184" s="1655" t="s">
        <v>1045</v>
      </c>
      <c r="C184" s="1668" t="s">
        <v>14</v>
      </c>
      <c r="D184" s="1663">
        <v>21</v>
      </c>
      <c r="E184" s="1637">
        <f t="shared" ref="E184" si="179">D184</f>
        <v>21</v>
      </c>
      <c r="F184" s="1668">
        <f>22+27</f>
        <v>49</v>
      </c>
      <c r="G184" s="1663">
        <f>29+45</f>
        <v>74</v>
      </c>
      <c r="H184" s="1637">
        <f>G184+F184</f>
        <v>123</v>
      </c>
      <c r="I184" s="1636" t="s">
        <v>14</v>
      </c>
      <c r="J184" s="1663">
        <v>315</v>
      </c>
      <c r="K184" s="1638">
        <f>J184</f>
        <v>315</v>
      </c>
      <c r="L184" s="1668" t="s">
        <v>14</v>
      </c>
      <c r="M184" s="1663">
        <v>508</v>
      </c>
      <c r="N184" s="1638">
        <f>M184</f>
        <v>508</v>
      </c>
      <c r="O184" s="1377" t="s">
        <v>961</v>
      </c>
      <c r="P184" s="1460">
        <v>75</v>
      </c>
      <c r="X184" s="49"/>
    </row>
    <row r="185" spans="1:24" ht="30" customHeight="1">
      <c r="A185" s="1634"/>
      <c r="B185" s="1655"/>
      <c r="C185" s="1668"/>
      <c r="D185" s="1663"/>
      <c r="E185" s="1637"/>
      <c r="F185" s="1668"/>
      <c r="G185" s="1663"/>
      <c r="H185" s="1637"/>
      <c r="I185" s="1636"/>
      <c r="J185" s="1663"/>
      <c r="K185" s="1638"/>
      <c r="L185" s="1668"/>
      <c r="M185" s="1663"/>
      <c r="N185" s="1638"/>
      <c r="O185" s="1386" t="s">
        <v>962</v>
      </c>
      <c r="P185" s="1460"/>
    </row>
    <row r="186" spans="1:24" ht="30" customHeight="1">
      <c r="A186" s="1634">
        <v>76</v>
      </c>
      <c r="B186" s="1656" t="s">
        <v>1278</v>
      </c>
      <c r="C186" s="1658" t="s">
        <v>14</v>
      </c>
      <c r="D186" s="1659">
        <v>10</v>
      </c>
      <c r="E186" s="1630">
        <f t="shared" ref="E186" si="180">D186</f>
        <v>10</v>
      </c>
      <c r="F186" s="1658">
        <v>16</v>
      </c>
      <c r="G186" s="1659">
        <v>37</v>
      </c>
      <c r="H186" s="1630">
        <f>G186+F186</f>
        <v>53</v>
      </c>
      <c r="I186" s="1658">
        <v>61</v>
      </c>
      <c r="J186" s="1659">
        <v>76</v>
      </c>
      <c r="K186" s="1631">
        <f>J186+I186</f>
        <v>137</v>
      </c>
      <c r="L186" s="1658">
        <v>76</v>
      </c>
      <c r="M186" s="1659">
        <v>264</v>
      </c>
      <c r="N186" s="1631">
        <f t="shared" ref="N186" si="181">M186+L186</f>
        <v>340</v>
      </c>
      <c r="O186" s="1376" t="s">
        <v>1279</v>
      </c>
      <c r="P186" s="1634">
        <v>76</v>
      </c>
    </row>
    <row r="187" spans="1:24" ht="30" customHeight="1">
      <c r="A187" s="1634"/>
      <c r="B187" s="1656"/>
      <c r="C187" s="1658"/>
      <c r="D187" s="1659"/>
      <c r="E187" s="1630"/>
      <c r="F187" s="1658"/>
      <c r="G187" s="1659"/>
      <c r="H187" s="1630"/>
      <c r="I187" s="1658"/>
      <c r="J187" s="1659"/>
      <c r="K187" s="1631"/>
      <c r="L187" s="1658"/>
      <c r="M187" s="1659"/>
      <c r="N187" s="1631"/>
      <c r="O187" s="1387" t="s">
        <v>1280</v>
      </c>
      <c r="P187" s="1634"/>
    </row>
    <row r="188" spans="1:24" ht="30" customHeight="1">
      <c r="A188" s="1634">
        <v>77</v>
      </c>
      <c r="B188" s="1655" t="s">
        <v>1046</v>
      </c>
      <c r="C188" s="1668" t="s">
        <v>14</v>
      </c>
      <c r="D188" s="1663">
        <v>3</v>
      </c>
      <c r="E188" s="1637">
        <f t="shared" ref="E188" si="182">D188</f>
        <v>3</v>
      </c>
      <c r="F188" s="1668" t="s">
        <v>14</v>
      </c>
      <c r="G188" s="1663">
        <v>71</v>
      </c>
      <c r="H188" s="1637">
        <f>G188</f>
        <v>71</v>
      </c>
      <c r="I188" s="1668" t="s">
        <v>14</v>
      </c>
      <c r="J188" s="1663">
        <v>88</v>
      </c>
      <c r="K188" s="1638">
        <f>J188</f>
        <v>88</v>
      </c>
      <c r="L188" s="1668" t="s">
        <v>14</v>
      </c>
      <c r="M188" s="1663">
        <v>142</v>
      </c>
      <c r="N188" s="1638">
        <v>142</v>
      </c>
      <c r="O188" s="1377" t="s">
        <v>963</v>
      </c>
      <c r="P188" s="1460">
        <v>77</v>
      </c>
    </row>
    <row r="189" spans="1:24" ht="30" customHeight="1">
      <c r="A189" s="1634"/>
      <c r="B189" s="1655"/>
      <c r="C189" s="1668"/>
      <c r="D189" s="1663"/>
      <c r="E189" s="1637"/>
      <c r="F189" s="1668"/>
      <c r="G189" s="1663"/>
      <c r="H189" s="1637"/>
      <c r="I189" s="1668"/>
      <c r="J189" s="1663"/>
      <c r="K189" s="1638"/>
      <c r="L189" s="1668"/>
      <c r="M189" s="1663"/>
      <c r="N189" s="1638"/>
      <c r="O189" s="1386" t="s">
        <v>964</v>
      </c>
      <c r="P189" s="1460"/>
    </row>
    <row r="190" spans="1:24" ht="30" customHeight="1">
      <c r="A190" s="1634">
        <v>78</v>
      </c>
      <c r="B190" s="1656" t="s">
        <v>1047</v>
      </c>
      <c r="C190" s="1658">
        <v>2</v>
      </c>
      <c r="D190" s="1659">
        <v>21</v>
      </c>
      <c r="E190" s="1630">
        <f>D190+C190</f>
        <v>23</v>
      </c>
      <c r="F190" s="1658">
        <f>80+61</f>
        <v>141</v>
      </c>
      <c r="G190" s="1659">
        <f>14+43</f>
        <v>57</v>
      </c>
      <c r="H190" s="1630">
        <f>G190+F190</f>
        <v>198</v>
      </c>
      <c r="I190" s="1658">
        <v>128</v>
      </c>
      <c r="J190" s="1659">
        <v>128</v>
      </c>
      <c r="K190" s="1631">
        <f>J190+I190</f>
        <v>256</v>
      </c>
      <c r="L190" s="1658">
        <v>370</v>
      </c>
      <c r="M190" s="1659">
        <v>460</v>
      </c>
      <c r="N190" s="1631">
        <f t="shared" ref="N190" si="183">M190+L190</f>
        <v>830</v>
      </c>
      <c r="O190" s="1376" t="s">
        <v>472</v>
      </c>
      <c r="P190" s="1634">
        <v>78</v>
      </c>
    </row>
    <row r="191" spans="1:24" ht="30" customHeight="1">
      <c r="A191" s="1634"/>
      <c r="B191" s="1656"/>
      <c r="C191" s="1658"/>
      <c r="D191" s="1659"/>
      <c r="E191" s="1630"/>
      <c r="F191" s="1658"/>
      <c r="G191" s="1659"/>
      <c r="H191" s="1630"/>
      <c r="I191" s="1658"/>
      <c r="J191" s="1659"/>
      <c r="K191" s="1631"/>
      <c r="L191" s="1658"/>
      <c r="M191" s="1659"/>
      <c r="N191" s="1631"/>
      <c r="O191" s="1387" t="s">
        <v>860</v>
      </c>
      <c r="P191" s="1634"/>
    </row>
    <row r="192" spans="1:24" ht="30" customHeight="1">
      <c r="A192" s="1634">
        <v>79</v>
      </c>
      <c r="B192" s="1652" t="s">
        <v>1048</v>
      </c>
      <c r="C192" s="1636" t="s">
        <v>14</v>
      </c>
      <c r="D192" s="1637">
        <v>2</v>
      </c>
      <c r="E192" s="1663">
        <f>D192</f>
        <v>2</v>
      </c>
      <c r="F192" s="1636" t="s">
        <v>14</v>
      </c>
      <c r="G192" s="1637" t="s">
        <v>14</v>
      </c>
      <c r="H192" s="1637" t="s">
        <v>14</v>
      </c>
      <c r="I192" s="1636">
        <v>45</v>
      </c>
      <c r="J192" s="1637">
        <v>103</v>
      </c>
      <c r="K192" s="1638">
        <f>J192+I192</f>
        <v>148</v>
      </c>
      <c r="L192" s="1636">
        <v>114</v>
      </c>
      <c r="M192" s="1637">
        <v>178</v>
      </c>
      <c r="N192" s="1638">
        <f>M192+L192</f>
        <v>292</v>
      </c>
      <c r="O192" s="1377" t="s">
        <v>957</v>
      </c>
      <c r="P192" s="1460">
        <v>79</v>
      </c>
    </row>
    <row r="193" spans="1:16" ht="30" customHeight="1">
      <c r="A193" s="1634"/>
      <c r="B193" s="1652"/>
      <c r="C193" s="1636"/>
      <c r="D193" s="1637"/>
      <c r="E193" s="1663"/>
      <c r="F193" s="1636"/>
      <c r="G193" s="1637"/>
      <c r="H193" s="1637"/>
      <c r="I193" s="1636"/>
      <c r="J193" s="1637"/>
      <c r="K193" s="1638"/>
      <c r="L193" s="1636"/>
      <c r="M193" s="1637"/>
      <c r="N193" s="1638"/>
      <c r="O193" s="1377" t="s">
        <v>958</v>
      </c>
      <c r="P193" s="1460"/>
    </row>
    <row r="194" spans="1:16" ht="30" customHeight="1">
      <c r="A194" s="1634">
        <v>80</v>
      </c>
      <c r="B194" s="1667" t="s">
        <v>1277</v>
      </c>
      <c r="C194" s="1639" t="s">
        <v>14</v>
      </c>
      <c r="D194" s="1630">
        <v>2</v>
      </c>
      <c r="E194" s="1659">
        <f>D194</f>
        <v>2</v>
      </c>
      <c r="F194" s="1639" t="s">
        <v>14</v>
      </c>
      <c r="G194" s="1630" t="s">
        <v>14</v>
      </c>
      <c r="H194" s="1630" t="s">
        <v>14</v>
      </c>
      <c r="I194" s="1639" t="s">
        <v>14</v>
      </c>
      <c r="J194" s="1630" t="s">
        <v>14</v>
      </c>
      <c r="K194" s="1631" t="s">
        <v>14</v>
      </c>
      <c r="L194" s="1639">
        <v>5</v>
      </c>
      <c r="M194" s="1630">
        <v>19</v>
      </c>
      <c r="N194" s="1631">
        <f t="shared" ref="N194" si="184">M194+L194</f>
        <v>24</v>
      </c>
      <c r="O194" s="1376" t="s">
        <v>1275</v>
      </c>
      <c r="P194" s="1634">
        <v>80</v>
      </c>
    </row>
    <row r="195" spans="1:16" ht="30" customHeight="1">
      <c r="A195" s="1650"/>
      <c r="B195" s="1679"/>
      <c r="C195" s="1648"/>
      <c r="D195" s="1646"/>
      <c r="E195" s="1680"/>
      <c r="F195" s="1648"/>
      <c r="G195" s="1646"/>
      <c r="H195" s="1646"/>
      <c r="I195" s="1648"/>
      <c r="J195" s="1646"/>
      <c r="K195" s="1647"/>
      <c r="L195" s="1648"/>
      <c r="M195" s="1646"/>
      <c r="N195" s="1647"/>
      <c r="O195" s="1395" t="s">
        <v>1276</v>
      </c>
      <c r="P195" s="1650"/>
    </row>
    <row r="196" spans="1:16" ht="18.95" customHeight="1">
      <c r="A196" s="1674" t="s">
        <v>117</v>
      </c>
      <c r="B196" s="1674"/>
      <c r="C196" s="1674"/>
      <c r="D196" s="1674"/>
      <c r="E196" s="1674"/>
      <c r="F196" s="1674"/>
      <c r="G196" s="1673" t="s">
        <v>592</v>
      </c>
      <c r="H196" s="1673"/>
      <c r="I196" s="1673"/>
      <c r="J196" s="1673"/>
      <c r="K196" s="1673"/>
      <c r="L196" s="1678" t="s">
        <v>118</v>
      </c>
      <c r="M196" s="1678"/>
      <c r="N196" s="1678"/>
      <c r="O196" s="1678"/>
      <c r="P196" s="1678"/>
    </row>
    <row r="197" spans="1:16" ht="18.95" customHeight="1">
      <c r="A197" s="1675" t="s">
        <v>1761</v>
      </c>
      <c r="B197" s="1675"/>
      <c r="C197" s="1675"/>
      <c r="D197" s="1675"/>
      <c r="E197" s="1675"/>
      <c r="F197" s="1675"/>
      <c r="G197" s="1675"/>
      <c r="H197" s="1675"/>
      <c r="I197" s="1675"/>
      <c r="J197" s="1675"/>
      <c r="K197" s="1676" t="s">
        <v>440</v>
      </c>
      <c r="L197" s="1676"/>
      <c r="M197" s="1676"/>
      <c r="N197" s="1676"/>
      <c r="O197" s="1676"/>
      <c r="P197" s="1676"/>
    </row>
    <row r="198" spans="1:16" ht="18.95" customHeight="1">
      <c r="A198" s="1396"/>
      <c r="B198" s="1397"/>
      <c r="C198" s="1397"/>
      <c r="D198" s="1397"/>
      <c r="E198" s="1397"/>
      <c r="F198" s="1397"/>
      <c r="G198" s="1397"/>
      <c r="H198" s="1397"/>
      <c r="I198" s="1397"/>
      <c r="J198" s="1397"/>
      <c r="K198" s="1677" t="s">
        <v>555</v>
      </c>
      <c r="L198" s="1677"/>
      <c r="M198" s="1677"/>
      <c r="N198" s="1677"/>
      <c r="O198" s="1677"/>
      <c r="P198" s="1677"/>
    </row>
  </sheetData>
  <mergeCells count="1298">
    <mergeCell ref="G196:K196"/>
    <mergeCell ref="A196:F196"/>
    <mergeCell ref="A197:J197"/>
    <mergeCell ref="K197:P197"/>
    <mergeCell ref="K198:P198"/>
    <mergeCell ref="L196:P196"/>
    <mergeCell ref="M194:M195"/>
    <mergeCell ref="N194:N195"/>
    <mergeCell ref="P194:P195"/>
    <mergeCell ref="G194:G195"/>
    <mergeCell ref="H194:H195"/>
    <mergeCell ref="I194:I195"/>
    <mergeCell ref="J194:J195"/>
    <mergeCell ref="K194:K195"/>
    <mergeCell ref="L194:L195"/>
    <mergeCell ref="A194:A195"/>
    <mergeCell ref="B194:B195"/>
    <mergeCell ref="C194:C195"/>
    <mergeCell ref="D194:D195"/>
    <mergeCell ref="E194:E195"/>
    <mergeCell ref="F194:F195"/>
    <mergeCell ref="J192:J193"/>
    <mergeCell ref="K192:K193"/>
    <mergeCell ref="L192:L193"/>
    <mergeCell ref="M192:M193"/>
    <mergeCell ref="N192:N193"/>
    <mergeCell ref="P192:P193"/>
    <mergeCell ref="P190:P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I190:I191"/>
    <mergeCell ref="J190:J191"/>
    <mergeCell ref="K190:K191"/>
    <mergeCell ref="L190:L191"/>
    <mergeCell ref="M190:M191"/>
    <mergeCell ref="N190:N191"/>
    <mergeCell ref="N188:N189"/>
    <mergeCell ref="P188:P189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H188:H189"/>
    <mergeCell ref="I188:I189"/>
    <mergeCell ref="J188:J189"/>
    <mergeCell ref="K188:K189"/>
    <mergeCell ref="L188:L189"/>
    <mergeCell ref="M188:M189"/>
    <mergeCell ref="M186:M187"/>
    <mergeCell ref="N186:N187"/>
    <mergeCell ref="P186:P187"/>
    <mergeCell ref="A188:A189"/>
    <mergeCell ref="B188:B189"/>
    <mergeCell ref="C188:C189"/>
    <mergeCell ref="D188:D189"/>
    <mergeCell ref="E188:E189"/>
    <mergeCell ref="F188:F189"/>
    <mergeCell ref="G188:G189"/>
    <mergeCell ref="G186:G187"/>
    <mergeCell ref="H186:H187"/>
    <mergeCell ref="I186:I187"/>
    <mergeCell ref="J186:J187"/>
    <mergeCell ref="K186:K187"/>
    <mergeCell ref="L186:L187"/>
    <mergeCell ref="A186:A187"/>
    <mergeCell ref="B186:B187"/>
    <mergeCell ref="C186:C187"/>
    <mergeCell ref="D186:D187"/>
    <mergeCell ref="E186:E187"/>
    <mergeCell ref="F186:F187"/>
    <mergeCell ref="J184:J185"/>
    <mergeCell ref="K184:K185"/>
    <mergeCell ref="L184:L185"/>
    <mergeCell ref="M184:M185"/>
    <mergeCell ref="N184:N185"/>
    <mergeCell ref="P184:P185"/>
    <mergeCell ref="P182:P183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I184:I185"/>
    <mergeCell ref="I182:I183"/>
    <mergeCell ref="J182:J183"/>
    <mergeCell ref="K182:K183"/>
    <mergeCell ref="L182:L183"/>
    <mergeCell ref="M182:M183"/>
    <mergeCell ref="N182:N183"/>
    <mergeCell ref="N180:N181"/>
    <mergeCell ref="P180:P181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H180:H181"/>
    <mergeCell ref="I180:I181"/>
    <mergeCell ref="J180:J181"/>
    <mergeCell ref="K180:K181"/>
    <mergeCell ref="L180:L181"/>
    <mergeCell ref="M180:M181"/>
    <mergeCell ref="M178:M179"/>
    <mergeCell ref="N178:N179"/>
    <mergeCell ref="P178:P179"/>
    <mergeCell ref="A180:A181"/>
    <mergeCell ref="B180:B181"/>
    <mergeCell ref="C180:C181"/>
    <mergeCell ref="D180:D181"/>
    <mergeCell ref="E180:E181"/>
    <mergeCell ref="F180:F181"/>
    <mergeCell ref="G180:G181"/>
    <mergeCell ref="G178:G179"/>
    <mergeCell ref="H178:H179"/>
    <mergeCell ref="I178:I179"/>
    <mergeCell ref="J178:J179"/>
    <mergeCell ref="K178:K179"/>
    <mergeCell ref="L178:L179"/>
    <mergeCell ref="A178:A179"/>
    <mergeCell ref="B178:B179"/>
    <mergeCell ref="C178:C179"/>
    <mergeCell ref="D178:D179"/>
    <mergeCell ref="E178:E179"/>
    <mergeCell ref="F178:F179"/>
    <mergeCell ref="J176:J177"/>
    <mergeCell ref="K176:K177"/>
    <mergeCell ref="L176:L177"/>
    <mergeCell ref="M176:M177"/>
    <mergeCell ref="N176:N177"/>
    <mergeCell ref="P176:P177"/>
    <mergeCell ref="P174:P175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I174:I175"/>
    <mergeCell ref="J174:J175"/>
    <mergeCell ref="K174:K175"/>
    <mergeCell ref="L174:L175"/>
    <mergeCell ref="M174:M175"/>
    <mergeCell ref="N174:N175"/>
    <mergeCell ref="N172:N173"/>
    <mergeCell ref="P172:P173"/>
    <mergeCell ref="A174:A175"/>
    <mergeCell ref="B174:B175"/>
    <mergeCell ref="C174:C175"/>
    <mergeCell ref="D174:D175"/>
    <mergeCell ref="E174:E175"/>
    <mergeCell ref="F174:F175"/>
    <mergeCell ref="G174:G175"/>
    <mergeCell ref="H174:H175"/>
    <mergeCell ref="H172:H173"/>
    <mergeCell ref="I172:I173"/>
    <mergeCell ref="J172:J173"/>
    <mergeCell ref="K172:K173"/>
    <mergeCell ref="L172:L173"/>
    <mergeCell ref="M172:M173"/>
    <mergeCell ref="M170:M171"/>
    <mergeCell ref="N170:N171"/>
    <mergeCell ref="P170:P171"/>
    <mergeCell ref="A172:A173"/>
    <mergeCell ref="B172:B173"/>
    <mergeCell ref="C172:C173"/>
    <mergeCell ref="D172:D173"/>
    <mergeCell ref="E172:E173"/>
    <mergeCell ref="F172:F173"/>
    <mergeCell ref="G172:G173"/>
    <mergeCell ref="G170:G171"/>
    <mergeCell ref="H170:H171"/>
    <mergeCell ref="I170:I171"/>
    <mergeCell ref="J170:J171"/>
    <mergeCell ref="K170:K171"/>
    <mergeCell ref="L170:L171"/>
    <mergeCell ref="A170:A171"/>
    <mergeCell ref="B170:B171"/>
    <mergeCell ref="C170:C171"/>
    <mergeCell ref="D170:D171"/>
    <mergeCell ref="E170:E171"/>
    <mergeCell ref="F170:F171"/>
    <mergeCell ref="J168:J169"/>
    <mergeCell ref="K168:K169"/>
    <mergeCell ref="L168:L169"/>
    <mergeCell ref="M168:M169"/>
    <mergeCell ref="N168:N169"/>
    <mergeCell ref="P168:P169"/>
    <mergeCell ref="P166:P167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I166:I167"/>
    <mergeCell ref="J166:J167"/>
    <mergeCell ref="K166:K167"/>
    <mergeCell ref="L166:L167"/>
    <mergeCell ref="M166:M167"/>
    <mergeCell ref="N166:N167"/>
    <mergeCell ref="N164:N165"/>
    <mergeCell ref="P164:P165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H164:H165"/>
    <mergeCell ref="I164:I165"/>
    <mergeCell ref="J164:J165"/>
    <mergeCell ref="K164:K165"/>
    <mergeCell ref="L164:L165"/>
    <mergeCell ref="M164:M165"/>
    <mergeCell ref="M162:M163"/>
    <mergeCell ref="N162:N163"/>
    <mergeCell ref="P162:P163"/>
    <mergeCell ref="A164:A165"/>
    <mergeCell ref="B164:B165"/>
    <mergeCell ref="C164:C165"/>
    <mergeCell ref="D164:D165"/>
    <mergeCell ref="E164:E165"/>
    <mergeCell ref="F164:F165"/>
    <mergeCell ref="G164:G165"/>
    <mergeCell ref="G162:G163"/>
    <mergeCell ref="H162:H163"/>
    <mergeCell ref="I162:I163"/>
    <mergeCell ref="J162:J163"/>
    <mergeCell ref="K162:K163"/>
    <mergeCell ref="L162:L163"/>
    <mergeCell ref="A162:A163"/>
    <mergeCell ref="B162:B163"/>
    <mergeCell ref="C162:C163"/>
    <mergeCell ref="D162:D163"/>
    <mergeCell ref="E162:E163"/>
    <mergeCell ref="F162:F163"/>
    <mergeCell ref="J160:J161"/>
    <mergeCell ref="K160:K161"/>
    <mergeCell ref="L160:L161"/>
    <mergeCell ref="M160:M161"/>
    <mergeCell ref="N160:N161"/>
    <mergeCell ref="P160:P161"/>
    <mergeCell ref="P158:P159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I158:I159"/>
    <mergeCell ref="J158:J159"/>
    <mergeCell ref="K158:K159"/>
    <mergeCell ref="L158:L159"/>
    <mergeCell ref="M158:M159"/>
    <mergeCell ref="N158:N159"/>
    <mergeCell ref="N156:N157"/>
    <mergeCell ref="P156:P157"/>
    <mergeCell ref="A158:A159"/>
    <mergeCell ref="B158:B159"/>
    <mergeCell ref="C158:C159"/>
    <mergeCell ref="D158:D159"/>
    <mergeCell ref="E158:E159"/>
    <mergeCell ref="F158:F159"/>
    <mergeCell ref="G158:G159"/>
    <mergeCell ref="H158:H159"/>
    <mergeCell ref="H156:H157"/>
    <mergeCell ref="I156:I157"/>
    <mergeCell ref="J156:J157"/>
    <mergeCell ref="K156:K157"/>
    <mergeCell ref="L156:L157"/>
    <mergeCell ref="M156:M157"/>
    <mergeCell ref="M154:M155"/>
    <mergeCell ref="N154:N155"/>
    <mergeCell ref="P154:P155"/>
    <mergeCell ref="A156:A157"/>
    <mergeCell ref="B156:B157"/>
    <mergeCell ref="C156:C157"/>
    <mergeCell ref="D156:D157"/>
    <mergeCell ref="E156:E157"/>
    <mergeCell ref="F156:F157"/>
    <mergeCell ref="G156:G157"/>
    <mergeCell ref="G154:G155"/>
    <mergeCell ref="H154:H155"/>
    <mergeCell ref="I154:I155"/>
    <mergeCell ref="J154:J155"/>
    <mergeCell ref="K154:K155"/>
    <mergeCell ref="L154:L155"/>
    <mergeCell ref="A154:A155"/>
    <mergeCell ref="B154:B155"/>
    <mergeCell ref="C154:C155"/>
    <mergeCell ref="D154:D155"/>
    <mergeCell ref="E154:E155"/>
    <mergeCell ref="F154:F155"/>
    <mergeCell ref="P148:P153"/>
    <mergeCell ref="C149:E149"/>
    <mergeCell ref="F149:H149"/>
    <mergeCell ref="I149:K149"/>
    <mergeCell ref="L149:N149"/>
    <mergeCell ref="C150:E150"/>
    <mergeCell ref="F150:H150"/>
    <mergeCell ref="I150:K150"/>
    <mergeCell ref="L150:N150"/>
    <mergeCell ref="A146:H147"/>
    <mergeCell ref="I146:P146"/>
    <mergeCell ref="I147:P147"/>
    <mergeCell ref="A148:A153"/>
    <mergeCell ref="B148:B153"/>
    <mergeCell ref="C148:E148"/>
    <mergeCell ref="F148:H148"/>
    <mergeCell ref="I148:K148"/>
    <mergeCell ref="L148:N148"/>
    <mergeCell ref="O148:O153"/>
    <mergeCell ref="J144:J145"/>
    <mergeCell ref="K144:K145"/>
    <mergeCell ref="L144:L145"/>
    <mergeCell ref="M144:M145"/>
    <mergeCell ref="N144:N145"/>
    <mergeCell ref="P144:P145"/>
    <mergeCell ref="P142:P143"/>
    <mergeCell ref="A144:A145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I142:I143"/>
    <mergeCell ref="J142:J143"/>
    <mergeCell ref="K142:K143"/>
    <mergeCell ref="L142:L143"/>
    <mergeCell ref="M142:M143"/>
    <mergeCell ref="N142:N143"/>
    <mergeCell ref="N140:N141"/>
    <mergeCell ref="P140:P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H140:H141"/>
    <mergeCell ref="I140:I141"/>
    <mergeCell ref="J140:J141"/>
    <mergeCell ref="K140:K141"/>
    <mergeCell ref="L140:L141"/>
    <mergeCell ref="M140:M141"/>
    <mergeCell ref="M138:M139"/>
    <mergeCell ref="N138:N139"/>
    <mergeCell ref="P138:P139"/>
    <mergeCell ref="A140:A141"/>
    <mergeCell ref="B140:B141"/>
    <mergeCell ref="C140:C141"/>
    <mergeCell ref="D140:D141"/>
    <mergeCell ref="E140:E141"/>
    <mergeCell ref="F140:F141"/>
    <mergeCell ref="G140:G141"/>
    <mergeCell ref="G138:G139"/>
    <mergeCell ref="H138:H139"/>
    <mergeCell ref="I138:I139"/>
    <mergeCell ref="J138:J139"/>
    <mergeCell ref="K138:K139"/>
    <mergeCell ref="L138:L139"/>
    <mergeCell ref="A138:A139"/>
    <mergeCell ref="B138:B139"/>
    <mergeCell ref="C138:C139"/>
    <mergeCell ref="D138:D139"/>
    <mergeCell ref="E138:E139"/>
    <mergeCell ref="F138:F139"/>
    <mergeCell ref="J136:J137"/>
    <mergeCell ref="K136:K137"/>
    <mergeCell ref="L136:L137"/>
    <mergeCell ref="M136:M137"/>
    <mergeCell ref="N136:N137"/>
    <mergeCell ref="P136:P137"/>
    <mergeCell ref="P134:P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I134:I135"/>
    <mergeCell ref="J134:J135"/>
    <mergeCell ref="K134:K135"/>
    <mergeCell ref="L134:L135"/>
    <mergeCell ref="M134:M135"/>
    <mergeCell ref="N134:N135"/>
    <mergeCell ref="N132:N133"/>
    <mergeCell ref="P132:P133"/>
    <mergeCell ref="A134:A135"/>
    <mergeCell ref="B134:B135"/>
    <mergeCell ref="C134:C135"/>
    <mergeCell ref="D134:D135"/>
    <mergeCell ref="E134:E135"/>
    <mergeCell ref="F134:F135"/>
    <mergeCell ref="G134:G135"/>
    <mergeCell ref="H134:H135"/>
    <mergeCell ref="H132:H133"/>
    <mergeCell ref="I132:I133"/>
    <mergeCell ref="J132:J133"/>
    <mergeCell ref="K132:K133"/>
    <mergeCell ref="L132:L133"/>
    <mergeCell ref="M132:M133"/>
    <mergeCell ref="M130:M131"/>
    <mergeCell ref="N130:N131"/>
    <mergeCell ref="P130:P131"/>
    <mergeCell ref="A132:A133"/>
    <mergeCell ref="B132:B133"/>
    <mergeCell ref="C132:C133"/>
    <mergeCell ref="D132:D133"/>
    <mergeCell ref="E132:E133"/>
    <mergeCell ref="F132:F133"/>
    <mergeCell ref="G132:G133"/>
    <mergeCell ref="G130:G131"/>
    <mergeCell ref="H130:H131"/>
    <mergeCell ref="I130:I131"/>
    <mergeCell ref="J130:J131"/>
    <mergeCell ref="K130:K131"/>
    <mergeCell ref="L130:L131"/>
    <mergeCell ref="A130:A131"/>
    <mergeCell ref="B130:B131"/>
    <mergeCell ref="C130:C131"/>
    <mergeCell ref="D130:D131"/>
    <mergeCell ref="E130:E131"/>
    <mergeCell ref="F130:F131"/>
    <mergeCell ref="J128:J129"/>
    <mergeCell ref="K128:K129"/>
    <mergeCell ref="L128:L129"/>
    <mergeCell ref="M128:M129"/>
    <mergeCell ref="N128:N129"/>
    <mergeCell ref="P128:P129"/>
    <mergeCell ref="P126:P127"/>
    <mergeCell ref="A128:A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I126:I127"/>
    <mergeCell ref="J126:J127"/>
    <mergeCell ref="K126:K127"/>
    <mergeCell ref="L126:L127"/>
    <mergeCell ref="M126:M127"/>
    <mergeCell ref="N126:N127"/>
    <mergeCell ref="N124:N125"/>
    <mergeCell ref="P124:P125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H124:H125"/>
    <mergeCell ref="I124:I125"/>
    <mergeCell ref="J124:J125"/>
    <mergeCell ref="K124:K125"/>
    <mergeCell ref="L124:L125"/>
    <mergeCell ref="M124:M125"/>
    <mergeCell ref="M122:M123"/>
    <mergeCell ref="N122:N123"/>
    <mergeCell ref="P122:P123"/>
    <mergeCell ref="A124:A125"/>
    <mergeCell ref="B124:B125"/>
    <mergeCell ref="C124:C125"/>
    <mergeCell ref="D124:D125"/>
    <mergeCell ref="E124:E125"/>
    <mergeCell ref="F124:F125"/>
    <mergeCell ref="G124:G125"/>
    <mergeCell ref="G122:G123"/>
    <mergeCell ref="H122:H123"/>
    <mergeCell ref="I122:I123"/>
    <mergeCell ref="J122:J123"/>
    <mergeCell ref="K122:K123"/>
    <mergeCell ref="L122:L123"/>
    <mergeCell ref="A122:A123"/>
    <mergeCell ref="B122:B123"/>
    <mergeCell ref="C122:C123"/>
    <mergeCell ref="D122:D123"/>
    <mergeCell ref="E122:E123"/>
    <mergeCell ref="F122:F123"/>
    <mergeCell ref="J120:J121"/>
    <mergeCell ref="K120:K121"/>
    <mergeCell ref="L120:L121"/>
    <mergeCell ref="M120:M121"/>
    <mergeCell ref="N120:N121"/>
    <mergeCell ref="P120:P121"/>
    <mergeCell ref="P118:P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I118:I119"/>
    <mergeCell ref="J118:J119"/>
    <mergeCell ref="K118:K119"/>
    <mergeCell ref="L118:L119"/>
    <mergeCell ref="M118:M119"/>
    <mergeCell ref="N118:N119"/>
    <mergeCell ref="N116:N117"/>
    <mergeCell ref="P116:P117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H116:H117"/>
    <mergeCell ref="I116:I117"/>
    <mergeCell ref="J116:J117"/>
    <mergeCell ref="K116:K117"/>
    <mergeCell ref="L116:L117"/>
    <mergeCell ref="M116:M117"/>
    <mergeCell ref="M114:M115"/>
    <mergeCell ref="N114:N115"/>
    <mergeCell ref="P114:P115"/>
    <mergeCell ref="A116:A117"/>
    <mergeCell ref="B116:B117"/>
    <mergeCell ref="C116:C117"/>
    <mergeCell ref="D116:D117"/>
    <mergeCell ref="E116:E117"/>
    <mergeCell ref="F116:F117"/>
    <mergeCell ref="G116:G117"/>
    <mergeCell ref="G114:G115"/>
    <mergeCell ref="H114:H115"/>
    <mergeCell ref="I114:I115"/>
    <mergeCell ref="J114:J115"/>
    <mergeCell ref="K114:K115"/>
    <mergeCell ref="L114:L115"/>
    <mergeCell ref="A114:A115"/>
    <mergeCell ref="B114:B115"/>
    <mergeCell ref="C114:C115"/>
    <mergeCell ref="D114:D115"/>
    <mergeCell ref="E114:E115"/>
    <mergeCell ref="F114:F115"/>
    <mergeCell ref="J112:J113"/>
    <mergeCell ref="K112:K113"/>
    <mergeCell ref="L112:L113"/>
    <mergeCell ref="M112:M113"/>
    <mergeCell ref="N112:N113"/>
    <mergeCell ref="P112:P113"/>
    <mergeCell ref="P110:P11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I110:I111"/>
    <mergeCell ref="J110:J111"/>
    <mergeCell ref="K110:K111"/>
    <mergeCell ref="L110:L111"/>
    <mergeCell ref="M110:M111"/>
    <mergeCell ref="N110:N111"/>
    <mergeCell ref="N108:N109"/>
    <mergeCell ref="P108:P109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H108:H109"/>
    <mergeCell ref="I108:I109"/>
    <mergeCell ref="J108:J109"/>
    <mergeCell ref="K108:K109"/>
    <mergeCell ref="L108:L109"/>
    <mergeCell ref="M108:M109"/>
    <mergeCell ref="M106:M107"/>
    <mergeCell ref="N106:N107"/>
    <mergeCell ref="P106:P107"/>
    <mergeCell ref="A108:A109"/>
    <mergeCell ref="B108:B109"/>
    <mergeCell ref="C108:C109"/>
    <mergeCell ref="D108:D109"/>
    <mergeCell ref="E108:E109"/>
    <mergeCell ref="F108:F109"/>
    <mergeCell ref="G108:G109"/>
    <mergeCell ref="G106:G107"/>
    <mergeCell ref="H106:H107"/>
    <mergeCell ref="I106:I107"/>
    <mergeCell ref="J106:J107"/>
    <mergeCell ref="K106:K107"/>
    <mergeCell ref="L106:L107"/>
    <mergeCell ref="A106:A107"/>
    <mergeCell ref="B106:B107"/>
    <mergeCell ref="C106:C107"/>
    <mergeCell ref="D106:D107"/>
    <mergeCell ref="E106:E107"/>
    <mergeCell ref="F106:F107"/>
    <mergeCell ref="O100:O105"/>
    <mergeCell ref="P100:P105"/>
    <mergeCell ref="C101:E101"/>
    <mergeCell ref="F101:H101"/>
    <mergeCell ref="I101:K101"/>
    <mergeCell ref="L101:N101"/>
    <mergeCell ref="C102:E102"/>
    <mergeCell ref="F102:H102"/>
    <mergeCell ref="I102:K102"/>
    <mergeCell ref="L102:N102"/>
    <mergeCell ref="P96:P97"/>
    <mergeCell ref="A98:H99"/>
    <mergeCell ref="I98:P98"/>
    <mergeCell ref="I99:P99"/>
    <mergeCell ref="A100:A105"/>
    <mergeCell ref="B100:B105"/>
    <mergeCell ref="C100:E100"/>
    <mergeCell ref="F100:H100"/>
    <mergeCell ref="I100:K100"/>
    <mergeCell ref="L100:N100"/>
    <mergeCell ref="I96:I97"/>
    <mergeCell ref="J96:J97"/>
    <mergeCell ref="K96:K97"/>
    <mergeCell ref="L96:L97"/>
    <mergeCell ref="M96:M97"/>
    <mergeCell ref="N96:N97"/>
    <mergeCell ref="N94:N95"/>
    <mergeCell ref="P94:P95"/>
    <mergeCell ref="A96:A97"/>
    <mergeCell ref="B96:B97"/>
    <mergeCell ref="C96:C97"/>
    <mergeCell ref="D96:D97"/>
    <mergeCell ref="E96:E97"/>
    <mergeCell ref="F96:F97"/>
    <mergeCell ref="G96:G97"/>
    <mergeCell ref="H96:H97"/>
    <mergeCell ref="H94:H95"/>
    <mergeCell ref="I94:I95"/>
    <mergeCell ref="J94:J95"/>
    <mergeCell ref="K94:K95"/>
    <mergeCell ref="L94:L95"/>
    <mergeCell ref="M94:M95"/>
    <mergeCell ref="M92:M93"/>
    <mergeCell ref="N92:N93"/>
    <mergeCell ref="P92:P93"/>
    <mergeCell ref="A94:A95"/>
    <mergeCell ref="B94:B95"/>
    <mergeCell ref="C94:C95"/>
    <mergeCell ref="D94:D95"/>
    <mergeCell ref="E94:E95"/>
    <mergeCell ref="F94:F95"/>
    <mergeCell ref="G94:G95"/>
    <mergeCell ref="G92:G93"/>
    <mergeCell ref="H92:H93"/>
    <mergeCell ref="I92:I93"/>
    <mergeCell ref="J92:J93"/>
    <mergeCell ref="K92:K93"/>
    <mergeCell ref="L92:L93"/>
    <mergeCell ref="A92:A93"/>
    <mergeCell ref="B92:B93"/>
    <mergeCell ref="C92:C93"/>
    <mergeCell ref="D92:D93"/>
    <mergeCell ref="E92:E93"/>
    <mergeCell ref="F92:F93"/>
    <mergeCell ref="J90:J91"/>
    <mergeCell ref="K90:K91"/>
    <mergeCell ref="L90:L91"/>
    <mergeCell ref="M90:M91"/>
    <mergeCell ref="N90:N91"/>
    <mergeCell ref="P90:P91"/>
    <mergeCell ref="P88:P89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I88:I89"/>
    <mergeCell ref="J88:J89"/>
    <mergeCell ref="K88:K89"/>
    <mergeCell ref="L88:L89"/>
    <mergeCell ref="M88:M89"/>
    <mergeCell ref="N88:N89"/>
    <mergeCell ref="N86:N87"/>
    <mergeCell ref="P86:P87"/>
    <mergeCell ref="A88:A89"/>
    <mergeCell ref="B88:B89"/>
    <mergeCell ref="C88:C89"/>
    <mergeCell ref="D88:D89"/>
    <mergeCell ref="E88:E89"/>
    <mergeCell ref="F88:F89"/>
    <mergeCell ref="G88:G89"/>
    <mergeCell ref="H88:H89"/>
    <mergeCell ref="H86:H87"/>
    <mergeCell ref="I86:I87"/>
    <mergeCell ref="J86:J87"/>
    <mergeCell ref="K86:K87"/>
    <mergeCell ref="L86:L87"/>
    <mergeCell ref="M86:M87"/>
    <mergeCell ref="M84:M85"/>
    <mergeCell ref="N84:N85"/>
    <mergeCell ref="P84:P85"/>
    <mergeCell ref="A86:A87"/>
    <mergeCell ref="B86:B87"/>
    <mergeCell ref="C86:C87"/>
    <mergeCell ref="D86:D87"/>
    <mergeCell ref="E86:E87"/>
    <mergeCell ref="F86:F87"/>
    <mergeCell ref="G86:G87"/>
    <mergeCell ref="G84:G85"/>
    <mergeCell ref="H84:H85"/>
    <mergeCell ref="I84:I85"/>
    <mergeCell ref="J84:J85"/>
    <mergeCell ref="K84:K85"/>
    <mergeCell ref="L84:L85"/>
    <mergeCell ref="A84:A85"/>
    <mergeCell ref="B84:B85"/>
    <mergeCell ref="C84:C85"/>
    <mergeCell ref="D84:D85"/>
    <mergeCell ref="E84:E85"/>
    <mergeCell ref="F84:F85"/>
    <mergeCell ref="J82:J83"/>
    <mergeCell ref="K82:K83"/>
    <mergeCell ref="L82:L83"/>
    <mergeCell ref="M82:M83"/>
    <mergeCell ref="N82:N83"/>
    <mergeCell ref="P82:P83"/>
    <mergeCell ref="P80:P8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I80:I81"/>
    <mergeCell ref="J80:J81"/>
    <mergeCell ref="K80:K81"/>
    <mergeCell ref="L80:L81"/>
    <mergeCell ref="M80:M81"/>
    <mergeCell ref="N80:N81"/>
    <mergeCell ref="N78:N79"/>
    <mergeCell ref="P78:P79"/>
    <mergeCell ref="A80:A81"/>
    <mergeCell ref="B80:B81"/>
    <mergeCell ref="C80:C81"/>
    <mergeCell ref="D80:D81"/>
    <mergeCell ref="E80:E81"/>
    <mergeCell ref="F80:F81"/>
    <mergeCell ref="G80:G81"/>
    <mergeCell ref="H80:H81"/>
    <mergeCell ref="H78:H79"/>
    <mergeCell ref="I78:I79"/>
    <mergeCell ref="J78:J79"/>
    <mergeCell ref="K78:K79"/>
    <mergeCell ref="L78:L79"/>
    <mergeCell ref="M78:M79"/>
    <mergeCell ref="M76:M77"/>
    <mergeCell ref="N76:N77"/>
    <mergeCell ref="P76:P77"/>
    <mergeCell ref="A78:A79"/>
    <mergeCell ref="B78:B79"/>
    <mergeCell ref="C78:C79"/>
    <mergeCell ref="D78:D79"/>
    <mergeCell ref="E78:E79"/>
    <mergeCell ref="F78:F79"/>
    <mergeCell ref="G78:G79"/>
    <mergeCell ref="G76:G77"/>
    <mergeCell ref="H76:H77"/>
    <mergeCell ref="I76:I77"/>
    <mergeCell ref="J76:J77"/>
    <mergeCell ref="K76:K77"/>
    <mergeCell ref="L76:L77"/>
    <mergeCell ref="A76:A77"/>
    <mergeCell ref="B76:B77"/>
    <mergeCell ref="C76:C77"/>
    <mergeCell ref="D76:D77"/>
    <mergeCell ref="E76:E77"/>
    <mergeCell ref="F76:F77"/>
    <mergeCell ref="J74:J75"/>
    <mergeCell ref="K74:K75"/>
    <mergeCell ref="L74:L75"/>
    <mergeCell ref="M74:M75"/>
    <mergeCell ref="N74:N75"/>
    <mergeCell ref="P74:P75"/>
    <mergeCell ref="P72:P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I72:I73"/>
    <mergeCell ref="J72:J73"/>
    <mergeCell ref="K72:K73"/>
    <mergeCell ref="L72:L73"/>
    <mergeCell ref="M72:M73"/>
    <mergeCell ref="N72:N73"/>
    <mergeCell ref="N70:N71"/>
    <mergeCell ref="P70:P71"/>
    <mergeCell ref="A72:A73"/>
    <mergeCell ref="B72:B73"/>
    <mergeCell ref="C72:C73"/>
    <mergeCell ref="D72:D73"/>
    <mergeCell ref="E72:E73"/>
    <mergeCell ref="F72:F73"/>
    <mergeCell ref="G72:G73"/>
    <mergeCell ref="H72:H73"/>
    <mergeCell ref="H70:H71"/>
    <mergeCell ref="I70:I71"/>
    <mergeCell ref="J70:J71"/>
    <mergeCell ref="K70:K71"/>
    <mergeCell ref="L70:L71"/>
    <mergeCell ref="M70:M71"/>
    <mergeCell ref="M68:M69"/>
    <mergeCell ref="N68:N69"/>
    <mergeCell ref="P68:P69"/>
    <mergeCell ref="A70:A71"/>
    <mergeCell ref="B70:B71"/>
    <mergeCell ref="C70:C71"/>
    <mergeCell ref="D70:D71"/>
    <mergeCell ref="E70:E71"/>
    <mergeCell ref="F70:F71"/>
    <mergeCell ref="G70:G71"/>
    <mergeCell ref="G68:G69"/>
    <mergeCell ref="H68:H69"/>
    <mergeCell ref="I68:I69"/>
    <mergeCell ref="J68:J69"/>
    <mergeCell ref="K68:K69"/>
    <mergeCell ref="L68:L69"/>
    <mergeCell ref="A68:A69"/>
    <mergeCell ref="B68:B69"/>
    <mergeCell ref="C68:C69"/>
    <mergeCell ref="D68:D69"/>
    <mergeCell ref="E68:E69"/>
    <mergeCell ref="F68:F69"/>
    <mergeCell ref="J66:J67"/>
    <mergeCell ref="K66:K67"/>
    <mergeCell ref="L66:L67"/>
    <mergeCell ref="M66:M67"/>
    <mergeCell ref="N66:N67"/>
    <mergeCell ref="P66:P67"/>
    <mergeCell ref="P64:P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I64:I65"/>
    <mergeCell ref="J64:J65"/>
    <mergeCell ref="K64:K65"/>
    <mergeCell ref="L64:L65"/>
    <mergeCell ref="M64:M65"/>
    <mergeCell ref="N64:N65"/>
    <mergeCell ref="N62:N63"/>
    <mergeCell ref="P62:P63"/>
    <mergeCell ref="A64:A65"/>
    <mergeCell ref="B64:B65"/>
    <mergeCell ref="C64:C65"/>
    <mergeCell ref="D64:D65"/>
    <mergeCell ref="E64:E65"/>
    <mergeCell ref="F64:F65"/>
    <mergeCell ref="G64:G65"/>
    <mergeCell ref="H64:H65"/>
    <mergeCell ref="H62:H63"/>
    <mergeCell ref="I62:I63"/>
    <mergeCell ref="J62:J63"/>
    <mergeCell ref="K62:K63"/>
    <mergeCell ref="L62:L63"/>
    <mergeCell ref="M62:M63"/>
    <mergeCell ref="M60:M61"/>
    <mergeCell ref="N60:N61"/>
    <mergeCell ref="P60:P61"/>
    <mergeCell ref="A62:A63"/>
    <mergeCell ref="B62:B63"/>
    <mergeCell ref="C62:C63"/>
    <mergeCell ref="D62:D63"/>
    <mergeCell ref="E62:E63"/>
    <mergeCell ref="F62:F63"/>
    <mergeCell ref="G62:G63"/>
    <mergeCell ref="G60:G61"/>
    <mergeCell ref="H60:H61"/>
    <mergeCell ref="I60:I61"/>
    <mergeCell ref="J60:J61"/>
    <mergeCell ref="K60:K61"/>
    <mergeCell ref="L60:L61"/>
    <mergeCell ref="A60:A61"/>
    <mergeCell ref="B60:B61"/>
    <mergeCell ref="C60:C61"/>
    <mergeCell ref="D60:D61"/>
    <mergeCell ref="E60:E61"/>
    <mergeCell ref="F60:F61"/>
    <mergeCell ref="P54:P59"/>
    <mergeCell ref="C55:E55"/>
    <mergeCell ref="F55:H55"/>
    <mergeCell ref="I55:K55"/>
    <mergeCell ref="L55:N55"/>
    <mergeCell ref="C56:E56"/>
    <mergeCell ref="F56:H56"/>
    <mergeCell ref="I56:K56"/>
    <mergeCell ref="L56:N56"/>
    <mergeCell ref="A52:H53"/>
    <mergeCell ref="I52:P52"/>
    <mergeCell ref="I53:P53"/>
    <mergeCell ref="A54:A59"/>
    <mergeCell ref="B54:B59"/>
    <mergeCell ref="C54:E54"/>
    <mergeCell ref="F54:H54"/>
    <mergeCell ref="I54:K54"/>
    <mergeCell ref="L54:N54"/>
    <mergeCell ref="O54:O59"/>
    <mergeCell ref="J50:J51"/>
    <mergeCell ref="K50:K51"/>
    <mergeCell ref="L50:L51"/>
    <mergeCell ref="M50:M51"/>
    <mergeCell ref="N50:N51"/>
    <mergeCell ref="P50:P51"/>
    <mergeCell ref="P48:P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I48:I49"/>
    <mergeCell ref="J48:J49"/>
    <mergeCell ref="K48:K49"/>
    <mergeCell ref="L48:L49"/>
    <mergeCell ref="M48:M49"/>
    <mergeCell ref="N48:N49"/>
    <mergeCell ref="N46:N47"/>
    <mergeCell ref="P46:P47"/>
    <mergeCell ref="A48:A49"/>
    <mergeCell ref="B48:B49"/>
    <mergeCell ref="C48:C49"/>
    <mergeCell ref="D48:D49"/>
    <mergeCell ref="E48:E49"/>
    <mergeCell ref="F48:F49"/>
    <mergeCell ref="G48:G49"/>
    <mergeCell ref="H48:H49"/>
    <mergeCell ref="H46:H47"/>
    <mergeCell ref="I46:I47"/>
    <mergeCell ref="J46:J47"/>
    <mergeCell ref="K46:K47"/>
    <mergeCell ref="L46:L47"/>
    <mergeCell ref="M46:M47"/>
    <mergeCell ref="M44:M45"/>
    <mergeCell ref="N44:N45"/>
    <mergeCell ref="P44:P45"/>
    <mergeCell ref="A46:A47"/>
    <mergeCell ref="B46:B47"/>
    <mergeCell ref="C46:C47"/>
    <mergeCell ref="D46:D47"/>
    <mergeCell ref="E46:E47"/>
    <mergeCell ref="F46:F47"/>
    <mergeCell ref="G46:G47"/>
    <mergeCell ref="G44:G45"/>
    <mergeCell ref="H44:H45"/>
    <mergeCell ref="I44:I45"/>
    <mergeCell ref="J44:J45"/>
    <mergeCell ref="K44:K45"/>
    <mergeCell ref="L44:L45"/>
    <mergeCell ref="A44:A45"/>
    <mergeCell ref="B44:B45"/>
    <mergeCell ref="C44:C45"/>
    <mergeCell ref="D44:D45"/>
    <mergeCell ref="E44:E45"/>
    <mergeCell ref="F44:F45"/>
    <mergeCell ref="J42:J43"/>
    <mergeCell ref="K42:K43"/>
    <mergeCell ref="L42:L43"/>
    <mergeCell ref="M42:M43"/>
    <mergeCell ref="N42:N43"/>
    <mergeCell ref="P42:P43"/>
    <mergeCell ref="P40:P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I40:I41"/>
    <mergeCell ref="J40:J41"/>
    <mergeCell ref="K40:K41"/>
    <mergeCell ref="L40:L41"/>
    <mergeCell ref="M40:M41"/>
    <mergeCell ref="N40:N41"/>
    <mergeCell ref="N38:N39"/>
    <mergeCell ref="P38:P39"/>
    <mergeCell ref="A40:A41"/>
    <mergeCell ref="B40:B41"/>
    <mergeCell ref="C40:C41"/>
    <mergeCell ref="D40:D41"/>
    <mergeCell ref="E40:E41"/>
    <mergeCell ref="F40:F41"/>
    <mergeCell ref="G40:G41"/>
    <mergeCell ref="H40:H41"/>
    <mergeCell ref="H38:H39"/>
    <mergeCell ref="I38:I39"/>
    <mergeCell ref="J38:J39"/>
    <mergeCell ref="K38:K39"/>
    <mergeCell ref="L38:L39"/>
    <mergeCell ref="M38:M39"/>
    <mergeCell ref="M36:M37"/>
    <mergeCell ref="N36:N37"/>
    <mergeCell ref="P36:P37"/>
    <mergeCell ref="A38:A39"/>
    <mergeCell ref="B38:B39"/>
    <mergeCell ref="C38:C39"/>
    <mergeCell ref="D38:D39"/>
    <mergeCell ref="E38:E39"/>
    <mergeCell ref="F38:F39"/>
    <mergeCell ref="G38:G39"/>
    <mergeCell ref="G36:G37"/>
    <mergeCell ref="H36:H37"/>
    <mergeCell ref="I36:I37"/>
    <mergeCell ref="J36:J37"/>
    <mergeCell ref="K36:K37"/>
    <mergeCell ref="L36:L37"/>
    <mergeCell ref="A36:A37"/>
    <mergeCell ref="B36:B37"/>
    <mergeCell ref="C36:C37"/>
    <mergeCell ref="D36:D37"/>
    <mergeCell ref="E36:E37"/>
    <mergeCell ref="F36:F37"/>
    <mergeCell ref="J34:J35"/>
    <mergeCell ref="K34:K35"/>
    <mergeCell ref="L34:L35"/>
    <mergeCell ref="M34:M35"/>
    <mergeCell ref="N34:N35"/>
    <mergeCell ref="P34:P35"/>
    <mergeCell ref="P32:P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I32:I33"/>
    <mergeCell ref="J32:J33"/>
    <mergeCell ref="K32:K33"/>
    <mergeCell ref="L32:L33"/>
    <mergeCell ref="M32:M33"/>
    <mergeCell ref="N32:N33"/>
    <mergeCell ref="N30:N31"/>
    <mergeCell ref="P30:P31"/>
    <mergeCell ref="A32:A33"/>
    <mergeCell ref="B32:B33"/>
    <mergeCell ref="C32:C33"/>
    <mergeCell ref="D32:D33"/>
    <mergeCell ref="E32:E33"/>
    <mergeCell ref="F32:F33"/>
    <mergeCell ref="G32:G33"/>
    <mergeCell ref="H32:H33"/>
    <mergeCell ref="H30:H31"/>
    <mergeCell ref="I30:I31"/>
    <mergeCell ref="J30:J31"/>
    <mergeCell ref="K30:K31"/>
    <mergeCell ref="L30:L31"/>
    <mergeCell ref="M30:M31"/>
    <mergeCell ref="M28:M29"/>
    <mergeCell ref="N28:N29"/>
    <mergeCell ref="P28:P29"/>
    <mergeCell ref="A30:A31"/>
    <mergeCell ref="B30:B31"/>
    <mergeCell ref="C30:C31"/>
    <mergeCell ref="D30:D31"/>
    <mergeCell ref="E30:E31"/>
    <mergeCell ref="F30:F31"/>
    <mergeCell ref="G30:G31"/>
    <mergeCell ref="G28:G29"/>
    <mergeCell ref="H28:H29"/>
    <mergeCell ref="I28:I29"/>
    <mergeCell ref="J28:J29"/>
    <mergeCell ref="K28:K29"/>
    <mergeCell ref="L28:L29"/>
    <mergeCell ref="A28:A29"/>
    <mergeCell ref="B28:B29"/>
    <mergeCell ref="C28:C29"/>
    <mergeCell ref="D28:D29"/>
    <mergeCell ref="E28:E29"/>
    <mergeCell ref="F28:F29"/>
    <mergeCell ref="J26:J27"/>
    <mergeCell ref="K26:K27"/>
    <mergeCell ref="L26:L27"/>
    <mergeCell ref="M26:M27"/>
    <mergeCell ref="N26:N27"/>
    <mergeCell ref="P26:P27"/>
    <mergeCell ref="P24:P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I24:I25"/>
    <mergeCell ref="J24:J25"/>
    <mergeCell ref="K24:K25"/>
    <mergeCell ref="L24:L25"/>
    <mergeCell ref="M24:M25"/>
    <mergeCell ref="N24:N25"/>
    <mergeCell ref="N22:N23"/>
    <mergeCell ref="P22:P23"/>
    <mergeCell ref="A24:A25"/>
    <mergeCell ref="B24:B25"/>
    <mergeCell ref="C24:C25"/>
    <mergeCell ref="D24:D25"/>
    <mergeCell ref="E24:E25"/>
    <mergeCell ref="F24:F25"/>
    <mergeCell ref="G24:G25"/>
    <mergeCell ref="H24:H25"/>
    <mergeCell ref="H22:H23"/>
    <mergeCell ref="I22:I23"/>
    <mergeCell ref="J22:J23"/>
    <mergeCell ref="K22:K23"/>
    <mergeCell ref="L22:L23"/>
    <mergeCell ref="M22:M23"/>
    <mergeCell ref="M20:M21"/>
    <mergeCell ref="N20:N21"/>
    <mergeCell ref="P20:P21"/>
    <mergeCell ref="A22:A23"/>
    <mergeCell ref="B22:B23"/>
    <mergeCell ref="C22:C23"/>
    <mergeCell ref="D22:D23"/>
    <mergeCell ref="E22:E23"/>
    <mergeCell ref="F22:F23"/>
    <mergeCell ref="G22:G23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J18:J19"/>
    <mergeCell ref="K18:K19"/>
    <mergeCell ref="L18:L19"/>
    <mergeCell ref="M18:M19"/>
    <mergeCell ref="N18:N19"/>
    <mergeCell ref="P18:P19"/>
    <mergeCell ref="P16:P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I16:I17"/>
    <mergeCell ref="J16:J17"/>
    <mergeCell ref="K16:K17"/>
    <mergeCell ref="L16:L17"/>
    <mergeCell ref="M16:M17"/>
    <mergeCell ref="N16:N17"/>
    <mergeCell ref="N14:N15"/>
    <mergeCell ref="P14:P15"/>
    <mergeCell ref="A16:A17"/>
    <mergeCell ref="B16:B17"/>
    <mergeCell ref="C16:C17"/>
    <mergeCell ref="D16:D17"/>
    <mergeCell ref="E16:E17"/>
    <mergeCell ref="F16:F17"/>
    <mergeCell ref="G16:G17"/>
    <mergeCell ref="H16:H17"/>
    <mergeCell ref="H14:H15"/>
    <mergeCell ref="I14:I15"/>
    <mergeCell ref="J14:J15"/>
    <mergeCell ref="K14:K15"/>
    <mergeCell ref="L14:L15"/>
    <mergeCell ref="M14:M15"/>
    <mergeCell ref="M12:M13"/>
    <mergeCell ref="N12:N13"/>
    <mergeCell ref="P12:P13"/>
    <mergeCell ref="A14:A15"/>
    <mergeCell ref="B14:B15"/>
    <mergeCell ref="C14:C15"/>
    <mergeCell ref="D14:D15"/>
    <mergeCell ref="E14:E15"/>
    <mergeCell ref="F14:F15"/>
    <mergeCell ref="G14:G15"/>
    <mergeCell ref="G12:G13"/>
    <mergeCell ref="H12:H13"/>
    <mergeCell ref="I12:I13"/>
    <mergeCell ref="J12:J13"/>
    <mergeCell ref="K12:K13"/>
    <mergeCell ref="L12:L13"/>
    <mergeCell ref="M10:M11"/>
    <mergeCell ref="N10:N11"/>
    <mergeCell ref="O10:O11"/>
    <mergeCell ref="P10:P11"/>
    <mergeCell ref="A12:A13"/>
    <mergeCell ref="B12:B13"/>
    <mergeCell ref="C12:C13"/>
    <mergeCell ref="D12:D13"/>
    <mergeCell ref="E12:E13"/>
    <mergeCell ref="F12:F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P4:P9"/>
    <mergeCell ref="C5:E5"/>
    <mergeCell ref="F5:H5"/>
    <mergeCell ref="I5:K5"/>
    <mergeCell ref="L5:N5"/>
    <mergeCell ref="C6:E6"/>
    <mergeCell ref="F6:H6"/>
    <mergeCell ref="I6:K6"/>
    <mergeCell ref="L6:N6"/>
    <mergeCell ref="A1:P1"/>
    <mergeCell ref="A2:P2"/>
    <mergeCell ref="A3:P3"/>
    <mergeCell ref="A4:A9"/>
    <mergeCell ref="B4:B9"/>
    <mergeCell ref="C4:E4"/>
    <mergeCell ref="F4:H4"/>
    <mergeCell ref="I4:K4"/>
    <mergeCell ref="L4:N4"/>
    <mergeCell ref="O4:O9"/>
  </mergeCells>
  <pageMargins left="0.34" right="0.37" top="0.31496062992126" bottom="0.55118110236220497" header="0.196850393700787" footer="0.39370078740157499"/>
  <pageSetup paperSize="9" scale="55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97" max="1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56"/>
  <sheetViews>
    <sheetView view="pageBreakPreview" zoomScale="80" zoomScaleSheetLayoutView="80" workbookViewId="0">
      <selection activeCell="F6" sqref="F6:F21"/>
    </sheetView>
  </sheetViews>
  <sheetFormatPr defaultRowHeight="15"/>
  <cols>
    <col min="1" max="1" width="5.140625" customWidth="1"/>
    <col min="2" max="2" width="37.42578125" customWidth="1"/>
    <col min="3" max="3" width="13.42578125" customWidth="1"/>
    <col min="4" max="4" width="13.140625" customWidth="1"/>
    <col min="5" max="5" width="13.42578125" customWidth="1"/>
    <col min="6" max="6" width="32" customWidth="1"/>
    <col min="7" max="7" width="5.85546875" customWidth="1"/>
    <col min="10" max="10" width="10.140625" customWidth="1"/>
    <col min="11" max="11" width="10.42578125" customWidth="1"/>
    <col min="12" max="12" width="8.7109375" customWidth="1"/>
    <col min="20" max="20" width="9.85546875" bestFit="1" customWidth="1"/>
    <col min="23" max="23" width="14.5703125" customWidth="1"/>
  </cols>
  <sheetData>
    <row r="1" spans="1:23" ht="21.95" customHeight="1">
      <c r="A1" s="1511" t="s">
        <v>896</v>
      </c>
      <c r="B1" s="1511"/>
      <c r="C1" s="1511"/>
      <c r="D1" s="1511"/>
      <c r="E1" s="1511"/>
      <c r="F1" s="1511"/>
      <c r="G1" s="1511"/>
    </row>
    <row r="2" spans="1:23" ht="21.95" customHeight="1">
      <c r="A2" s="1407" t="s">
        <v>897</v>
      </c>
      <c r="B2" s="1407"/>
      <c r="C2" s="1407"/>
      <c r="D2" s="1407"/>
      <c r="E2" s="1407"/>
      <c r="F2" s="1407"/>
      <c r="G2" s="1407"/>
    </row>
    <row r="3" spans="1:23" ht="21.95" customHeight="1">
      <c r="A3" s="1407" t="s">
        <v>1986</v>
      </c>
      <c r="B3" s="1407"/>
      <c r="C3" s="1407"/>
      <c r="D3" s="1407"/>
      <c r="E3" s="1407"/>
      <c r="F3" s="1407"/>
      <c r="G3" s="1407"/>
    </row>
    <row r="4" spans="1:23" ht="21.95" customHeight="1">
      <c r="A4" s="1412" t="s">
        <v>2026</v>
      </c>
      <c r="B4" s="1681" t="s">
        <v>399</v>
      </c>
      <c r="C4" s="1024" t="s">
        <v>1793</v>
      </c>
      <c r="D4" s="1024" t="s">
        <v>1309</v>
      </c>
      <c r="E4" s="1024" t="s">
        <v>1159</v>
      </c>
      <c r="F4" s="1681" t="s">
        <v>425</v>
      </c>
      <c r="G4" s="1412" t="s">
        <v>2027</v>
      </c>
    </row>
    <row r="5" spans="1:23" ht="21.95" customHeight="1">
      <c r="A5" s="1413"/>
      <c r="B5" s="1682"/>
      <c r="C5" s="1146" t="s">
        <v>1774</v>
      </c>
      <c r="D5" s="1146" t="s">
        <v>1305</v>
      </c>
      <c r="E5" s="1146" t="s">
        <v>1156</v>
      </c>
      <c r="F5" s="1682"/>
      <c r="G5" s="1413"/>
    </row>
    <row r="6" spans="1:23" ht="30.95" customHeight="1">
      <c r="A6" s="1687">
        <v>1</v>
      </c>
      <c r="B6" s="1558" t="s">
        <v>484</v>
      </c>
      <c r="C6" s="1689">
        <f>C8+C9</f>
        <v>157</v>
      </c>
      <c r="D6" s="1690">
        <f>D8+D9</f>
        <v>157</v>
      </c>
      <c r="E6" s="1691">
        <f>E8+E9</f>
        <v>141</v>
      </c>
      <c r="F6" s="969" t="s">
        <v>483</v>
      </c>
      <c r="G6" s="1692">
        <v>1</v>
      </c>
      <c r="W6">
        <v>9003259</v>
      </c>
    </row>
    <row r="7" spans="1:23" ht="30.95" customHeight="1">
      <c r="A7" s="1688"/>
      <c r="B7" s="1558"/>
      <c r="C7" s="1689"/>
      <c r="D7" s="1690"/>
      <c r="E7" s="1691"/>
      <c r="F7" s="969" t="s">
        <v>549</v>
      </c>
      <c r="G7" s="1693"/>
      <c r="J7" s="1683" t="s">
        <v>225</v>
      </c>
      <c r="K7" s="1683"/>
      <c r="M7" t="s">
        <v>1333</v>
      </c>
      <c r="W7">
        <v>46469</v>
      </c>
    </row>
    <row r="8" spans="1:23" ht="30.95" customHeight="1">
      <c r="A8" s="1367">
        <v>2</v>
      </c>
      <c r="B8" s="976" t="s">
        <v>308</v>
      </c>
      <c r="C8" s="584">
        <v>153</v>
      </c>
      <c r="D8" s="577">
        <v>153</v>
      </c>
      <c r="E8" s="578">
        <v>139</v>
      </c>
      <c r="F8" s="955" t="s">
        <v>676</v>
      </c>
      <c r="G8" s="1362">
        <v>2</v>
      </c>
      <c r="J8">
        <f>76+93+76+74+78+51+31+40+96+74+60+47+46+88+79+53+100+48+143+55+63+38+106+0+108+34+56+79+57+51+55+181+58+100+102+35+48+57+76+110+79+60+92+75+46+77+94+37+105+85+80+84+55+41+96+54+41+93+64+34+45+42+45+55+28+33+49+93+88+76+81+144+186+62+182+57+56+57+100+54+67+45+89+32+51+25+36+50+50+46+37+43+35+44+94+62+49+86+46+54+95+59+36+60+29+73+164+27+49+80+44+54+65+148+299+258+266+56+29+13+58+94+40+51+42+53+49+48+34+58+65+40+36+130+118+42+225+90+107+54+93+99+113+85+96+83+97+52+88+99+122+89</f>
        <v>11242</v>
      </c>
      <c r="K8">
        <f>6+31+1+53+34+5+173+273+131+77+1103+43+22+17+2+16+60+42+84+15+31+2+2+12+22+26+120+71+43+59</f>
        <v>2576</v>
      </c>
      <c r="L8" s="2"/>
      <c r="W8">
        <v>2399</v>
      </c>
    </row>
    <row r="9" spans="1:23" ht="30.95" customHeight="1">
      <c r="A9" s="1368">
        <v>3</v>
      </c>
      <c r="B9" s="1095" t="s">
        <v>307</v>
      </c>
      <c r="C9" s="1005">
        <v>4</v>
      </c>
      <c r="D9" s="1004">
        <v>4</v>
      </c>
      <c r="E9" s="1007">
        <v>2</v>
      </c>
      <c r="F9" s="963" t="s">
        <v>677</v>
      </c>
      <c r="G9" s="1002">
        <v>3</v>
      </c>
      <c r="J9">
        <f>29+36+15+19+28+17+16+11+42+22+23+15+15+40+48+18+58+18+34+13+22+62+57+17+30+73+9+41+33+19+18+24+28+21+47+58+33+12+5+37+50+27+35+20+51+29+21+18+72+227+35+19+15+23+17+11+56+33+48+33+59+39+27+22+74+24+25+51+28+98+55+9+13+50+30+9+7+27+19+24+19+16+11+144+61+67+73+62+36+27+19+27+50+30</f>
        <v>3335</v>
      </c>
      <c r="K9">
        <f>6+14+20+33+16+11+14+17+6+11+10+57+12+15+64+44+10+16+7</f>
        <v>383</v>
      </c>
      <c r="T9">
        <v>19141</v>
      </c>
      <c r="W9">
        <v>73212</v>
      </c>
    </row>
    <row r="10" spans="1:23" ht="30.95" customHeight="1">
      <c r="A10" s="1367">
        <v>4</v>
      </c>
      <c r="B10" s="1363" t="s">
        <v>62</v>
      </c>
      <c r="C10" s="593">
        <f>C11+C12</f>
        <v>13479</v>
      </c>
      <c r="D10" s="8">
        <f>D11+D12</f>
        <v>13818</v>
      </c>
      <c r="E10" s="22">
        <f>E11+E12</f>
        <v>21565</v>
      </c>
      <c r="F10" s="1364" t="s">
        <v>678</v>
      </c>
      <c r="G10" s="1362">
        <v>4</v>
      </c>
      <c r="H10" s="51"/>
      <c r="T10">
        <v>260517</v>
      </c>
      <c r="W10">
        <v>32757</v>
      </c>
    </row>
    <row r="11" spans="1:23" ht="30.95" customHeight="1">
      <c r="A11" s="1368">
        <v>5</v>
      </c>
      <c r="B11" s="1095" t="s">
        <v>233</v>
      </c>
      <c r="C11" s="1053">
        <v>10975</v>
      </c>
      <c r="D11" s="707">
        <v>11242</v>
      </c>
      <c r="E11" s="708">
        <v>19924</v>
      </c>
      <c r="F11" s="1023" t="s">
        <v>679</v>
      </c>
      <c r="G11" s="1002">
        <v>5</v>
      </c>
      <c r="T11">
        <v>25248</v>
      </c>
      <c r="W11">
        <f>SUM(W6:W10)</f>
        <v>9158096</v>
      </c>
    </row>
    <row r="12" spans="1:23" ht="30.95" customHeight="1">
      <c r="A12" s="1367">
        <v>6</v>
      </c>
      <c r="B12" s="976" t="s">
        <v>232</v>
      </c>
      <c r="C12" s="593">
        <v>2504</v>
      </c>
      <c r="D12" s="8">
        <v>2576</v>
      </c>
      <c r="E12" s="22">
        <v>1641</v>
      </c>
      <c r="F12" s="7" t="s">
        <v>680</v>
      </c>
      <c r="G12" s="1362">
        <v>6</v>
      </c>
      <c r="T12">
        <v>34996</v>
      </c>
    </row>
    <row r="13" spans="1:23" ht="30.95" customHeight="1">
      <c r="A13" s="1368">
        <v>7</v>
      </c>
      <c r="B13" s="1365" t="s">
        <v>127</v>
      </c>
      <c r="C13" s="1053">
        <f>C14+C15</f>
        <v>3888</v>
      </c>
      <c r="D13" s="707">
        <f>D14+D15</f>
        <v>3718</v>
      </c>
      <c r="E13" s="708">
        <f>E14+E15</f>
        <v>4618</v>
      </c>
      <c r="F13" s="1366" t="s">
        <v>646</v>
      </c>
      <c r="G13" s="1002">
        <v>7</v>
      </c>
      <c r="I13">
        <v>285</v>
      </c>
      <c r="T13">
        <v>1575</v>
      </c>
    </row>
    <row r="14" spans="1:23" ht="30.95" customHeight="1">
      <c r="A14" s="1367">
        <v>8</v>
      </c>
      <c r="B14" s="976" t="s">
        <v>233</v>
      </c>
      <c r="C14" s="593">
        <v>3375</v>
      </c>
      <c r="D14" s="8">
        <v>3335</v>
      </c>
      <c r="E14" s="22">
        <v>4138</v>
      </c>
      <c r="F14" s="7" t="s">
        <v>679</v>
      </c>
      <c r="G14" s="1362">
        <v>8</v>
      </c>
      <c r="H14" s="184">
        <v>39</v>
      </c>
      <c r="I14">
        <v>70</v>
      </c>
      <c r="K14">
        <f>155+137+79+63+54</f>
        <v>488</v>
      </c>
      <c r="L14">
        <f>144+10+18+25+2</f>
        <v>199</v>
      </c>
      <c r="T14">
        <v>73191</v>
      </c>
    </row>
    <row r="15" spans="1:23" ht="30.95" customHeight="1">
      <c r="A15" s="1368">
        <v>9</v>
      </c>
      <c r="B15" s="1095" t="s">
        <v>232</v>
      </c>
      <c r="C15" s="1053">
        <v>513</v>
      </c>
      <c r="D15" s="707">
        <v>383</v>
      </c>
      <c r="E15" s="708">
        <v>480</v>
      </c>
      <c r="F15" s="1023" t="s">
        <v>680</v>
      </c>
      <c r="G15" s="1002">
        <v>9</v>
      </c>
      <c r="H15" s="184">
        <v>98</v>
      </c>
      <c r="I15">
        <v>164</v>
      </c>
      <c r="T15">
        <v>8760986</v>
      </c>
    </row>
    <row r="16" spans="1:23" ht="30.95" customHeight="1">
      <c r="A16" s="1367">
        <v>10</v>
      </c>
      <c r="B16" s="1363" t="s">
        <v>106</v>
      </c>
      <c r="C16" s="593">
        <f>C17+C18</f>
        <v>3252</v>
      </c>
      <c r="D16" s="8">
        <f>D17+D18</f>
        <v>4218</v>
      </c>
      <c r="E16" s="22">
        <f>E17+E18</f>
        <v>3152</v>
      </c>
      <c r="F16" s="1364" t="s">
        <v>647</v>
      </c>
      <c r="G16" s="1362">
        <v>10</v>
      </c>
      <c r="I16">
        <v>35</v>
      </c>
      <c r="O16" s="39">
        <f>C21/C19*100</f>
        <v>21.899736147757256</v>
      </c>
      <c r="T16">
        <f>SUM(T9:T15)</f>
        <v>9175654</v>
      </c>
    </row>
    <row r="17" spans="1:20" ht="30.95" customHeight="1">
      <c r="A17" s="1368">
        <v>11</v>
      </c>
      <c r="B17" s="1095" t="s">
        <v>233</v>
      </c>
      <c r="C17" s="1053">
        <v>2851</v>
      </c>
      <c r="D17" s="707">
        <v>4091</v>
      </c>
      <c r="E17" s="708">
        <v>2825</v>
      </c>
      <c r="F17" s="1023" t="s">
        <v>679</v>
      </c>
      <c r="G17" s="1002">
        <v>11</v>
      </c>
      <c r="H17">
        <v>7</v>
      </c>
      <c r="I17">
        <v>47</v>
      </c>
      <c r="J17">
        <f>4700-609</f>
        <v>4091</v>
      </c>
      <c r="O17" s="39">
        <f>D21/D19*100</f>
        <v>28.966521106259098</v>
      </c>
    </row>
    <row r="18" spans="1:20" ht="30.95" customHeight="1">
      <c r="A18" s="1367">
        <v>12</v>
      </c>
      <c r="B18" s="976" t="s">
        <v>232</v>
      </c>
      <c r="C18" s="593">
        <v>401</v>
      </c>
      <c r="D18" s="8">
        <v>127</v>
      </c>
      <c r="E18" s="22">
        <v>327</v>
      </c>
      <c r="F18" s="7" t="s">
        <v>680</v>
      </c>
      <c r="G18" s="1362">
        <v>12</v>
      </c>
      <c r="I18">
        <v>8</v>
      </c>
      <c r="J18">
        <f>268-141</f>
        <v>127</v>
      </c>
      <c r="O18" s="39">
        <f>E21/E19*100</f>
        <v>3.2854209445585218</v>
      </c>
    </row>
    <row r="19" spans="1:20" ht="30.95" customHeight="1">
      <c r="A19" s="1368">
        <v>13</v>
      </c>
      <c r="B19" s="1365" t="s">
        <v>73</v>
      </c>
      <c r="C19" s="1053">
        <f>C20+C21</f>
        <v>758</v>
      </c>
      <c r="D19" s="707">
        <f>D20+D21</f>
        <v>687</v>
      </c>
      <c r="E19" s="708">
        <f>E20+E21</f>
        <v>974</v>
      </c>
      <c r="F19" s="1366" t="s">
        <v>655</v>
      </c>
      <c r="G19" s="1002">
        <v>13</v>
      </c>
      <c r="H19">
        <f>SUM(H13:H18)</f>
        <v>144</v>
      </c>
      <c r="I19" s="51">
        <f>SUM(I13:I18)</f>
        <v>609</v>
      </c>
      <c r="T19" s="49">
        <f>9175654/1000000</f>
        <v>9.1756539999999998</v>
      </c>
    </row>
    <row r="20" spans="1:20" ht="30.95" customHeight="1">
      <c r="A20" s="1367">
        <v>14</v>
      </c>
      <c r="B20" s="976" t="s">
        <v>53</v>
      </c>
      <c r="C20" s="593">
        <v>592</v>
      </c>
      <c r="D20" s="8">
        <v>488</v>
      </c>
      <c r="E20" s="22">
        <v>942</v>
      </c>
      <c r="F20" s="7" t="s">
        <v>648</v>
      </c>
      <c r="G20" s="1362">
        <v>14</v>
      </c>
      <c r="K20" s="10"/>
      <c r="L20" s="12" t="s">
        <v>1156</v>
      </c>
      <c r="M20" s="12" t="s">
        <v>1305</v>
      </c>
      <c r="N20" s="12" t="s">
        <v>1774</v>
      </c>
    </row>
    <row r="21" spans="1:20" ht="30.95" customHeight="1">
      <c r="A21" s="1369">
        <v>15</v>
      </c>
      <c r="B21" s="1096" t="s">
        <v>52</v>
      </c>
      <c r="C21" s="709">
        <v>166</v>
      </c>
      <c r="D21" s="710">
        <v>199</v>
      </c>
      <c r="E21" s="711">
        <v>32</v>
      </c>
      <c r="F21" s="715" t="s">
        <v>649</v>
      </c>
      <c r="G21" s="1156">
        <v>15</v>
      </c>
      <c r="K21" s="10"/>
      <c r="L21" s="10">
        <v>1394</v>
      </c>
      <c r="M21" s="10">
        <v>1395</v>
      </c>
      <c r="N21" s="10">
        <v>1396</v>
      </c>
    </row>
    <row r="22" spans="1:20" ht="30" customHeight="1">
      <c r="A22" s="1684" t="s">
        <v>226</v>
      </c>
      <c r="B22" s="1684"/>
      <c r="C22" s="1520" t="s">
        <v>545</v>
      </c>
      <c r="D22" s="1520"/>
      <c r="E22" s="1520"/>
      <c r="F22" s="1581" t="s">
        <v>339</v>
      </c>
      <c r="G22" s="1581"/>
      <c r="K22" s="10" t="s">
        <v>1096</v>
      </c>
      <c r="L22" s="9">
        <v>21565</v>
      </c>
      <c r="M22" s="9">
        <v>13818</v>
      </c>
      <c r="N22" s="9">
        <v>13479</v>
      </c>
    </row>
    <row r="23" spans="1:20" ht="27" customHeight="1">
      <c r="A23" s="1685" t="s">
        <v>1966</v>
      </c>
      <c r="B23" s="1685"/>
      <c r="C23" s="1685"/>
      <c r="D23" s="1686" t="s">
        <v>1967</v>
      </c>
      <c r="E23" s="1686"/>
      <c r="F23" s="1686"/>
      <c r="G23" s="1686"/>
      <c r="H23">
        <v>1437</v>
      </c>
      <c r="I23">
        <v>153</v>
      </c>
      <c r="K23" s="10" t="s">
        <v>1094</v>
      </c>
      <c r="L23" s="9">
        <v>19924</v>
      </c>
      <c r="M23" s="9">
        <v>11242</v>
      </c>
      <c r="N23" s="9">
        <v>10975</v>
      </c>
    </row>
    <row r="24" spans="1:20" ht="27" customHeight="1">
      <c r="A24" s="1685"/>
      <c r="B24" s="1685"/>
      <c r="C24" s="1685"/>
      <c r="D24" s="1686"/>
      <c r="E24" s="1686"/>
      <c r="F24" s="1686"/>
      <c r="G24" s="1686"/>
      <c r="H24">
        <v>1635</v>
      </c>
      <c r="I24">
        <v>344</v>
      </c>
      <c r="K24" s="10" t="s">
        <v>1095</v>
      </c>
      <c r="L24" s="9">
        <v>1641</v>
      </c>
      <c r="M24" s="9">
        <v>2576</v>
      </c>
      <c r="N24" s="9">
        <v>2504</v>
      </c>
    </row>
    <row r="25" spans="1:20" ht="27" customHeight="1">
      <c r="A25" s="1685"/>
      <c r="B25" s="1685"/>
      <c r="C25" s="1685"/>
      <c r="D25" s="1686"/>
      <c r="E25" s="1686"/>
      <c r="F25" s="1686"/>
      <c r="G25" s="1686"/>
      <c r="H25">
        <f>SUM(H23:H24)</f>
        <v>3072</v>
      </c>
      <c r="I25">
        <f>SUM(I23:I24)</f>
        <v>497</v>
      </c>
    </row>
    <row r="26" spans="1:20" ht="27" customHeight="1">
      <c r="I26">
        <f>I25/H25*100</f>
        <v>16.178385416666664</v>
      </c>
    </row>
    <row r="27" spans="1:20" ht="27" customHeight="1"/>
    <row r="28" spans="1:20" ht="27" customHeight="1">
      <c r="I28">
        <f>153/1437*100</f>
        <v>10.647181628392484</v>
      </c>
    </row>
    <row r="29" spans="1:20" ht="27" customHeight="1">
      <c r="L29" s="12" t="s">
        <v>1170</v>
      </c>
      <c r="M29" s="12" t="s">
        <v>1306</v>
      </c>
      <c r="N29" s="12" t="s">
        <v>1780</v>
      </c>
    </row>
    <row r="30" spans="1:20" ht="27" customHeight="1">
      <c r="L30" s="10">
        <v>1394</v>
      </c>
      <c r="M30" s="10">
        <v>1395</v>
      </c>
      <c r="N30" s="10">
        <v>1396</v>
      </c>
    </row>
    <row r="31" spans="1:20" ht="27" customHeight="1">
      <c r="K31" t="s">
        <v>1097</v>
      </c>
      <c r="L31" s="9">
        <v>974</v>
      </c>
      <c r="M31" s="9">
        <v>687</v>
      </c>
      <c r="N31" s="9">
        <v>758</v>
      </c>
    </row>
    <row r="32" spans="1:20" ht="27" customHeight="1">
      <c r="K32" t="s">
        <v>1098</v>
      </c>
      <c r="L32" s="9">
        <v>942</v>
      </c>
      <c r="M32" s="9">
        <v>488</v>
      </c>
      <c r="N32" s="9">
        <v>592</v>
      </c>
    </row>
    <row r="33" spans="2:15" ht="27" customHeight="1">
      <c r="K33" t="s">
        <v>1099</v>
      </c>
      <c r="L33" s="9">
        <v>32</v>
      </c>
      <c r="M33" s="9">
        <v>199</v>
      </c>
      <c r="N33" s="9">
        <v>166</v>
      </c>
    </row>
    <row r="34" spans="2:15" ht="27" customHeight="1"/>
    <row r="35" spans="2:15" ht="27" customHeight="1"/>
    <row r="36" spans="2:15" ht="27" customHeight="1"/>
    <row r="37" spans="2:15" ht="27" customHeight="1"/>
    <row r="38" spans="2:15" ht="14.25" customHeight="1">
      <c r="G38" s="342"/>
      <c r="H38" s="342"/>
      <c r="I38" s="340"/>
      <c r="J38" s="340"/>
      <c r="K38" s="340"/>
      <c r="L38" s="340"/>
      <c r="M38" s="340"/>
      <c r="N38" s="340"/>
      <c r="O38" s="341"/>
    </row>
    <row r="39" spans="2:15">
      <c r="G39" s="342"/>
      <c r="H39" s="342"/>
      <c r="I39" s="340"/>
      <c r="J39" s="340"/>
      <c r="K39" s="340"/>
      <c r="L39" s="340"/>
      <c r="M39" s="340"/>
      <c r="N39" s="340"/>
      <c r="O39" s="340"/>
    </row>
    <row r="45" spans="2:15">
      <c r="B45" s="1576" t="s">
        <v>1293</v>
      </c>
      <c r="C45" s="1576"/>
      <c r="D45" s="1694" t="s">
        <v>1295</v>
      </c>
      <c r="E45" s="1694"/>
      <c r="F45" s="1694"/>
    </row>
    <row r="46" spans="2:15">
      <c r="B46" s="1576"/>
      <c r="C46" s="1576"/>
      <c r="D46" s="1694"/>
      <c r="E46" s="1694"/>
      <c r="F46" s="1694"/>
    </row>
    <row r="47" spans="2:15">
      <c r="B47" s="1576"/>
      <c r="C47" s="1576"/>
      <c r="D47" s="1694"/>
      <c r="E47" s="1694"/>
      <c r="F47" s="1694"/>
    </row>
    <row r="48" spans="2:15">
      <c r="B48" s="1576"/>
      <c r="C48" s="1576"/>
      <c r="D48" s="1695" t="s">
        <v>1292</v>
      </c>
      <c r="E48" s="1695"/>
      <c r="F48" s="1695"/>
    </row>
    <row r="49" spans="2:14">
      <c r="B49" s="1576"/>
      <c r="C49" s="1576"/>
      <c r="D49" s="1695"/>
      <c r="E49" s="1695"/>
      <c r="F49" s="1695"/>
    </row>
    <row r="50" spans="2:14">
      <c r="B50" s="1576"/>
      <c r="C50" s="1576"/>
      <c r="D50" s="1695"/>
      <c r="E50" s="1695"/>
      <c r="F50" s="1695"/>
    </row>
    <row r="52" spans="2:14">
      <c r="H52" s="1683" t="s">
        <v>1333</v>
      </c>
      <c r="I52" s="1683"/>
      <c r="J52" s="1683" t="s">
        <v>102</v>
      </c>
      <c r="K52" s="1683"/>
      <c r="M52" t="s">
        <v>997</v>
      </c>
    </row>
    <row r="54" spans="2:14">
      <c r="H54">
        <f>40+151+22+27+15+14+22+11+45+20+18+19+23+15+18+7+16+16+8+15+12+15+9+11+13+49+30+62+22+51+18+38+24+43+30+32+31+43+34+26+23+17+23+70+19+10+21+32+36+44+20+12+21+27+18+58+18+11+21+15+27+23+14+17+14+29+14+102+14+54+36+64+32+25+32+55+18+14+26+45+21+18+26+16+24+18+20+43+48+9+17+137+55+19+12+22+26+14+17+17+12+19+7+37+30+15+31+28+35+14+53+26+26+46+15+28+72+16</f>
        <v>3375</v>
      </c>
      <c r="I54">
        <f>3+17+39+33+14+32+34+18+13+41+26+10+16+155+20+42</f>
        <v>513</v>
      </c>
      <c r="J54">
        <f>84+277+51+53+69+54+8+56+56+77+41+23+64+21+80+38+51+48+40+59+54+47+45+53+9+37+29+161+142+237+89+106+56+109+91+117+96+93+95+94+72+90+93+72+76+84+108+49+50+67+96+116+59+57+65+86+148+143+55+40+44+88+102+81+36+56+67+43+46+44+228+69+79+115+40+38+67+85+80+76+88+114+59+45+70+86+56+158+105+145+76+55+12+45+39+87+73+73+74+53+92+102+92+54+182+57+56+57+154+67+45+71+81+25+47+66+45+36+35+32+35+86+39+46+53+78+91+55+51+64+140+37+34+79+27+53+50+4+147+299+238+240</f>
        <v>10975</v>
      </c>
      <c r="K54">
        <f>57+39+65+16+47+35+43+71+81+24+19+25+27+60+109+76+23+4+24+39+1111+75+131+165+138</f>
        <v>2504</v>
      </c>
      <c r="M54">
        <f>22+59+18+14+26+19+46+28+19+21+21+46+8+18+34+25+23+20+25+9+41+13+4+23+10</f>
        <v>592</v>
      </c>
      <c r="N54">
        <f>21+16+65+7+25+11+21</f>
        <v>166</v>
      </c>
    </row>
    <row r="55" spans="2:14">
      <c r="I55">
        <f>I54+H54</f>
        <v>3888</v>
      </c>
    </row>
    <row r="56" spans="2:14">
      <c r="K56">
        <f>K54+J54</f>
        <v>13479</v>
      </c>
    </row>
  </sheetData>
  <mergeCells count="24">
    <mergeCell ref="B45:C50"/>
    <mergeCell ref="D45:F47"/>
    <mergeCell ref="D48:F50"/>
    <mergeCell ref="H52:I52"/>
    <mergeCell ref="J52:K52"/>
    <mergeCell ref="J7:K7"/>
    <mergeCell ref="A22:B22"/>
    <mergeCell ref="C22:E22"/>
    <mergeCell ref="F22:G22"/>
    <mergeCell ref="A23:C25"/>
    <mergeCell ref="D23:G25"/>
    <mergeCell ref="A6:A7"/>
    <mergeCell ref="B6:B7"/>
    <mergeCell ref="C6:C7"/>
    <mergeCell ref="D6:D7"/>
    <mergeCell ref="E6:E7"/>
    <mergeCell ref="G6:G7"/>
    <mergeCell ref="A1:G1"/>
    <mergeCell ref="A2:G2"/>
    <mergeCell ref="A3:G3"/>
    <mergeCell ref="A4:A5"/>
    <mergeCell ref="B4:B5"/>
    <mergeCell ref="F4:F5"/>
    <mergeCell ref="G4:G5"/>
  </mergeCells>
  <pageMargins left="0.55118110236220497" right="0.55118110236220497" top="0.35433070866141703" bottom="0.55118110236220497" header="0.196850393700787" footer="0.35433070866141703"/>
  <pageSetup paperSize="9" scale="70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  <rowBreaks count="1" manualBreakCount="1">
    <brk id="44" min="1" max="5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65"/>
  <sheetViews>
    <sheetView view="pageBreakPreview" topLeftCell="A17" zoomScale="70" zoomScaleSheetLayoutView="70" workbookViewId="0">
      <selection activeCell="E21" sqref="E21"/>
    </sheetView>
  </sheetViews>
  <sheetFormatPr defaultRowHeight="15"/>
  <cols>
    <col min="1" max="1" width="5.5703125" customWidth="1"/>
    <col min="2" max="2" width="17" customWidth="1"/>
    <col min="3" max="3" width="10.7109375" customWidth="1"/>
    <col min="4" max="4" width="11.140625" customWidth="1"/>
    <col min="5" max="5" width="10.85546875" customWidth="1"/>
    <col min="6" max="7" width="10.7109375" customWidth="1"/>
    <col min="8" max="8" width="11.140625" customWidth="1"/>
    <col min="9" max="9" width="11.7109375" customWidth="1"/>
    <col min="10" max="11" width="11" customWidth="1"/>
    <col min="12" max="12" width="10.85546875" customWidth="1"/>
    <col min="13" max="14" width="10.7109375" customWidth="1"/>
    <col min="15" max="15" width="17.42578125" customWidth="1"/>
    <col min="16" max="16" width="6" customWidth="1"/>
    <col min="17" max="17" width="10.85546875" customWidth="1"/>
    <col min="18" max="18" width="15.28515625" customWidth="1"/>
    <col min="19" max="19" width="14.7109375" style="51" customWidth="1"/>
    <col min="20" max="20" width="12.85546875" customWidth="1"/>
    <col min="21" max="21" width="13.7109375" customWidth="1"/>
    <col min="22" max="22" width="12" style="51" customWidth="1"/>
    <col min="23" max="23" width="13" customWidth="1"/>
    <col min="24" max="24" width="11.5703125" customWidth="1"/>
    <col min="25" max="25" width="11.42578125" style="51" customWidth="1"/>
    <col min="26" max="26" width="11.28515625" customWidth="1"/>
    <col min="27" max="27" width="10.5703125" customWidth="1"/>
    <col min="28" max="28" width="11.5703125" style="51" customWidth="1"/>
    <col min="29" max="29" width="10.140625" bestFit="1" customWidth="1"/>
    <col min="30" max="33" width="10.7109375" bestFit="1" customWidth="1"/>
  </cols>
  <sheetData>
    <row r="1" spans="1:33" ht="24.95" customHeight="1">
      <c r="A1" s="1625" t="s">
        <v>898</v>
      </c>
      <c r="B1" s="1625"/>
      <c r="C1" s="1625"/>
      <c r="D1" s="1625"/>
      <c r="E1" s="1625"/>
      <c r="F1" s="1625"/>
      <c r="G1" s="1625"/>
      <c r="H1" s="1625"/>
      <c r="I1" s="1625"/>
      <c r="J1" s="1625"/>
      <c r="K1" s="1625"/>
      <c r="L1" s="1625"/>
      <c r="M1" s="1625"/>
      <c r="N1" s="1625"/>
      <c r="O1" s="1625"/>
      <c r="P1" s="1625"/>
      <c r="Q1" s="10"/>
      <c r="R1" s="10"/>
      <c r="S1" s="52"/>
      <c r="T1" s="10"/>
      <c r="U1" s="10"/>
      <c r="V1" s="52"/>
      <c r="W1" s="10"/>
      <c r="X1" s="10"/>
      <c r="Y1" s="52"/>
      <c r="Z1" s="10"/>
      <c r="AA1" s="10"/>
      <c r="AB1" s="52"/>
      <c r="AC1" s="10"/>
      <c r="AD1" s="10"/>
      <c r="AE1" s="10"/>
    </row>
    <row r="2" spans="1:33" ht="24.95" customHeight="1">
      <c r="A2" s="1625" t="s">
        <v>1974</v>
      </c>
      <c r="B2" s="1625"/>
      <c r="C2" s="1625"/>
      <c r="D2" s="1625"/>
      <c r="E2" s="1625"/>
      <c r="F2" s="1625"/>
      <c r="G2" s="1625"/>
      <c r="H2" s="1625"/>
      <c r="I2" s="1625"/>
      <c r="J2" s="1625"/>
      <c r="K2" s="1625"/>
      <c r="L2" s="1625"/>
      <c r="M2" s="1625"/>
      <c r="N2" s="1625"/>
      <c r="O2" s="1625"/>
      <c r="P2" s="1625"/>
      <c r="Q2" s="442">
        <f>H8/1000000</f>
        <v>3.2966890000000002</v>
      </c>
      <c r="R2" s="442">
        <f>I8/1000000</f>
        <v>5.0991470000000003</v>
      </c>
      <c r="S2" s="52"/>
      <c r="T2" s="10"/>
      <c r="U2" s="1697" t="s">
        <v>597</v>
      </c>
      <c r="V2" s="1697"/>
      <c r="W2" s="1697"/>
      <c r="X2" s="1696" t="s">
        <v>597</v>
      </c>
      <c r="Y2" s="1696"/>
      <c r="Z2" s="1696"/>
      <c r="AA2" s="1696" t="s">
        <v>597</v>
      </c>
      <c r="AB2" s="1696"/>
      <c r="AC2" s="1696"/>
      <c r="AD2" s="1696" t="s">
        <v>597</v>
      </c>
      <c r="AE2" s="1696"/>
      <c r="AF2" s="1696"/>
      <c r="AG2" s="367"/>
    </row>
    <row r="3" spans="1:33" ht="24.95" customHeight="1">
      <c r="A3" s="1626" t="s">
        <v>899</v>
      </c>
      <c r="B3" s="1626"/>
      <c r="C3" s="1626"/>
      <c r="D3" s="1626"/>
      <c r="E3" s="1626"/>
      <c r="F3" s="1626"/>
      <c r="G3" s="1626"/>
      <c r="H3" s="1626"/>
      <c r="I3" s="1626"/>
      <c r="J3" s="1626"/>
      <c r="K3" s="1626"/>
      <c r="L3" s="1626"/>
      <c r="M3" s="1626"/>
      <c r="N3" s="1626"/>
      <c r="O3" s="1626"/>
      <c r="P3" s="1626"/>
      <c r="Q3" s="447">
        <f>H8/J8*100</f>
        <v>39.265762218318699</v>
      </c>
      <c r="R3" s="447">
        <f>D8/F8*100</f>
        <v>38.999095660847857</v>
      </c>
      <c r="S3" s="52">
        <f>8726387-8418777</f>
        <v>307610</v>
      </c>
      <c r="T3" s="10"/>
      <c r="U3" s="368" t="s">
        <v>728</v>
      </c>
      <c r="V3" s="369" t="s">
        <v>727</v>
      </c>
      <c r="W3" s="368" t="s">
        <v>2</v>
      </c>
      <c r="X3" s="370" t="s">
        <v>728</v>
      </c>
      <c r="Y3" s="369" t="s">
        <v>727</v>
      </c>
      <c r="Z3" s="370" t="s">
        <v>2</v>
      </c>
      <c r="AA3" s="370" t="s">
        <v>728</v>
      </c>
      <c r="AB3" s="369" t="s">
        <v>727</v>
      </c>
      <c r="AC3" s="370" t="s">
        <v>2</v>
      </c>
      <c r="AD3" s="370" t="s">
        <v>728</v>
      </c>
      <c r="AE3" s="370" t="s">
        <v>727</v>
      </c>
      <c r="AF3" s="370" t="s">
        <v>2</v>
      </c>
      <c r="AG3" s="367"/>
    </row>
    <row r="4" spans="1:33" ht="24.95" customHeight="1">
      <c r="A4" s="1459" t="s">
        <v>2026</v>
      </c>
      <c r="B4" s="1698" t="s">
        <v>413</v>
      </c>
      <c r="C4" s="1698" t="s">
        <v>1807</v>
      </c>
      <c r="D4" s="1701"/>
      <c r="E4" s="1701"/>
      <c r="F4" s="1702"/>
      <c r="G4" s="1698" t="s">
        <v>1310</v>
      </c>
      <c r="H4" s="1701"/>
      <c r="I4" s="1701"/>
      <c r="J4" s="1702"/>
      <c r="K4" s="1703" t="s">
        <v>1173</v>
      </c>
      <c r="L4" s="1704"/>
      <c r="M4" s="1704"/>
      <c r="N4" s="1705"/>
      <c r="O4" s="1706" t="s">
        <v>412</v>
      </c>
      <c r="P4" s="1709" t="s">
        <v>2027</v>
      </c>
      <c r="R4" s="1712"/>
      <c r="S4" s="1712"/>
      <c r="T4" s="1712"/>
      <c r="U4" s="371" t="s">
        <v>547</v>
      </c>
      <c r="V4" s="372" t="s">
        <v>548</v>
      </c>
      <c r="W4" s="371" t="s">
        <v>499</v>
      </c>
      <c r="X4" s="371" t="s">
        <v>547</v>
      </c>
      <c r="Y4" s="372" t="s">
        <v>548</v>
      </c>
      <c r="Z4" s="371" t="s">
        <v>499</v>
      </c>
      <c r="AA4" s="371" t="s">
        <v>547</v>
      </c>
      <c r="AB4" s="372" t="s">
        <v>548</v>
      </c>
      <c r="AC4" s="371" t="s">
        <v>499</v>
      </c>
      <c r="AD4" s="371" t="s">
        <v>547</v>
      </c>
      <c r="AE4" s="371" t="s">
        <v>548</v>
      </c>
      <c r="AF4" s="371" t="s">
        <v>499</v>
      </c>
      <c r="AG4" s="367"/>
    </row>
    <row r="5" spans="1:33" ht="24.95" customHeight="1">
      <c r="A5" s="1460"/>
      <c r="B5" s="1699"/>
      <c r="C5" s="1058" t="s">
        <v>228</v>
      </c>
      <c r="D5" s="1087" t="s">
        <v>229</v>
      </c>
      <c r="E5" s="1087" t="s">
        <v>230</v>
      </c>
      <c r="F5" s="1299" t="s">
        <v>2</v>
      </c>
      <c r="G5" s="1058" t="s">
        <v>228</v>
      </c>
      <c r="H5" s="1087" t="s">
        <v>229</v>
      </c>
      <c r="I5" s="1087" t="s">
        <v>230</v>
      </c>
      <c r="J5" s="1299" t="s">
        <v>2</v>
      </c>
      <c r="K5" s="1058" t="s">
        <v>228</v>
      </c>
      <c r="L5" s="1087" t="s">
        <v>229</v>
      </c>
      <c r="M5" s="1087" t="s">
        <v>230</v>
      </c>
      <c r="N5" s="1299" t="s">
        <v>2</v>
      </c>
      <c r="O5" s="1707"/>
      <c r="P5" s="1710"/>
      <c r="Q5" s="39">
        <f>I8/J8*100</f>
        <v>60.734237781681301</v>
      </c>
      <c r="R5" s="71">
        <f>8418777-8437786</f>
        <v>-19009</v>
      </c>
      <c r="S5" s="71"/>
      <c r="T5" s="71"/>
      <c r="U5" s="373" t="s">
        <v>307</v>
      </c>
      <c r="V5" s="374" t="s">
        <v>308</v>
      </c>
      <c r="W5" s="373" t="s">
        <v>28</v>
      </c>
      <c r="X5" s="375" t="s">
        <v>307</v>
      </c>
      <c r="Y5" s="374" t="s">
        <v>308</v>
      </c>
      <c r="Z5" s="375" t="s">
        <v>28</v>
      </c>
      <c r="AA5" s="375" t="s">
        <v>307</v>
      </c>
      <c r="AB5" s="374" t="s">
        <v>308</v>
      </c>
      <c r="AC5" s="375" t="s">
        <v>28</v>
      </c>
      <c r="AD5" s="375" t="s">
        <v>307</v>
      </c>
      <c r="AE5" s="375" t="s">
        <v>308</v>
      </c>
      <c r="AF5" s="375" t="s">
        <v>28</v>
      </c>
      <c r="AG5" s="367"/>
    </row>
    <row r="6" spans="1:33" ht="24.95" customHeight="1">
      <c r="A6" s="1460"/>
      <c r="B6" s="1699"/>
      <c r="C6" s="1089" t="s">
        <v>715</v>
      </c>
      <c r="D6" s="1088" t="s">
        <v>497</v>
      </c>
      <c r="E6" s="1088" t="s">
        <v>498</v>
      </c>
      <c r="F6" s="1075" t="s">
        <v>499</v>
      </c>
      <c r="G6" s="1089" t="s">
        <v>715</v>
      </c>
      <c r="H6" s="1088" t="s">
        <v>497</v>
      </c>
      <c r="I6" s="1088" t="s">
        <v>498</v>
      </c>
      <c r="J6" s="1075" t="s">
        <v>499</v>
      </c>
      <c r="K6" s="1089" t="s">
        <v>715</v>
      </c>
      <c r="L6" s="1088" t="s">
        <v>497</v>
      </c>
      <c r="M6" s="1088" t="s">
        <v>498</v>
      </c>
      <c r="N6" s="1075" t="s">
        <v>499</v>
      </c>
      <c r="O6" s="1707"/>
      <c r="P6" s="1710"/>
      <c r="Q6" s="39">
        <f>H8/J8*100</f>
        <v>39.265762218318699</v>
      </c>
      <c r="R6" s="49">
        <f>D8/1000000</f>
        <v>3.3279109999999998</v>
      </c>
      <c r="S6" s="51">
        <f>S7-8418777</f>
        <v>-1109</v>
      </c>
      <c r="T6" s="957"/>
      <c r="U6" s="376">
        <f>U7+U10+U11+U12+U13+U14+U15+U16+U17+U18+U19+U20+U21+U22+U23+U24+U25+U26+U27+U28+U29+U30+U31+U32+U33+U34+U35+U36+U37+U38+U39+U40+U41+U42</f>
        <v>2363259</v>
      </c>
      <c r="V6" s="377">
        <f t="shared" ref="V6:AC6" si="0">V7+V10+V11+V12+V13+V14+V15+V16+V17+V18+V19+V20+V21+V22+V23+V24+V25+V26+V27+V28+V29+V30+V31+V32+V33+V34+V35+V36+V37+V38+V39+V40+V41+V42</f>
        <v>3485280</v>
      </c>
      <c r="W6" s="376">
        <f t="shared" si="0"/>
        <v>5848539</v>
      </c>
      <c r="X6" s="376">
        <f t="shared" si="0"/>
        <v>611316</v>
      </c>
      <c r="Y6" s="377">
        <f t="shared" si="0"/>
        <v>1043990</v>
      </c>
      <c r="Z6" s="376">
        <f t="shared" si="0"/>
        <v>1655306</v>
      </c>
      <c r="AA6" s="378">
        <f t="shared" si="0"/>
        <v>322114</v>
      </c>
      <c r="AB6" s="1009">
        <f t="shared" si="0"/>
        <v>569877</v>
      </c>
      <c r="AC6" s="378">
        <f t="shared" si="0"/>
        <v>891991</v>
      </c>
      <c r="AD6" s="379">
        <f>AA6+X6+U6</f>
        <v>3296689</v>
      </c>
      <c r="AE6" s="380">
        <f>AB6+Y6+V6</f>
        <v>5099147</v>
      </c>
      <c r="AF6" s="367">
        <f>AC6+Z6+W6</f>
        <v>8395836</v>
      </c>
      <c r="AG6" s="367">
        <f>AE6+AD6</f>
        <v>8395836</v>
      </c>
    </row>
    <row r="7" spans="1:33" ht="24.95" customHeight="1">
      <c r="A7" s="1461"/>
      <c r="B7" s="1700"/>
      <c r="C7" s="1061" t="s">
        <v>231</v>
      </c>
      <c r="D7" s="1091" t="s">
        <v>232</v>
      </c>
      <c r="E7" s="1083" t="s">
        <v>233</v>
      </c>
      <c r="F7" s="1300" t="s">
        <v>28</v>
      </c>
      <c r="G7" s="1061" t="s">
        <v>231</v>
      </c>
      <c r="H7" s="1091" t="s">
        <v>232</v>
      </c>
      <c r="I7" s="1083" t="s">
        <v>233</v>
      </c>
      <c r="J7" s="1300" t="s">
        <v>28</v>
      </c>
      <c r="K7" s="1061" t="s">
        <v>231</v>
      </c>
      <c r="L7" s="1091" t="s">
        <v>232</v>
      </c>
      <c r="M7" s="1083" t="s">
        <v>233</v>
      </c>
      <c r="N7" s="1300" t="s">
        <v>28</v>
      </c>
      <c r="O7" s="1708"/>
      <c r="P7" s="1711"/>
      <c r="Q7" s="10"/>
      <c r="R7" s="610">
        <f>E8/1000000</f>
        <v>5.2053919999999998</v>
      </c>
      <c r="S7" s="72">
        <f>8395843+21825</f>
        <v>8417668</v>
      </c>
      <c r="T7" s="72"/>
      <c r="U7" s="1010">
        <f>298516+85312</f>
        <v>383828</v>
      </c>
      <c r="V7" s="1011">
        <f>322493+124241</f>
        <v>446734</v>
      </c>
      <c r="W7" s="1010">
        <f>V7+U7</f>
        <v>830562</v>
      </c>
      <c r="X7" s="1010">
        <f>109446+16505</f>
        <v>125951</v>
      </c>
      <c r="Y7" s="1011">
        <f>139461+40282</f>
        <v>179743</v>
      </c>
      <c r="Z7" s="1010">
        <f>Y7+X7</f>
        <v>305694</v>
      </c>
      <c r="AA7" s="1008">
        <f>7942+71903</f>
        <v>79845</v>
      </c>
      <c r="AB7" s="1009">
        <f>21913+95246</f>
        <v>117159</v>
      </c>
      <c r="AC7" s="378">
        <f>AB7+AA7</f>
        <v>197004</v>
      </c>
      <c r="AD7" s="379">
        <f t="shared" ref="AD7:AF42" si="1">AA7+X7+U7</f>
        <v>589624</v>
      </c>
      <c r="AE7" s="380">
        <f t="shared" si="1"/>
        <v>743636</v>
      </c>
      <c r="AF7" s="367">
        <f t="shared" si="1"/>
        <v>1333260</v>
      </c>
      <c r="AG7" s="367">
        <f t="shared" ref="AG7:AG42" si="2">AE7+AD7</f>
        <v>1333260</v>
      </c>
    </row>
    <row r="8" spans="1:33" ht="27" customHeight="1">
      <c r="A8" s="915"/>
      <c r="B8" s="1301" t="s">
        <v>28</v>
      </c>
      <c r="C8" s="1302">
        <f>D8/F8*100</f>
        <v>38.999095660847857</v>
      </c>
      <c r="D8" s="1303">
        <f>D9+D13+D14+D15+D16+D17+D18+D19+D20+D21+D22+D23+D24+D25+D26+D27+D28+D29+D30+D36+D37+D38+D39+D40+D41+D42+D43+D44+D45+D46+D47+D48+D49+D50</f>
        <v>3327911</v>
      </c>
      <c r="E8" s="1303">
        <f>E9+E13+E14+E15+E16+E17+E18+E19+E20+E21+E22+E23+E24+E25+E26+E27+E28+E29+E30+E36+E37+E38+E39+E40+E41+E42+E43+E44+E45+E46+E47+E48+E49+E50</f>
        <v>5205392</v>
      </c>
      <c r="F8" s="1304">
        <f>F9+F13+F14+F15+F16+F17+F18+F19+F20+F21+F22+F23+F24+F25+F26+F27+F28+F29+F30+F36+F37+F38+F39+F40+F41+F42+F43+F44+F45+F46+F47+F48+F49+F50</f>
        <v>8533303</v>
      </c>
      <c r="G8" s="1302">
        <f>H8/J8*100</f>
        <v>39.265762218318699</v>
      </c>
      <c r="H8" s="1303">
        <f>H9+H13+H14+H15+H16+H17+H18+H19+H20+H21+H22+H23+H24+H25+H26+H27+H28+H29+H30+H36+H37+H38+H39+H40+H41+H42+H43+H44+H45+H46+H47+H48+H49+H50</f>
        <v>3296689</v>
      </c>
      <c r="I8" s="1303">
        <f>I9+I13+I14+I15+I16+I17+I18+I19+I20+I21+I22+I23+I24+I25+I26+I27+I28+I29+I30+I36+I37+I38+I39+I40+I41+I42+I43+I44+I45+I46+I47+I48+I49+I50</f>
        <v>5099147</v>
      </c>
      <c r="J8" s="1304">
        <f>J9+J13+J14+J15+J16+J17+J18+J19+J20+J21+J22+J23+J24+J25+J26+J27+J28+J29+J30+J36+J37+J38+J39+J40+J41+J42+J43+J44+J45+J46+J47+J48+J49+J50</f>
        <v>8395836</v>
      </c>
      <c r="K8" s="1302">
        <f>L8/N8*100</f>
        <v>40.141607288331357</v>
      </c>
      <c r="L8" s="1305">
        <f>L9+L13+L14+L15+L16+L17+L18+L19+L20+L21+L22+L23+L24+L25+L26+L27+L28+L29+L30+L36+L37+L38+L39+L40+L41+L42+L43+L44+L45+L46+L47+L48+L49+L50</f>
        <v>3502912</v>
      </c>
      <c r="M8" s="1305">
        <f>M9+M13+M14+M15+M16+M17+M18+M19+M20+M21+M22+M23+M24+M25+M26+M27+M28+M29+M30+M36+M37+M38+M39+M40+M41+M42+M43+M44+M45+M46+M47+M48+M49+M50</f>
        <v>5223475</v>
      </c>
      <c r="N8" s="1304">
        <f>N9+N13+N14+N15+N16+N17+N18+N19+N20+N21+N22+N23+N24+N25+N26+N27+N28+N29+N30+N36+N37+N38+N39+N40+N41+N42+N43+N44+N45+N46+N47+N48+N49+N50</f>
        <v>8726387</v>
      </c>
      <c r="O8" s="1306" t="s">
        <v>627</v>
      </c>
      <c r="P8" s="915"/>
      <c r="Q8" s="71"/>
      <c r="R8" s="959"/>
      <c r="T8" s="959"/>
      <c r="U8" s="1713">
        <v>298516</v>
      </c>
      <c r="V8" s="1714">
        <v>322493</v>
      </c>
      <c r="W8" s="1713">
        <f>V8+U8</f>
        <v>621009</v>
      </c>
      <c r="X8" s="1713">
        <v>109446</v>
      </c>
      <c r="Y8" s="1714">
        <v>139461</v>
      </c>
      <c r="Z8" s="1713">
        <f>Y8+X8</f>
        <v>248907</v>
      </c>
      <c r="AA8" s="1715">
        <f>72327-424</f>
        <v>71903</v>
      </c>
      <c r="AB8" s="1716">
        <f>102612-7366</f>
        <v>95246</v>
      </c>
      <c r="AC8" s="1717">
        <f>AB8+AA8</f>
        <v>167149</v>
      </c>
      <c r="AD8" s="379">
        <f t="shared" si="1"/>
        <v>479865</v>
      </c>
      <c r="AE8" s="380">
        <f t="shared" si="1"/>
        <v>557200</v>
      </c>
      <c r="AF8" s="367">
        <f t="shared" si="1"/>
        <v>1037065</v>
      </c>
      <c r="AG8" s="367">
        <f t="shared" si="2"/>
        <v>1037065</v>
      </c>
    </row>
    <row r="9" spans="1:33" ht="27" customHeight="1">
      <c r="A9" s="938">
        <v>1</v>
      </c>
      <c r="B9" s="1307" t="s">
        <v>113</v>
      </c>
      <c r="C9" s="1308">
        <f>D9/F9*100</f>
        <v>44.557484700469224</v>
      </c>
      <c r="D9" s="1309">
        <f>116117+505013</f>
        <v>621130</v>
      </c>
      <c r="E9" s="1309">
        <f>193720+579147</f>
        <v>772867</v>
      </c>
      <c r="F9" s="1310">
        <f>E9+D9</f>
        <v>1393997</v>
      </c>
      <c r="G9" s="1308">
        <f>H9/J9*100</f>
        <v>44.2242323327783</v>
      </c>
      <c r="H9" s="1309">
        <f>109759+479865</f>
        <v>589624</v>
      </c>
      <c r="I9" s="1309">
        <f>186436+557200</f>
        <v>743636</v>
      </c>
      <c r="J9" s="1310">
        <f>I9+H9</f>
        <v>1333260</v>
      </c>
      <c r="K9" s="1308">
        <f>L9/N9*100</f>
        <v>43.705307082491665</v>
      </c>
      <c r="L9" s="1311">
        <v>559299</v>
      </c>
      <c r="M9" s="1311">
        <v>720406</v>
      </c>
      <c r="N9" s="1310">
        <f>M9+L9</f>
        <v>1279705</v>
      </c>
      <c r="O9" s="1312" t="s">
        <v>114</v>
      </c>
      <c r="P9" s="938">
        <v>1</v>
      </c>
      <c r="Q9" s="957">
        <f>697+1227+825+764+318+1206+599+670+387+5031+429+73+380+1882+7366</f>
        <v>21854</v>
      </c>
      <c r="R9" s="957">
        <f>12+5+25+12+48+179+253+18+3+48+2+4+47+424</f>
        <v>1080</v>
      </c>
      <c r="S9" s="444">
        <f>D9/E9</f>
        <v>0.80366997167688614</v>
      </c>
      <c r="T9" s="1016"/>
      <c r="U9" s="1713"/>
      <c r="V9" s="1714"/>
      <c r="W9" s="1713"/>
      <c r="X9" s="1713"/>
      <c r="Y9" s="1714"/>
      <c r="Z9" s="1713"/>
      <c r="AA9" s="1715"/>
      <c r="AB9" s="1716"/>
      <c r="AC9" s="1717"/>
      <c r="AD9" s="379">
        <f t="shared" si="1"/>
        <v>0</v>
      </c>
      <c r="AE9" s="380">
        <f t="shared" si="1"/>
        <v>0</v>
      </c>
      <c r="AF9" s="367">
        <f t="shared" si="1"/>
        <v>0</v>
      </c>
      <c r="AG9" s="367">
        <f t="shared" si="2"/>
        <v>0</v>
      </c>
    </row>
    <row r="10" spans="1:33" ht="27" customHeight="1">
      <c r="A10" s="1634">
        <v>2</v>
      </c>
      <c r="B10" s="1718" t="s">
        <v>234</v>
      </c>
      <c r="C10" s="1719">
        <f>D10/F10*100</f>
        <v>46.581039698937424</v>
      </c>
      <c r="D10" s="1630">
        <v>505013</v>
      </c>
      <c r="E10" s="1630">
        <v>579147</v>
      </c>
      <c r="F10" s="1720">
        <f>E10+D10</f>
        <v>1084160</v>
      </c>
      <c r="G10" s="1719">
        <f>H10/J10*100</f>
        <v>46.271448752006869</v>
      </c>
      <c r="H10" s="1630">
        <f>480289-424</f>
        <v>479865</v>
      </c>
      <c r="I10" s="1630">
        <f>564566-7366</f>
        <v>557200</v>
      </c>
      <c r="J10" s="1720">
        <f>I10+H10</f>
        <v>1037065</v>
      </c>
      <c r="K10" s="1719">
        <f>L10/N10*100</f>
        <v>45.386312438612123</v>
      </c>
      <c r="L10" s="1721">
        <v>448685</v>
      </c>
      <c r="M10" s="1721">
        <v>539906</v>
      </c>
      <c r="N10" s="1720">
        <f>M10+L10</f>
        <v>988591</v>
      </c>
      <c r="O10" s="1313" t="s">
        <v>235</v>
      </c>
      <c r="P10" s="1634">
        <v>2</v>
      </c>
      <c r="Q10" s="1025"/>
      <c r="R10" s="959">
        <f>R9+Q9</f>
        <v>22934</v>
      </c>
      <c r="S10" s="361"/>
      <c r="T10" s="1722"/>
      <c r="U10" s="1010">
        <v>30167</v>
      </c>
      <c r="V10" s="1011">
        <v>54208</v>
      </c>
      <c r="W10" s="1010">
        <f>V10+U10</f>
        <v>84375</v>
      </c>
      <c r="X10" s="1010">
        <v>8011</v>
      </c>
      <c r="Y10" s="1011">
        <v>18649</v>
      </c>
      <c r="Z10" s="1010">
        <f>Y10+X10</f>
        <v>26660</v>
      </c>
      <c r="AA10" s="1008">
        <v>4518</v>
      </c>
      <c r="AB10" s="1009">
        <v>11035</v>
      </c>
      <c r="AC10" s="378">
        <f>AB10+AA10</f>
        <v>15553</v>
      </c>
      <c r="AD10" s="379">
        <f t="shared" si="1"/>
        <v>42696</v>
      </c>
      <c r="AE10" s="380">
        <f t="shared" si="1"/>
        <v>83892</v>
      </c>
      <c r="AF10" s="367">
        <f t="shared" si="1"/>
        <v>126588</v>
      </c>
      <c r="AG10" s="367">
        <f t="shared" si="2"/>
        <v>126588</v>
      </c>
    </row>
    <row r="11" spans="1:33" ht="27" customHeight="1">
      <c r="A11" s="1634"/>
      <c r="B11" s="1718"/>
      <c r="C11" s="1719"/>
      <c r="D11" s="1630"/>
      <c r="E11" s="1630"/>
      <c r="F11" s="1720"/>
      <c r="G11" s="1719"/>
      <c r="H11" s="1630"/>
      <c r="I11" s="1630"/>
      <c r="J11" s="1720"/>
      <c r="K11" s="1719"/>
      <c r="L11" s="1721"/>
      <c r="M11" s="1721"/>
      <c r="N11" s="1720"/>
      <c r="O11" s="1313" t="s">
        <v>551</v>
      </c>
      <c r="P11" s="1634"/>
      <c r="Q11" s="1025"/>
      <c r="R11" s="361"/>
      <c r="S11" s="444">
        <f>D8/F8*100</f>
        <v>38.999095660847857</v>
      </c>
      <c r="T11" s="1722"/>
      <c r="U11" s="1010">
        <v>52419</v>
      </c>
      <c r="V11" s="1011">
        <v>73923</v>
      </c>
      <c r="W11" s="1010">
        <f t="shared" ref="W11:W41" si="3">V11+U11</f>
        <v>126342</v>
      </c>
      <c r="X11" s="1010">
        <v>11813</v>
      </c>
      <c r="Y11" s="1011">
        <v>26044</v>
      </c>
      <c r="Z11" s="1010">
        <f t="shared" ref="Z11:Z41" si="4">Y11+X11</f>
        <v>37857</v>
      </c>
      <c r="AA11" s="1008">
        <v>6485</v>
      </c>
      <c r="AB11" s="1009">
        <v>16295</v>
      </c>
      <c r="AC11" s="378">
        <f t="shared" ref="AC11:AC41" si="5">AB11+AA11</f>
        <v>22780</v>
      </c>
      <c r="AD11" s="379">
        <f t="shared" si="1"/>
        <v>70717</v>
      </c>
      <c r="AE11" s="380">
        <f t="shared" si="1"/>
        <v>116262</v>
      </c>
      <c r="AF11" s="367">
        <f t="shared" si="1"/>
        <v>186979</v>
      </c>
      <c r="AG11" s="367">
        <f t="shared" si="2"/>
        <v>186979</v>
      </c>
    </row>
    <row r="12" spans="1:33" ht="27" customHeight="1">
      <c r="A12" s="1634"/>
      <c r="B12" s="1314" t="s">
        <v>236</v>
      </c>
      <c r="C12" s="1719"/>
      <c r="D12" s="1630"/>
      <c r="E12" s="1630"/>
      <c r="F12" s="1720"/>
      <c r="G12" s="1719"/>
      <c r="H12" s="1630"/>
      <c r="I12" s="1630"/>
      <c r="J12" s="1720"/>
      <c r="K12" s="1719"/>
      <c r="L12" s="1721"/>
      <c r="M12" s="1721"/>
      <c r="N12" s="1720"/>
      <c r="O12" s="1313" t="s">
        <v>682</v>
      </c>
      <c r="P12" s="1634"/>
      <c r="Q12" s="20">
        <f>3296696+1018</f>
        <v>3297714</v>
      </c>
      <c r="R12" s="1016">
        <f>5141090+21854</f>
        <v>5162944</v>
      </c>
      <c r="S12" s="466">
        <f>H8/J8*100</f>
        <v>39.265762218318699</v>
      </c>
      <c r="T12" s="1016"/>
      <c r="U12" s="1010">
        <v>35424</v>
      </c>
      <c r="V12" s="1011">
        <v>72074</v>
      </c>
      <c r="W12" s="1010">
        <f t="shared" si="3"/>
        <v>107498</v>
      </c>
      <c r="X12" s="1010">
        <v>5616</v>
      </c>
      <c r="Y12" s="1011">
        <v>22270</v>
      </c>
      <c r="Z12" s="1010">
        <f t="shared" si="4"/>
        <v>27886</v>
      </c>
      <c r="AA12" s="1008">
        <v>1421</v>
      </c>
      <c r="AB12" s="1009">
        <v>13294</v>
      </c>
      <c r="AC12" s="378">
        <f t="shared" si="5"/>
        <v>14715</v>
      </c>
      <c r="AD12" s="379">
        <f t="shared" si="1"/>
        <v>42461</v>
      </c>
      <c r="AE12" s="380">
        <f t="shared" si="1"/>
        <v>107638</v>
      </c>
      <c r="AF12" s="367">
        <f t="shared" si="1"/>
        <v>150099</v>
      </c>
      <c r="AG12" s="367">
        <f t="shared" si="2"/>
        <v>150099</v>
      </c>
    </row>
    <row r="13" spans="1:33" ht="27" customHeight="1">
      <c r="A13" s="938">
        <v>3</v>
      </c>
      <c r="B13" s="1307" t="s">
        <v>238</v>
      </c>
      <c r="C13" s="1308">
        <f>D13/F13*100</f>
        <v>33.492563659871635</v>
      </c>
      <c r="D13" s="1309">
        <v>43260</v>
      </c>
      <c r="E13" s="1309">
        <v>85903</v>
      </c>
      <c r="F13" s="1310">
        <f>E13+D13</f>
        <v>129163</v>
      </c>
      <c r="G13" s="1308">
        <f>H13/J13*100</f>
        <v>33.728315480140296</v>
      </c>
      <c r="H13" s="1309">
        <v>42696</v>
      </c>
      <c r="I13" s="1309">
        <v>83892</v>
      </c>
      <c r="J13" s="1310">
        <f>I13+H13</f>
        <v>126588</v>
      </c>
      <c r="K13" s="1308">
        <f>L13/N13*100</f>
        <v>37.058227277846605</v>
      </c>
      <c r="L13" s="1311">
        <v>49356</v>
      </c>
      <c r="M13" s="1309">
        <v>83829</v>
      </c>
      <c r="N13" s="1310">
        <f>M13+L13</f>
        <v>133185</v>
      </c>
      <c r="O13" s="1312" t="s">
        <v>239</v>
      </c>
      <c r="P13" s="938">
        <v>3</v>
      </c>
      <c r="Q13" s="176">
        <f>3297776-3297714</f>
        <v>62</v>
      </c>
      <c r="R13" s="1016">
        <f>5121001-5162944</f>
        <v>-41943</v>
      </c>
      <c r="S13" s="465">
        <f>L8/N8*100</f>
        <v>40.141607288331357</v>
      </c>
      <c r="T13" s="1016"/>
      <c r="U13" s="1010">
        <v>28044</v>
      </c>
      <c r="V13" s="1011">
        <v>59624</v>
      </c>
      <c r="W13" s="1010">
        <f t="shared" si="3"/>
        <v>87668</v>
      </c>
      <c r="X13" s="1010">
        <v>3721</v>
      </c>
      <c r="Y13" s="1011">
        <v>16648</v>
      </c>
      <c r="Z13" s="1010">
        <f t="shared" si="4"/>
        <v>20369</v>
      </c>
      <c r="AA13" s="1008">
        <v>1519</v>
      </c>
      <c r="AB13" s="1009">
        <v>9347</v>
      </c>
      <c r="AC13" s="378">
        <f t="shared" si="5"/>
        <v>10866</v>
      </c>
      <c r="AD13" s="379">
        <f t="shared" si="1"/>
        <v>33284</v>
      </c>
      <c r="AE13" s="380">
        <f t="shared" si="1"/>
        <v>85619</v>
      </c>
      <c r="AF13" s="367">
        <f t="shared" si="1"/>
        <v>118903</v>
      </c>
      <c r="AG13" s="367">
        <f t="shared" si="2"/>
        <v>118903</v>
      </c>
    </row>
    <row r="14" spans="1:33" ht="27" customHeight="1">
      <c r="A14" s="914">
        <v>4</v>
      </c>
      <c r="B14" s="1315" t="s">
        <v>240</v>
      </c>
      <c r="C14" s="1316">
        <f t="shared" ref="C14:C29" si="6">D14/F14*100</f>
        <v>38.67225095451132</v>
      </c>
      <c r="D14" s="1317">
        <v>73130</v>
      </c>
      <c r="E14" s="1317">
        <v>115972</v>
      </c>
      <c r="F14" s="1318">
        <f t="shared" ref="F14:F29" si="7">E14+D14</f>
        <v>189102</v>
      </c>
      <c r="G14" s="1316">
        <f t="shared" ref="G14:G23" si="8">H14/J14*100</f>
        <v>37.820824798506784</v>
      </c>
      <c r="H14" s="1317">
        <v>70717</v>
      </c>
      <c r="I14" s="1317">
        <v>116262</v>
      </c>
      <c r="J14" s="1318">
        <f t="shared" ref="J14:J29" si="9">I14+H14</f>
        <v>186979</v>
      </c>
      <c r="K14" s="1316">
        <f t="shared" ref="K14:K29" si="10">L14/N14*100</f>
        <v>40.940599945205761</v>
      </c>
      <c r="L14" s="1319">
        <v>79200</v>
      </c>
      <c r="M14" s="1317">
        <v>114251</v>
      </c>
      <c r="N14" s="1318">
        <f t="shared" ref="N14:N29" si="11">M14+L14</f>
        <v>193451</v>
      </c>
      <c r="O14" s="1313" t="s">
        <v>241</v>
      </c>
      <c r="P14" s="914">
        <v>4</v>
      </c>
      <c r="Q14" s="176"/>
      <c r="R14" s="1016"/>
      <c r="S14" s="1016"/>
      <c r="T14" s="1016"/>
      <c r="U14" s="1010">
        <v>181333</v>
      </c>
      <c r="V14" s="1011">
        <v>279451</v>
      </c>
      <c r="W14" s="1010">
        <f t="shared" si="3"/>
        <v>460784</v>
      </c>
      <c r="X14" s="1010">
        <v>38840</v>
      </c>
      <c r="Y14" s="1011">
        <v>85691</v>
      </c>
      <c r="Z14" s="1010">
        <f t="shared" si="4"/>
        <v>124531</v>
      </c>
      <c r="AA14" s="1008">
        <f>15942-12</f>
        <v>15930</v>
      </c>
      <c r="AB14" s="1009">
        <f>47906-1227</f>
        <v>46679</v>
      </c>
      <c r="AC14" s="378">
        <f t="shared" si="5"/>
        <v>62609</v>
      </c>
      <c r="AD14" s="379">
        <f t="shared" si="1"/>
        <v>236103</v>
      </c>
      <c r="AE14" s="380">
        <f t="shared" si="1"/>
        <v>411821</v>
      </c>
      <c r="AF14" s="367">
        <f t="shared" si="1"/>
        <v>647924</v>
      </c>
      <c r="AG14" s="367">
        <f t="shared" si="2"/>
        <v>647924</v>
      </c>
    </row>
    <row r="15" spans="1:33" ht="27" customHeight="1">
      <c r="A15" s="938">
        <v>5</v>
      </c>
      <c r="B15" s="1320" t="s">
        <v>1108</v>
      </c>
      <c r="C15" s="1308">
        <f t="shared" si="6"/>
        <v>26.714774435323164</v>
      </c>
      <c r="D15" s="1309">
        <v>39279</v>
      </c>
      <c r="E15" s="1309">
        <v>107752</v>
      </c>
      <c r="F15" s="1310">
        <f t="shared" si="7"/>
        <v>147031</v>
      </c>
      <c r="G15" s="1308">
        <f t="shared" si="8"/>
        <v>28.288662815874854</v>
      </c>
      <c r="H15" s="1309">
        <v>42461</v>
      </c>
      <c r="I15" s="1309">
        <v>107638</v>
      </c>
      <c r="J15" s="1310">
        <f t="shared" si="9"/>
        <v>150099</v>
      </c>
      <c r="K15" s="1308">
        <f t="shared" si="10"/>
        <v>37.348355525207694</v>
      </c>
      <c r="L15" s="1311">
        <v>65636</v>
      </c>
      <c r="M15" s="1309">
        <v>110104</v>
      </c>
      <c r="N15" s="1310">
        <f t="shared" si="11"/>
        <v>175740</v>
      </c>
      <c r="O15" s="1312" t="s">
        <v>1106</v>
      </c>
      <c r="P15" s="938">
        <v>5</v>
      </c>
      <c r="Q15" s="20">
        <f>Q13+R13/2</f>
        <v>-20909.5</v>
      </c>
      <c r="R15" s="1016"/>
      <c r="S15" s="1016"/>
      <c r="T15" s="1016"/>
      <c r="U15" s="1010">
        <v>55426</v>
      </c>
      <c r="V15" s="1011">
        <v>67921</v>
      </c>
      <c r="W15" s="1010">
        <f t="shared" si="3"/>
        <v>123347</v>
      </c>
      <c r="X15" s="1010">
        <v>13775</v>
      </c>
      <c r="Y15" s="1011">
        <v>21544</v>
      </c>
      <c r="Z15" s="1010">
        <f t="shared" si="4"/>
        <v>35319</v>
      </c>
      <c r="AA15" s="1008">
        <v>5284</v>
      </c>
      <c r="AB15" s="1009">
        <v>12876</v>
      </c>
      <c r="AC15" s="378">
        <f t="shared" si="5"/>
        <v>18160</v>
      </c>
      <c r="AD15" s="379">
        <f t="shared" si="1"/>
        <v>74485</v>
      </c>
      <c r="AE15" s="380">
        <f t="shared" si="1"/>
        <v>102341</v>
      </c>
      <c r="AF15" s="367">
        <f t="shared" si="1"/>
        <v>176826</v>
      </c>
      <c r="AG15" s="367">
        <f t="shared" si="2"/>
        <v>176826</v>
      </c>
    </row>
    <row r="16" spans="1:33" ht="27" customHeight="1">
      <c r="A16" s="914">
        <v>6</v>
      </c>
      <c r="B16" s="1315" t="s">
        <v>242</v>
      </c>
      <c r="C16" s="1316">
        <f t="shared" si="6"/>
        <v>27.932077602549104</v>
      </c>
      <c r="D16" s="1317">
        <v>34626</v>
      </c>
      <c r="E16" s="1317">
        <v>89339</v>
      </c>
      <c r="F16" s="1318">
        <f t="shared" si="7"/>
        <v>123965</v>
      </c>
      <c r="G16" s="1316">
        <f t="shared" si="8"/>
        <v>27.992565368409544</v>
      </c>
      <c r="H16" s="1317">
        <v>33284</v>
      </c>
      <c r="I16" s="1317">
        <v>85619</v>
      </c>
      <c r="J16" s="1318">
        <f t="shared" si="9"/>
        <v>118903</v>
      </c>
      <c r="K16" s="1316">
        <f t="shared" si="10"/>
        <v>28.759565759031858</v>
      </c>
      <c r="L16" s="1319">
        <v>33936</v>
      </c>
      <c r="M16" s="1317">
        <v>84063</v>
      </c>
      <c r="N16" s="1318">
        <f t="shared" si="11"/>
        <v>117999</v>
      </c>
      <c r="O16" s="1313" t="s">
        <v>243</v>
      </c>
      <c r="P16" s="914">
        <v>6</v>
      </c>
      <c r="Q16" s="20"/>
      <c r="R16" s="1016"/>
      <c r="S16" s="1016"/>
      <c r="T16" s="1016"/>
      <c r="U16" s="1010">
        <v>10874</v>
      </c>
      <c r="V16" s="1011">
        <v>10758</v>
      </c>
      <c r="W16" s="1010">
        <f t="shared" si="3"/>
        <v>21632</v>
      </c>
      <c r="X16" s="1010">
        <v>3518</v>
      </c>
      <c r="Y16" s="1011">
        <v>4913</v>
      </c>
      <c r="Z16" s="1010">
        <f t="shared" si="4"/>
        <v>8431</v>
      </c>
      <c r="AA16" s="1008">
        <v>1888</v>
      </c>
      <c r="AB16" s="1009">
        <v>3868</v>
      </c>
      <c r="AC16" s="378">
        <f t="shared" si="5"/>
        <v>5756</v>
      </c>
      <c r="AD16" s="379">
        <f t="shared" si="1"/>
        <v>16280</v>
      </c>
      <c r="AE16" s="380">
        <f t="shared" si="1"/>
        <v>19539</v>
      </c>
      <c r="AF16" s="367">
        <f t="shared" si="1"/>
        <v>35819</v>
      </c>
      <c r="AG16" s="367">
        <f t="shared" si="2"/>
        <v>35819</v>
      </c>
    </row>
    <row r="17" spans="1:33" ht="27" customHeight="1">
      <c r="A17" s="938">
        <v>7</v>
      </c>
      <c r="B17" s="1307" t="s">
        <v>244</v>
      </c>
      <c r="C17" s="1308">
        <f t="shared" si="6"/>
        <v>35.751296866993791</v>
      </c>
      <c r="D17" s="1309">
        <v>242111</v>
      </c>
      <c r="E17" s="1309">
        <v>435098</v>
      </c>
      <c r="F17" s="1310">
        <f t="shared" si="7"/>
        <v>677209</v>
      </c>
      <c r="G17" s="1308">
        <f t="shared" si="8"/>
        <v>36.439921966156525</v>
      </c>
      <c r="H17" s="1309">
        <v>236103</v>
      </c>
      <c r="I17" s="1309">
        <v>411821</v>
      </c>
      <c r="J17" s="1310">
        <f t="shared" si="9"/>
        <v>647924</v>
      </c>
      <c r="K17" s="1308">
        <f t="shared" si="10"/>
        <v>38.723576902470093</v>
      </c>
      <c r="L17" s="1311">
        <v>273924</v>
      </c>
      <c r="M17" s="1309">
        <v>433459</v>
      </c>
      <c r="N17" s="1310">
        <f t="shared" si="11"/>
        <v>707383</v>
      </c>
      <c r="O17" s="1312" t="s">
        <v>245</v>
      </c>
      <c r="P17" s="938">
        <v>7</v>
      </c>
      <c r="Q17" s="20">
        <v>93</v>
      </c>
      <c r="R17" s="1016">
        <v>94</v>
      </c>
      <c r="S17" s="1016">
        <v>95</v>
      </c>
      <c r="T17" s="1016"/>
      <c r="U17" s="1010">
        <v>79477</v>
      </c>
      <c r="V17" s="1011">
        <v>116217</v>
      </c>
      <c r="W17" s="1010">
        <f t="shared" si="3"/>
        <v>195694</v>
      </c>
      <c r="X17" s="1010">
        <v>22872</v>
      </c>
      <c r="Y17" s="1011">
        <v>42261</v>
      </c>
      <c r="Z17" s="1010">
        <f t="shared" si="4"/>
        <v>65133</v>
      </c>
      <c r="AA17" s="1008">
        <f>10743-25</f>
        <v>10718</v>
      </c>
      <c r="AB17" s="1009">
        <f>24822-764</f>
        <v>24058</v>
      </c>
      <c r="AC17" s="378">
        <f t="shared" si="5"/>
        <v>34776</v>
      </c>
      <c r="AD17" s="379">
        <f t="shared" si="1"/>
        <v>113067</v>
      </c>
      <c r="AE17" s="380">
        <f t="shared" si="1"/>
        <v>182536</v>
      </c>
      <c r="AF17" s="367">
        <f t="shared" si="1"/>
        <v>295603</v>
      </c>
      <c r="AG17" s="367">
        <f t="shared" si="2"/>
        <v>295603</v>
      </c>
    </row>
    <row r="18" spans="1:33" ht="27" customHeight="1">
      <c r="A18" s="914">
        <v>8</v>
      </c>
      <c r="B18" s="1315" t="s">
        <v>246</v>
      </c>
      <c r="C18" s="1316">
        <f t="shared" si="6"/>
        <v>40.25260563741849</v>
      </c>
      <c r="D18" s="1317">
        <v>70560</v>
      </c>
      <c r="E18" s="1317">
        <v>104733</v>
      </c>
      <c r="F18" s="1318">
        <f t="shared" si="7"/>
        <v>175293</v>
      </c>
      <c r="G18" s="1316">
        <f t="shared" si="8"/>
        <v>42.123330279483781</v>
      </c>
      <c r="H18" s="1317">
        <v>74485</v>
      </c>
      <c r="I18" s="1317">
        <v>102341</v>
      </c>
      <c r="J18" s="1318">
        <f t="shared" si="9"/>
        <v>176826</v>
      </c>
      <c r="K18" s="1316">
        <f t="shared" si="10"/>
        <v>42.357550818492534</v>
      </c>
      <c r="L18" s="1319">
        <v>75349</v>
      </c>
      <c r="M18" s="1317">
        <v>102539</v>
      </c>
      <c r="N18" s="1318">
        <f t="shared" si="11"/>
        <v>177888</v>
      </c>
      <c r="O18" s="1313" t="s">
        <v>247</v>
      </c>
      <c r="P18" s="914">
        <v>8</v>
      </c>
      <c r="Q18" s="442">
        <f>3430924/1000000</f>
        <v>3.4309240000000001</v>
      </c>
      <c r="R18" s="443">
        <f>3502913/1000000</f>
        <v>3.5029129999999999</v>
      </c>
      <c r="S18" s="446">
        <f>3296689/1000000</f>
        <v>3.2966890000000002</v>
      </c>
      <c r="T18" s="1016" t="s">
        <v>1767</v>
      </c>
      <c r="U18" s="1010">
        <v>41422</v>
      </c>
      <c r="V18" s="1011">
        <v>43907</v>
      </c>
      <c r="W18" s="1010">
        <f t="shared" si="3"/>
        <v>85329</v>
      </c>
      <c r="X18" s="1010">
        <v>14167</v>
      </c>
      <c r="Y18" s="1011">
        <v>16418</v>
      </c>
      <c r="Z18" s="1010">
        <f t="shared" si="4"/>
        <v>30585</v>
      </c>
      <c r="AA18" s="1008">
        <v>7695</v>
      </c>
      <c r="AB18" s="1009">
        <v>10461</v>
      </c>
      <c r="AC18" s="378">
        <f t="shared" si="5"/>
        <v>18156</v>
      </c>
      <c r="AD18" s="379">
        <f t="shared" si="1"/>
        <v>63284</v>
      </c>
      <c r="AE18" s="380">
        <f t="shared" si="1"/>
        <v>70786</v>
      </c>
      <c r="AF18" s="367">
        <f t="shared" si="1"/>
        <v>134070</v>
      </c>
      <c r="AG18" s="367">
        <f t="shared" si="2"/>
        <v>134070</v>
      </c>
    </row>
    <row r="19" spans="1:33" ht="27" customHeight="1">
      <c r="A19" s="938">
        <v>9</v>
      </c>
      <c r="B19" s="1321" t="s">
        <v>248</v>
      </c>
      <c r="C19" s="1308">
        <f t="shared" si="6"/>
        <v>46.358871417419429</v>
      </c>
      <c r="D19" s="1309">
        <v>16628</v>
      </c>
      <c r="E19" s="1309">
        <v>19240</v>
      </c>
      <c r="F19" s="1310">
        <f t="shared" si="7"/>
        <v>35868</v>
      </c>
      <c r="G19" s="1308">
        <f t="shared" si="8"/>
        <v>45.45073843490885</v>
      </c>
      <c r="H19" s="1309">
        <v>16280</v>
      </c>
      <c r="I19" s="1309">
        <v>19539</v>
      </c>
      <c r="J19" s="1310">
        <f t="shared" si="9"/>
        <v>35819</v>
      </c>
      <c r="K19" s="1308">
        <f t="shared" si="10"/>
        <v>44.726982861697891</v>
      </c>
      <c r="L19" s="1311">
        <v>16833</v>
      </c>
      <c r="M19" s="1309">
        <v>20802</v>
      </c>
      <c r="N19" s="1310">
        <f t="shared" si="11"/>
        <v>37635</v>
      </c>
      <c r="O19" s="1322" t="s">
        <v>249</v>
      </c>
      <c r="P19" s="938">
        <v>9</v>
      </c>
      <c r="Q19" s="442">
        <f>5157979/1000000</f>
        <v>5.1579790000000001</v>
      </c>
      <c r="R19" s="443">
        <f>5223475/1000000</f>
        <v>5.2234749999999996</v>
      </c>
      <c r="S19" s="445">
        <f>5099147/1000000</f>
        <v>5.0991470000000003</v>
      </c>
      <c r="T19" s="1016" t="s">
        <v>1768</v>
      </c>
      <c r="U19" s="1010">
        <v>81833</v>
      </c>
      <c r="V19" s="1011">
        <v>164583</v>
      </c>
      <c r="W19" s="1010">
        <f t="shared" si="3"/>
        <v>246416</v>
      </c>
      <c r="X19" s="1010">
        <v>23611</v>
      </c>
      <c r="Y19" s="1011">
        <v>48971</v>
      </c>
      <c r="Z19" s="1010">
        <f t="shared" si="4"/>
        <v>72582</v>
      </c>
      <c r="AA19" s="1008">
        <f>15006-12</f>
        <v>14994</v>
      </c>
      <c r="AB19" s="1009">
        <f>27434-697</f>
        <v>26737</v>
      </c>
      <c r="AC19" s="378">
        <f t="shared" si="5"/>
        <v>41731</v>
      </c>
      <c r="AD19" s="379">
        <f t="shared" si="1"/>
        <v>120438</v>
      </c>
      <c r="AE19" s="380">
        <f t="shared" si="1"/>
        <v>240291</v>
      </c>
      <c r="AF19" s="367">
        <f t="shared" si="1"/>
        <v>360729</v>
      </c>
      <c r="AG19" s="367">
        <f t="shared" si="2"/>
        <v>360729</v>
      </c>
    </row>
    <row r="20" spans="1:33" ht="27" customHeight="1">
      <c r="A20" s="914">
        <v>10</v>
      </c>
      <c r="B20" s="1315" t="s">
        <v>250</v>
      </c>
      <c r="C20" s="1316">
        <f t="shared" si="6"/>
        <v>37.897904774366609</v>
      </c>
      <c r="D20" s="1317">
        <v>115852</v>
      </c>
      <c r="E20" s="1317">
        <v>189843</v>
      </c>
      <c r="F20" s="1318">
        <f t="shared" si="7"/>
        <v>305695</v>
      </c>
      <c r="G20" s="1316">
        <f t="shared" si="8"/>
        <v>38.249611810434942</v>
      </c>
      <c r="H20" s="1317">
        <v>113067</v>
      </c>
      <c r="I20" s="1317">
        <v>182536</v>
      </c>
      <c r="J20" s="1318">
        <f t="shared" si="9"/>
        <v>295603</v>
      </c>
      <c r="K20" s="1316">
        <f t="shared" si="10"/>
        <v>39.475855342487712</v>
      </c>
      <c r="L20" s="1319">
        <v>118184</v>
      </c>
      <c r="M20" s="1317">
        <v>181199</v>
      </c>
      <c r="N20" s="1318">
        <f t="shared" si="11"/>
        <v>299383</v>
      </c>
      <c r="O20" s="1323" t="s">
        <v>122</v>
      </c>
      <c r="P20" s="914">
        <v>10</v>
      </c>
      <c r="Q20" s="200">
        <f>L8/N8*100</f>
        <v>40.141607288331357</v>
      </c>
      <c r="R20" s="444">
        <f>H8/J8*100</f>
        <v>39.265762218318699</v>
      </c>
      <c r="S20" s="446">
        <f>D8/F8*100</f>
        <v>38.999095660847857</v>
      </c>
      <c r="T20" s="1016" t="s">
        <v>1769</v>
      </c>
      <c r="U20" s="1010">
        <v>26772</v>
      </c>
      <c r="V20" s="1011">
        <v>98851</v>
      </c>
      <c r="W20" s="1010">
        <f t="shared" si="3"/>
        <v>125623</v>
      </c>
      <c r="X20" s="1010">
        <v>1900</v>
      </c>
      <c r="Y20" s="1011">
        <v>17987</v>
      </c>
      <c r="Z20" s="1010">
        <f t="shared" si="4"/>
        <v>19887</v>
      </c>
      <c r="AA20" s="1008">
        <v>182</v>
      </c>
      <c r="AB20" s="1009">
        <f>6568-380</f>
        <v>6188</v>
      </c>
      <c r="AC20" s="378">
        <f t="shared" si="5"/>
        <v>6370</v>
      </c>
      <c r="AD20" s="379">
        <f t="shared" si="1"/>
        <v>28854</v>
      </c>
      <c r="AE20" s="380">
        <f t="shared" si="1"/>
        <v>123026</v>
      </c>
      <c r="AF20" s="367">
        <f t="shared" si="1"/>
        <v>151880</v>
      </c>
      <c r="AG20" s="367">
        <f t="shared" si="2"/>
        <v>151880</v>
      </c>
    </row>
    <row r="21" spans="1:33" ht="27" customHeight="1">
      <c r="A21" s="938">
        <v>11</v>
      </c>
      <c r="B21" s="1307" t="s">
        <v>251</v>
      </c>
      <c r="C21" s="1308">
        <f t="shared" si="6"/>
        <v>46.455616402980425</v>
      </c>
      <c r="D21" s="1309">
        <v>61163</v>
      </c>
      <c r="E21" s="1309">
        <v>70496</v>
      </c>
      <c r="F21" s="1310">
        <f t="shared" si="7"/>
        <v>131659</v>
      </c>
      <c r="G21" s="1308">
        <f t="shared" si="8"/>
        <v>47.202207801894531</v>
      </c>
      <c r="H21" s="1309">
        <v>63284</v>
      </c>
      <c r="I21" s="1309">
        <v>70786</v>
      </c>
      <c r="J21" s="1310">
        <f t="shared" si="9"/>
        <v>134070</v>
      </c>
      <c r="K21" s="1308">
        <f t="shared" si="10"/>
        <v>46.920580052272157</v>
      </c>
      <c r="L21" s="1311">
        <v>66783</v>
      </c>
      <c r="M21" s="1309">
        <v>75549</v>
      </c>
      <c r="N21" s="1310">
        <f t="shared" si="11"/>
        <v>142332</v>
      </c>
      <c r="O21" s="1312" t="s">
        <v>252</v>
      </c>
      <c r="P21" s="938">
        <v>11</v>
      </c>
      <c r="Q21" s="20"/>
      <c r="R21" s="1016"/>
      <c r="S21" s="1016"/>
      <c r="T21" s="1016"/>
      <c r="U21" s="1010">
        <v>41721</v>
      </c>
      <c r="V21" s="1011">
        <v>86977</v>
      </c>
      <c r="W21" s="1010">
        <f t="shared" si="3"/>
        <v>128698</v>
      </c>
      <c r="X21" s="1010">
        <v>3677</v>
      </c>
      <c r="Y21" s="1011">
        <v>20148</v>
      </c>
      <c r="Z21" s="1010">
        <f t="shared" si="4"/>
        <v>23825</v>
      </c>
      <c r="AA21" s="1008">
        <v>1009</v>
      </c>
      <c r="AB21" s="1009">
        <v>11509</v>
      </c>
      <c r="AC21" s="378">
        <f t="shared" si="5"/>
        <v>12518</v>
      </c>
      <c r="AD21" s="379">
        <f t="shared" si="1"/>
        <v>46407</v>
      </c>
      <c r="AE21" s="380">
        <f t="shared" si="1"/>
        <v>118634</v>
      </c>
      <c r="AF21" s="367">
        <f t="shared" si="1"/>
        <v>165041</v>
      </c>
      <c r="AG21" s="367">
        <f t="shared" si="2"/>
        <v>165041</v>
      </c>
    </row>
    <row r="22" spans="1:33" ht="27" customHeight="1">
      <c r="A22" s="914">
        <v>12</v>
      </c>
      <c r="B22" s="1315" t="s">
        <v>253</v>
      </c>
      <c r="C22" s="1316">
        <f t="shared" si="6"/>
        <v>33.36950439987114</v>
      </c>
      <c r="D22" s="1317">
        <v>118086</v>
      </c>
      <c r="E22" s="1317">
        <v>235788</v>
      </c>
      <c r="F22" s="1318">
        <f t="shared" si="7"/>
        <v>353874</v>
      </c>
      <c r="G22" s="1316">
        <f t="shared" si="8"/>
        <v>33.387390534168311</v>
      </c>
      <c r="H22" s="1317">
        <v>120438</v>
      </c>
      <c r="I22" s="1317">
        <v>240291</v>
      </c>
      <c r="J22" s="1318">
        <f t="shared" si="9"/>
        <v>360729</v>
      </c>
      <c r="K22" s="1316">
        <f t="shared" si="10"/>
        <v>34.13627998814178</v>
      </c>
      <c r="L22" s="1319">
        <v>122057</v>
      </c>
      <c r="M22" s="1317">
        <v>235501</v>
      </c>
      <c r="N22" s="1318">
        <f t="shared" si="11"/>
        <v>357558</v>
      </c>
      <c r="O22" s="1313" t="s">
        <v>254</v>
      </c>
      <c r="P22" s="914">
        <v>12</v>
      </c>
      <c r="Q22" s="20"/>
      <c r="R22" s="1016"/>
      <c r="S22" s="1016"/>
      <c r="T22" s="1016"/>
      <c r="U22" s="1010">
        <v>78961</v>
      </c>
      <c r="V22" s="1011">
        <v>145905</v>
      </c>
      <c r="W22" s="1010">
        <f t="shared" si="3"/>
        <v>224866</v>
      </c>
      <c r="X22" s="1010">
        <v>6316</v>
      </c>
      <c r="Y22" s="1011">
        <v>28318</v>
      </c>
      <c r="Z22" s="1010">
        <f t="shared" si="4"/>
        <v>34634</v>
      </c>
      <c r="AA22" s="1008">
        <f>2729-47</f>
        <v>2682</v>
      </c>
      <c r="AB22" s="1009">
        <f>17019-1882</f>
        <v>15137</v>
      </c>
      <c r="AC22" s="378">
        <f t="shared" si="5"/>
        <v>17819</v>
      </c>
      <c r="AD22" s="379">
        <f t="shared" si="1"/>
        <v>87959</v>
      </c>
      <c r="AE22" s="380">
        <f t="shared" si="1"/>
        <v>189360</v>
      </c>
      <c r="AF22" s="367">
        <f t="shared" si="1"/>
        <v>277319</v>
      </c>
      <c r="AG22" s="367">
        <f t="shared" si="2"/>
        <v>277319</v>
      </c>
    </row>
    <row r="23" spans="1:33" ht="27" customHeight="1">
      <c r="A23" s="938">
        <v>13</v>
      </c>
      <c r="B23" s="1307" t="s">
        <v>255</v>
      </c>
      <c r="C23" s="1308">
        <f t="shared" si="6"/>
        <v>14.469037782445128</v>
      </c>
      <c r="D23" s="1309">
        <v>18807</v>
      </c>
      <c r="E23" s="1309">
        <v>111174</v>
      </c>
      <c r="F23" s="1310">
        <f t="shared" si="7"/>
        <v>129981</v>
      </c>
      <c r="G23" s="1308">
        <f t="shared" si="8"/>
        <v>18.997893073479062</v>
      </c>
      <c r="H23" s="1309">
        <v>28854</v>
      </c>
      <c r="I23" s="1309">
        <v>123026</v>
      </c>
      <c r="J23" s="1310">
        <f t="shared" si="9"/>
        <v>151880</v>
      </c>
      <c r="K23" s="1308">
        <f t="shared" si="10"/>
        <v>21.009626592822986</v>
      </c>
      <c r="L23" s="1311">
        <v>36949</v>
      </c>
      <c r="M23" s="1309">
        <v>138918</v>
      </c>
      <c r="N23" s="1310">
        <f t="shared" si="11"/>
        <v>175867</v>
      </c>
      <c r="O23" s="1312" t="s">
        <v>256</v>
      </c>
      <c r="P23" s="938">
        <v>13</v>
      </c>
      <c r="Q23" s="20"/>
      <c r="R23" s="1016"/>
      <c r="S23" s="1016"/>
      <c r="T23" s="1016"/>
      <c r="U23" s="1010">
        <v>50873</v>
      </c>
      <c r="V23" s="1011">
        <v>70946</v>
      </c>
      <c r="W23" s="1010">
        <f t="shared" si="3"/>
        <v>121819</v>
      </c>
      <c r="X23" s="1010">
        <v>6731</v>
      </c>
      <c r="Y23" s="1011">
        <v>18508</v>
      </c>
      <c r="Z23" s="1010">
        <f t="shared" si="4"/>
        <v>25239</v>
      </c>
      <c r="AA23" s="1008">
        <v>1879</v>
      </c>
      <c r="AB23" s="1009">
        <v>10339</v>
      </c>
      <c r="AC23" s="378">
        <f t="shared" si="5"/>
        <v>12218</v>
      </c>
      <c r="AD23" s="379">
        <f t="shared" si="1"/>
        <v>59483</v>
      </c>
      <c r="AE23" s="380">
        <f t="shared" si="1"/>
        <v>99793</v>
      </c>
      <c r="AF23" s="367">
        <f t="shared" si="1"/>
        <v>159276</v>
      </c>
      <c r="AG23" s="367">
        <f t="shared" si="2"/>
        <v>159276</v>
      </c>
    </row>
    <row r="24" spans="1:33" ht="27" customHeight="1">
      <c r="A24" s="914">
        <v>14</v>
      </c>
      <c r="B24" s="1315" t="s">
        <v>257</v>
      </c>
      <c r="C24" s="1316">
        <f>D24/F24*100</f>
        <v>28.59307934604966</v>
      </c>
      <c r="D24" s="1317">
        <v>50562</v>
      </c>
      <c r="E24" s="1317">
        <v>126271</v>
      </c>
      <c r="F24" s="1318">
        <f t="shared" si="7"/>
        <v>176833</v>
      </c>
      <c r="G24" s="1316">
        <f>H24/J24*100</f>
        <v>28.118467532310156</v>
      </c>
      <c r="H24" s="1317">
        <v>46407</v>
      </c>
      <c r="I24" s="1317">
        <v>118634</v>
      </c>
      <c r="J24" s="1318">
        <f t="shared" si="9"/>
        <v>165041</v>
      </c>
      <c r="K24" s="1316">
        <f t="shared" si="10"/>
        <v>30.400611891987761</v>
      </c>
      <c r="L24" s="1319">
        <v>54850</v>
      </c>
      <c r="M24" s="1317">
        <v>125574</v>
      </c>
      <c r="N24" s="1318">
        <f t="shared" si="11"/>
        <v>180424</v>
      </c>
      <c r="O24" s="1313" t="s">
        <v>258</v>
      </c>
      <c r="P24" s="914">
        <v>14</v>
      </c>
      <c r="Q24" s="20"/>
      <c r="R24" s="1016"/>
      <c r="S24" s="1016"/>
      <c r="T24" s="1016"/>
      <c r="U24" s="1010">
        <v>13307</v>
      </c>
      <c r="V24" s="1011">
        <v>15759</v>
      </c>
      <c r="W24" s="1010">
        <f t="shared" si="3"/>
        <v>29066</v>
      </c>
      <c r="X24" s="1010">
        <v>3007</v>
      </c>
      <c r="Y24" s="1011">
        <v>4024</v>
      </c>
      <c r="Z24" s="1010">
        <f t="shared" si="4"/>
        <v>7031</v>
      </c>
      <c r="AA24" s="1008">
        <v>658</v>
      </c>
      <c r="AB24" s="1009">
        <v>1619</v>
      </c>
      <c r="AC24" s="378">
        <f t="shared" si="5"/>
        <v>2277</v>
      </c>
      <c r="AD24" s="379">
        <f t="shared" si="1"/>
        <v>16972</v>
      </c>
      <c r="AE24" s="380">
        <f t="shared" si="1"/>
        <v>21402</v>
      </c>
      <c r="AF24" s="367">
        <f t="shared" si="1"/>
        <v>38374</v>
      </c>
      <c r="AG24" s="367">
        <f t="shared" si="2"/>
        <v>38374</v>
      </c>
    </row>
    <row r="25" spans="1:33" ht="27" customHeight="1">
      <c r="A25" s="938">
        <v>15</v>
      </c>
      <c r="B25" s="1307" t="s">
        <v>259</v>
      </c>
      <c r="C25" s="1308">
        <f t="shared" si="6"/>
        <v>31.375717627046569</v>
      </c>
      <c r="D25" s="1309">
        <v>88536</v>
      </c>
      <c r="E25" s="1309">
        <v>193644</v>
      </c>
      <c r="F25" s="1310">
        <f t="shared" si="7"/>
        <v>282180</v>
      </c>
      <c r="G25" s="1308">
        <f t="shared" ref="G25:G29" si="12">H25/J25*100</f>
        <v>31.71762482916785</v>
      </c>
      <c r="H25" s="1309">
        <v>87959</v>
      </c>
      <c r="I25" s="1309">
        <v>189360</v>
      </c>
      <c r="J25" s="1310">
        <f t="shared" si="9"/>
        <v>277319</v>
      </c>
      <c r="K25" s="1308">
        <f t="shared" si="10"/>
        <v>34.840352848293456</v>
      </c>
      <c r="L25" s="1311">
        <v>91789</v>
      </c>
      <c r="M25" s="1309">
        <v>171667</v>
      </c>
      <c r="N25" s="1310">
        <f t="shared" si="11"/>
        <v>263456</v>
      </c>
      <c r="O25" s="1312" t="s">
        <v>260</v>
      </c>
      <c r="P25" s="938">
        <v>15</v>
      </c>
      <c r="Q25" s="20"/>
      <c r="R25" s="1016"/>
      <c r="S25" s="1016"/>
      <c r="T25" s="1016"/>
      <c r="U25" s="378">
        <v>98820</v>
      </c>
      <c r="V25" s="1009">
        <v>115261</v>
      </c>
      <c r="W25" s="1010">
        <f t="shared" si="3"/>
        <v>214081</v>
      </c>
      <c r="X25" s="1010">
        <v>35414</v>
      </c>
      <c r="Y25" s="1011">
        <v>39963</v>
      </c>
      <c r="Z25" s="1010">
        <f t="shared" si="4"/>
        <v>75377</v>
      </c>
      <c r="AA25" s="1008">
        <v>19632</v>
      </c>
      <c r="AB25" s="1009">
        <v>22987</v>
      </c>
      <c r="AC25" s="378">
        <f t="shared" si="5"/>
        <v>42619</v>
      </c>
      <c r="AD25" s="379">
        <f t="shared" si="1"/>
        <v>153866</v>
      </c>
      <c r="AE25" s="380">
        <f t="shared" si="1"/>
        <v>178211</v>
      </c>
      <c r="AF25" s="367">
        <f t="shared" si="1"/>
        <v>332077</v>
      </c>
      <c r="AG25" s="367">
        <f t="shared" si="2"/>
        <v>332077</v>
      </c>
    </row>
    <row r="26" spans="1:33" ht="27" customHeight="1">
      <c r="A26" s="914">
        <v>16</v>
      </c>
      <c r="B26" s="1315" t="s">
        <v>261</v>
      </c>
      <c r="C26" s="1316">
        <f t="shared" si="6"/>
        <v>36.044201560129736</v>
      </c>
      <c r="D26" s="1317">
        <v>56788</v>
      </c>
      <c r="E26" s="1317">
        <v>100763</v>
      </c>
      <c r="F26" s="1318">
        <f t="shared" si="7"/>
        <v>157551</v>
      </c>
      <c r="G26" s="1316">
        <f t="shared" si="12"/>
        <v>37.345865039302844</v>
      </c>
      <c r="H26" s="1317">
        <v>59483</v>
      </c>
      <c r="I26" s="1317">
        <v>99793</v>
      </c>
      <c r="J26" s="1318">
        <f t="shared" si="9"/>
        <v>159276</v>
      </c>
      <c r="K26" s="1316">
        <f t="shared" si="10"/>
        <v>39.292717884750317</v>
      </c>
      <c r="L26" s="1319">
        <v>65521</v>
      </c>
      <c r="M26" s="1317">
        <v>101230</v>
      </c>
      <c r="N26" s="1318">
        <f t="shared" si="11"/>
        <v>166751</v>
      </c>
      <c r="O26" s="1313" t="s">
        <v>684</v>
      </c>
      <c r="P26" s="914">
        <v>16</v>
      </c>
      <c r="Q26" s="20"/>
      <c r="R26" s="1016"/>
      <c r="S26" s="1016"/>
      <c r="T26" s="1016"/>
      <c r="U26" s="1010">
        <v>107490</v>
      </c>
      <c r="V26" s="1011">
        <v>134431</v>
      </c>
      <c r="W26" s="1010">
        <f t="shared" si="3"/>
        <v>241921</v>
      </c>
      <c r="X26" s="1010">
        <v>27489</v>
      </c>
      <c r="Y26" s="1011">
        <v>38502</v>
      </c>
      <c r="Z26" s="1010">
        <f t="shared" si="4"/>
        <v>65991</v>
      </c>
      <c r="AA26" s="1008">
        <f>16087-0</f>
        <v>16087</v>
      </c>
      <c r="AB26" s="1009">
        <f>21025-825</f>
        <v>20200</v>
      </c>
      <c r="AC26" s="378">
        <f t="shared" si="5"/>
        <v>36287</v>
      </c>
      <c r="AD26" s="379">
        <f t="shared" si="1"/>
        <v>151066</v>
      </c>
      <c r="AE26" s="380">
        <f t="shared" si="1"/>
        <v>193133</v>
      </c>
      <c r="AF26" s="367">
        <f t="shared" si="1"/>
        <v>344199</v>
      </c>
      <c r="AG26" s="367">
        <f t="shared" si="2"/>
        <v>344199</v>
      </c>
    </row>
    <row r="27" spans="1:33" ht="27" customHeight="1">
      <c r="A27" s="938">
        <v>17</v>
      </c>
      <c r="B27" s="1307" t="s">
        <v>262</v>
      </c>
      <c r="C27" s="1308">
        <f t="shared" si="6"/>
        <v>44.195325370675455</v>
      </c>
      <c r="D27" s="1309">
        <v>17169</v>
      </c>
      <c r="E27" s="1309">
        <v>21679</v>
      </c>
      <c r="F27" s="1310">
        <f t="shared" si="7"/>
        <v>38848</v>
      </c>
      <c r="G27" s="1308">
        <f t="shared" si="12"/>
        <v>44.227862615312453</v>
      </c>
      <c r="H27" s="1309">
        <v>16972</v>
      </c>
      <c r="I27" s="1309">
        <v>21402</v>
      </c>
      <c r="J27" s="1310">
        <f t="shared" si="9"/>
        <v>38374</v>
      </c>
      <c r="K27" s="1308">
        <f t="shared" si="10"/>
        <v>44.510400394639483</v>
      </c>
      <c r="L27" s="1311">
        <v>27069</v>
      </c>
      <c r="M27" s="1309">
        <v>33746</v>
      </c>
      <c r="N27" s="1310">
        <f t="shared" si="11"/>
        <v>60815</v>
      </c>
      <c r="O27" s="1312" t="s">
        <v>263</v>
      </c>
      <c r="P27" s="938">
        <v>17</v>
      </c>
      <c r="Q27" s="21"/>
      <c r="R27" s="1016"/>
      <c r="S27" s="1016"/>
      <c r="T27" s="1016"/>
      <c r="U27" s="1010">
        <v>88550</v>
      </c>
      <c r="V27" s="1011">
        <v>133705</v>
      </c>
      <c r="W27" s="1010">
        <f t="shared" si="3"/>
        <v>222255</v>
      </c>
      <c r="X27" s="1010">
        <v>20032</v>
      </c>
      <c r="Y27" s="1011">
        <v>37418</v>
      </c>
      <c r="Z27" s="1010">
        <f t="shared" si="4"/>
        <v>57450</v>
      </c>
      <c r="AA27" s="1008">
        <v>10462</v>
      </c>
      <c r="AB27" s="1009">
        <v>20342</v>
      </c>
      <c r="AC27" s="378">
        <f t="shared" si="5"/>
        <v>30804</v>
      </c>
      <c r="AD27" s="379">
        <f t="shared" si="1"/>
        <v>119044</v>
      </c>
      <c r="AE27" s="380">
        <f t="shared" si="1"/>
        <v>191465</v>
      </c>
      <c r="AF27" s="367">
        <f t="shared" si="1"/>
        <v>310509</v>
      </c>
      <c r="AG27" s="367">
        <f t="shared" si="2"/>
        <v>310509</v>
      </c>
    </row>
    <row r="28" spans="1:33" ht="27" customHeight="1">
      <c r="A28" s="914">
        <v>18</v>
      </c>
      <c r="B28" s="1315" t="s">
        <v>264</v>
      </c>
      <c r="C28" s="1316">
        <f t="shared" si="6"/>
        <v>45.942544459644324</v>
      </c>
      <c r="D28" s="1317">
        <v>151128</v>
      </c>
      <c r="E28" s="1317">
        <v>177822</v>
      </c>
      <c r="F28" s="1318">
        <f t="shared" si="7"/>
        <v>328950</v>
      </c>
      <c r="G28" s="1316">
        <f t="shared" si="12"/>
        <v>46.334434483568572</v>
      </c>
      <c r="H28" s="1317">
        <v>153866</v>
      </c>
      <c r="I28" s="1317">
        <v>178211</v>
      </c>
      <c r="J28" s="1318">
        <f t="shared" si="9"/>
        <v>332077</v>
      </c>
      <c r="K28" s="1316">
        <f t="shared" si="10"/>
        <v>46.983839784455306</v>
      </c>
      <c r="L28" s="1319">
        <v>166709</v>
      </c>
      <c r="M28" s="1317">
        <v>188113</v>
      </c>
      <c r="N28" s="1318">
        <f t="shared" si="11"/>
        <v>354822</v>
      </c>
      <c r="O28" s="1313" t="s">
        <v>265</v>
      </c>
      <c r="P28" s="914">
        <v>18</v>
      </c>
      <c r="Q28" s="20"/>
      <c r="R28" s="1016"/>
      <c r="S28" s="1016"/>
      <c r="T28" s="1016"/>
      <c r="U28" s="1010">
        <v>34220</v>
      </c>
      <c r="V28" s="1011">
        <v>44310</v>
      </c>
      <c r="W28" s="1010">
        <f t="shared" si="3"/>
        <v>78530</v>
      </c>
      <c r="X28" s="1010">
        <v>8830</v>
      </c>
      <c r="Y28" s="1011">
        <v>14202</v>
      </c>
      <c r="Z28" s="1010">
        <f t="shared" si="4"/>
        <v>23032</v>
      </c>
      <c r="AA28" s="1008">
        <f>4568-12</f>
        <v>4556</v>
      </c>
      <c r="AB28" s="1009">
        <f>7647-318</f>
        <v>7329</v>
      </c>
      <c r="AC28" s="378">
        <f t="shared" si="5"/>
        <v>11885</v>
      </c>
      <c r="AD28" s="379">
        <f t="shared" si="1"/>
        <v>47606</v>
      </c>
      <c r="AE28" s="380">
        <f t="shared" si="1"/>
        <v>65841</v>
      </c>
      <c r="AF28" s="367">
        <f t="shared" si="1"/>
        <v>113447</v>
      </c>
      <c r="AG28" s="367">
        <f t="shared" si="2"/>
        <v>113447</v>
      </c>
    </row>
    <row r="29" spans="1:33" ht="27" customHeight="1">
      <c r="A29" s="938">
        <v>19</v>
      </c>
      <c r="B29" s="1307" t="s">
        <v>266</v>
      </c>
      <c r="C29" s="1308">
        <f t="shared" si="6"/>
        <v>43.433002733660167</v>
      </c>
      <c r="D29" s="1309">
        <v>153798</v>
      </c>
      <c r="E29" s="1309">
        <v>200306</v>
      </c>
      <c r="F29" s="1310">
        <f t="shared" si="7"/>
        <v>354104</v>
      </c>
      <c r="G29" s="1308">
        <f t="shared" si="12"/>
        <v>43.889145523374559</v>
      </c>
      <c r="H29" s="1309">
        <v>151066</v>
      </c>
      <c r="I29" s="1309">
        <v>193133</v>
      </c>
      <c r="J29" s="1310">
        <f t="shared" si="9"/>
        <v>344199</v>
      </c>
      <c r="K29" s="1308">
        <f t="shared" si="10"/>
        <v>42.058755201954874</v>
      </c>
      <c r="L29" s="1311">
        <v>146645</v>
      </c>
      <c r="M29" s="1311">
        <v>202022</v>
      </c>
      <c r="N29" s="1310">
        <f t="shared" si="11"/>
        <v>348667</v>
      </c>
      <c r="O29" s="1322" t="s">
        <v>267</v>
      </c>
      <c r="P29" s="938">
        <v>19</v>
      </c>
      <c r="Q29" s="20"/>
      <c r="R29" s="1016"/>
      <c r="S29" s="1016"/>
      <c r="T29" s="1016"/>
      <c r="U29" s="1010">
        <v>151178</v>
      </c>
      <c r="V29" s="1011">
        <v>181007</v>
      </c>
      <c r="W29" s="1010">
        <f t="shared" si="3"/>
        <v>332185</v>
      </c>
      <c r="X29" s="1010">
        <v>46687</v>
      </c>
      <c r="Y29" s="1011">
        <v>63195</v>
      </c>
      <c r="Z29" s="1010">
        <f t="shared" si="4"/>
        <v>109882</v>
      </c>
      <c r="AA29" s="1008">
        <f>29521-48</f>
        <v>29473</v>
      </c>
      <c r="AB29" s="1009">
        <f>36151-1206</f>
        <v>34945</v>
      </c>
      <c r="AC29" s="378">
        <f t="shared" si="5"/>
        <v>64418</v>
      </c>
      <c r="AD29" s="379">
        <f t="shared" si="1"/>
        <v>227338</v>
      </c>
      <c r="AE29" s="380">
        <f t="shared" si="1"/>
        <v>279147</v>
      </c>
      <c r="AF29" s="367">
        <f t="shared" si="1"/>
        <v>506485</v>
      </c>
      <c r="AG29" s="367">
        <f t="shared" si="2"/>
        <v>506485</v>
      </c>
    </row>
    <row r="30" spans="1:33" ht="27" customHeight="1">
      <c r="A30" s="916">
        <v>20</v>
      </c>
      <c r="B30" s="1324" t="s">
        <v>296</v>
      </c>
      <c r="C30" s="1325">
        <f>D30/F30*100</f>
        <v>38.005444729839887</v>
      </c>
      <c r="D30" s="1326">
        <v>123550</v>
      </c>
      <c r="E30" s="1327">
        <v>201535</v>
      </c>
      <c r="F30" s="1328">
        <f>E30+D30</f>
        <v>325085</v>
      </c>
      <c r="G30" s="1325">
        <f>H30/J30*100</f>
        <v>38.338341239706416</v>
      </c>
      <c r="H30" s="1326">
        <v>119044</v>
      </c>
      <c r="I30" s="1327">
        <v>191465</v>
      </c>
      <c r="J30" s="1328">
        <f>I30+H30</f>
        <v>310509</v>
      </c>
      <c r="K30" s="1325">
        <f>L30/N30*100</f>
        <v>39.550301956274467</v>
      </c>
      <c r="L30" s="1329">
        <v>125872</v>
      </c>
      <c r="M30" s="1327">
        <v>192386</v>
      </c>
      <c r="N30" s="1328">
        <f>M30+L30</f>
        <v>318258</v>
      </c>
      <c r="O30" s="1330" t="s">
        <v>268</v>
      </c>
      <c r="P30" s="916">
        <v>20</v>
      </c>
      <c r="Q30" s="20"/>
      <c r="R30" s="1016"/>
      <c r="S30" s="1016"/>
      <c r="T30" s="1016"/>
      <c r="U30" s="1010">
        <v>47968</v>
      </c>
      <c r="V30" s="1011">
        <v>61568</v>
      </c>
      <c r="W30" s="1010">
        <f t="shared" si="3"/>
        <v>109536</v>
      </c>
      <c r="X30" s="1010">
        <v>12659</v>
      </c>
      <c r="Y30" s="1011">
        <v>17022</v>
      </c>
      <c r="Z30" s="1010">
        <f t="shared" si="4"/>
        <v>29681</v>
      </c>
      <c r="AA30" s="1008">
        <v>5228</v>
      </c>
      <c r="AB30" s="1009">
        <v>6768</v>
      </c>
      <c r="AC30" s="378">
        <f t="shared" si="5"/>
        <v>11996</v>
      </c>
      <c r="AD30" s="379">
        <f t="shared" si="1"/>
        <v>65855</v>
      </c>
      <c r="AE30" s="380">
        <f t="shared" si="1"/>
        <v>85358</v>
      </c>
      <c r="AF30" s="367">
        <f t="shared" si="1"/>
        <v>151213</v>
      </c>
      <c r="AG30" s="367">
        <f t="shared" si="2"/>
        <v>151213</v>
      </c>
    </row>
    <row r="31" spans="1:33" ht="23.1" customHeight="1">
      <c r="A31" s="1723" t="s">
        <v>902</v>
      </c>
      <c r="B31" s="1723"/>
      <c r="C31" s="1723"/>
      <c r="D31" s="1723"/>
      <c r="E31" s="1723"/>
      <c r="F31" s="1724" t="s">
        <v>900</v>
      </c>
      <c r="G31" s="1724"/>
      <c r="H31" s="1724"/>
      <c r="I31" s="1724"/>
      <c r="J31" s="1724"/>
      <c r="K31" s="1724"/>
      <c r="L31" s="1654" t="s">
        <v>901</v>
      </c>
      <c r="M31" s="1654"/>
      <c r="N31" s="1654"/>
      <c r="O31" s="1654"/>
      <c r="P31" s="1654"/>
      <c r="Q31" s="20"/>
      <c r="R31" s="1016"/>
      <c r="S31" s="1016"/>
      <c r="T31" s="1016"/>
      <c r="U31" s="1010">
        <v>56155</v>
      </c>
      <c r="V31" s="1011">
        <v>77875</v>
      </c>
      <c r="W31" s="1010">
        <f t="shared" si="3"/>
        <v>134030</v>
      </c>
      <c r="X31" s="1010">
        <v>16586</v>
      </c>
      <c r="Y31" s="1011">
        <v>27904</v>
      </c>
      <c r="Z31" s="1010">
        <f t="shared" si="4"/>
        <v>44490</v>
      </c>
      <c r="AA31" s="1008">
        <v>5595</v>
      </c>
      <c r="AB31" s="1009">
        <v>13042</v>
      </c>
      <c r="AC31" s="378">
        <f t="shared" si="5"/>
        <v>18637</v>
      </c>
      <c r="AD31" s="379">
        <f t="shared" si="1"/>
        <v>78336</v>
      </c>
      <c r="AE31" s="380">
        <f t="shared" si="1"/>
        <v>118821</v>
      </c>
      <c r="AF31" s="367">
        <f t="shared" si="1"/>
        <v>197157</v>
      </c>
      <c r="AG31" s="367">
        <f t="shared" si="2"/>
        <v>197157</v>
      </c>
    </row>
    <row r="32" spans="1:33" ht="23.1" customHeight="1">
      <c r="A32" s="1459" t="s">
        <v>2026</v>
      </c>
      <c r="B32" s="1698" t="s">
        <v>413</v>
      </c>
      <c r="C32" s="1698" t="s">
        <v>1807</v>
      </c>
      <c r="D32" s="1701"/>
      <c r="E32" s="1701"/>
      <c r="F32" s="1702"/>
      <c r="G32" s="1698" t="s">
        <v>1310</v>
      </c>
      <c r="H32" s="1701"/>
      <c r="I32" s="1701"/>
      <c r="J32" s="1702"/>
      <c r="K32" s="1703" t="s">
        <v>1173</v>
      </c>
      <c r="L32" s="1704"/>
      <c r="M32" s="1704"/>
      <c r="N32" s="1705"/>
      <c r="O32" s="1706" t="s">
        <v>412</v>
      </c>
      <c r="P32" s="1709" t="s">
        <v>2027</v>
      </c>
      <c r="Q32" s="20"/>
      <c r="R32" s="1016"/>
      <c r="S32" s="1016"/>
      <c r="T32" s="1016"/>
      <c r="U32" s="1010">
        <v>43513</v>
      </c>
      <c r="V32" s="1011">
        <v>48251</v>
      </c>
      <c r="W32" s="1010">
        <f t="shared" si="3"/>
        <v>91764</v>
      </c>
      <c r="X32" s="1010">
        <v>21602</v>
      </c>
      <c r="Y32" s="1011">
        <v>24702</v>
      </c>
      <c r="Z32" s="1010">
        <f t="shared" si="4"/>
        <v>46304</v>
      </c>
      <c r="AA32" s="1008">
        <v>11051</v>
      </c>
      <c r="AB32" s="1009">
        <v>15310</v>
      </c>
      <c r="AC32" s="378">
        <f t="shared" si="5"/>
        <v>26361</v>
      </c>
      <c r="AD32" s="379">
        <f t="shared" si="1"/>
        <v>76166</v>
      </c>
      <c r="AE32" s="380">
        <f t="shared" si="1"/>
        <v>88263</v>
      </c>
      <c r="AF32" s="367">
        <f t="shared" si="1"/>
        <v>164429</v>
      </c>
      <c r="AG32" s="367">
        <f t="shared" si="2"/>
        <v>164429</v>
      </c>
    </row>
    <row r="33" spans="1:33" ht="23.1" customHeight="1">
      <c r="A33" s="1460"/>
      <c r="B33" s="1699"/>
      <c r="C33" s="1058" t="s">
        <v>228</v>
      </c>
      <c r="D33" s="1087" t="s">
        <v>229</v>
      </c>
      <c r="E33" s="1087" t="s">
        <v>230</v>
      </c>
      <c r="F33" s="1299" t="s">
        <v>2</v>
      </c>
      <c r="G33" s="1058" t="s">
        <v>228</v>
      </c>
      <c r="H33" s="1087" t="s">
        <v>229</v>
      </c>
      <c r="I33" s="1087" t="s">
        <v>230</v>
      </c>
      <c r="J33" s="1299" t="s">
        <v>2</v>
      </c>
      <c r="K33" s="1058" t="s">
        <v>228</v>
      </c>
      <c r="L33" s="1087" t="s">
        <v>229</v>
      </c>
      <c r="M33" s="1087" t="s">
        <v>230</v>
      </c>
      <c r="N33" s="1299" t="s">
        <v>2</v>
      </c>
      <c r="O33" s="1707"/>
      <c r="P33" s="1710"/>
      <c r="Q33" s="20"/>
      <c r="R33" s="1016"/>
      <c r="S33" s="1016"/>
      <c r="T33" s="1016"/>
      <c r="U33" s="1010">
        <v>6703</v>
      </c>
      <c r="V33" s="1011">
        <v>35708</v>
      </c>
      <c r="W33" s="1010">
        <f t="shared" si="3"/>
        <v>42411</v>
      </c>
      <c r="X33" s="1010">
        <v>1756</v>
      </c>
      <c r="Y33" s="1011">
        <v>10093</v>
      </c>
      <c r="Z33" s="1010">
        <f t="shared" si="4"/>
        <v>11849</v>
      </c>
      <c r="AA33" s="1008">
        <v>732</v>
      </c>
      <c r="AB33" s="1009">
        <f>4607-73</f>
        <v>4534</v>
      </c>
      <c r="AC33" s="378">
        <f t="shared" si="5"/>
        <v>5266</v>
      </c>
      <c r="AD33" s="379">
        <f t="shared" si="1"/>
        <v>9191</v>
      </c>
      <c r="AE33" s="380">
        <f t="shared" si="1"/>
        <v>50335</v>
      </c>
      <c r="AF33" s="367">
        <f t="shared" si="1"/>
        <v>59526</v>
      </c>
      <c r="AG33" s="367">
        <f t="shared" si="2"/>
        <v>59526</v>
      </c>
    </row>
    <row r="34" spans="1:33" ht="23.1" customHeight="1">
      <c r="A34" s="1460"/>
      <c r="B34" s="1699"/>
      <c r="C34" s="1089" t="s">
        <v>715</v>
      </c>
      <c r="D34" s="1088" t="s">
        <v>497</v>
      </c>
      <c r="E34" s="1088" t="s">
        <v>498</v>
      </c>
      <c r="F34" s="1075" t="s">
        <v>499</v>
      </c>
      <c r="G34" s="1089" t="s">
        <v>715</v>
      </c>
      <c r="H34" s="1088" t="s">
        <v>497</v>
      </c>
      <c r="I34" s="1088" t="s">
        <v>498</v>
      </c>
      <c r="J34" s="1075" t="s">
        <v>499</v>
      </c>
      <c r="K34" s="1089" t="s">
        <v>715</v>
      </c>
      <c r="L34" s="1088" t="s">
        <v>497</v>
      </c>
      <c r="M34" s="1088" t="s">
        <v>498</v>
      </c>
      <c r="N34" s="1075" t="s">
        <v>499</v>
      </c>
      <c r="O34" s="1707"/>
      <c r="P34" s="1710"/>
      <c r="Q34" s="20"/>
      <c r="R34" s="1016"/>
      <c r="S34" s="1016"/>
      <c r="T34" s="1016"/>
      <c r="U34" s="1010">
        <v>8616</v>
      </c>
      <c r="V34" s="1011">
        <v>27018</v>
      </c>
      <c r="W34" s="1010">
        <f t="shared" si="3"/>
        <v>35634</v>
      </c>
      <c r="X34" s="1010">
        <v>637</v>
      </c>
      <c r="Y34" s="1011">
        <v>4270</v>
      </c>
      <c r="Z34" s="1010">
        <f t="shared" si="4"/>
        <v>4907</v>
      </c>
      <c r="AA34" s="1008">
        <f>195-48</f>
        <v>147</v>
      </c>
      <c r="AB34" s="1009">
        <f>1696-429</f>
        <v>1267</v>
      </c>
      <c r="AC34" s="378">
        <f t="shared" si="5"/>
        <v>1414</v>
      </c>
      <c r="AD34" s="379">
        <f t="shared" si="1"/>
        <v>9400</v>
      </c>
      <c r="AE34" s="380">
        <f t="shared" si="1"/>
        <v>32555</v>
      </c>
      <c r="AF34" s="367">
        <f t="shared" si="1"/>
        <v>41955</v>
      </c>
      <c r="AG34" s="367">
        <f t="shared" si="2"/>
        <v>41955</v>
      </c>
    </row>
    <row r="35" spans="1:33" ht="23.1" customHeight="1">
      <c r="A35" s="1461"/>
      <c r="B35" s="1700"/>
      <c r="C35" s="1061" t="s">
        <v>231</v>
      </c>
      <c r="D35" s="1091" t="s">
        <v>232</v>
      </c>
      <c r="E35" s="1083" t="s">
        <v>233</v>
      </c>
      <c r="F35" s="1300" t="s">
        <v>28</v>
      </c>
      <c r="G35" s="1061" t="s">
        <v>231</v>
      </c>
      <c r="H35" s="1091" t="s">
        <v>232</v>
      </c>
      <c r="I35" s="1083" t="s">
        <v>233</v>
      </c>
      <c r="J35" s="1300" t="s">
        <v>28</v>
      </c>
      <c r="K35" s="1061" t="s">
        <v>231</v>
      </c>
      <c r="L35" s="1091" t="s">
        <v>232</v>
      </c>
      <c r="M35" s="1083" t="s">
        <v>233</v>
      </c>
      <c r="N35" s="1300" t="s">
        <v>28</v>
      </c>
      <c r="O35" s="1708"/>
      <c r="P35" s="1711"/>
      <c r="Q35" s="20"/>
      <c r="R35" s="1016"/>
      <c r="S35" s="1016"/>
      <c r="T35" s="1016"/>
      <c r="U35" s="1010">
        <v>46574</v>
      </c>
      <c r="V35" s="1011">
        <v>110694</v>
      </c>
      <c r="W35" s="1010">
        <f t="shared" si="3"/>
        <v>157268</v>
      </c>
      <c r="X35" s="1010">
        <v>4750</v>
      </c>
      <c r="Y35" s="1011">
        <v>20605</v>
      </c>
      <c r="Z35" s="1010">
        <f t="shared" si="4"/>
        <v>25355</v>
      </c>
      <c r="AA35" s="1008">
        <f>2445-3</f>
        <v>2442</v>
      </c>
      <c r="AB35" s="1009">
        <f>12205-5031</f>
        <v>7174</v>
      </c>
      <c r="AC35" s="378">
        <f t="shared" si="5"/>
        <v>9616</v>
      </c>
      <c r="AD35" s="379">
        <f t="shared" si="1"/>
        <v>53766</v>
      </c>
      <c r="AE35" s="380">
        <f t="shared" si="1"/>
        <v>138473</v>
      </c>
      <c r="AF35" s="367">
        <f t="shared" si="1"/>
        <v>192239</v>
      </c>
      <c r="AG35" s="367">
        <f t="shared" si="2"/>
        <v>192239</v>
      </c>
    </row>
    <row r="36" spans="1:33" ht="24.95" customHeight="1">
      <c r="A36" s="1331">
        <v>21</v>
      </c>
      <c r="B36" s="1332" t="s">
        <v>269</v>
      </c>
      <c r="C36" s="1333">
        <f>D36/F36*100</f>
        <v>41.996452771840467</v>
      </c>
      <c r="D36" s="1334">
        <v>46173</v>
      </c>
      <c r="E36" s="1335">
        <v>63772</v>
      </c>
      <c r="F36" s="1336">
        <f>E36+D36</f>
        <v>109945</v>
      </c>
      <c r="G36" s="1333">
        <f>H36/J36*100</f>
        <v>41.963207488959604</v>
      </c>
      <c r="H36" s="1334">
        <v>47606</v>
      </c>
      <c r="I36" s="1335">
        <v>65841</v>
      </c>
      <c r="J36" s="1336">
        <f>I36+H36</f>
        <v>113447</v>
      </c>
      <c r="K36" s="1333">
        <f>L36/N36*100</f>
        <v>44.980661457100005</v>
      </c>
      <c r="L36" s="1337">
        <v>56986</v>
      </c>
      <c r="M36" s="1335">
        <v>69704</v>
      </c>
      <c r="N36" s="1336">
        <f>M36+L36</f>
        <v>126690</v>
      </c>
      <c r="O36" s="1338" t="s">
        <v>270</v>
      </c>
      <c r="P36" s="937">
        <v>21</v>
      </c>
      <c r="Q36" s="20"/>
      <c r="R36" s="1016"/>
      <c r="S36" s="1016"/>
      <c r="T36" s="1016"/>
      <c r="U36" s="1010">
        <v>50932</v>
      </c>
      <c r="V36" s="1011">
        <v>69973</v>
      </c>
      <c r="W36" s="1010">
        <f t="shared" si="3"/>
        <v>120905</v>
      </c>
      <c r="X36" s="1010">
        <v>13766</v>
      </c>
      <c r="Y36" s="1011">
        <v>22236</v>
      </c>
      <c r="Z36" s="1010">
        <f t="shared" si="4"/>
        <v>36002</v>
      </c>
      <c r="AA36" s="1008">
        <v>7367</v>
      </c>
      <c r="AB36" s="1009">
        <v>12983</v>
      </c>
      <c r="AC36" s="378">
        <f t="shared" si="5"/>
        <v>20350</v>
      </c>
      <c r="AD36" s="379">
        <f t="shared" si="1"/>
        <v>72065</v>
      </c>
      <c r="AE36" s="380">
        <f t="shared" si="1"/>
        <v>105192</v>
      </c>
      <c r="AF36" s="367">
        <f t="shared" si="1"/>
        <v>177257</v>
      </c>
      <c r="AG36" s="367">
        <f t="shared" si="2"/>
        <v>177257</v>
      </c>
    </row>
    <row r="37" spans="1:33" ht="24.95" customHeight="1">
      <c r="A37" s="1339">
        <v>22</v>
      </c>
      <c r="B37" s="1340" t="s">
        <v>271</v>
      </c>
      <c r="C37" s="1316">
        <f>D37/F37*100</f>
        <v>45.240440829404818</v>
      </c>
      <c r="D37" s="1341">
        <v>230990</v>
      </c>
      <c r="E37" s="1342">
        <v>279593</v>
      </c>
      <c r="F37" s="1318">
        <f>E37+D37</f>
        <v>510583</v>
      </c>
      <c r="G37" s="1316">
        <f>H37/J37*100</f>
        <v>44.885435896423388</v>
      </c>
      <c r="H37" s="1341">
        <v>227338</v>
      </c>
      <c r="I37" s="1342">
        <v>279147</v>
      </c>
      <c r="J37" s="1318">
        <f>I37+H37</f>
        <v>506485</v>
      </c>
      <c r="K37" s="1316">
        <f>L37/N37*100</f>
        <v>45.993454601960586</v>
      </c>
      <c r="L37" s="1343">
        <v>242707</v>
      </c>
      <c r="M37" s="1342">
        <v>284992</v>
      </c>
      <c r="N37" s="1318">
        <f>M37+L37</f>
        <v>527699</v>
      </c>
      <c r="O37" s="1344" t="s">
        <v>116</v>
      </c>
      <c r="P37" s="914">
        <v>22</v>
      </c>
      <c r="Q37" s="1018"/>
      <c r="R37" s="1016"/>
      <c r="S37" s="1016"/>
      <c r="T37" s="1016"/>
      <c r="U37" s="1010">
        <v>83653</v>
      </c>
      <c r="V37" s="1011">
        <v>110617</v>
      </c>
      <c r="W37" s="1010">
        <f t="shared" si="3"/>
        <v>194270</v>
      </c>
      <c r="X37" s="1010">
        <v>25671</v>
      </c>
      <c r="Y37" s="1011">
        <v>31235</v>
      </c>
      <c r="Z37" s="1010">
        <f t="shared" si="4"/>
        <v>56906</v>
      </c>
      <c r="AA37" s="1008">
        <v>11531</v>
      </c>
      <c r="AB37" s="1009">
        <v>13826</v>
      </c>
      <c r="AC37" s="378">
        <f t="shared" si="5"/>
        <v>25357</v>
      </c>
      <c r="AD37" s="379">
        <f t="shared" si="1"/>
        <v>120855</v>
      </c>
      <c r="AE37" s="380">
        <f t="shared" si="1"/>
        <v>155678</v>
      </c>
      <c r="AF37" s="367">
        <f t="shared" si="1"/>
        <v>276533</v>
      </c>
      <c r="AG37" s="367">
        <f t="shared" si="2"/>
        <v>276533</v>
      </c>
    </row>
    <row r="38" spans="1:33" ht="24.95" customHeight="1">
      <c r="A38" s="1151">
        <v>23</v>
      </c>
      <c r="B38" s="1345" t="s">
        <v>272</v>
      </c>
      <c r="C38" s="1308">
        <f t="shared" ref="C38:C49" si="13">D38/F38*100</f>
        <v>44.033279439504177</v>
      </c>
      <c r="D38" s="1346">
        <v>65363</v>
      </c>
      <c r="E38" s="1347">
        <v>83077</v>
      </c>
      <c r="F38" s="1310">
        <f t="shared" ref="F38:F49" si="14">E38+D38</f>
        <v>148440</v>
      </c>
      <c r="G38" s="1308">
        <f t="shared" ref="G38:G49" si="15">H38/J38*100</f>
        <v>43.551149702737199</v>
      </c>
      <c r="H38" s="1346">
        <v>65855</v>
      </c>
      <c r="I38" s="1347">
        <v>85358</v>
      </c>
      <c r="J38" s="1310">
        <f t="shared" ref="J38:J49" si="16">I38+H38</f>
        <v>151213</v>
      </c>
      <c r="K38" s="1308">
        <f t="shared" ref="K38:K49" si="17">L38/N38*100</f>
        <v>44.993129785765433</v>
      </c>
      <c r="L38" s="1348">
        <v>69747</v>
      </c>
      <c r="M38" s="1347">
        <v>85270</v>
      </c>
      <c r="N38" s="1310">
        <f t="shared" ref="N38:N49" si="18">M38+L38</f>
        <v>155017</v>
      </c>
      <c r="O38" s="1349" t="s">
        <v>273</v>
      </c>
      <c r="P38" s="938">
        <v>23</v>
      </c>
      <c r="Q38" s="1018"/>
      <c r="R38" s="1016"/>
      <c r="S38" s="1016"/>
      <c r="T38" s="1016"/>
      <c r="U38" s="1010">
        <v>30787</v>
      </c>
      <c r="V38" s="1011">
        <v>103652</v>
      </c>
      <c r="W38" s="1010">
        <f t="shared" si="3"/>
        <v>134439</v>
      </c>
      <c r="X38" s="1010">
        <v>4252</v>
      </c>
      <c r="Y38" s="1011">
        <v>18955</v>
      </c>
      <c r="Z38" s="1010">
        <f t="shared" si="4"/>
        <v>23207</v>
      </c>
      <c r="AA38" s="381">
        <f>2029-18</f>
        <v>2011</v>
      </c>
      <c r="AB38" s="382">
        <f>8393-387</f>
        <v>8006</v>
      </c>
      <c r="AC38" s="378">
        <f t="shared" si="5"/>
        <v>10017</v>
      </c>
      <c r="AD38" s="379">
        <f t="shared" si="1"/>
        <v>37050</v>
      </c>
      <c r="AE38" s="380">
        <f t="shared" si="1"/>
        <v>130613</v>
      </c>
      <c r="AF38" s="367">
        <f t="shared" si="1"/>
        <v>167663</v>
      </c>
      <c r="AG38" s="367">
        <f t="shared" si="2"/>
        <v>167663</v>
      </c>
    </row>
    <row r="39" spans="1:33" ht="24.95" customHeight="1">
      <c r="A39" s="1339">
        <v>24</v>
      </c>
      <c r="B39" s="1340" t="s">
        <v>274</v>
      </c>
      <c r="C39" s="1316">
        <f t="shared" si="13"/>
        <v>39.28491340422314</v>
      </c>
      <c r="D39" s="1341">
        <v>75330</v>
      </c>
      <c r="E39" s="1317">
        <v>116423</v>
      </c>
      <c r="F39" s="1318">
        <f t="shared" si="14"/>
        <v>191753</v>
      </c>
      <c r="G39" s="1316">
        <f t="shared" si="15"/>
        <v>39.732801777263802</v>
      </c>
      <c r="H39" s="1341">
        <v>78336</v>
      </c>
      <c r="I39" s="1317">
        <v>118821</v>
      </c>
      <c r="J39" s="1318">
        <f t="shared" si="16"/>
        <v>197157</v>
      </c>
      <c r="K39" s="1316">
        <f t="shared" si="17"/>
        <v>39.973989399276753</v>
      </c>
      <c r="L39" s="1343">
        <v>85448</v>
      </c>
      <c r="M39" s="1317">
        <v>128311</v>
      </c>
      <c r="N39" s="1318">
        <f t="shared" si="18"/>
        <v>213759</v>
      </c>
      <c r="O39" s="1350" t="s">
        <v>275</v>
      </c>
      <c r="P39" s="914">
        <v>24</v>
      </c>
      <c r="Q39" s="164"/>
      <c r="R39" s="1016"/>
      <c r="S39" s="1016"/>
      <c r="T39" s="1016"/>
      <c r="U39" s="1010">
        <v>28312</v>
      </c>
      <c r="V39" s="1011">
        <v>62082</v>
      </c>
      <c r="W39" s="1010">
        <f t="shared" si="3"/>
        <v>90394</v>
      </c>
      <c r="X39" s="1010">
        <v>5490</v>
      </c>
      <c r="Y39" s="1011">
        <v>19034</v>
      </c>
      <c r="Z39" s="1010">
        <f t="shared" si="4"/>
        <v>24524</v>
      </c>
      <c r="AA39" s="1008">
        <v>1769</v>
      </c>
      <c r="AB39" s="1009">
        <v>7554</v>
      </c>
      <c r="AC39" s="378">
        <f t="shared" si="5"/>
        <v>9323</v>
      </c>
      <c r="AD39" s="379">
        <f t="shared" si="1"/>
        <v>35571</v>
      </c>
      <c r="AE39" s="380">
        <f t="shared" si="1"/>
        <v>88670</v>
      </c>
      <c r="AF39" s="367">
        <f t="shared" si="1"/>
        <v>124241</v>
      </c>
      <c r="AG39" s="367">
        <f t="shared" si="2"/>
        <v>124241</v>
      </c>
    </row>
    <row r="40" spans="1:33" ht="24.95" customHeight="1">
      <c r="A40" s="1151">
        <v>25</v>
      </c>
      <c r="B40" s="1351" t="s">
        <v>276</v>
      </c>
      <c r="C40" s="1308">
        <f t="shared" si="13"/>
        <v>46.409902357234436</v>
      </c>
      <c r="D40" s="1346">
        <v>75288</v>
      </c>
      <c r="E40" s="1347">
        <v>86936</v>
      </c>
      <c r="F40" s="1310">
        <f t="shared" si="14"/>
        <v>162224</v>
      </c>
      <c r="G40" s="1308">
        <f t="shared" si="15"/>
        <v>46.321512628550927</v>
      </c>
      <c r="H40" s="1346">
        <v>76166</v>
      </c>
      <c r="I40" s="1347">
        <v>88263</v>
      </c>
      <c r="J40" s="1310">
        <f t="shared" si="16"/>
        <v>164429</v>
      </c>
      <c r="K40" s="1308">
        <f t="shared" si="17"/>
        <v>46.267239803529627</v>
      </c>
      <c r="L40" s="1348">
        <v>78466</v>
      </c>
      <c r="M40" s="1347">
        <v>91127</v>
      </c>
      <c r="N40" s="1310">
        <f t="shared" si="18"/>
        <v>169593</v>
      </c>
      <c r="O40" s="1352" t="s">
        <v>277</v>
      </c>
      <c r="P40" s="938">
        <v>25</v>
      </c>
      <c r="Q40" s="1018"/>
      <c r="R40" s="1016"/>
      <c r="S40" s="1016"/>
      <c r="T40" s="1016"/>
      <c r="U40" s="1010">
        <v>237889</v>
      </c>
      <c r="V40" s="1011">
        <v>283609</v>
      </c>
      <c r="W40" s="1010">
        <f t="shared" si="3"/>
        <v>521498</v>
      </c>
      <c r="X40" s="1010">
        <v>62532</v>
      </c>
      <c r="Y40" s="1011">
        <v>64369</v>
      </c>
      <c r="Z40" s="1010">
        <f t="shared" si="4"/>
        <v>126901</v>
      </c>
      <c r="AA40" s="1008">
        <f>32383-179</f>
        <v>32204</v>
      </c>
      <c r="AB40" s="1009">
        <f>29198-599</f>
        <v>28599</v>
      </c>
      <c r="AC40" s="378">
        <f t="shared" si="5"/>
        <v>60803</v>
      </c>
      <c r="AD40" s="379">
        <f t="shared" si="1"/>
        <v>332625</v>
      </c>
      <c r="AE40" s="380">
        <f t="shared" si="1"/>
        <v>376577</v>
      </c>
      <c r="AF40" s="367">
        <f t="shared" si="1"/>
        <v>709202</v>
      </c>
      <c r="AG40" s="367">
        <f t="shared" si="2"/>
        <v>709202</v>
      </c>
    </row>
    <row r="41" spans="1:33" ht="24.95" customHeight="1">
      <c r="A41" s="1339">
        <v>26</v>
      </c>
      <c r="B41" s="1340" t="s">
        <v>278</v>
      </c>
      <c r="C41" s="1316">
        <f t="shared" si="13"/>
        <v>15.60929698342559</v>
      </c>
      <c r="D41" s="1341">
        <v>9785</v>
      </c>
      <c r="E41" s="1342">
        <v>52902</v>
      </c>
      <c r="F41" s="1318">
        <f t="shared" si="14"/>
        <v>62687</v>
      </c>
      <c r="G41" s="1316">
        <f t="shared" si="15"/>
        <v>15.440311796525888</v>
      </c>
      <c r="H41" s="1341">
        <v>9191</v>
      </c>
      <c r="I41" s="1342">
        <v>50335</v>
      </c>
      <c r="J41" s="1318">
        <f t="shared" si="16"/>
        <v>59526</v>
      </c>
      <c r="K41" s="1316">
        <f t="shared" si="17"/>
        <v>17.324414715719065</v>
      </c>
      <c r="L41" s="1343">
        <v>12432</v>
      </c>
      <c r="M41" s="1342">
        <v>59328</v>
      </c>
      <c r="N41" s="1318">
        <f t="shared" si="18"/>
        <v>71760</v>
      </c>
      <c r="O41" s="1350" t="s">
        <v>279</v>
      </c>
      <c r="P41" s="914">
        <v>26</v>
      </c>
      <c r="Q41" s="1018"/>
      <c r="R41" s="1016"/>
      <c r="S41" s="1016"/>
      <c r="T41" s="1016"/>
      <c r="U41" s="1010">
        <v>26557</v>
      </c>
      <c r="V41" s="1011">
        <v>48526</v>
      </c>
      <c r="W41" s="1010">
        <f t="shared" si="3"/>
        <v>75083</v>
      </c>
      <c r="X41" s="1010">
        <v>6185</v>
      </c>
      <c r="Y41" s="1011">
        <v>13039</v>
      </c>
      <c r="Z41" s="1010">
        <f t="shared" si="4"/>
        <v>19224</v>
      </c>
      <c r="AA41" s="1008">
        <f>3610-253</f>
        <v>3357</v>
      </c>
      <c r="AB41" s="1009">
        <f>6814-670</f>
        <v>6144</v>
      </c>
      <c r="AC41" s="378">
        <f t="shared" si="5"/>
        <v>9501</v>
      </c>
      <c r="AD41" s="379">
        <f t="shared" si="1"/>
        <v>36099</v>
      </c>
      <c r="AE41" s="380">
        <f t="shared" si="1"/>
        <v>67709</v>
      </c>
      <c r="AF41" s="367">
        <f t="shared" si="1"/>
        <v>103808</v>
      </c>
      <c r="AG41" s="367">
        <f t="shared" si="2"/>
        <v>103808</v>
      </c>
    </row>
    <row r="42" spans="1:33" ht="24.95" customHeight="1">
      <c r="A42" s="1151">
        <v>27</v>
      </c>
      <c r="B42" s="1345" t="s">
        <v>280</v>
      </c>
      <c r="C42" s="1308">
        <f t="shared" si="13"/>
        <v>23.39570222886368</v>
      </c>
      <c r="D42" s="1346">
        <v>11116</v>
      </c>
      <c r="E42" s="1347">
        <v>36397</v>
      </c>
      <c r="F42" s="1310">
        <f t="shared" si="14"/>
        <v>47513</v>
      </c>
      <c r="G42" s="1308">
        <f t="shared" si="15"/>
        <v>22.404957692766057</v>
      </c>
      <c r="H42" s="1346">
        <v>9400</v>
      </c>
      <c r="I42" s="1347">
        <v>32555</v>
      </c>
      <c r="J42" s="1310">
        <f t="shared" si="16"/>
        <v>41955</v>
      </c>
      <c r="K42" s="1308">
        <f t="shared" si="17"/>
        <v>20.967204002223458</v>
      </c>
      <c r="L42" s="1348">
        <v>9430</v>
      </c>
      <c r="M42" s="1347">
        <v>35545</v>
      </c>
      <c r="N42" s="1310">
        <f t="shared" si="18"/>
        <v>44975</v>
      </c>
      <c r="O42" s="1353" t="s">
        <v>281</v>
      </c>
      <c r="P42" s="938">
        <v>27</v>
      </c>
      <c r="Q42" s="1018"/>
      <c r="R42" s="1016"/>
      <c r="S42" s="1016"/>
      <c r="T42" s="1016"/>
      <c r="U42" s="1010">
        <v>23461</v>
      </c>
      <c r="V42" s="1011">
        <v>29155</v>
      </c>
      <c r="W42" s="1010">
        <f>V42+U42</f>
        <v>52616</v>
      </c>
      <c r="X42" s="1010">
        <v>3452</v>
      </c>
      <c r="Y42" s="1011">
        <v>5109</v>
      </c>
      <c r="Z42" s="1010">
        <f>Y42+X42</f>
        <v>8561</v>
      </c>
      <c r="AA42" s="1008">
        <v>1763</v>
      </c>
      <c r="AB42" s="1009">
        <v>2266</v>
      </c>
      <c r="AC42" s="378">
        <f>AB42+AA42</f>
        <v>4029</v>
      </c>
      <c r="AD42" s="379">
        <f t="shared" si="1"/>
        <v>28676</v>
      </c>
      <c r="AE42" s="380">
        <f t="shared" si="1"/>
        <v>36530</v>
      </c>
      <c r="AF42" s="367">
        <f t="shared" si="1"/>
        <v>65206</v>
      </c>
      <c r="AG42" s="367">
        <f t="shared" si="2"/>
        <v>65206</v>
      </c>
    </row>
    <row r="43" spans="1:33" ht="24.95" customHeight="1">
      <c r="A43" s="1339">
        <v>28</v>
      </c>
      <c r="B43" s="1340" t="s">
        <v>282</v>
      </c>
      <c r="C43" s="1316">
        <f t="shared" si="13"/>
        <v>25.292706154765458</v>
      </c>
      <c r="D43" s="1341">
        <v>54179</v>
      </c>
      <c r="E43" s="1342">
        <v>160029</v>
      </c>
      <c r="F43" s="1318">
        <f t="shared" si="14"/>
        <v>214208</v>
      </c>
      <c r="G43" s="1316">
        <f t="shared" si="15"/>
        <v>27.968310280432167</v>
      </c>
      <c r="H43" s="1341">
        <v>53766</v>
      </c>
      <c r="I43" s="1342">
        <v>138473</v>
      </c>
      <c r="J43" s="1318">
        <f t="shared" si="16"/>
        <v>192239</v>
      </c>
      <c r="K43" s="1316">
        <f t="shared" si="17"/>
        <v>25.979594196710522</v>
      </c>
      <c r="L43" s="1343">
        <v>58412</v>
      </c>
      <c r="M43" s="1342">
        <v>166426</v>
      </c>
      <c r="N43" s="1318">
        <f t="shared" si="18"/>
        <v>224838</v>
      </c>
      <c r="O43" s="1350" t="s">
        <v>283</v>
      </c>
      <c r="P43" s="914">
        <v>28</v>
      </c>
      <c r="Q43" s="1018"/>
      <c r="R43" s="1016"/>
      <c r="S43" s="1016"/>
      <c r="T43" s="1016"/>
      <c r="U43" s="1016"/>
      <c r="V43" s="1016"/>
      <c r="W43" s="1016"/>
      <c r="X43" s="459"/>
      <c r="Y43" s="459"/>
      <c r="Z43" s="459"/>
      <c r="AA43" s="346"/>
      <c r="AB43" s="52"/>
      <c r="AC43" s="10"/>
      <c r="AD43" s="10"/>
      <c r="AE43" s="1092"/>
    </row>
    <row r="44" spans="1:33" ht="24.95" customHeight="1">
      <c r="A44" s="1151">
        <v>29</v>
      </c>
      <c r="B44" s="1345" t="s">
        <v>284</v>
      </c>
      <c r="C44" s="1308">
        <f t="shared" si="13"/>
        <v>41.397183220008401</v>
      </c>
      <c r="D44" s="1346">
        <v>76834</v>
      </c>
      <c r="E44" s="1347">
        <v>108768</v>
      </c>
      <c r="F44" s="1310">
        <f t="shared" si="14"/>
        <v>185602</v>
      </c>
      <c r="G44" s="1308">
        <f t="shared" si="15"/>
        <v>40.655658168647783</v>
      </c>
      <c r="H44" s="1346">
        <v>72065</v>
      </c>
      <c r="I44" s="1347">
        <v>105192</v>
      </c>
      <c r="J44" s="1310">
        <f t="shared" si="16"/>
        <v>177257</v>
      </c>
      <c r="K44" s="1308">
        <f t="shared" si="17"/>
        <v>43.474239732469435</v>
      </c>
      <c r="L44" s="1348">
        <v>83201</v>
      </c>
      <c r="M44" s="1347">
        <v>108179</v>
      </c>
      <c r="N44" s="1310">
        <f t="shared" si="18"/>
        <v>191380</v>
      </c>
      <c r="O44" s="1349" t="s">
        <v>285</v>
      </c>
      <c r="P44" s="938">
        <v>29</v>
      </c>
      <c r="Q44" s="1018"/>
      <c r="R44" s="1016"/>
      <c r="S44" s="1016"/>
      <c r="T44" s="1016"/>
      <c r="U44" s="1016"/>
      <c r="V44" s="1016"/>
      <c r="W44" s="1016"/>
      <c r="X44" s="459"/>
      <c r="Y44" s="459"/>
      <c r="Z44" s="459"/>
      <c r="AA44" s="346"/>
      <c r="AB44" s="52"/>
      <c r="AC44" s="10"/>
      <c r="AD44" s="10"/>
      <c r="AE44" s="206"/>
    </row>
    <row r="45" spans="1:33" ht="24.95" customHeight="1">
      <c r="A45" s="1339">
        <v>30</v>
      </c>
      <c r="B45" s="1340" t="s">
        <v>286</v>
      </c>
      <c r="C45" s="1316">
        <f t="shared" si="13"/>
        <v>42.956387093190386</v>
      </c>
      <c r="D45" s="1341">
        <v>123729</v>
      </c>
      <c r="E45" s="1342">
        <v>164305</v>
      </c>
      <c r="F45" s="1318">
        <f t="shared" si="14"/>
        <v>288034</v>
      </c>
      <c r="G45" s="1316">
        <f t="shared" si="15"/>
        <v>43.703644772956572</v>
      </c>
      <c r="H45" s="1341">
        <v>120855</v>
      </c>
      <c r="I45" s="1342">
        <v>155678</v>
      </c>
      <c r="J45" s="1318">
        <f t="shared" si="16"/>
        <v>276533</v>
      </c>
      <c r="K45" s="1316">
        <f t="shared" si="17"/>
        <v>42.993782066528489</v>
      </c>
      <c r="L45" s="1343">
        <v>126535</v>
      </c>
      <c r="M45" s="1342">
        <v>167775</v>
      </c>
      <c r="N45" s="1318">
        <f t="shared" si="18"/>
        <v>294310</v>
      </c>
      <c r="O45" s="1344" t="s">
        <v>287</v>
      </c>
      <c r="P45" s="914">
        <v>30</v>
      </c>
      <c r="Q45" s="20"/>
      <c r="R45" s="20"/>
      <c r="S45" s="211"/>
      <c r="T45" s="20"/>
      <c r="U45" s="20"/>
      <c r="V45" s="211"/>
      <c r="W45" s="10"/>
      <c r="X45" s="10"/>
      <c r="Y45" s="52"/>
      <c r="Z45" s="1025"/>
      <c r="AA45" s="56"/>
    </row>
    <row r="46" spans="1:33" ht="24.95" customHeight="1">
      <c r="A46" s="1151">
        <v>31</v>
      </c>
      <c r="B46" s="1345" t="s">
        <v>288</v>
      </c>
      <c r="C46" s="1308">
        <f t="shared" si="13"/>
        <v>21.854770891596427</v>
      </c>
      <c r="D46" s="1346">
        <v>33525</v>
      </c>
      <c r="E46" s="1347">
        <v>119874</v>
      </c>
      <c r="F46" s="1310">
        <f t="shared" si="14"/>
        <v>153399</v>
      </c>
      <c r="G46" s="1308">
        <f t="shared" si="15"/>
        <v>22.097898761205514</v>
      </c>
      <c r="H46" s="1346">
        <v>37050</v>
      </c>
      <c r="I46" s="1347">
        <v>130613</v>
      </c>
      <c r="J46" s="1310">
        <f t="shared" si="16"/>
        <v>167663</v>
      </c>
      <c r="K46" s="1308">
        <f t="shared" si="17"/>
        <v>25.757822970689354</v>
      </c>
      <c r="L46" s="1348">
        <v>44203</v>
      </c>
      <c r="M46" s="1347">
        <v>127407</v>
      </c>
      <c r="N46" s="1310">
        <f t="shared" si="18"/>
        <v>171610</v>
      </c>
      <c r="O46" s="1353" t="s">
        <v>289</v>
      </c>
      <c r="P46" s="938">
        <v>31</v>
      </c>
      <c r="Q46" s="20"/>
      <c r="R46" s="20"/>
      <c r="S46" s="211"/>
      <c r="T46" s="20"/>
      <c r="U46" s="20"/>
      <c r="V46" s="211"/>
      <c r="W46" s="10"/>
      <c r="X46" s="10"/>
      <c r="Y46" s="52"/>
      <c r="Z46" s="1025"/>
      <c r="AA46" s="56"/>
    </row>
    <row r="47" spans="1:33" ht="24.95" customHeight="1">
      <c r="A47" s="1339">
        <v>32</v>
      </c>
      <c r="B47" s="1340" t="s">
        <v>290</v>
      </c>
      <c r="C47" s="1316">
        <f t="shared" si="13"/>
        <v>28.632391955151348</v>
      </c>
      <c r="D47" s="1341">
        <v>35292</v>
      </c>
      <c r="E47" s="1342">
        <v>87967</v>
      </c>
      <c r="F47" s="1318">
        <f t="shared" si="14"/>
        <v>123259</v>
      </c>
      <c r="G47" s="1316">
        <f t="shared" si="15"/>
        <v>28.630645278128796</v>
      </c>
      <c r="H47" s="1341">
        <v>35571</v>
      </c>
      <c r="I47" s="1342">
        <v>88670</v>
      </c>
      <c r="J47" s="1318">
        <f t="shared" si="16"/>
        <v>124241</v>
      </c>
      <c r="K47" s="1316">
        <f t="shared" si="17"/>
        <v>28.876037959667855</v>
      </c>
      <c r="L47" s="1343">
        <v>38948</v>
      </c>
      <c r="M47" s="1342">
        <v>95932</v>
      </c>
      <c r="N47" s="1318">
        <f t="shared" si="18"/>
        <v>134880</v>
      </c>
      <c r="O47" s="1350" t="s">
        <v>291</v>
      </c>
      <c r="P47" s="914">
        <v>32</v>
      </c>
      <c r="Q47" s="20"/>
      <c r="R47" s="20"/>
      <c r="S47" s="211"/>
      <c r="T47" s="20"/>
      <c r="U47" s="20"/>
      <c r="V47" s="211"/>
      <c r="W47" s="10"/>
      <c r="X47" s="10"/>
      <c r="Y47" s="52"/>
      <c r="Z47" s="1025"/>
    </row>
    <row r="48" spans="1:33" ht="24.95" customHeight="1">
      <c r="A48" s="1151">
        <v>33</v>
      </c>
      <c r="B48" s="1345" t="s">
        <v>119</v>
      </c>
      <c r="C48" s="1308">
        <f t="shared" si="13"/>
        <v>46.471613031135185</v>
      </c>
      <c r="D48" s="1346">
        <v>330501</v>
      </c>
      <c r="E48" s="1347">
        <v>380688</v>
      </c>
      <c r="F48" s="1310">
        <f t="shared" si="14"/>
        <v>711189</v>
      </c>
      <c r="G48" s="1308">
        <f t="shared" si="15"/>
        <v>46.901305974884451</v>
      </c>
      <c r="H48" s="1346">
        <v>332625</v>
      </c>
      <c r="I48" s="1347">
        <v>376577</v>
      </c>
      <c r="J48" s="1310">
        <f t="shared" si="16"/>
        <v>709202</v>
      </c>
      <c r="K48" s="1308">
        <f t="shared" si="17"/>
        <v>48.097963489863915</v>
      </c>
      <c r="L48" s="1348">
        <v>351953</v>
      </c>
      <c r="M48" s="1347">
        <v>379789</v>
      </c>
      <c r="N48" s="1310">
        <f t="shared" si="18"/>
        <v>731742</v>
      </c>
      <c r="O48" s="1349" t="s">
        <v>120</v>
      </c>
      <c r="P48" s="938">
        <v>33</v>
      </c>
      <c r="Q48" s="20"/>
      <c r="R48" s="20"/>
      <c r="S48" s="211"/>
      <c r="T48" s="20"/>
      <c r="U48" s="20"/>
      <c r="V48" s="211"/>
      <c r="W48" s="10"/>
      <c r="X48" s="10"/>
      <c r="Y48" s="52"/>
      <c r="Z48" s="1025"/>
    </row>
    <row r="49" spans="1:26" ht="24.95" customHeight="1">
      <c r="A49" s="1339">
        <v>34</v>
      </c>
      <c r="B49" s="1340" t="s">
        <v>292</v>
      </c>
      <c r="C49" s="1316">
        <f t="shared" si="13"/>
        <v>36.033519553072622</v>
      </c>
      <c r="D49" s="1341">
        <v>38442</v>
      </c>
      <c r="E49" s="1342">
        <v>68242</v>
      </c>
      <c r="F49" s="1318">
        <f t="shared" si="14"/>
        <v>106684</v>
      </c>
      <c r="G49" s="1316">
        <f t="shared" si="15"/>
        <v>34.774776510480891</v>
      </c>
      <c r="H49" s="1341">
        <v>36099</v>
      </c>
      <c r="I49" s="1342">
        <v>67709</v>
      </c>
      <c r="J49" s="1318">
        <f t="shared" si="16"/>
        <v>103808</v>
      </c>
      <c r="K49" s="1316">
        <f t="shared" si="17"/>
        <v>34.148656542056074</v>
      </c>
      <c r="L49" s="1343">
        <v>37416</v>
      </c>
      <c r="M49" s="1342">
        <v>72152</v>
      </c>
      <c r="N49" s="1318">
        <f t="shared" si="18"/>
        <v>109568</v>
      </c>
      <c r="O49" s="1344" t="s">
        <v>293</v>
      </c>
      <c r="P49" s="914">
        <v>34</v>
      </c>
      <c r="Q49" s="10"/>
      <c r="R49" s="10"/>
      <c r="S49" s="52"/>
      <c r="T49" s="10"/>
      <c r="U49" s="10"/>
      <c r="V49" s="52"/>
      <c r="W49" s="10"/>
      <c r="X49" s="10"/>
      <c r="Y49" s="52"/>
      <c r="Z49" s="10"/>
    </row>
    <row r="50" spans="1:26" ht="24.95" customHeight="1">
      <c r="A50" s="1354">
        <v>35</v>
      </c>
      <c r="B50" s="1355" t="s">
        <v>294</v>
      </c>
      <c r="C50" s="1356">
        <f>D50/F50*100</f>
        <v>41.047316556722862</v>
      </c>
      <c r="D50" s="1357">
        <v>25201</v>
      </c>
      <c r="E50" s="1358">
        <v>36194</v>
      </c>
      <c r="F50" s="1359">
        <f>E50+D50</f>
        <v>61395</v>
      </c>
      <c r="G50" s="1356">
        <f>H50/J50*100</f>
        <v>43.977548078397696</v>
      </c>
      <c r="H50" s="1357">
        <v>28676</v>
      </c>
      <c r="I50" s="1358">
        <v>36530</v>
      </c>
      <c r="J50" s="1359">
        <f>I50+H50</f>
        <v>65206</v>
      </c>
      <c r="K50" s="1356">
        <f>L50/N50*100</f>
        <v>46.198343420524338</v>
      </c>
      <c r="L50" s="1360">
        <v>31067</v>
      </c>
      <c r="M50" s="1358">
        <v>36180</v>
      </c>
      <c r="N50" s="1359">
        <f>M50+L50</f>
        <v>67247</v>
      </c>
      <c r="O50" s="1361" t="s">
        <v>295</v>
      </c>
      <c r="P50" s="939">
        <v>35</v>
      </c>
      <c r="Q50" s="10"/>
      <c r="R50" s="10"/>
      <c r="S50" s="52"/>
      <c r="T50" s="10"/>
      <c r="U50" s="10"/>
      <c r="V50" s="52"/>
      <c r="W50" s="10"/>
      <c r="X50" s="10"/>
      <c r="Y50" s="52"/>
      <c r="Z50" s="10"/>
    </row>
    <row r="51" spans="1:26" ht="24.95" customHeight="1">
      <c r="A51" s="1726" t="s">
        <v>717</v>
      </c>
      <c r="B51" s="1726"/>
      <c r="C51" s="1726"/>
      <c r="D51" s="1726"/>
      <c r="E51" s="1726"/>
      <c r="F51" s="1727" t="s">
        <v>782</v>
      </c>
      <c r="G51" s="1727"/>
      <c r="H51" s="1727"/>
      <c r="I51" s="1727"/>
      <c r="J51" s="1727"/>
      <c r="K51" s="1727"/>
      <c r="L51" s="1728" t="s">
        <v>118</v>
      </c>
      <c r="M51" s="1728"/>
      <c r="N51" s="1728"/>
      <c r="O51" s="1728"/>
      <c r="P51" s="1728"/>
      <c r="Q51" s="10"/>
      <c r="R51" s="10"/>
      <c r="S51" s="52"/>
      <c r="T51" s="10"/>
      <c r="U51" s="10"/>
      <c r="V51" s="52"/>
      <c r="W51" s="52"/>
      <c r="X51" s="10"/>
      <c r="Y51" s="52"/>
      <c r="Z51" s="10"/>
    </row>
    <row r="52" spans="1:26" ht="18" customHeight="1">
      <c r="A52" s="1468" t="s">
        <v>1977</v>
      </c>
      <c r="B52" s="1468"/>
      <c r="C52" s="1468"/>
      <c r="D52" s="1468"/>
      <c r="E52" s="1468"/>
      <c r="F52" s="1468"/>
      <c r="G52" s="1468"/>
      <c r="H52" s="1468"/>
      <c r="I52" s="1468"/>
      <c r="J52" s="1468"/>
      <c r="K52" s="1468"/>
      <c r="L52" s="1468"/>
      <c r="M52" s="1468"/>
      <c r="N52" s="1468"/>
      <c r="O52" s="1468"/>
      <c r="P52" s="1468"/>
    </row>
    <row r="53" spans="1:26" ht="18" customHeight="1">
      <c r="A53" s="1725" t="s">
        <v>1975</v>
      </c>
      <c r="B53" s="1725"/>
      <c r="C53" s="1725"/>
      <c r="D53" s="1725"/>
      <c r="E53" s="1725"/>
      <c r="F53" s="1725"/>
      <c r="G53" s="1725"/>
      <c r="H53" s="1725"/>
      <c r="I53" s="1725"/>
      <c r="J53" s="1725"/>
      <c r="K53" s="1725"/>
      <c r="L53" s="1725"/>
      <c r="M53" s="1725"/>
      <c r="N53" s="1725"/>
      <c r="O53" s="1725"/>
      <c r="P53" s="1725"/>
    </row>
    <row r="54" spans="1:26" ht="18" customHeight="1">
      <c r="A54" s="1725" t="s">
        <v>1976</v>
      </c>
      <c r="B54" s="1725"/>
      <c r="C54" s="1725"/>
      <c r="D54" s="1725"/>
      <c r="E54" s="1725"/>
      <c r="F54" s="1725"/>
      <c r="G54" s="1725"/>
      <c r="H54" s="1725"/>
      <c r="I54" s="1725"/>
      <c r="J54" s="1725"/>
      <c r="K54" s="1725"/>
      <c r="L54" s="1725"/>
      <c r="M54" s="1725"/>
      <c r="N54" s="1725"/>
      <c r="O54" s="1725"/>
      <c r="P54" s="1725"/>
    </row>
    <row r="55" spans="1:26" ht="15.95" customHeight="1"/>
    <row r="56" spans="1:26" ht="15.95" customHeight="1">
      <c r="S56" s="2" t="s">
        <v>1170</v>
      </c>
      <c r="T56" s="2" t="s">
        <v>1306</v>
      </c>
      <c r="U56" s="2" t="s">
        <v>1780</v>
      </c>
    </row>
    <row r="57" spans="1:26" ht="15.95" customHeight="1">
      <c r="S57">
        <v>1394</v>
      </c>
      <c r="T57">
        <v>1395</v>
      </c>
      <c r="U57">
        <v>1396</v>
      </c>
    </row>
    <row r="58" spans="1:26" ht="15.95" customHeight="1">
      <c r="R58" t="s">
        <v>1087</v>
      </c>
      <c r="S58">
        <v>8726387</v>
      </c>
      <c r="T58">
        <v>8395836</v>
      </c>
      <c r="U58">
        <v>8533303</v>
      </c>
    </row>
    <row r="59" spans="1:26" ht="15.95" customHeight="1">
      <c r="R59" s="10" t="s">
        <v>1094</v>
      </c>
      <c r="S59">
        <v>5223475</v>
      </c>
      <c r="T59">
        <v>5099147</v>
      </c>
      <c r="U59">
        <v>5205392</v>
      </c>
    </row>
    <row r="60" spans="1:26" ht="15.95" customHeight="1">
      <c r="R60" s="10" t="s">
        <v>1095</v>
      </c>
      <c r="S60">
        <v>3502912</v>
      </c>
      <c r="T60">
        <v>3296689</v>
      </c>
      <c r="U60">
        <v>3327911</v>
      </c>
    </row>
    <row r="61" spans="1:26" ht="15.95" customHeight="1"/>
    <row r="62" spans="1:26" ht="15.95" customHeight="1"/>
    <row r="63" spans="1:26" ht="15.95" customHeight="1"/>
    <row r="65" ht="24.95" customHeight="1"/>
  </sheetData>
  <mergeCells count="56">
    <mergeCell ref="A54:P54"/>
    <mergeCell ref="P32:P35"/>
    <mergeCell ref="A51:E51"/>
    <mergeCell ref="F51:K51"/>
    <mergeCell ref="L51:P51"/>
    <mergeCell ref="A52:P52"/>
    <mergeCell ref="A53:P53"/>
    <mergeCell ref="A32:A35"/>
    <mergeCell ref="B32:B35"/>
    <mergeCell ref="C32:F32"/>
    <mergeCell ref="G32:J32"/>
    <mergeCell ref="K32:N32"/>
    <mergeCell ref="O32:O35"/>
    <mergeCell ref="A31:E31"/>
    <mergeCell ref="F31:K31"/>
    <mergeCell ref="L31:P31"/>
    <mergeCell ref="G10:G12"/>
    <mergeCell ref="H10:H12"/>
    <mergeCell ref="I10:I12"/>
    <mergeCell ref="J10:J12"/>
    <mergeCell ref="K10:K12"/>
    <mergeCell ref="L10:L12"/>
    <mergeCell ref="Z8:Z9"/>
    <mergeCell ref="AA8:AA9"/>
    <mergeCell ref="AB8:AB9"/>
    <mergeCell ref="AC8:AC9"/>
    <mergeCell ref="A10:A12"/>
    <mergeCell ref="B10:B11"/>
    <mergeCell ref="C10:C12"/>
    <mergeCell ref="D10:D12"/>
    <mergeCell ref="E10:E12"/>
    <mergeCell ref="F10:F12"/>
    <mergeCell ref="Y8:Y9"/>
    <mergeCell ref="M10:M12"/>
    <mergeCell ref="N10:N12"/>
    <mergeCell ref="P10:P12"/>
    <mergeCell ref="T10:T11"/>
    <mergeCell ref="R4:T4"/>
    <mergeCell ref="U8:U9"/>
    <mergeCell ref="V8:V9"/>
    <mergeCell ref="W8:W9"/>
    <mergeCell ref="X8:X9"/>
    <mergeCell ref="A3:P3"/>
    <mergeCell ref="A4:A7"/>
    <mergeCell ref="B4:B7"/>
    <mergeCell ref="C4:F4"/>
    <mergeCell ref="G4:J4"/>
    <mergeCell ref="K4:N4"/>
    <mergeCell ref="O4:O7"/>
    <mergeCell ref="P4:P7"/>
    <mergeCell ref="AD2:AF2"/>
    <mergeCell ref="A1:P1"/>
    <mergeCell ref="A2:P2"/>
    <mergeCell ref="U2:W2"/>
    <mergeCell ref="X2:Z2"/>
    <mergeCell ref="AA2:AC2"/>
  </mergeCells>
  <hyperlinks>
    <hyperlink ref="B41" r:id="rId1" location="FNote1" display="FNote1"/>
  </hyperlinks>
  <pageMargins left="0.55118110236220497" right="0.55118110236220497" top="0.31496062992126" bottom="0.511811023622047" header="0.196850393700787" footer="0.35433070866141703"/>
  <pageSetup paperSize="9" scale="70" orientation="landscape" verticalDpi="300" r:id="rId2"/>
  <headerFooter>
    <oddFooter>&amp;L&amp;"Times New Roman,Bold"Afghanistan Statistical Yearbook 2017-18&amp;R&amp;"Times New Roman,Bold"سالنامۀ احصائیوی / احصا ئيوي کالنی1396</oddFooter>
  </headerFooter>
  <rowBreaks count="1" manualBreakCount="1">
    <brk id="30" max="16383" man="1"/>
  </rowBreaks>
  <colBreaks count="1" manualBreakCount="1">
    <brk id="16" max="67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72"/>
  <sheetViews>
    <sheetView view="pageBreakPreview" topLeftCell="A48" zoomScale="80" zoomScaleSheetLayoutView="80" workbookViewId="0">
      <selection activeCell="H50" sqref="H50"/>
    </sheetView>
  </sheetViews>
  <sheetFormatPr defaultRowHeight="15"/>
  <cols>
    <col min="1" max="1" width="5.7109375" customWidth="1"/>
    <col min="2" max="2" width="16.140625" customWidth="1"/>
    <col min="3" max="3" width="12.42578125" customWidth="1"/>
    <col min="4" max="4" width="10" customWidth="1"/>
    <col min="5" max="5" width="9.85546875" customWidth="1"/>
    <col min="6" max="6" width="9.42578125" customWidth="1"/>
    <col min="7" max="7" width="12" customWidth="1"/>
    <col min="8" max="8" width="9.42578125" customWidth="1"/>
    <col min="9" max="9" width="10.140625" customWidth="1"/>
    <col min="10" max="10" width="9.85546875" customWidth="1"/>
    <col min="11" max="11" width="12.28515625" customWidth="1"/>
    <col min="12" max="12" width="10" customWidth="1"/>
    <col min="13" max="13" width="10.28515625" customWidth="1"/>
    <col min="14" max="14" width="9.7109375" customWidth="1"/>
    <col min="15" max="15" width="17.85546875" customWidth="1"/>
    <col min="16" max="16" width="5.42578125" customWidth="1"/>
    <col min="17" max="17" width="14" bestFit="1" customWidth="1"/>
    <col min="18" max="18" width="13" bestFit="1" customWidth="1"/>
    <col min="22" max="22" width="9.140625" customWidth="1"/>
  </cols>
  <sheetData>
    <row r="1" spans="1:22" ht="21.95" customHeight="1">
      <c r="A1" s="1729" t="s">
        <v>906</v>
      </c>
      <c r="B1" s="1729"/>
      <c r="C1" s="1729"/>
      <c r="D1" s="1729"/>
      <c r="E1" s="1729"/>
      <c r="F1" s="1729"/>
      <c r="G1" s="1729"/>
      <c r="H1" s="1729"/>
      <c r="I1" s="1729"/>
      <c r="J1" s="1729"/>
      <c r="K1" s="1729"/>
      <c r="L1" s="1729"/>
      <c r="M1" s="1729"/>
      <c r="N1" s="1729"/>
      <c r="O1" s="1729"/>
      <c r="P1" s="1729"/>
    </row>
    <row r="2" spans="1:22" ht="21.95" customHeight="1">
      <c r="A2" s="1730" t="s">
        <v>1978</v>
      </c>
      <c r="B2" s="1730"/>
      <c r="C2" s="1730"/>
      <c r="D2" s="1730"/>
      <c r="E2" s="1730"/>
      <c r="F2" s="1730"/>
      <c r="G2" s="1730"/>
      <c r="H2" s="1730"/>
      <c r="I2" s="1730"/>
      <c r="J2" s="1730"/>
      <c r="K2" s="1730"/>
      <c r="L2" s="1730"/>
      <c r="M2" s="1730"/>
      <c r="N2" s="1730"/>
      <c r="O2" s="1730"/>
      <c r="P2" s="1730"/>
    </row>
    <row r="3" spans="1:22" ht="21.95" customHeight="1">
      <c r="A3" s="1729" t="s">
        <v>907</v>
      </c>
      <c r="B3" s="1729"/>
      <c r="C3" s="1729"/>
      <c r="D3" s="1729"/>
      <c r="E3" s="1729"/>
      <c r="F3" s="1729"/>
      <c r="G3" s="1729"/>
      <c r="H3" s="1729"/>
      <c r="I3" s="1729"/>
      <c r="J3" s="1729"/>
      <c r="K3" s="1729"/>
      <c r="L3" s="1729"/>
      <c r="M3" s="1729"/>
      <c r="N3" s="1729"/>
      <c r="O3" s="1729"/>
      <c r="P3" s="1729"/>
      <c r="Q3" s="10">
        <f>F8-J8</f>
        <v>-1488</v>
      </c>
      <c r="R3" s="10"/>
      <c r="S3" s="10"/>
      <c r="T3" s="10"/>
      <c r="U3" s="10"/>
    </row>
    <row r="4" spans="1:22" ht="26.1" customHeight="1">
      <c r="A4" s="1412" t="s">
        <v>2026</v>
      </c>
      <c r="B4" s="1731" t="s">
        <v>413</v>
      </c>
      <c r="C4" s="1731" t="s">
        <v>1809</v>
      </c>
      <c r="D4" s="1734"/>
      <c r="E4" s="1734"/>
      <c r="F4" s="1735"/>
      <c r="G4" s="1731" t="s">
        <v>1310</v>
      </c>
      <c r="H4" s="1734"/>
      <c r="I4" s="1734"/>
      <c r="J4" s="1735"/>
      <c r="K4" s="1736" t="s">
        <v>1173</v>
      </c>
      <c r="L4" s="1737"/>
      <c r="M4" s="1737"/>
      <c r="N4" s="1738"/>
      <c r="O4" s="1735" t="s">
        <v>412</v>
      </c>
      <c r="P4" s="1412" t="s">
        <v>2027</v>
      </c>
      <c r="Q4" s="10"/>
      <c r="R4" s="10">
        <f>30403+7876</f>
        <v>38279</v>
      </c>
      <c r="S4" s="10"/>
      <c r="T4" s="10"/>
      <c r="U4" s="10"/>
    </row>
    <row r="5" spans="1:22" ht="26.1" customHeight="1">
      <c r="A5" s="1491"/>
      <c r="B5" s="1732"/>
      <c r="C5" s="551" t="s">
        <v>297</v>
      </c>
      <c r="D5" s="979" t="s">
        <v>0</v>
      </c>
      <c r="E5" s="979" t="s">
        <v>1</v>
      </c>
      <c r="F5" s="1012" t="s">
        <v>2</v>
      </c>
      <c r="G5" s="551" t="s">
        <v>297</v>
      </c>
      <c r="H5" s="979" t="s">
        <v>0</v>
      </c>
      <c r="I5" s="979" t="s">
        <v>1</v>
      </c>
      <c r="J5" s="1012" t="s">
        <v>2</v>
      </c>
      <c r="K5" s="551" t="s">
        <v>297</v>
      </c>
      <c r="L5" s="979" t="s">
        <v>0</v>
      </c>
      <c r="M5" s="979" t="s">
        <v>1</v>
      </c>
      <c r="N5" s="1013" t="s">
        <v>2</v>
      </c>
      <c r="O5" s="1739"/>
      <c r="P5" s="1491"/>
      <c r="Q5" s="447">
        <f>L8/N8*100</f>
        <v>33.395555130107375</v>
      </c>
      <c r="R5" s="10"/>
      <c r="S5" s="10"/>
      <c r="T5" s="10"/>
      <c r="U5" s="10"/>
    </row>
    <row r="6" spans="1:22" ht="26.1" customHeight="1">
      <c r="A6" s="1491"/>
      <c r="B6" s="1732"/>
      <c r="C6" s="952" t="s">
        <v>716</v>
      </c>
      <c r="D6" s="1054" t="s">
        <v>500</v>
      </c>
      <c r="E6" s="1054" t="s">
        <v>501</v>
      </c>
      <c r="F6" s="428" t="s">
        <v>502</v>
      </c>
      <c r="G6" s="952" t="s">
        <v>716</v>
      </c>
      <c r="H6" s="1054" t="s">
        <v>500</v>
      </c>
      <c r="I6" s="1054" t="s">
        <v>501</v>
      </c>
      <c r="J6" s="428" t="s">
        <v>502</v>
      </c>
      <c r="K6" s="952" t="s">
        <v>716</v>
      </c>
      <c r="L6" s="1054" t="s">
        <v>500</v>
      </c>
      <c r="M6" s="1054" t="s">
        <v>501</v>
      </c>
      <c r="N6" s="1014" t="s">
        <v>502</v>
      </c>
      <c r="O6" s="1739"/>
      <c r="P6" s="1491"/>
      <c r="Q6" s="447">
        <f>H8/J8*100</f>
        <v>33.971312608038325</v>
      </c>
      <c r="R6" s="10"/>
      <c r="S6" s="10"/>
      <c r="T6" s="10"/>
      <c r="U6" s="10"/>
    </row>
    <row r="7" spans="1:22" ht="26.1" customHeight="1">
      <c r="A7" s="1413"/>
      <c r="B7" s="1733"/>
      <c r="C7" s="554" t="s">
        <v>298</v>
      </c>
      <c r="D7" s="980" t="s">
        <v>52</v>
      </c>
      <c r="E7" s="1015" t="s">
        <v>53</v>
      </c>
      <c r="F7" s="429" t="s">
        <v>28</v>
      </c>
      <c r="G7" s="554" t="s">
        <v>298</v>
      </c>
      <c r="H7" s="980" t="s">
        <v>52</v>
      </c>
      <c r="I7" s="1015" t="s">
        <v>53</v>
      </c>
      <c r="J7" s="429" t="s">
        <v>28</v>
      </c>
      <c r="K7" s="554" t="s">
        <v>298</v>
      </c>
      <c r="L7" s="980" t="s">
        <v>52</v>
      </c>
      <c r="M7" s="1015" t="s">
        <v>53</v>
      </c>
      <c r="N7" s="1015" t="s">
        <v>28</v>
      </c>
      <c r="O7" s="1740"/>
      <c r="P7" s="1413"/>
      <c r="Q7" s="949">
        <f>D8/F8*100</f>
        <v>35.318732826012138</v>
      </c>
      <c r="R7" s="20">
        <v>17821</v>
      </c>
      <c r="S7" s="20">
        <v>6019</v>
      </c>
      <c r="T7" s="10"/>
      <c r="U7" s="10"/>
      <c r="V7">
        <v>558611</v>
      </c>
    </row>
    <row r="8" spans="1:22" ht="26.1" customHeight="1">
      <c r="A8" s="1001"/>
      <c r="B8" s="1022" t="s">
        <v>28</v>
      </c>
      <c r="C8" s="1021">
        <f>D8/F8*100</f>
        <v>35.318732826012138</v>
      </c>
      <c r="D8" s="716">
        <f>D9+D13+D14+D15+D16+D17+D18+D19+D20+D21+D22+D23+D24+D25+D26+D27+D28+D29+D30+D36+D37+D38+D39+D40+D41+D42+D43+D44+D45+D46+D47+D48+D49+D50</f>
        <v>64652</v>
      </c>
      <c r="E8" s="716">
        <f>E9+E13+E14+E15+E16+E17+E18+E19+E20+E21+E22+E23+E24+E25+E26+E27+E28+E29+E30+E36+E37+E38+E39+E40+E41+E42+E43+E44+E45+E46+E47+E48+E49+E50</f>
        <v>118401</v>
      </c>
      <c r="F8" s="716">
        <f>F9+F13+F14+F15+F16+F17+F18+F19+F20+F21+F22+F23+F24+F25+F26+F27+F28+F29+F30+F36+F37+F38+F39+F40+F41+F42+F43+F44+F45+F46+F47+F48+F49+F50</f>
        <v>183053</v>
      </c>
      <c r="G8" s="1021">
        <f>H8/J8*100</f>
        <v>33.971312608038325</v>
      </c>
      <c r="H8" s="716">
        <f>H9+H13+H14+H15+H16+H17+H18+H19+H20+H21+H22+H23+H24+H25+H26+H27+H28+H29+H30+H36+H37+H38+H39+H40+H41+H42+H43+H44+H45+H46+H47+H48+H49+H50</f>
        <v>62691</v>
      </c>
      <c r="I8" s="716">
        <f>I9+I13+I14+I15+I16+I17+I18+I19+I20+I21+I22+I23+I24+I25+I26+I27+I28+I29+I30+I36+I37+I38+I39+I40+I41+I42+I43+I44+I45+I46+I47+I48+I49+I50</f>
        <v>121850</v>
      </c>
      <c r="J8" s="716">
        <f>J9+J13+J14+J15+J16+J17+J18+J19+J20+J21+J22+J23+J24+J25+J26+J27+J28+J29+J30+J36+J37+J38+J39+J40+J41+J42+J43+J44+J45+J46+J47+J48+J49+J50</f>
        <v>184541</v>
      </c>
      <c r="K8" s="1021">
        <f>L8/N8*100</f>
        <v>33.395555130107375</v>
      </c>
      <c r="L8" s="716">
        <f>L9+L13+L14+L15+L16+L17+L18+L19+L20+L21+L22+L23+L24+L25+L26+L27+L28+L29+L30+L36+L37+L38+L39+L40+L41+L42+L43+L44+L45+L46+L47+L48+L49+L50</f>
        <v>62796</v>
      </c>
      <c r="M8" s="716">
        <f>M9+M13+M14+M15+M16+M17+M18+M19+M20+M21+M22+M23+M24+M25+M26+M27+M28+M29+M30+M36+M37+M38+M39+M40+M41+M42+M43+M44+M45+M46+M47+M48+M49+M50</f>
        <v>125241</v>
      </c>
      <c r="N8" s="1298">
        <f>N9+N13+N14+N15+N16+N17+N18+N19+N20+N21+N22+N23+N24+N25+N26+N27+N28+N29+N30+N36+N37+N38+N39+N40+N41+N42+N43+N44+N45+N46+N47+N48+N49+N50</f>
        <v>188037</v>
      </c>
      <c r="O8" s="964" t="s">
        <v>627</v>
      </c>
      <c r="P8" s="691"/>
      <c r="Q8" s="20"/>
      <c r="R8">
        <v>1479</v>
      </c>
      <c r="S8">
        <v>3267</v>
      </c>
      <c r="T8" s="459"/>
      <c r="U8" s="10"/>
      <c r="V8">
        <v>27321</v>
      </c>
    </row>
    <row r="9" spans="1:22" ht="26.1" customHeight="1">
      <c r="A9" s="950">
        <v>1</v>
      </c>
      <c r="B9" s="563" t="s">
        <v>345</v>
      </c>
      <c r="C9" s="430">
        <f>D9/F9*100</f>
        <v>67.929165404167918</v>
      </c>
      <c r="D9" s="571">
        <f>18554+1623</f>
        <v>20177</v>
      </c>
      <c r="E9" s="959">
        <f>5942+3584</f>
        <v>9526</v>
      </c>
      <c r="F9" s="431">
        <f>E9+D9</f>
        <v>29703</v>
      </c>
      <c r="G9" s="430">
        <f>H9/J9*100</f>
        <v>66.62245067153043</v>
      </c>
      <c r="H9" s="571">
        <f>1699+18391</f>
        <v>20090</v>
      </c>
      <c r="I9" s="959">
        <f>3552+6513</f>
        <v>10065</v>
      </c>
      <c r="J9" s="431">
        <f>I9+H9</f>
        <v>30155</v>
      </c>
      <c r="K9" s="430">
        <f>L9/N9*100</f>
        <v>67.098641581422896</v>
      </c>
      <c r="L9" s="571">
        <f>1716+18684</f>
        <v>20400</v>
      </c>
      <c r="M9" s="959">
        <f>3519+6484</f>
        <v>10003</v>
      </c>
      <c r="N9" s="565">
        <f>M9+L9</f>
        <v>30403</v>
      </c>
      <c r="O9" s="308" t="s">
        <v>114</v>
      </c>
      <c r="P9" s="948">
        <v>1</v>
      </c>
      <c r="Q9" s="1750"/>
      <c r="R9">
        <f>SUM(R7:R8)</f>
        <v>19300</v>
      </c>
      <c r="S9">
        <f>SUM(S7:S8)</f>
        <v>9286</v>
      </c>
      <c r="T9" s="20"/>
      <c r="U9" s="10"/>
      <c r="V9">
        <f>SUM(V7:V8)</f>
        <v>585932</v>
      </c>
    </row>
    <row r="10" spans="1:22" ht="26.1" customHeight="1">
      <c r="A10" s="1693">
        <v>2</v>
      </c>
      <c r="B10" s="1751" t="s">
        <v>234</v>
      </c>
      <c r="C10" s="1743">
        <f>D10/F10*100</f>
        <v>75.74297844546048</v>
      </c>
      <c r="D10" s="1741">
        <v>18554</v>
      </c>
      <c r="E10" s="1741">
        <v>5942</v>
      </c>
      <c r="F10" s="1742">
        <f>E10+D10</f>
        <v>24496</v>
      </c>
      <c r="G10" s="1743">
        <f>H10/J10*100</f>
        <v>73.847574686797302</v>
      </c>
      <c r="H10" s="1741">
        <v>18391</v>
      </c>
      <c r="I10" s="1741">
        <v>6513</v>
      </c>
      <c r="J10" s="1742">
        <f>I10+H10</f>
        <v>24904</v>
      </c>
      <c r="K10" s="1743">
        <f>L10/N10*100</f>
        <v>74.23712650985378</v>
      </c>
      <c r="L10" s="1741">
        <v>18684</v>
      </c>
      <c r="M10" s="1741">
        <v>6484</v>
      </c>
      <c r="N10" s="1748">
        <f>M10+L10</f>
        <v>25168</v>
      </c>
      <c r="O10" s="1050" t="s">
        <v>235</v>
      </c>
      <c r="P10" s="1749">
        <v>2</v>
      </c>
      <c r="Q10" s="1750"/>
      <c r="S10" s="1744"/>
      <c r="T10" s="1744"/>
      <c r="U10" s="10"/>
    </row>
    <row r="11" spans="1:22" ht="26.1" customHeight="1">
      <c r="A11" s="1693"/>
      <c r="B11" s="1751"/>
      <c r="C11" s="1743"/>
      <c r="D11" s="1741"/>
      <c r="E11" s="1741"/>
      <c r="F11" s="1742"/>
      <c r="G11" s="1743"/>
      <c r="H11" s="1741"/>
      <c r="I11" s="1741"/>
      <c r="J11" s="1742"/>
      <c r="K11" s="1743"/>
      <c r="L11" s="1741"/>
      <c r="M11" s="1741"/>
      <c r="N11" s="1748"/>
      <c r="O11" s="1050" t="s">
        <v>551</v>
      </c>
      <c r="P11" s="1749"/>
      <c r="Q11" s="1019">
        <f>H8/J8*100</f>
        <v>33.971312608038325</v>
      </c>
      <c r="R11" s="176"/>
      <c r="S11" s="1744"/>
      <c r="T11" s="1744"/>
      <c r="U11" s="10"/>
    </row>
    <row r="12" spans="1:22" ht="26.1" customHeight="1">
      <c r="A12" s="1693"/>
      <c r="B12" s="1022" t="s">
        <v>236</v>
      </c>
      <c r="C12" s="1743"/>
      <c r="D12" s="1741"/>
      <c r="E12" s="1741"/>
      <c r="F12" s="1742"/>
      <c r="G12" s="1743"/>
      <c r="H12" s="1741"/>
      <c r="I12" s="1741"/>
      <c r="J12" s="1742"/>
      <c r="K12" s="1743"/>
      <c r="L12" s="1741"/>
      <c r="M12" s="1741"/>
      <c r="N12" s="1748"/>
      <c r="O12" s="1050" t="s">
        <v>681</v>
      </c>
      <c r="P12" s="1749"/>
      <c r="Q12" s="452">
        <f>D8/F8*100</f>
        <v>35.318732826012138</v>
      </c>
      <c r="R12" s="176">
        <f>63106/56183*100-100</f>
        <v>12.322232703842801</v>
      </c>
      <c r="S12" s="1744"/>
      <c r="T12" s="1744"/>
      <c r="U12" s="10"/>
    </row>
    <row r="13" spans="1:22" ht="26.1" customHeight="1">
      <c r="A13" s="950">
        <v>3</v>
      </c>
      <c r="B13" s="563" t="s">
        <v>238</v>
      </c>
      <c r="C13" s="430">
        <f>D13/F13*100</f>
        <v>19.198097179748554</v>
      </c>
      <c r="D13" s="571">
        <v>565</v>
      </c>
      <c r="E13" s="959">
        <v>2378</v>
      </c>
      <c r="F13" s="431">
        <f>E13+D13</f>
        <v>2943</v>
      </c>
      <c r="G13" s="430">
        <f>H13/J13*100</f>
        <v>17.766830870279147</v>
      </c>
      <c r="H13" s="571">
        <v>541</v>
      </c>
      <c r="I13" s="959">
        <v>2504</v>
      </c>
      <c r="J13" s="431">
        <f>I13+H13</f>
        <v>3045</v>
      </c>
      <c r="K13" s="430">
        <f>L13/N13*100</f>
        <v>17.96875</v>
      </c>
      <c r="L13" s="571">
        <v>552</v>
      </c>
      <c r="M13" s="959">
        <v>2520</v>
      </c>
      <c r="N13" s="565">
        <f>M13+L13</f>
        <v>3072</v>
      </c>
      <c r="O13" s="308" t="s">
        <v>239</v>
      </c>
      <c r="P13" s="948">
        <v>3</v>
      </c>
      <c r="Q13" s="20"/>
      <c r="R13" s="20"/>
      <c r="S13" s="20"/>
      <c r="T13" s="20"/>
      <c r="U13" s="10"/>
    </row>
    <row r="14" spans="1:22" ht="26.1" customHeight="1">
      <c r="A14" s="1002">
        <v>4</v>
      </c>
      <c r="B14" s="1022" t="s">
        <v>240</v>
      </c>
      <c r="C14" s="1021">
        <f t="shared" ref="C14:C29" si="0">D14/F14*100</f>
        <v>16.791248860528714</v>
      </c>
      <c r="D14" s="716">
        <v>921</v>
      </c>
      <c r="E14" s="984">
        <v>4564</v>
      </c>
      <c r="F14" s="1023">
        <f t="shared" ref="F14:F29" si="1">E14+D14</f>
        <v>5485</v>
      </c>
      <c r="G14" s="1021">
        <f t="shared" ref="G14:G29" si="2">H14/J14*100</f>
        <v>16.355304899541771</v>
      </c>
      <c r="H14" s="716">
        <v>928</v>
      </c>
      <c r="I14" s="984">
        <v>4746</v>
      </c>
      <c r="J14" s="1023">
        <f t="shared" ref="J14:J29" si="3">I14+H14</f>
        <v>5674</v>
      </c>
      <c r="K14" s="1021">
        <f t="shared" ref="K14:K29" si="4">L14/N14*100</f>
        <v>15.505050505050505</v>
      </c>
      <c r="L14" s="716">
        <v>921</v>
      </c>
      <c r="M14" s="984">
        <v>5019</v>
      </c>
      <c r="N14" s="989">
        <f t="shared" ref="N14:N29" si="5">M14+L14</f>
        <v>5940</v>
      </c>
      <c r="O14" s="1050" t="s">
        <v>241</v>
      </c>
      <c r="P14" s="691">
        <v>4</v>
      </c>
      <c r="Q14" s="20"/>
      <c r="R14" s="20"/>
      <c r="S14" s="20">
        <v>1732</v>
      </c>
      <c r="T14" s="20"/>
      <c r="U14" s="10"/>
    </row>
    <row r="15" spans="1:22" ht="26.1" customHeight="1">
      <c r="A15" s="950">
        <v>5</v>
      </c>
      <c r="B15" s="563" t="s">
        <v>1107</v>
      </c>
      <c r="C15" s="430">
        <f t="shared" si="0"/>
        <v>6.1414240274039642</v>
      </c>
      <c r="D15" s="571">
        <v>251</v>
      </c>
      <c r="E15" s="959">
        <v>3836</v>
      </c>
      <c r="F15" s="431">
        <f t="shared" si="1"/>
        <v>4087</v>
      </c>
      <c r="G15" s="430">
        <f t="shared" si="2"/>
        <v>5.8681477903887949</v>
      </c>
      <c r="H15" s="571">
        <v>243</v>
      </c>
      <c r="I15" s="959">
        <v>3898</v>
      </c>
      <c r="J15" s="431">
        <f t="shared" si="3"/>
        <v>4141</v>
      </c>
      <c r="K15" s="430">
        <f t="shared" si="4"/>
        <v>5.8694057226705798</v>
      </c>
      <c r="L15" s="571">
        <v>240</v>
      </c>
      <c r="M15" s="959">
        <v>3849</v>
      </c>
      <c r="N15" s="565">
        <f t="shared" si="5"/>
        <v>4089</v>
      </c>
      <c r="O15" s="308" t="s">
        <v>1106</v>
      </c>
      <c r="P15" s="948">
        <v>5</v>
      </c>
      <c r="Q15" s="20"/>
      <c r="R15" s="20"/>
      <c r="S15" s="20">
        <v>18590</v>
      </c>
      <c r="T15" s="20"/>
      <c r="U15" s="10"/>
    </row>
    <row r="16" spans="1:22" ht="26.1" customHeight="1">
      <c r="A16" s="1002">
        <v>6</v>
      </c>
      <c r="B16" s="1022" t="s">
        <v>242</v>
      </c>
      <c r="C16" s="1021">
        <f t="shared" si="0"/>
        <v>14.497639919082941</v>
      </c>
      <c r="D16" s="716">
        <v>430</v>
      </c>
      <c r="E16" s="984">
        <v>2536</v>
      </c>
      <c r="F16" s="1023">
        <f t="shared" si="1"/>
        <v>2966</v>
      </c>
      <c r="G16" s="1021">
        <f t="shared" si="2"/>
        <v>13.651424784625579</v>
      </c>
      <c r="H16" s="716">
        <v>412</v>
      </c>
      <c r="I16" s="984">
        <v>2606</v>
      </c>
      <c r="J16" s="1023">
        <f t="shared" si="3"/>
        <v>3018</v>
      </c>
      <c r="K16" s="1021">
        <f t="shared" si="4"/>
        <v>13.913337846987137</v>
      </c>
      <c r="L16" s="716">
        <v>411</v>
      </c>
      <c r="M16" s="984">
        <v>2543</v>
      </c>
      <c r="N16" s="989">
        <f t="shared" si="5"/>
        <v>2954</v>
      </c>
      <c r="O16" s="1050" t="s">
        <v>243</v>
      </c>
      <c r="P16" s="691">
        <v>6</v>
      </c>
      <c r="Q16" s="20"/>
      <c r="R16" s="20"/>
      <c r="S16" s="20">
        <f>SUM(S14:S15)</f>
        <v>20322</v>
      </c>
      <c r="T16" s="20"/>
      <c r="U16" s="10"/>
    </row>
    <row r="17" spans="1:21" ht="26.1" customHeight="1">
      <c r="A17" s="950">
        <v>7</v>
      </c>
      <c r="B17" s="563" t="s">
        <v>244</v>
      </c>
      <c r="C17" s="430">
        <f t="shared" si="0"/>
        <v>11.461006142601663</v>
      </c>
      <c r="D17" s="571">
        <v>1474</v>
      </c>
      <c r="E17" s="959">
        <v>11387</v>
      </c>
      <c r="F17" s="431">
        <f t="shared" si="1"/>
        <v>12861</v>
      </c>
      <c r="G17" s="430">
        <f t="shared" si="2"/>
        <v>11.544066886553656</v>
      </c>
      <c r="H17" s="571">
        <v>1505</v>
      </c>
      <c r="I17" s="959">
        <v>11532</v>
      </c>
      <c r="J17" s="431">
        <f t="shared" si="3"/>
        <v>13037</v>
      </c>
      <c r="K17" s="430">
        <f t="shared" si="4"/>
        <v>11.341888583932942</v>
      </c>
      <c r="L17" s="571">
        <v>1529</v>
      </c>
      <c r="M17" s="959">
        <v>11952</v>
      </c>
      <c r="N17" s="565">
        <f t="shared" si="5"/>
        <v>13481</v>
      </c>
      <c r="O17" s="308" t="s">
        <v>245</v>
      </c>
      <c r="P17" s="948">
        <v>7</v>
      </c>
      <c r="Q17" s="20"/>
      <c r="R17" s="20"/>
      <c r="S17" s="20"/>
      <c r="T17" s="20"/>
      <c r="U17" s="10"/>
    </row>
    <row r="18" spans="1:21" ht="26.1" customHeight="1">
      <c r="A18" s="1002">
        <v>8</v>
      </c>
      <c r="B18" s="1022" t="s">
        <v>246</v>
      </c>
      <c r="C18" s="1021">
        <f t="shared" si="0"/>
        <v>7.8523140925637032</v>
      </c>
      <c r="D18" s="716">
        <v>302</v>
      </c>
      <c r="E18" s="984">
        <v>3544</v>
      </c>
      <c r="F18" s="1023">
        <f t="shared" si="1"/>
        <v>3846</v>
      </c>
      <c r="G18" s="1021">
        <f t="shared" si="2"/>
        <v>7.6498422712933749</v>
      </c>
      <c r="H18" s="716">
        <v>291</v>
      </c>
      <c r="I18" s="984">
        <v>3513</v>
      </c>
      <c r="J18" s="1023">
        <f t="shared" si="3"/>
        <v>3804</v>
      </c>
      <c r="K18" s="1021">
        <f t="shared" si="4"/>
        <v>6.9750367107195306</v>
      </c>
      <c r="L18" s="716">
        <v>285</v>
      </c>
      <c r="M18" s="984">
        <v>3801</v>
      </c>
      <c r="N18" s="989">
        <f t="shared" si="5"/>
        <v>4086</v>
      </c>
      <c r="O18" s="1050" t="s">
        <v>247</v>
      </c>
      <c r="P18" s="691">
        <v>8</v>
      </c>
      <c r="Q18" s="20"/>
      <c r="R18" s="20"/>
      <c r="S18" s="20"/>
      <c r="T18" s="20"/>
      <c r="U18" s="10"/>
    </row>
    <row r="19" spans="1:21" ht="26.1" customHeight="1">
      <c r="A19" s="950">
        <v>9</v>
      </c>
      <c r="B19" s="107" t="s">
        <v>248</v>
      </c>
      <c r="C19" s="430">
        <f t="shared" si="0"/>
        <v>25.181818181818183</v>
      </c>
      <c r="D19" s="571">
        <v>277</v>
      </c>
      <c r="E19" s="959">
        <v>823</v>
      </c>
      <c r="F19" s="431">
        <f t="shared" si="1"/>
        <v>1100</v>
      </c>
      <c r="G19" s="430">
        <f t="shared" si="2"/>
        <v>22.80550774526678</v>
      </c>
      <c r="H19" s="571">
        <v>265</v>
      </c>
      <c r="I19" s="959">
        <v>897</v>
      </c>
      <c r="J19" s="431">
        <f t="shared" si="3"/>
        <v>1162</v>
      </c>
      <c r="K19" s="430">
        <f t="shared" si="4"/>
        <v>25.90909090909091</v>
      </c>
      <c r="L19" s="571">
        <v>285</v>
      </c>
      <c r="M19" s="959">
        <v>815</v>
      </c>
      <c r="N19" s="565">
        <f t="shared" si="5"/>
        <v>1100</v>
      </c>
      <c r="O19" s="1052" t="s">
        <v>249</v>
      </c>
      <c r="P19" s="948">
        <v>9</v>
      </c>
      <c r="Q19" s="20"/>
      <c r="R19" s="20"/>
      <c r="S19" s="20"/>
      <c r="T19" s="20"/>
      <c r="U19" s="10"/>
    </row>
    <row r="20" spans="1:21" ht="26.1" customHeight="1">
      <c r="A20" s="1002">
        <v>10</v>
      </c>
      <c r="B20" s="1022" t="s">
        <v>250</v>
      </c>
      <c r="C20" s="1021">
        <f t="shared" si="0"/>
        <v>28.275699835332862</v>
      </c>
      <c r="D20" s="716">
        <v>2404</v>
      </c>
      <c r="E20" s="984">
        <v>6098</v>
      </c>
      <c r="F20" s="1023">
        <f t="shared" si="1"/>
        <v>8502</v>
      </c>
      <c r="G20" s="1021">
        <f t="shared" si="2"/>
        <v>27.045402166397785</v>
      </c>
      <c r="H20" s="716">
        <v>2347</v>
      </c>
      <c r="I20" s="984">
        <v>6331</v>
      </c>
      <c r="J20" s="1023">
        <f t="shared" si="3"/>
        <v>8678</v>
      </c>
      <c r="K20" s="1021">
        <f t="shared" si="4"/>
        <v>26.701261941266658</v>
      </c>
      <c r="L20" s="716">
        <v>2264</v>
      </c>
      <c r="M20" s="984">
        <v>6215</v>
      </c>
      <c r="N20" s="989">
        <f t="shared" si="5"/>
        <v>8479</v>
      </c>
      <c r="O20" s="964" t="s">
        <v>122</v>
      </c>
      <c r="P20" s="691">
        <v>10</v>
      </c>
      <c r="Q20" s="20"/>
      <c r="R20" s="20"/>
      <c r="S20" s="20"/>
      <c r="T20" s="20"/>
      <c r="U20" s="10"/>
    </row>
    <row r="21" spans="1:21" ht="26.1" customHeight="1">
      <c r="A21" s="950">
        <v>11</v>
      </c>
      <c r="B21" s="563" t="s">
        <v>251</v>
      </c>
      <c r="C21" s="430">
        <f t="shared" si="0"/>
        <v>25.751344511230624</v>
      </c>
      <c r="D21" s="571">
        <v>814</v>
      </c>
      <c r="E21" s="959">
        <v>2347</v>
      </c>
      <c r="F21" s="431">
        <f t="shared" si="1"/>
        <v>3161</v>
      </c>
      <c r="G21" s="430">
        <f t="shared" si="2"/>
        <v>24.437400950871631</v>
      </c>
      <c r="H21" s="571">
        <v>771</v>
      </c>
      <c r="I21" s="959">
        <v>2384</v>
      </c>
      <c r="J21" s="431">
        <f t="shared" si="3"/>
        <v>3155</v>
      </c>
      <c r="K21" s="430">
        <f t="shared" si="4"/>
        <v>24.56192456192456</v>
      </c>
      <c r="L21" s="571">
        <v>827</v>
      </c>
      <c r="M21" s="959">
        <v>2540</v>
      </c>
      <c r="N21" s="565">
        <f t="shared" si="5"/>
        <v>3367</v>
      </c>
      <c r="O21" s="308" t="s">
        <v>252</v>
      </c>
      <c r="P21" s="948">
        <v>11</v>
      </c>
      <c r="Q21" s="20"/>
      <c r="R21" s="20"/>
      <c r="S21" s="20"/>
      <c r="T21" s="20"/>
      <c r="U21" s="10"/>
    </row>
    <row r="22" spans="1:21" ht="26.1" customHeight="1">
      <c r="A22" s="1002">
        <v>12</v>
      </c>
      <c r="B22" s="1022" t="s">
        <v>253</v>
      </c>
      <c r="C22" s="1021">
        <f t="shared" si="0"/>
        <v>27.479806138933764</v>
      </c>
      <c r="D22" s="716">
        <v>1701</v>
      </c>
      <c r="E22" s="984">
        <v>4489</v>
      </c>
      <c r="F22" s="1023">
        <f t="shared" si="1"/>
        <v>6190</v>
      </c>
      <c r="G22" s="1021">
        <f t="shared" si="2"/>
        <v>25.835818552817454</v>
      </c>
      <c r="H22" s="716">
        <v>1646</v>
      </c>
      <c r="I22" s="984">
        <v>4725</v>
      </c>
      <c r="J22" s="1023">
        <f t="shared" si="3"/>
        <v>6371</v>
      </c>
      <c r="K22" s="1021">
        <f t="shared" si="4"/>
        <v>25.316653635652852</v>
      </c>
      <c r="L22" s="716">
        <v>1619</v>
      </c>
      <c r="M22" s="984">
        <v>4776</v>
      </c>
      <c r="N22" s="989">
        <f t="shared" si="5"/>
        <v>6395</v>
      </c>
      <c r="O22" s="1050" t="s">
        <v>254</v>
      </c>
      <c r="P22" s="691">
        <v>12</v>
      </c>
      <c r="Q22" s="20"/>
      <c r="R22" s="20"/>
      <c r="S22" s="20"/>
      <c r="T22" s="20"/>
      <c r="U22" s="10"/>
    </row>
    <row r="23" spans="1:21" ht="26.1" customHeight="1">
      <c r="A23" s="950">
        <v>13</v>
      </c>
      <c r="B23" s="563" t="s">
        <v>255</v>
      </c>
      <c r="C23" s="430">
        <f t="shared" si="0"/>
        <v>1.4950730547060822</v>
      </c>
      <c r="D23" s="571">
        <v>44</v>
      </c>
      <c r="E23" s="959">
        <v>2899</v>
      </c>
      <c r="F23" s="431">
        <f t="shared" si="1"/>
        <v>2943</v>
      </c>
      <c r="G23" s="430">
        <f t="shared" si="2"/>
        <v>1.3776579814315664</v>
      </c>
      <c r="H23" s="571">
        <v>46</v>
      </c>
      <c r="I23" s="959">
        <v>3293</v>
      </c>
      <c r="J23" s="431">
        <f t="shared" si="3"/>
        <v>3339</v>
      </c>
      <c r="K23" s="430">
        <f t="shared" si="4"/>
        <v>1.3797240551889622</v>
      </c>
      <c r="L23" s="571">
        <v>46</v>
      </c>
      <c r="M23" s="959">
        <v>3288</v>
      </c>
      <c r="N23" s="565">
        <f t="shared" si="5"/>
        <v>3334</v>
      </c>
      <c r="O23" s="308" t="s">
        <v>256</v>
      </c>
      <c r="P23" s="948">
        <v>13</v>
      </c>
      <c r="Q23" s="20"/>
      <c r="R23" s="20"/>
      <c r="S23" s="20"/>
      <c r="T23" s="20"/>
      <c r="U23" s="10"/>
    </row>
    <row r="24" spans="1:21" ht="26.1" customHeight="1">
      <c r="A24" s="1002">
        <v>14</v>
      </c>
      <c r="B24" s="1022" t="s">
        <v>257</v>
      </c>
      <c r="C24" s="1021">
        <f t="shared" si="0"/>
        <v>6.7396313364055302</v>
      </c>
      <c r="D24" s="716">
        <v>234</v>
      </c>
      <c r="E24" s="984">
        <v>3238</v>
      </c>
      <c r="F24" s="1023">
        <f t="shared" si="1"/>
        <v>3472</v>
      </c>
      <c r="G24" s="1021">
        <f t="shared" si="2"/>
        <v>5.0932568149210908</v>
      </c>
      <c r="H24" s="716">
        <v>142</v>
      </c>
      <c r="I24" s="984">
        <v>2646</v>
      </c>
      <c r="J24" s="1023">
        <f t="shared" si="3"/>
        <v>2788</v>
      </c>
      <c r="K24" s="1021">
        <f t="shared" si="4"/>
        <v>5.3897978825794031</v>
      </c>
      <c r="L24" s="716">
        <v>168</v>
      </c>
      <c r="M24" s="984">
        <v>2949</v>
      </c>
      <c r="N24" s="989">
        <f t="shared" si="5"/>
        <v>3117</v>
      </c>
      <c r="O24" s="1050" t="s">
        <v>258</v>
      </c>
      <c r="P24" s="691">
        <v>14</v>
      </c>
      <c r="Q24" s="21"/>
      <c r="R24" s="20"/>
      <c r="S24" s="20"/>
      <c r="T24" s="20"/>
      <c r="U24" s="10"/>
    </row>
    <row r="25" spans="1:21" ht="26.1" customHeight="1">
      <c r="A25" s="950">
        <v>15</v>
      </c>
      <c r="B25" s="563" t="s">
        <v>259</v>
      </c>
      <c r="C25" s="430">
        <f t="shared" si="0"/>
        <v>4.3266893534273221</v>
      </c>
      <c r="D25" s="571">
        <v>178</v>
      </c>
      <c r="E25" s="959">
        <v>3936</v>
      </c>
      <c r="F25" s="431">
        <f t="shared" si="1"/>
        <v>4114</v>
      </c>
      <c r="G25" s="430">
        <f t="shared" si="2"/>
        <v>4.5538299552513815</v>
      </c>
      <c r="H25" s="571">
        <v>173</v>
      </c>
      <c r="I25" s="959">
        <v>3626</v>
      </c>
      <c r="J25" s="431">
        <f t="shared" si="3"/>
        <v>3799</v>
      </c>
      <c r="K25" s="430">
        <f t="shared" si="4"/>
        <v>3.3710691823899372</v>
      </c>
      <c r="L25" s="571">
        <v>134</v>
      </c>
      <c r="M25" s="959">
        <v>3841</v>
      </c>
      <c r="N25" s="565">
        <f t="shared" si="5"/>
        <v>3975</v>
      </c>
      <c r="O25" s="308" t="s">
        <v>260</v>
      </c>
      <c r="P25" s="948">
        <v>15</v>
      </c>
      <c r="Q25" s="20"/>
      <c r="R25" s="21"/>
      <c r="S25" s="21"/>
      <c r="T25" s="21"/>
      <c r="U25" s="10"/>
    </row>
    <row r="26" spans="1:21" ht="26.1" customHeight="1">
      <c r="A26" s="1002">
        <v>16</v>
      </c>
      <c r="B26" s="1022" t="s">
        <v>261</v>
      </c>
      <c r="C26" s="1021">
        <f t="shared" si="0"/>
        <v>6.5021770682148041</v>
      </c>
      <c r="D26" s="716">
        <v>224</v>
      </c>
      <c r="E26" s="984">
        <v>3221</v>
      </c>
      <c r="F26" s="1023">
        <f t="shared" si="1"/>
        <v>3445</v>
      </c>
      <c r="G26" s="1021">
        <f t="shared" si="2"/>
        <v>5.3411633109619689</v>
      </c>
      <c r="H26" s="716">
        <v>191</v>
      </c>
      <c r="I26" s="984">
        <v>3385</v>
      </c>
      <c r="J26" s="1023">
        <f t="shared" si="3"/>
        <v>3576</v>
      </c>
      <c r="K26" s="1021">
        <f t="shared" si="4"/>
        <v>5.1470588235294112</v>
      </c>
      <c r="L26" s="716">
        <v>182</v>
      </c>
      <c r="M26" s="984">
        <v>3354</v>
      </c>
      <c r="N26" s="989">
        <f t="shared" si="5"/>
        <v>3536</v>
      </c>
      <c r="O26" s="1050" t="s">
        <v>684</v>
      </c>
      <c r="P26" s="691">
        <v>16</v>
      </c>
      <c r="Q26" s="20"/>
      <c r="R26" s="20"/>
      <c r="S26" s="20"/>
      <c r="T26" s="20"/>
      <c r="U26" s="10"/>
    </row>
    <row r="27" spans="1:21" ht="26.1" customHeight="1">
      <c r="A27" s="950">
        <v>17</v>
      </c>
      <c r="B27" s="563" t="s">
        <v>262</v>
      </c>
      <c r="C27" s="430">
        <f t="shared" si="0"/>
        <v>13.085764809902741</v>
      </c>
      <c r="D27" s="571">
        <v>148</v>
      </c>
      <c r="E27" s="959">
        <v>983</v>
      </c>
      <c r="F27" s="431">
        <f t="shared" si="1"/>
        <v>1131</v>
      </c>
      <c r="G27" s="430">
        <f t="shared" si="2"/>
        <v>12.519561815336463</v>
      </c>
      <c r="H27" s="571">
        <v>160</v>
      </c>
      <c r="I27" s="959">
        <v>1118</v>
      </c>
      <c r="J27" s="431">
        <f t="shared" si="3"/>
        <v>1278</v>
      </c>
      <c r="K27" s="430">
        <f t="shared" si="4"/>
        <v>13.238770685579196</v>
      </c>
      <c r="L27" s="571">
        <v>168</v>
      </c>
      <c r="M27" s="959">
        <v>1101</v>
      </c>
      <c r="N27" s="565">
        <f t="shared" si="5"/>
        <v>1269</v>
      </c>
      <c r="O27" s="308" t="s">
        <v>263</v>
      </c>
      <c r="P27" s="948">
        <v>17</v>
      </c>
      <c r="Q27" s="20"/>
      <c r="R27" s="20"/>
      <c r="S27" s="20"/>
      <c r="T27" s="20"/>
      <c r="U27" s="10"/>
    </row>
    <row r="28" spans="1:21" ht="26.1" customHeight="1">
      <c r="A28" s="1002">
        <v>18</v>
      </c>
      <c r="B28" s="1022" t="s">
        <v>264</v>
      </c>
      <c r="C28" s="1021">
        <f t="shared" si="0"/>
        <v>35.360245273377615</v>
      </c>
      <c r="D28" s="716">
        <v>3460</v>
      </c>
      <c r="E28" s="984">
        <v>6325</v>
      </c>
      <c r="F28" s="1023">
        <f t="shared" si="1"/>
        <v>9785</v>
      </c>
      <c r="G28" s="1021">
        <f t="shared" si="2"/>
        <v>33.726038338658149</v>
      </c>
      <c r="H28" s="716">
        <v>3378</v>
      </c>
      <c r="I28" s="984">
        <v>6638</v>
      </c>
      <c r="J28" s="1023">
        <f t="shared" si="3"/>
        <v>10016</v>
      </c>
      <c r="K28" s="1021">
        <f t="shared" si="4"/>
        <v>32.826808896045087</v>
      </c>
      <c r="L28" s="716">
        <v>3262</v>
      </c>
      <c r="M28" s="984">
        <v>6675</v>
      </c>
      <c r="N28" s="989">
        <f t="shared" si="5"/>
        <v>9937</v>
      </c>
      <c r="O28" s="1050" t="s">
        <v>265</v>
      </c>
      <c r="P28" s="691">
        <v>18</v>
      </c>
      <c r="Q28" s="20"/>
      <c r="R28" s="20"/>
      <c r="S28" s="20"/>
      <c r="T28" s="20"/>
      <c r="U28" s="10"/>
    </row>
    <row r="29" spans="1:21" ht="26.1" customHeight="1">
      <c r="A29" s="950">
        <v>19</v>
      </c>
      <c r="B29" s="563" t="s">
        <v>266</v>
      </c>
      <c r="C29" s="430">
        <f t="shared" si="0"/>
        <v>34.115254237288134</v>
      </c>
      <c r="D29" s="571">
        <v>2516</v>
      </c>
      <c r="E29" s="959">
        <v>4859</v>
      </c>
      <c r="F29" s="431">
        <f t="shared" si="1"/>
        <v>7375</v>
      </c>
      <c r="G29" s="430">
        <f t="shared" si="2"/>
        <v>33.623298033282907</v>
      </c>
      <c r="H29" s="571">
        <v>2667</v>
      </c>
      <c r="I29" s="959">
        <v>5265</v>
      </c>
      <c r="J29" s="431">
        <f t="shared" si="3"/>
        <v>7932</v>
      </c>
      <c r="K29" s="430">
        <f t="shared" si="4"/>
        <v>32.02709883103082</v>
      </c>
      <c r="L29" s="571">
        <v>2411</v>
      </c>
      <c r="M29" s="959">
        <v>5117</v>
      </c>
      <c r="N29" s="565">
        <f t="shared" si="5"/>
        <v>7528</v>
      </c>
      <c r="O29" s="1052" t="s">
        <v>267</v>
      </c>
      <c r="P29" s="948">
        <v>19</v>
      </c>
      <c r="Q29" s="20"/>
      <c r="R29" s="20"/>
      <c r="S29" s="20"/>
      <c r="T29" s="20"/>
      <c r="U29" s="10"/>
    </row>
    <row r="30" spans="1:21" ht="26.1" customHeight="1">
      <c r="A30" s="1156">
        <v>20</v>
      </c>
      <c r="B30" s="714" t="s">
        <v>296</v>
      </c>
      <c r="C30" s="717">
        <f>D30/F30*100</f>
        <v>32.341238261976763</v>
      </c>
      <c r="D30" s="718">
        <v>2032</v>
      </c>
      <c r="E30" s="988">
        <v>4251</v>
      </c>
      <c r="F30" s="715">
        <f>E30+D30</f>
        <v>6283</v>
      </c>
      <c r="G30" s="717">
        <f>H30/J30*100</f>
        <v>29.660615627466459</v>
      </c>
      <c r="H30" s="718">
        <v>1879</v>
      </c>
      <c r="I30" s="988">
        <v>4456</v>
      </c>
      <c r="J30" s="715">
        <f>I30+H30</f>
        <v>6335</v>
      </c>
      <c r="K30" s="717">
        <f>L30/N30*100</f>
        <v>29.785202863961814</v>
      </c>
      <c r="L30" s="718">
        <v>1872</v>
      </c>
      <c r="M30" s="988">
        <v>4413</v>
      </c>
      <c r="N30" s="995">
        <f>M30+L30</f>
        <v>6285</v>
      </c>
      <c r="O30" s="974" t="s">
        <v>268</v>
      </c>
      <c r="P30" s="693">
        <v>20</v>
      </c>
      <c r="Q30" s="20"/>
      <c r="R30" s="20"/>
      <c r="S30" s="20"/>
      <c r="T30" s="20"/>
      <c r="U30" s="10"/>
    </row>
    <row r="31" spans="1:21" ht="32.25" customHeight="1">
      <c r="A31" s="1745" t="s">
        <v>910</v>
      </c>
      <c r="B31" s="1745"/>
      <c r="C31" s="1745"/>
      <c r="D31" s="1745"/>
      <c r="E31" s="1745"/>
      <c r="F31" s="1745"/>
      <c r="G31" s="1746" t="s">
        <v>909</v>
      </c>
      <c r="H31" s="1746"/>
      <c r="I31" s="1746"/>
      <c r="J31" s="1746"/>
      <c r="K31" s="1746"/>
      <c r="L31" s="1747" t="s">
        <v>908</v>
      </c>
      <c r="M31" s="1747"/>
      <c r="N31" s="1747"/>
      <c r="O31" s="1747"/>
      <c r="P31" s="1747"/>
      <c r="Q31" s="20"/>
      <c r="R31" s="20"/>
      <c r="S31" s="20"/>
      <c r="T31" s="20"/>
      <c r="U31" s="10"/>
    </row>
    <row r="32" spans="1:21" ht="19.5" customHeight="1">
      <c r="A32" s="1412" t="s">
        <v>2026</v>
      </c>
      <c r="B32" s="1731" t="s">
        <v>413</v>
      </c>
      <c r="C32" s="1731" t="s">
        <v>1809</v>
      </c>
      <c r="D32" s="1734"/>
      <c r="E32" s="1734"/>
      <c r="F32" s="1735"/>
      <c r="G32" s="1731" t="s">
        <v>1310</v>
      </c>
      <c r="H32" s="1734"/>
      <c r="I32" s="1734"/>
      <c r="J32" s="1735"/>
      <c r="K32" s="1736" t="s">
        <v>1173</v>
      </c>
      <c r="L32" s="1737"/>
      <c r="M32" s="1737"/>
      <c r="N32" s="1738"/>
      <c r="O32" s="1735" t="s">
        <v>412</v>
      </c>
      <c r="P32" s="1412" t="s">
        <v>2027</v>
      </c>
      <c r="Q32" s="20"/>
      <c r="R32" s="20"/>
      <c r="S32" s="20"/>
      <c r="T32" s="20"/>
      <c r="U32" s="10"/>
    </row>
    <row r="33" spans="1:21" ht="23.1" customHeight="1">
      <c r="A33" s="1491"/>
      <c r="B33" s="1732"/>
      <c r="C33" s="551" t="s">
        <v>297</v>
      </c>
      <c r="D33" s="979" t="s">
        <v>0</v>
      </c>
      <c r="E33" s="979" t="s">
        <v>1</v>
      </c>
      <c r="F33" s="1012" t="s">
        <v>2</v>
      </c>
      <c r="G33" s="551" t="s">
        <v>297</v>
      </c>
      <c r="H33" s="979" t="s">
        <v>0</v>
      </c>
      <c r="I33" s="979" t="s">
        <v>1</v>
      </c>
      <c r="J33" s="1012" t="s">
        <v>2</v>
      </c>
      <c r="K33" s="551" t="s">
        <v>297</v>
      </c>
      <c r="L33" s="979" t="s">
        <v>0</v>
      </c>
      <c r="M33" s="979" t="s">
        <v>1</v>
      </c>
      <c r="N33" s="1013" t="s">
        <v>2</v>
      </c>
      <c r="O33" s="1739"/>
      <c r="P33" s="1491"/>
      <c r="Q33" s="1018"/>
      <c r="R33" s="20"/>
      <c r="S33" s="20"/>
      <c r="T33" s="20"/>
      <c r="U33" s="10"/>
    </row>
    <row r="34" spans="1:21" ht="21.95" customHeight="1">
      <c r="A34" s="1491"/>
      <c r="B34" s="1732"/>
      <c r="C34" s="952" t="s">
        <v>716</v>
      </c>
      <c r="D34" s="1054" t="s">
        <v>500</v>
      </c>
      <c r="E34" s="1054" t="s">
        <v>501</v>
      </c>
      <c r="F34" s="428" t="s">
        <v>502</v>
      </c>
      <c r="G34" s="952" t="s">
        <v>716</v>
      </c>
      <c r="H34" s="1054" t="s">
        <v>500</v>
      </c>
      <c r="I34" s="1054" t="s">
        <v>501</v>
      </c>
      <c r="J34" s="428" t="s">
        <v>502</v>
      </c>
      <c r="K34" s="952" t="s">
        <v>716</v>
      </c>
      <c r="L34" s="1054" t="s">
        <v>500</v>
      </c>
      <c r="M34" s="1054" t="s">
        <v>501</v>
      </c>
      <c r="N34" s="1014" t="s">
        <v>502</v>
      </c>
      <c r="O34" s="1739"/>
      <c r="P34" s="1491"/>
      <c r="Q34" s="1018"/>
      <c r="R34" s="20"/>
      <c r="S34" s="20"/>
      <c r="T34" s="20"/>
      <c r="U34" s="10"/>
    </row>
    <row r="35" spans="1:21" ht="20.25" customHeight="1">
      <c r="A35" s="1413"/>
      <c r="B35" s="1733"/>
      <c r="C35" s="554" t="s">
        <v>298</v>
      </c>
      <c r="D35" s="980" t="s">
        <v>52</v>
      </c>
      <c r="E35" s="1015" t="s">
        <v>53</v>
      </c>
      <c r="F35" s="429" t="s">
        <v>28</v>
      </c>
      <c r="G35" s="554" t="s">
        <v>298</v>
      </c>
      <c r="H35" s="980" t="s">
        <v>52</v>
      </c>
      <c r="I35" s="1015" t="s">
        <v>53</v>
      </c>
      <c r="J35" s="429" t="s">
        <v>28</v>
      </c>
      <c r="K35" s="554" t="s">
        <v>298</v>
      </c>
      <c r="L35" s="980" t="s">
        <v>52</v>
      </c>
      <c r="M35" s="1015" t="s">
        <v>53</v>
      </c>
      <c r="N35" s="1015" t="s">
        <v>28</v>
      </c>
      <c r="O35" s="1740"/>
      <c r="P35" s="1413"/>
      <c r="Q35" s="1018"/>
      <c r="R35" s="1018"/>
      <c r="S35" s="20"/>
      <c r="T35" s="20"/>
      <c r="U35" s="10"/>
    </row>
    <row r="36" spans="1:21" ht="24.95" customHeight="1">
      <c r="A36" s="934">
        <v>21</v>
      </c>
      <c r="B36" s="17" t="s">
        <v>269</v>
      </c>
      <c r="C36" s="108">
        <f>D36/F36*100</f>
        <v>30.936170212765958</v>
      </c>
      <c r="D36" s="570">
        <v>727</v>
      </c>
      <c r="E36" s="987">
        <v>1623</v>
      </c>
      <c r="F36" s="358">
        <f>E36+D36</f>
        <v>2350</v>
      </c>
      <c r="G36" s="108">
        <f>H36/J36*100</f>
        <v>30.857142857142854</v>
      </c>
      <c r="H36" s="570">
        <v>702</v>
      </c>
      <c r="I36" s="987">
        <v>1573</v>
      </c>
      <c r="J36" s="358">
        <f>I36+H36</f>
        <v>2275</v>
      </c>
      <c r="K36" s="108">
        <f>L36/N36*100</f>
        <v>30.252100840336134</v>
      </c>
      <c r="L36" s="570">
        <v>684</v>
      </c>
      <c r="M36" s="987">
        <v>1577</v>
      </c>
      <c r="N36" s="996">
        <f>M36+L36</f>
        <v>2261</v>
      </c>
      <c r="O36" s="13" t="s">
        <v>270</v>
      </c>
      <c r="P36" s="934">
        <v>21</v>
      </c>
      <c r="Q36" s="164"/>
      <c r="R36" s="1018"/>
      <c r="S36" s="20"/>
      <c r="T36" s="20"/>
      <c r="U36" s="10"/>
    </row>
    <row r="37" spans="1:21" ht="24.95" customHeight="1">
      <c r="A37" s="1002">
        <v>22</v>
      </c>
      <c r="B37" s="1022" t="s">
        <v>271</v>
      </c>
      <c r="C37" s="1021">
        <f>D37/F37*100</f>
        <v>59.971547968347117</v>
      </c>
      <c r="D37" s="716">
        <v>6745</v>
      </c>
      <c r="E37" s="984">
        <v>4502</v>
      </c>
      <c r="F37" s="1023">
        <f>E37+D37</f>
        <v>11247</v>
      </c>
      <c r="G37" s="1021">
        <f>H37/J37*100</f>
        <v>56.409802707245859</v>
      </c>
      <c r="H37" s="716">
        <v>6376</v>
      </c>
      <c r="I37" s="984">
        <v>4927</v>
      </c>
      <c r="J37" s="1023">
        <f>I37+H37</f>
        <v>11303</v>
      </c>
      <c r="K37" s="1021">
        <f>L37/N37*100</f>
        <v>55.895731280615813</v>
      </c>
      <c r="L37" s="716">
        <v>6390</v>
      </c>
      <c r="M37" s="984">
        <v>5042</v>
      </c>
      <c r="N37" s="989">
        <f>M37+L37</f>
        <v>11432</v>
      </c>
      <c r="O37" s="964" t="s">
        <v>116</v>
      </c>
      <c r="P37" s="1002">
        <v>22</v>
      </c>
      <c r="Q37" s="1018"/>
      <c r="R37" s="164"/>
      <c r="S37" s="20"/>
      <c r="T37" s="20"/>
      <c r="U37" s="10"/>
    </row>
    <row r="38" spans="1:21" ht="24.95" customHeight="1">
      <c r="A38" s="950">
        <v>23</v>
      </c>
      <c r="B38" s="563" t="s">
        <v>272</v>
      </c>
      <c r="C38" s="109">
        <f t="shared" ref="C38:C49" si="6">D38/F38*100</f>
        <v>39.059438275636836</v>
      </c>
      <c r="D38" s="571">
        <v>1196</v>
      </c>
      <c r="E38" s="959">
        <v>1866</v>
      </c>
      <c r="F38" s="7">
        <f t="shared" ref="F38:F49" si="7">E38+D38</f>
        <v>3062</v>
      </c>
      <c r="G38" s="109">
        <f t="shared" ref="G38:G49" si="8">H38/J38*100</f>
        <v>33.333333333333329</v>
      </c>
      <c r="H38" s="571">
        <v>976</v>
      </c>
      <c r="I38" s="959">
        <v>1952</v>
      </c>
      <c r="J38" s="7">
        <f t="shared" ref="J38:J49" si="9">I38+H38</f>
        <v>2928</v>
      </c>
      <c r="K38" s="109">
        <f t="shared" ref="K38:K49" si="10">L38/N38*100</f>
        <v>33.192389006342495</v>
      </c>
      <c r="L38" s="571">
        <v>942</v>
      </c>
      <c r="M38" s="959">
        <v>1896</v>
      </c>
      <c r="N38" s="960">
        <f t="shared" ref="N38:N49" si="11">M38+L38</f>
        <v>2838</v>
      </c>
      <c r="O38" s="965" t="s">
        <v>273</v>
      </c>
      <c r="P38" s="950">
        <v>23</v>
      </c>
      <c r="Q38" s="1018"/>
      <c r="R38" s="1018"/>
      <c r="S38" s="20"/>
      <c r="T38" s="20"/>
      <c r="U38" s="10"/>
    </row>
    <row r="39" spans="1:21" ht="24.95" customHeight="1">
      <c r="A39" s="1002">
        <v>24</v>
      </c>
      <c r="B39" s="1022" t="s">
        <v>274</v>
      </c>
      <c r="C39" s="1021">
        <f t="shared" si="6"/>
        <v>10.974693059383613</v>
      </c>
      <c r="D39" s="716">
        <v>438</v>
      </c>
      <c r="E39" s="984">
        <v>3553</v>
      </c>
      <c r="F39" s="1023">
        <f t="shared" si="7"/>
        <v>3991</v>
      </c>
      <c r="G39" s="1021">
        <f t="shared" si="8"/>
        <v>10.710073130455296</v>
      </c>
      <c r="H39" s="716">
        <v>454</v>
      </c>
      <c r="I39" s="984">
        <v>3785</v>
      </c>
      <c r="J39" s="1023">
        <f t="shared" si="9"/>
        <v>4239</v>
      </c>
      <c r="K39" s="1021">
        <f t="shared" si="10"/>
        <v>7.0744288872512895</v>
      </c>
      <c r="L39" s="716">
        <v>288</v>
      </c>
      <c r="M39" s="984">
        <v>3783</v>
      </c>
      <c r="N39" s="989">
        <f t="shared" si="11"/>
        <v>4071</v>
      </c>
      <c r="O39" s="1050" t="s">
        <v>275</v>
      </c>
      <c r="P39" s="1002">
        <v>24</v>
      </c>
      <c r="Q39" s="1018"/>
      <c r="R39" s="1018"/>
      <c r="S39" s="20"/>
      <c r="T39" s="20"/>
      <c r="U39" s="10"/>
    </row>
    <row r="40" spans="1:21" ht="24.95" customHeight="1">
      <c r="A40" s="950">
        <v>25</v>
      </c>
      <c r="B40" s="18" t="s">
        <v>276</v>
      </c>
      <c r="C40" s="109">
        <f t="shared" si="6"/>
        <v>40.240137221269293</v>
      </c>
      <c r="D40" s="571">
        <v>1173</v>
      </c>
      <c r="E40" s="959">
        <v>1742</v>
      </c>
      <c r="F40" s="7">
        <f t="shared" si="7"/>
        <v>2915</v>
      </c>
      <c r="G40" s="109">
        <f t="shared" si="8"/>
        <v>35.186418109187748</v>
      </c>
      <c r="H40" s="571">
        <v>1057</v>
      </c>
      <c r="I40" s="959">
        <v>1947</v>
      </c>
      <c r="J40" s="7">
        <f t="shared" si="9"/>
        <v>3004</v>
      </c>
      <c r="K40" s="109">
        <f t="shared" si="10"/>
        <v>35.233333333333334</v>
      </c>
      <c r="L40" s="571">
        <v>1057</v>
      </c>
      <c r="M40" s="959">
        <v>1943</v>
      </c>
      <c r="N40" s="960">
        <f t="shared" si="11"/>
        <v>3000</v>
      </c>
      <c r="O40" s="1052" t="s">
        <v>277</v>
      </c>
      <c r="P40" s="950">
        <v>25</v>
      </c>
      <c r="Q40" s="1018"/>
      <c r="R40" s="1018"/>
      <c r="S40" s="20"/>
      <c r="T40" s="20"/>
      <c r="U40" s="10"/>
    </row>
    <row r="41" spans="1:21" ht="24.95" customHeight="1">
      <c r="A41" s="1002">
        <v>26</v>
      </c>
      <c r="B41" s="1022" t="s">
        <v>278</v>
      </c>
      <c r="C41" s="1021">
        <f t="shared" si="6"/>
        <v>9.2243186582809216</v>
      </c>
      <c r="D41" s="716">
        <v>132</v>
      </c>
      <c r="E41" s="984">
        <v>1299</v>
      </c>
      <c r="F41" s="1023">
        <f t="shared" si="7"/>
        <v>1431</v>
      </c>
      <c r="G41" s="1021">
        <f t="shared" si="8"/>
        <v>3.477443609022556</v>
      </c>
      <c r="H41" s="716">
        <v>37</v>
      </c>
      <c r="I41" s="984">
        <v>1027</v>
      </c>
      <c r="J41" s="1023">
        <f t="shared" si="9"/>
        <v>1064</v>
      </c>
      <c r="K41" s="1021">
        <f t="shared" si="10"/>
        <v>6.064782908339077</v>
      </c>
      <c r="L41" s="716">
        <v>88</v>
      </c>
      <c r="M41" s="984">
        <v>1363</v>
      </c>
      <c r="N41" s="989">
        <f t="shared" si="11"/>
        <v>1451</v>
      </c>
      <c r="O41" s="1050" t="s">
        <v>279</v>
      </c>
      <c r="P41" s="1002">
        <v>26</v>
      </c>
      <c r="Q41" s="1018"/>
      <c r="R41" s="1018"/>
      <c r="S41" s="20"/>
      <c r="T41" s="20"/>
      <c r="U41" s="10"/>
    </row>
    <row r="42" spans="1:21" ht="24.95" customHeight="1">
      <c r="A42" s="950">
        <v>27</v>
      </c>
      <c r="B42" s="563" t="s">
        <v>280</v>
      </c>
      <c r="C42" s="109">
        <f t="shared" si="6"/>
        <v>8.7616822429906538</v>
      </c>
      <c r="D42" s="571">
        <v>75</v>
      </c>
      <c r="E42" s="959">
        <v>781</v>
      </c>
      <c r="F42" s="7">
        <f t="shared" si="7"/>
        <v>856</v>
      </c>
      <c r="G42" s="109">
        <f t="shared" si="8"/>
        <v>9.8201936376210242</v>
      </c>
      <c r="H42" s="571">
        <v>71</v>
      </c>
      <c r="I42" s="959">
        <v>652</v>
      </c>
      <c r="J42" s="7">
        <f t="shared" si="9"/>
        <v>723</v>
      </c>
      <c r="K42" s="109">
        <f t="shared" si="10"/>
        <v>9.4666666666666668</v>
      </c>
      <c r="L42" s="571">
        <v>71</v>
      </c>
      <c r="M42" s="959">
        <v>679</v>
      </c>
      <c r="N42" s="960">
        <f t="shared" si="11"/>
        <v>750</v>
      </c>
      <c r="O42" s="308" t="s">
        <v>281</v>
      </c>
      <c r="P42" s="950">
        <v>27</v>
      </c>
      <c r="Q42" s="20"/>
      <c r="R42" s="1018"/>
      <c r="S42" s="20"/>
      <c r="T42" s="20"/>
      <c r="U42" s="10"/>
    </row>
    <row r="43" spans="1:21" ht="24.95" customHeight="1">
      <c r="A43" s="1002">
        <v>28</v>
      </c>
      <c r="B43" s="1022" t="s">
        <v>282</v>
      </c>
      <c r="C43" s="1021">
        <f t="shared" si="6"/>
        <v>19.620958751393534</v>
      </c>
      <c r="D43" s="716">
        <v>704</v>
      </c>
      <c r="E43" s="984">
        <v>2884</v>
      </c>
      <c r="F43" s="1023">
        <f t="shared" si="7"/>
        <v>3588</v>
      </c>
      <c r="G43" s="1021">
        <f t="shared" si="8"/>
        <v>15.903671912255604</v>
      </c>
      <c r="H43" s="716">
        <v>667</v>
      </c>
      <c r="I43" s="984">
        <v>3527</v>
      </c>
      <c r="J43" s="1023">
        <f t="shared" si="9"/>
        <v>4194</v>
      </c>
      <c r="K43" s="1021">
        <f t="shared" si="10"/>
        <v>17.186491718649172</v>
      </c>
      <c r="L43" s="716">
        <v>799</v>
      </c>
      <c r="M43" s="984">
        <v>3850</v>
      </c>
      <c r="N43" s="989">
        <f t="shared" si="11"/>
        <v>4649</v>
      </c>
      <c r="O43" s="1050" t="s">
        <v>283</v>
      </c>
      <c r="P43" s="1002">
        <v>28</v>
      </c>
      <c r="Q43" s="20"/>
      <c r="R43" s="20"/>
      <c r="S43" s="20"/>
      <c r="T43" s="20"/>
      <c r="U43" s="10"/>
    </row>
    <row r="44" spans="1:21" ht="24.95" customHeight="1">
      <c r="A44" s="950">
        <v>29</v>
      </c>
      <c r="B44" s="563" t="s">
        <v>284</v>
      </c>
      <c r="C44" s="109">
        <f t="shared" si="6"/>
        <v>46.307433245128699</v>
      </c>
      <c r="D44" s="571">
        <v>1925</v>
      </c>
      <c r="E44" s="959">
        <v>2232</v>
      </c>
      <c r="F44" s="7">
        <f t="shared" si="7"/>
        <v>4157</v>
      </c>
      <c r="G44" s="109">
        <f t="shared" si="8"/>
        <v>44.483568075117368</v>
      </c>
      <c r="H44" s="571">
        <v>1895</v>
      </c>
      <c r="I44" s="959">
        <v>2365</v>
      </c>
      <c r="J44" s="7">
        <f t="shared" si="9"/>
        <v>4260</v>
      </c>
      <c r="K44" s="109">
        <f t="shared" si="10"/>
        <v>44.200700116686114</v>
      </c>
      <c r="L44" s="571">
        <v>1894</v>
      </c>
      <c r="M44" s="959">
        <v>2391</v>
      </c>
      <c r="N44" s="960">
        <f t="shared" si="11"/>
        <v>4285</v>
      </c>
      <c r="O44" s="965" t="s">
        <v>285</v>
      </c>
      <c r="P44" s="950">
        <v>29</v>
      </c>
      <c r="Q44" s="20"/>
      <c r="R44" s="20"/>
      <c r="S44" s="20"/>
      <c r="T44" s="20"/>
      <c r="U44" s="10"/>
    </row>
    <row r="45" spans="1:21" ht="24.95" customHeight="1">
      <c r="A45" s="1002">
        <v>30</v>
      </c>
      <c r="B45" s="1022" t="s">
        <v>286</v>
      </c>
      <c r="C45" s="1021">
        <f t="shared" si="6"/>
        <v>39.422372086204369</v>
      </c>
      <c r="D45" s="716">
        <v>2689</v>
      </c>
      <c r="E45" s="984">
        <v>4132</v>
      </c>
      <c r="F45" s="1023">
        <f t="shared" si="7"/>
        <v>6821</v>
      </c>
      <c r="G45" s="1021">
        <f t="shared" si="8"/>
        <v>37.945819528357042</v>
      </c>
      <c r="H45" s="716">
        <v>1947</v>
      </c>
      <c r="I45" s="984">
        <v>3184</v>
      </c>
      <c r="J45" s="1023">
        <f t="shared" si="9"/>
        <v>5131</v>
      </c>
      <c r="K45" s="1021">
        <f t="shared" si="10"/>
        <v>33.040631046286649</v>
      </c>
      <c r="L45" s="716">
        <v>2220</v>
      </c>
      <c r="M45" s="984">
        <v>4499</v>
      </c>
      <c r="N45" s="989">
        <f t="shared" si="11"/>
        <v>6719</v>
      </c>
      <c r="O45" s="964" t="s">
        <v>287</v>
      </c>
      <c r="P45" s="1002">
        <v>30</v>
      </c>
      <c r="Q45" s="20"/>
      <c r="R45" s="20"/>
      <c r="S45" s="20"/>
      <c r="T45" s="20"/>
      <c r="U45" s="10"/>
    </row>
    <row r="46" spans="1:21" ht="24.95" customHeight="1">
      <c r="A46" s="950">
        <v>31</v>
      </c>
      <c r="B46" s="563" t="s">
        <v>288</v>
      </c>
      <c r="C46" s="109">
        <f t="shared" si="6"/>
        <v>18.857142857142858</v>
      </c>
      <c r="D46" s="571">
        <v>462</v>
      </c>
      <c r="E46" s="959">
        <v>1988</v>
      </c>
      <c r="F46" s="7">
        <f t="shared" si="7"/>
        <v>2450</v>
      </c>
      <c r="G46" s="109">
        <f t="shared" si="8"/>
        <v>18.36569579288026</v>
      </c>
      <c r="H46" s="571">
        <v>454</v>
      </c>
      <c r="I46" s="959">
        <v>2018</v>
      </c>
      <c r="J46" s="7">
        <f t="shared" si="9"/>
        <v>2472</v>
      </c>
      <c r="K46" s="109">
        <f t="shared" si="10"/>
        <v>18.600754084625052</v>
      </c>
      <c r="L46" s="571">
        <v>444</v>
      </c>
      <c r="M46" s="959">
        <v>1943</v>
      </c>
      <c r="N46" s="960">
        <f t="shared" si="11"/>
        <v>2387</v>
      </c>
      <c r="O46" s="308" t="s">
        <v>289</v>
      </c>
      <c r="P46" s="950">
        <v>31</v>
      </c>
      <c r="Q46" s="20"/>
      <c r="R46" s="20"/>
      <c r="S46" s="20"/>
      <c r="T46" s="20"/>
      <c r="U46" s="10"/>
    </row>
    <row r="47" spans="1:21" ht="24.95" customHeight="1">
      <c r="A47" s="1002">
        <v>32</v>
      </c>
      <c r="B47" s="1022" t="s">
        <v>290</v>
      </c>
      <c r="C47" s="1021">
        <f t="shared" si="6"/>
        <v>20.18502943650126</v>
      </c>
      <c r="D47" s="716">
        <v>480</v>
      </c>
      <c r="E47" s="984">
        <v>1898</v>
      </c>
      <c r="F47" s="1023">
        <f t="shared" si="7"/>
        <v>2378</v>
      </c>
      <c r="G47" s="1021">
        <f t="shared" si="8"/>
        <v>17.576509511993383</v>
      </c>
      <c r="H47" s="716">
        <v>425</v>
      </c>
      <c r="I47" s="984">
        <v>1993</v>
      </c>
      <c r="J47" s="1023">
        <f t="shared" si="9"/>
        <v>2418</v>
      </c>
      <c r="K47" s="1021">
        <f t="shared" si="10"/>
        <v>16.849662162162161</v>
      </c>
      <c r="L47" s="716">
        <v>399</v>
      </c>
      <c r="M47" s="984">
        <v>1969</v>
      </c>
      <c r="N47" s="989">
        <f t="shared" si="11"/>
        <v>2368</v>
      </c>
      <c r="O47" s="1050" t="s">
        <v>291</v>
      </c>
      <c r="P47" s="1002">
        <v>32</v>
      </c>
      <c r="Q47" s="10"/>
      <c r="R47" s="10"/>
      <c r="S47" s="10"/>
      <c r="T47" s="10"/>
      <c r="U47" s="10"/>
    </row>
    <row r="48" spans="1:21" ht="24.95" customHeight="1">
      <c r="A48" s="950">
        <v>33</v>
      </c>
      <c r="B48" s="563" t="s">
        <v>119</v>
      </c>
      <c r="C48" s="109">
        <f t="shared" si="6"/>
        <v>54.773628778552862</v>
      </c>
      <c r="D48" s="571">
        <v>8009</v>
      </c>
      <c r="E48" s="959">
        <v>6613</v>
      </c>
      <c r="F48" s="7">
        <f t="shared" si="7"/>
        <v>14622</v>
      </c>
      <c r="G48" s="109">
        <f t="shared" si="8"/>
        <v>53.136048186460648</v>
      </c>
      <c r="H48" s="571">
        <v>8116</v>
      </c>
      <c r="I48" s="959">
        <v>7158</v>
      </c>
      <c r="J48" s="7">
        <f t="shared" si="9"/>
        <v>15274</v>
      </c>
      <c r="K48" s="109">
        <f t="shared" si="10"/>
        <v>52.291070033845358</v>
      </c>
      <c r="L48" s="571">
        <v>8034</v>
      </c>
      <c r="M48" s="959">
        <v>7330</v>
      </c>
      <c r="N48" s="960">
        <f t="shared" si="11"/>
        <v>15364</v>
      </c>
      <c r="O48" s="965" t="s">
        <v>120</v>
      </c>
      <c r="P48" s="950">
        <v>33</v>
      </c>
    </row>
    <row r="49" spans="1:31" ht="24.95" customHeight="1">
      <c r="A49" s="1002">
        <v>34</v>
      </c>
      <c r="B49" s="1022" t="s">
        <v>292</v>
      </c>
      <c r="C49" s="1021">
        <f t="shared" si="6"/>
        <v>38.604275917708755</v>
      </c>
      <c r="D49" s="716">
        <v>957</v>
      </c>
      <c r="E49" s="984">
        <v>1522</v>
      </c>
      <c r="F49" s="1023">
        <f t="shared" si="7"/>
        <v>2479</v>
      </c>
      <c r="G49" s="1021">
        <f t="shared" si="8"/>
        <v>38.668779714738513</v>
      </c>
      <c r="H49" s="716">
        <v>976</v>
      </c>
      <c r="I49" s="984">
        <v>1548</v>
      </c>
      <c r="J49" s="1023">
        <f t="shared" si="9"/>
        <v>2524</v>
      </c>
      <c r="K49" s="1021">
        <f t="shared" si="10"/>
        <v>38.431217973985021</v>
      </c>
      <c r="L49" s="716">
        <v>975</v>
      </c>
      <c r="M49" s="984">
        <v>1562</v>
      </c>
      <c r="N49" s="989">
        <f t="shared" si="11"/>
        <v>2537</v>
      </c>
      <c r="O49" s="964" t="s">
        <v>293</v>
      </c>
      <c r="P49" s="1002">
        <v>34</v>
      </c>
    </row>
    <row r="50" spans="1:31" ht="24.95" customHeight="1">
      <c r="A50" s="935">
        <v>35</v>
      </c>
      <c r="B50" s="14" t="s">
        <v>294</v>
      </c>
      <c r="C50" s="110">
        <f>D50/F50*100</f>
        <v>59.969558599695581</v>
      </c>
      <c r="D50" s="572">
        <v>788</v>
      </c>
      <c r="E50" s="999">
        <v>526</v>
      </c>
      <c r="F50" s="16">
        <f>E50+D50</f>
        <v>1314</v>
      </c>
      <c r="G50" s="110">
        <f>H50/J50*100</f>
        <v>60.391882435269416</v>
      </c>
      <c r="H50" s="572">
        <v>863</v>
      </c>
      <c r="I50" s="999">
        <v>566</v>
      </c>
      <c r="J50" s="16">
        <f>I50+H50</f>
        <v>1429</v>
      </c>
      <c r="K50" s="110">
        <f>L50/N50*100</f>
        <v>59.252217997465152</v>
      </c>
      <c r="L50" s="572">
        <v>935</v>
      </c>
      <c r="M50" s="999">
        <v>643</v>
      </c>
      <c r="N50" s="1000">
        <f>M50+L50</f>
        <v>1578</v>
      </c>
      <c r="O50" s="38" t="s">
        <v>295</v>
      </c>
      <c r="P50" s="935">
        <v>35</v>
      </c>
      <c r="R50" s="1753"/>
      <c r="S50" s="1753"/>
      <c r="T50" s="1753"/>
      <c r="U50" s="1753"/>
      <c r="V50" s="1753"/>
      <c r="W50" s="1753"/>
      <c r="X50" s="1753"/>
      <c r="Y50" s="1753"/>
      <c r="Z50" s="1753"/>
      <c r="AA50" s="1753"/>
      <c r="AB50" s="1753"/>
      <c r="AC50" s="1753"/>
      <c r="AD50" s="1753"/>
      <c r="AE50" s="1753"/>
    </row>
    <row r="51" spans="1:31" ht="24.95" customHeight="1">
      <c r="A51" s="1754" t="s">
        <v>717</v>
      </c>
      <c r="B51" s="1754"/>
      <c r="C51" s="1754"/>
      <c r="D51" s="1754"/>
      <c r="E51" s="1754"/>
      <c r="F51" s="1755" t="s">
        <v>782</v>
      </c>
      <c r="G51" s="1755"/>
      <c r="H51" s="1755"/>
      <c r="I51" s="1755"/>
      <c r="J51" s="1755"/>
      <c r="K51" s="1755"/>
      <c r="L51" s="1756" t="s">
        <v>118</v>
      </c>
      <c r="M51" s="1756"/>
      <c r="N51" s="1756"/>
      <c r="O51" s="1756"/>
      <c r="P51" s="1756"/>
      <c r="W51" s="2" t="s">
        <v>1245</v>
      </c>
      <c r="X51" s="2" t="s">
        <v>1311</v>
      </c>
      <c r="Y51" s="2" t="s">
        <v>1810</v>
      </c>
    </row>
    <row r="52" spans="1:31" ht="27.75" customHeight="1">
      <c r="A52" s="1752" t="s">
        <v>2033</v>
      </c>
      <c r="B52" s="1752"/>
      <c r="C52" s="1752"/>
      <c r="D52" s="1752"/>
      <c r="E52" s="1752"/>
      <c r="F52" s="1752"/>
      <c r="G52" s="1752"/>
      <c r="H52" s="1752"/>
      <c r="I52" s="1752"/>
      <c r="J52" s="1752"/>
      <c r="K52" s="1752"/>
      <c r="L52" s="1752"/>
      <c r="M52" s="1752"/>
      <c r="N52" s="1752"/>
      <c r="O52" s="1752"/>
      <c r="P52" s="1752"/>
      <c r="W52">
        <v>1394</v>
      </c>
      <c r="X52">
        <v>1395</v>
      </c>
      <c r="Y52">
        <v>1396</v>
      </c>
    </row>
    <row r="53" spans="1:31" ht="12" customHeight="1">
      <c r="B53" s="62"/>
      <c r="O53" s="61"/>
      <c r="V53" t="s">
        <v>1087</v>
      </c>
      <c r="W53">
        <v>188037</v>
      </c>
      <c r="X53">
        <v>184541</v>
      </c>
      <c r="Y53">
        <v>183053</v>
      </c>
    </row>
    <row r="54" spans="1:31" ht="8.25" customHeight="1">
      <c r="B54" s="62"/>
      <c r="O54" s="61"/>
    </row>
    <row r="55" spans="1:31" ht="14.25" customHeight="1">
      <c r="V55" t="s">
        <v>1086</v>
      </c>
      <c r="W55">
        <v>125241</v>
      </c>
      <c r="X55">
        <v>121850</v>
      </c>
      <c r="Y55">
        <v>118401</v>
      </c>
    </row>
    <row r="56" spans="1:31" ht="15" customHeight="1">
      <c r="V56" t="s">
        <v>1085</v>
      </c>
      <c r="W56">
        <v>62796</v>
      </c>
      <c r="X56">
        <v>62691</v>
      </c>
      <c r="Y56">
        <v>64652</v>
      </c>
    </row>
    <row r="61" spans="1:31" ht="9.75" customHeight="1"/>
    <row r="62" spans="1:31" ht="6.75" customHeight="1"/>
    <row r="63" spans="1:31" ht="2.25" hidden="1" customHeight="1"/>
    <row r="64" spans="1:31" ht="5.25" hidden="1" customHeight="1"/>
    <row r="65" spans="10:10" ht="2.25" hidden="1" customHeight="1"/>
    <row r="66" spans="10:10" ht="18" customHeight="1"/>
    <row r="67" spans="10:10" ht="11.25" customHeight="1"/>
    <row r="71" spans="10:10">
      <c r="J71" s="10"/>
    </row>
    <row r="72" spans="10:10">
      <c r="J72" s="10"/>
    </row>
  </sheetData>
  <mergeCells count="43">
    <mergeCell ref="A52:P52"/>
    <mergeCell ref="O32:O35"/>
    <mergeCell ref="P32:P35"/>
    <mergeCell ref="R50:AE50"/>
    <mergeCell ref="A51:E51"/>
    <mergeCell ref="F51:K51"/>
    <mergeCell ref="L51:P51"/>
    <mergeCell ref="A32:A35"/>
    <mergeCell ref="B32:B35"/>
    <mergeCell ref="C32:F32"/>
    <mergeCell ref="G32:J32"/>
    <mergeCell ref="K32:N32"/>
    <mergeCell ref="S10:S12"/>
    <mergeCell ref="T10:T12"/>
    <mergeCell ref="A31:F31"/>
    <mergeCell ref="G31:K31"/>
    <mergeCell ref="L31:P31"/>
    <mergeCell ref="J10:J12"/>
    <mergeCell ref="K10:K12"/>
    <mergeCell ref="L10:L12"/>
    <mergeCell ref="M10:M12"/>
    <mergeCell ref="N10:N12"/>
    <mergeCell ref="P10:P12"/>
    <mergeCell ref="Q9:Q10"/>
    <mergeCell ref="A10:A12"/>
    <mergeCell ref="B10:B11"/>
    <mergeCell ref="C10:C12"/>
    <mergeCell ref="D10:D12"/>
    <mergeCell ref="E10:E12"/>
    <mergeCell ref="F10:F12"/>
    <mergeCell ref="G10:G12"/>
    <mergeCell ref="H10:H12"/>
    <mergeCell ref="I10:I12"/>
    <mergeCell ref="A1:P1"/>
    <mergeCell ref="A2:P2"/>
    <mergeCell ref="A3:P3"/>
    <mergeCell ref="A4:A7"/>
    <mergeCell ref="B4:B7"/>
    <mergeCell ref="C4:F4"/>
    <mergeCell ref="G4:J4"/>
    <mergeCell ref="K4:N4"/>
    <mergeCell ref="O4:O7"/>
    <mergeCell ref="P4:P7"/>
  </mergeCells>
  <hyperlinks>
    <hyperlink ref="B41" r:id="rId1" location="FNote1" display="FNote1"/>
  </hyperlinks>
  <pageMargins left="0.55118110236220497" right="0.54" top="0.23622047244094499" bottom="0.511811023622047" header="0.196850393700787" footer="0.31496062992126"/>
  <pageSetup paperSize="9" scale="73" orientation="landscape" verticalDpi="300" r:id="rId2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73" max="1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66"/>
  <sheetViews>
    <sheetView view="pageBreakPreview" topLeftCell="A4" zoomScale="70" zoomScaleNormal="70" zoomScaleSheetLayoutView="70" workbookViewId="0">
      <selection activeCell="L49" sqref="L49"/>
    </sheetView>
  </sheetViews>
  <sheetFormatPr defaultRowHeight="15"/>
  <cols>
    <col min="1" max="1" width="5.7109375" customWidth="1"/>
    <col min="2" max="2" width="20.28515625" customWidth="1"/>
    <col min="3" max="3" width="8" customWidth="1"/>
    <col min="4" max="4" width="9" customWidth="1"/>
    <col min="5" max="5" width="8.85546875" customWidth="1"/>
    <col min="6" max="6" width="8.140625" customWidth="1"/>
    <col min="7" max="8" width="8.85546875" customWidth="1"/>
    <col min="9" max="9" width="8" customWidth="1"/>
    <col min="10" max="10" width="9.140625" customWidth="1"/>
    <col min="11" max="11" width="9.28515625" customWidth="1"/>
    <col min="12" max="12" width="24.28515625" customWidth="1"/>
    <col min="13" max="13" width="5.5703125" customWidth="1"/>
    <col min="14" max="14" width="13.5703125" bestFit="1" customWidth="1"/>
    <col min="15" max="15" width="12.42578125" bestFit="1" customWidth="1"/>
    <col min="16" max="16" width="12.85546875" bestFit="1" customWidth="1"/>
    <col min="20" max="20" width="9.28515625" bestFit="1" customWidth="1"/>
  </cols>
  <sheetData>
    <row r="1" spans="1:20" ht="26.1" customHeight="1">
      <c r="A1" s="1437" t="s">
        <v>1566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</row>
    <row r="2" spans="1:20" ht="26.1" customHeight="1">
      <c r="A2" s="1407" t="s">
        <v>1878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407"/>
      <c r="M2" s="1407"/>
    </row>
    <row r="3" spans="1:20" ht="26.1" customHeight="1">
      <c r="A3" s="1438" t="s">
        <v>1595</v>
      </c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>
        <v>341273</v>
      </c>
      <c r="P3" s="168"/>
      <c r="R3">
        <v>8450</v>
      </c>
    </row>
    <row r="4" spans="1:20" ht="24.95" customHeight="1">
      <c r="A4" s="1418" t="s">
        <v>2026</v>
      </c>
      <c r="B4" s="1429" t="s">
        <v>1565</v>
      </c>
      <c r="C4" s="1410">
        <v>1396</v>
      </c>
      <c r="D4" s="1430"/>
      <c r="E4" s="1430"/>
      <c r="F4" s="1410">
        <v>1395</v>
      </c>
      <c r="G4" s="1430"/>
      <c r="H4" s="1430"/>
      <c r="I4" s="1410">
        <v>1394</v>
      </c>
      <c r="J4" s="1430"/>
      <c r="K4" s="1431"/>
      <c r="L4" s="1432" t="s">
        <v>1564</v>
      </c>
      <c r="M4" s="1418" t="s">
        <v>2027</v>
      </c>
      <c r="P4" s="169"/>
      <c r="R4">
        <v>583</v>
      </c>
    </row>
    <row r="5" spans="1:20" ht="24.95" customHeight="1">
      <c r="A5" s="1419"/>
      <c r="B5" s="1429"/>
      <c r="C5" s="1439" t="s">
        <v>1773</v>
      </c>
      <c r="D5" s="1440"/>
      <c r="E5" s="1440"/>
      <c r="F5" s="1423" t="s">
        <v>1772</v>
      </c>
      <c r="G5" s="1424"/>
      <c r="H5" s="1425"/>
      <c r="I5" s="1423" t="s">
        <v>1771</v>
      </c>
      <c r="J5" s="1424"/>
      <c r="K5" s="1425"/>
      <c r="L5" s="1432"/>
      <c r="M5" s="1419"/>
      <c r="N5" s="39">
        <f>182344/341273*100</f>
        <v>53.430538015020232</v>
      </c>
      <c r="P5" s="170"/>
      <c r="R5">
        <f>SUM(R3:R4)</f>
        <v>9033</v>
      </c>
    </row>
    <row r="6" spans="1:20" ht="24.95" customHeight="1">
      <c r="A6" s="1419"/>
      <c r="B6" s="1429"/>
      <c r="C6" s="196" t="s">
        <v>0</v>
      </c>
      <c r="D6" s="197" t="s">
        <v>1</v>
      </c>
      <c r="E6" s="198" t="s">
        <v>2</v>
      </c>
      <c r="F6" s="472" t="s">
        <v>0</v>
      </c>
      <c r="G6" s="477" t="s">
        <v>1</v>
      </c>
      <c r="H6" s="483" t="s">
        <v>2</v>
      </c>
      <c r="I6" s="472" t="s">
        <v>0</v>
      </c>
      <c r="J6" s="477" t="s">
        <v>1</v>
      </c>
      <c r="K6" s="477" t="s">
        <v>2</v>
      </c>
      <c r="L6" s="1432"/>
      <c r="M6" s="1419"/>
      <c r="N6" s="39">
        <f>158929/341273*100</f>
        <v>46.569461984979768</v>
      </c>
      <c r="P6" s="210"/>
      <c r="R6">
        <f>Q5/R5*100-100</f>
        <v>-100</v>
      </c>
    </row>
    <row r="7" spans="1:20" ht="24.95" customHeight="1">
      <c r="A7" s="1419"/>
      <c r="B7" s="1410"/>
      <c r="C7" s="199" t="s">
        <v>500</v>
      </c>
      <c r="D7" s="6" t="s">
        <v>501</v>
      </c>
      <c r="E7" s="163" t="s">
        <v>502</v>
      </c>
      <c r="F7" s="498" t="s">
        <v>500</v>
      </c>
      <c r="G7" s="357" t="s">
        <v>501</v>
      </c>
      <c r="H7" s="163" t="s">
        <v>502</v>
      </c>
      <c r="I7" s="498" t="s">
        <v>500</v>
      </c>
      <c r="J7" s="357" t="s">
        <v>501</v>
      </c>
      <c r="K7" s="357" t="s">
        <v>502</v>
      </c>
      <c r="L7" s="1432"/>
      <c r="M7" s="1419"/>
      <c r="N7" s="447">
        <f>C9/E9*100</f>
        <v>24.208976392445152</v>
      </c>
      <c r="O7" s="10"/>
      <c r="P7" s="10"/>
      <c r="Q7" s="10"/>
    </row>
    <row r="8" spans="1:20" ht="24.95" customHeight="1">
      <c r="A8" s="1433"/>
      <c r="B8" s="1410"/>
      <c r="C8" s="283" t="s">
        <v>3</v>
      </c>
      <c r="D8" s="285" t="s">
        <v>4</v>
      </c>
      <c r="E8" s="284" t="s">
        <v>5</v>
      </c>
      <c r="F8" s="473" t="s">
        <v>3</v>
      </c>
      <c r="G8" s="489" t="s">
        <v>4</v>
      </c>
      <c r="H8" s="485" t="s">
        <v>5</v>
      </c>
      <c r="I8" s="473" t="s">
        <v>3</v>
      </c>
      <c r="J8" s="489" t="s">
        <v>4</v>
      </c>
      <c r="K8" s="478" t="s">
        <v>5</v>
      </c>
      <c r="L8" s="1431"/>
      <c r="M8" s="1433"/>
      <c r="N8" s="200"/>
      <c r="O8" s="127"/>
      <c r="P8" s="167"/>
      <c r="Q8" s="10"/>
      <c r="R8" s="10"/>
    </row>
    <row r="9" spans="1:20" ht="45" customHeight="1">
      <c r="A9" s="906"/>
      <c r="B9" s="633" t="s">
        <v>26</v>
      </c>
      <c r="C9" s="637">
        <f>C10+C11+C12+C13+C14+C15+C16+C17+C18+C19+C20+C21+C22+C23+C24+C25+C26+C27+C28+C35+C36+C37+C38+C39+C40+C41+C44+C45+C46+C47+C49+C50+C51+C52</f>
        <v>44721</v>
      </c>
      <c r="D9" s="638">
        <f>D10+D11+D12+D13+D14+D15+D16+D17+D18+D19+D20+D21+D22+D23+D24+D25+D26+D27+D28+D35+D36+D37+D38+D39+D40+D41+D42+D43+D44+D45+D46+D47+D48+D49+D50+D51+D52</f>
        <v>140008</v>
      </c>
      <c r="E9" s="638">
        <f>E10+E11+E12+E13+E14+E15+E16+E17+E18+E19+E20+E21+E22+E23+E24+E25+E26+E27+E28+E35+E36+E37+E38+E39+E40+E41+E42+E43+E44+E45+E46+E47+E48+E49+E50+E51+E52</f>
        <v>184729</v>
      </c>
      <c r="F9" s="637">
        <f>F10+F11+F12+F13+F14+F15+F16+F17+F18+F19+F20+F21+F22+F23+F24+F25+F26+F27+F28+F35+F36+F37+F38+F39+F40+F41+F44+F45+F46+F47+F48+F49+F50</f>
        <v>41041</v>
      </c>
      <c r="G9" s="638">
        <f>G10+G11+G12+G13+G14+G15+G16+G17+G18+G19+G20+G21+G22+G23+G24+G25+G26+G27+G28+G35+G36+G37+G38+G39+G40+G41+G42+G43+G44+G45+G46+G47+G48+G49+G50</f>
        <v>141303</v>
      </c>
      <c r="H9" s="638">
        <f>H10+H11+H12+H13+H14+H15+H16+H17+H18+H19+H20+H21+H22+H23+H24+H25+H26+H27+H28+H35+H36+H37+H38+H39+H40+H41+H42+H43+H44+H45+H46+H47+H48+H49+H50</f>
        <v>182344</v>
      </c>
      <c r="I9" s="637">
        <f>I10+I11+I12+I13+I14+I15+I16+I17+I18+I19+I20+I21+I22+I23+I24+I25+I26+I27+I28+I35+I36+I37+I38+I39+I40+I41+I44+I45+I46+I47+I49+20+I50</f>
        <v>36362</v>
      </c>
      <c r="J9" s="638">
        <f>J10+J11+J12+J13+J14+J15+J16+J17+J18+J19+J20+J21+J22+J23+J24+J25+J26+J27+J28+J35+J36+J37+J38+J39+J40+J41+J42+J43+J44+J45+J46+J47+J48+J49+28+J50</f>
        <v>135247</v>
      </c>
      <c r="K9" s="639">
        <f>K10+K11+K12+K13+K14+K15+K16+K17+K18+K19+K20+K21+K22+K23+K24+K25+K26+K27+K28+K35+K36+K37+K38+K39+K40+K41+K42+K43+K44+K45+K46+K47+K48+K49+48+K50</f>
        <v>171609</v>
      </c>
      <c r="L9" s="627" t="s">
        <v>610</v>
      </c>
      <c r="M9" s="889"/>
      <c r="N9" s="447">
        <f>C9/E9*100</f>
        <v>24.208976392445152</v>
      </c>
      <c r="O9" s="127"/>
      <c r="P9" s="167"/>
      <c r="Q9" s="167"/>
      <c r="R9" s="167"/>
    </row>
    <row r="10" spans="1:20" ht="45" customHeight="1">
      <c r="A10" s="885">
        <v>1</v>
      </c>
      <c r="B10" s="282" t="s">
        <v>7</v>
      </c>
      <c r="C10" s="496">
        <v>6827</v>
      </c>
      <c r="D10" s="492">
        <v>13794</v>
      </c>
      <c r="E10" s="492">
        <f>D10+C10</f>
        <v>20621</v>
      </c>
      <c r="F10" s="496">
        <v>5933</v>
      </c>
      <c r="G10" s="492">
        <v>16036</v>
      </c>
      <c r="H10" s="492">
        <f>G10+F10</f>
        <v>21969</v>
      </c>
      <c r="I10" s="496">
        <v>5342</v>
      </c>
      <c r="J10" s="492">
        <v>17127</v>
      </c>
      <c r="K10" s="500">
        <f>J10+I10</f>
        <v>22469</v>
      </c>
      <c r="L10" s="286" t="s">
        <v>611</v>
      </c>
      <c r="M10" s="887">
        <v>1</v>
      </c>
      <c r="N10" s="451"/>
      <c r="O10" s="191"/>
      <c r="P10" s="167"/>
      <c r="Q10" s="167"/>
      <c r="R10" s="167"/>
      <c r="S10" s="10"/>
      <c r="T10" s="10"/>
    </row>
    <row r="11" spans="1:20" ht="54.95" customHeight="1">
      <c r="A11" s="835">
        <v>2</v>
      </c>
      <c r="B11" s="622" t="s">
        <v>8</v>
      </c>
      <c r="C11" s="640">
        <v>826</v>
      </c>
      <c r="D11" s="641">
        <v>3761</v>
      </c>
      <c r="E11" s="641">
        <f t="shared" ref="E11:E27" si="0">D11+C11</f>
        <v>4587</v>
      </c>
      <c r="F11" s="640">
        <v>614</v>
      </c>
      <c r="G11" s="641">
        <v>3935</v>
      </c>
      <c r="H11" s="641">
        <f t="shared" ref="H11:H27" si="1">G11+F11</f>
        <v>4549</v>
      </c>
      <c r="I11" s="640">
        <v>329</v>
      </c>
      <c r="J11" s="641">
        <v>3183</v>
      </c>
      <c r="K11" s="642">
        <f t="shared" ref="K11:K27" si="2">J11+I11</f>
        <v>3512</v>
      </c>
      <c r="L11" s="626" t="s">
        <v>1935</v>
      </c>
      <c r="M11" s="827">
        <v>2</v>
      </c>
      <c r="N11" s="814">
        <v>5933</v>
      </c>
      <c r="O11" s="458">
        <v>16036</v>
      </c>
      <c r="P11" s="458">
        <f>O11+N11</f>
        <v>21969</v>
      </c>
      <c r="Q11" s="1421"/>
      <c r="R11" s="1421"/>
      <c r="S11" s="10"/>
      <c r="T11" s="10"/>
    </row>
    <row r="12" spans="1:20" ht="81" customHeight="1">
      <c r="A12" s="885">
        <v>3</v>
      </c>
      <c r="B12" s="282" t="s">
        <v>1999</v>
      </c>
      <c r="C12" s="496">
        <v>4069</v>
      </c>
      <c r="D12" s="492">
        <v>3463</v>
      </c>
      <c r="E12" s="492">
        <f t="shared" si="0"/>
        <v>7532</v>
      </c>
      <c r="F12" s="496">
        <v>3835</v>
      </c>
      <c r="G12" s="492">
        <v>5540</v>
      </c>
      <c r="H12" s="492">
        <f t="shared" si="1"/>
        <v>9375</v>
      </c>
      <c r="I12" s="496">
        <v>3083</v>
      </c>
      <c r="J12" s="492">
        <v>4799</v>
      </c>
      <c r="K12" s="500">
        <f t="shared" si="2"/>
        <v>7882</v>
      </c>
      <c r="L12" s="286" t="s">
        <v>2006</v>
      </c>
      <c r="M12" s="887">
        <v>3</v>
      </c>
      <c r="N12" s="814">
        <v>614</v>
      </c>
      <c r="O12" s="458">
        <v>3935</v>
      </c>
      <c r="P12" s="458">
        <f t="shared" ref="P12:P14" si="3">O12+N12</f>
        <v>4549</v>
      </c>
      <c r="Q12" s="1421"/>
      <c r="R12" s="1421"/>
      <c r="S12" s="10"/>
      <c r="T12" s="10"/>
    </row>
    <row r="13" spans="1:20" ht="42.95" customHeight="1">
      <c r="A13" s="835">
        <v>4</v>
      </c>
      <c r="B13" s="770" t="s">
        <v>1996</v>
      </c>
      <c r="C13" s="775">
        <v>1291</v>
      </c>
      <c r="D13" s="773">
        <v>1800</v>
      </c>
      <c r="E13" s="773">
        <f t="shared" si="0"/>
        <v>3091</v>
      </c>
      <c r="F13" s="775">
        <v>1162</v>
      </c>
      <c r="G13" s="773">
        <v>1780</v>
      </c>
      <c r="H13" s="773">
        <f t="shared" si="1"/>
        <v>2942</v>
      </c>
      <c r="I13" s="775">
        <v>1028</v>
      </c>
      <c r="J13" s="773">
        <v>1619</v>
      </c>
      <c r="K13" s="793">
        <f t="shared" si="2"/>
        <v>2647</v>
      </c>
      <c r="L13" s="768" t="s">
        <v>1997</v>
      </c>
      <c r="M13" s="827">
        <v>4</v>
      </c>
      <c r="N13" s="814">
        <v>3835</v>
      </c>
      <c r="O13" s="458">
        <v>5540</v>
      </c>
      <c r="P13" s="458">
        <f t="shared" si="3"/>
        <v>9375</v>
      </c>
      <c r="Q13" s="167"/>
      <c r="R13" s="167"/>
      <c r="S13" s="10"/>
      <c r="T13" s="10"/>
    </row>
    <row r="14" spans="1:20" ht="42.95" customHeight="1">
      <c r="A14" s="885">
        <v>5</v>
      </c>
      <c r="B14" s="766" t="s">
        <v>9</v>
      </c>
      <c r="C14" s="782">
        <v>6777</v>
      </c>
      <c r="D14" s="771">
        <v>8481</v>
      </c>
      <c r="E14" s="771">
        <f t="shared" si="0"/>
        <v>15258</v>
      </c>
      <c r="F14" s="782">
        <v>6609</v>
      </c>
      <c r="G14" s="771">
        <v>8952</v>
      </c>
      <c r="H14" s="771">
        <f t="shared" si="1"/>
        <v>15561</v>
      </c>
      <c r="I14" s="782">
        <v>5623</v>
      </c>
      <c r="J14" s="771">
        <v>8670</v>
      </c>
      <c r="K14" s="794">
        <f t="shared" si="2"/>
        <v>14293</v>
      </c>
      <c r="L14" s="765" t="s">
        <v>612</v>
      </c>
      <c r="M14" s="887">
        <v>5</v>
      </c>
      <c r="N14" s="814">
        <v>1162</v>
      </c>
      <c r="O14" s="458">
        <v>1780</v>
      </c>
      <c r="P14" s="458">
        <f t="shared" si="3"/>
        <v>2942</v>
      </c>
      <c r="Q14" s="167"/>
      <c r="R14" s="167"/>
      <c r="S14" s="10"/>
      <c r="T14" s="10"/>
    </row>
    <row r="15" spans="1:20" ht="45.95" customHeight="1">
      <c r="A15" s="835">
        <v>6</v>
      </c>
      <c r="B15" s="770" t="s">
        <v>1989</v>
      </c>
      <c r="C15" s="775">
        <v>1124</v>
      </c>
      <c r="D15" s="773">
        <v>4963</v>
      </c>
      <c r="E15" s="773">
        <f t="shared" si="0"/>
        <v>6087</v>
      </c>
      <c r="F15" s="775">
        <v>1016</v>
      </c>
      <c r="G15" s="773">
        <v>5010</v>
      </c>
      <c r="H15" s="773">
        <f t="shared" si="1"/>
        <v>6026</v>
      </c>
      <c r="I15" s="775">
        <v>937</v>
      </c>
      <c r="J15" s="773">
        <v>5091</v>
      </c>
      <c r="K15" s="793">
        <f t="shared" si="2"/>
        <v>6028</v>
      </c>
      <c r="L15" s="768" t="s">
        <v>1988</v>
      </c>
      <c r="M15" s="827">
        <v>6</v>
      </c>
      <c r="N15" s="10"/>
      <c r="O15" s="10"/>
      <c r="P15" s="129" t="s">
        <v>787</v>
      </c>
      <c r="Q15" s="127"/>
      <c r="R15" s="76"/>
      <c r="S15" s="10"/>
      <c r="T15" s="10"/>
    </row>
    <row r="16" spans="1:20" ht="54.95" customHeight="1">
      <c r="A16" s="885">
        <v>7</v>
      </c>
      <c r="B16" s="282" t="s">
        <v>2001</v>
      </c>
      <c r="C16" s="496">
        <v>1760</v>
      </c>
      <c r="D16" s="492">
        <v>4531</v>
      </c>
      <c r="E16" s="492">
        <f t="shared" si="0"/>
        <v>6291</v>
      </c>
      <c r="F16" s="496">
        <v>1562</v>
      </c>
      <c r="G16" s="492">
        <v>4215</v>
      </c>
      <c r="H16" s="492">
        <f t="shared" si="1"/>
        <v>5777</v>
      </c>
      <c r="I16" s="496">
        <v>1456</v>
      </c>
      <c r="J16" s="492">
        <v>4153</v>
      </c>
      <c r="K16" s="500">
        <f t="shared" si="2"/>
        <v>5609</v>
      </c>
      <c r="L16" s="765" t="s">
        <v>2000</v>
      </c>
      <c r="M16" s="887">
        <v>7</v>
      </c>
      <c r="N16" s="10">
        <f>SUM(N11:N14)</f>
        <v>11544</v>
      </c>
      <c r="O16" s="10">
        <f>SUM(O11:O14)</f>
        <v>27291</v>
      </c>
      <c r="P16" s="206">
        <f>SUM(P11:P14)</f>
        <v>38835</v>
      </c>
      <c r="Q16" s="10"/>
      <c r="R16" s="42"/>
      <c r="S16" s="10"/>
      <c r="T16" s="10"/>
    </row>
    <row r="17" spans="1:17" ht="42.95" customHeight="1">
      <c r="A17" s="835">
        <v>8</v>
      </c>
      <c r="B17" s="622" t="s">
        <v>10</v>
      </c>
      <c r="C17" s="640">
        <v>1145</v>
      </c>
      <c r="D17" s="641">
        <v>12837</v>
      </c>
      <c r="E17" s="641">
        <f t="shared" si="0"/>
        <v>13982</v>
      </c>
      <c r="F17" s="640">
        <v>979</v>
      </c>
      <c r="G17" s="641">
        <v>12870</v>
      </c>
      <c r="H17" s="641">
        <f t="shared" si="1"/>
        <v>13849</v>
      </c>
      <c r="I17" s="640">
        <v>1088</v>
      </c>
      <c r="J17" s="641">
        <v>12933</v>
      </c>
      <c r="K17" s="642">
        <f t="shared" si="2"/>
        <v>14021</v>
      </c>
      <c r="L17" s="768" t="s">
        <v>613</v>
      </c>
      <c r="M17" s="827">
        <v>8</v>
      </c>
      <c r="N17" s="10"/>
      <c r="O17" s="200">
        <f>N16/O16</f>
        <v>0.42299659228317027</v>
      </c>
      <c r="P17" s="10"/>
      <c r="Q17" s="10"/>
    </row>
    <row r="18" spans="1:17" ht="42.95" customHeight="1">
      <c r="A18" s="885">
        <v>9</v>
      </c>
      <c r="B18" s="282" t="s">
        <v>11</v>
      </c>
      <c r="C18" s="496">
        <v>392</v>
      </c>
      <c r="D18" s="492">
        <v>7758</v>
      </c>
      <c r="E18" s="492">
        <f t="shared" si="0"/>
        <v>8150</v>
      </c>
      <c r="F18" s="496">
        <v>264</v>
      </c>
      <c r="G18" s="492">
        <v>7179</v>
      </c>
      <c r="H18" s="492">
        <f t="shared" si="1"/>
        <v>7443</v>
      </c>
      <c r="I18" s="496">
        <v>180</v>
      </c>
      <c r="J18" s="492">
        <v>5313</v>
      </c>
      <c r="K18" s="500">
        <f t="shared" si="2"/>
        <v>5493</v>
      </c>
      <c r="L18" s="765" t="s">
        <v>614</v>
      </c>
      <c r="M18" s="887">
        <v>9</v>
      </c>
    </row>
    <row r="19" spans="1:17" ht="42.95" customHeight="1">
      <c r="A19" s="835">
        <v>10</v>
      </c>
      <c r="B19" s="622" t="s">
        <v>12</v>
      </c>
      <c r="C19" s="640">
        <v>7527</v>
      </c>
      <c r="D19" s="641">
        <v>10528</v>
      </c>
      <c r="E19" s="641">
        <f t="shared" si="0"/>
        <v>18055</v>
      </c>
      <c r="F19" s="640">
        <v>7401</v>
      </c>
      <c r="G19" s="641">
        <v>10829</v>
      </c>
      <c r="H19" s="641">
        <f t="shared" si="1"/>
        <v>18230</v>
      </c>
      <c r="I19" s="640">
        <v>6809</v>
      </c>
      <c r="J19" s="641">
        <v>11517</v>
      </c>
      <c r="K19" s="642">
        <f t="shared" si="2"/>
        <v>18326</v>
      </c>
      <c r="L19" s="768" t="s">
        <v>615</v>
      </c>
      <c r="M19" s="827">
        <v>10</v>
      </c>
    </row>
    <row r="20" spans="1:17" ht="42.95" customHeight="1">
      <c r="A20" s="885">
        <v>11</v>
      </c>
      <c r="B20" s="282" t="s">
        <v>13</v>
      </c>
      <c r="C20" s="496">
        <v>1321</v>
      </c>
      <c r="D20" s="492">
        <v>3474</v>
      </c>
      <c r="E20" s="492">
        <f t="shared" si="0"/>
        <v>4795</v>
      </c>
      <c r="F20" s="496">
        <v>1141</v>
      </c>
      <c r="G20" s="492">
        <v>3421</v>
      </c>
      <c r="H20" s="492">
        <f t="shared" si="1"/>
        <v>4562</v>
      </c>
      <c r="I20" s="496">
        <v>856</v>
      </c>
      <c r="J20" s="492">
        <v>3282</v>
      </c>
      <c r="K20" s="500">
        <f t="shared" si="2"/>
        <v>4138</v>
      </c>
      <c r="L20" s="765" t="s">
        <v>616</v>
      </c>
      <c r="M20" s="887">
        <v>11</v>
      </c>
      <c r="O20">
        <f>7443+1780</f>
        <v>9223</v>
      </c>
    </row>
    <row r="21" spans="1:17" ht="42.95" customHeight="1">
      <c r="A21" s="835">
        <v>12</v>
      </c>
      <c r="B21" s="622" t="s">
        <v>15</v>
      </c>
      <c r="C21" s="640">
        <v>1138</v>
      </c>
      <c r="D21" s="641">
        <v>4595</v>
      </c>
      <c r="E21" s="641">
        <f t="shared" si="0"/>
        <v>5733</v>
      </c>
      <c r="F21" s="640">
        <v>982</v>
      </c>
      <c r="G21" s="641">
        <v>3775</v>
      </c>
      <c r="H21" s="641">
        <f t="shared" si="1"/>
        <v>4757</v>
      </c>
      <c r="I21" s="640">
        <v>962</v>
      </c>
      <c r="J21" s="641">
        <v>4112</v>
      </c>
      <c r="K21" s="642">
        <f t="shared" si="2"/>
        <v>5074</v>
      </c>
      <c r="L21" s="768" t="s">
        <v>617</v>
      </c>
      <c r="M21" s="827">
        <v>12</v>
      </c>
    </row>
    <row r="22" spans="1:17" ht="42.95" customHeight="1">
      <c r="A22" s="885">
        <v>13</v>
      </c>
      <c r="B22" s="282" t="s">
        <v>16</v>
      </c>
      <c r="C22" s="496">
        <v>557</v>
      </c>
      <c r="D22" s="492">
        <v>5174</v>
      </c>
      <c r="E22" s="492">
        <f t="shared" si="0"/>
        <v>5731</v>
      </c>
      <c r="F22" s="496">
        <v>725</v>
      </c>
      <c r="G22" s="492">
        <v>5319</v>
      </c>
      <c r="H22" s="492">
        <f t="shared" si="1"/>
        <v>6044</v>
      </c>
      <c r="I22" s="496">
        <v>680</v>
      </c>
      <c r="J22" s="492">
        <v>4674</v>
      </c>
      <c r="K22" s="500">
        <f t="shared" si="2"/>
        <v>5354</v>
      </c>
      <c r="L22" s="765" t="s">
        <v>618</v>
      </c>
      <c r="M22" s="887">
        <v>13</v>
      </c>
    </row>
    <row r="23" spans="1:17" ht="42.95" customHeight="1">
      <c r="A23" s="835">
        <v>14</v>
      </c>
      <c r="B23" s="622" t="s">
        <v>17</v>
      </c>
      <c r="C23" s="640">
        <v>1906</v>
      </c>
      <c r="D23" s="641">
        <v>4452</v>
      </c>
      <c r="E23" s="641">
        <f t="shared" si="0"/>
        <v>6358</v>
      </c>
      <c r="F23" s="640">
        <v>1768</v>
      </c>
      <c r="G23" s="641">
        <v>4342</v>
      </c>
      <c r="H23" s="641">
        <f t="shared" si="1"/>
        <v>6110</v>
      </c>
      <c r="I23" s="640">
        <v>1576</v>
      </c>
      <c r="J23" s="641">
        <v>4230</v>
      </c>
      <c r="K23" s="642">
        <f t="shared" si="2"/>
        <v>5806</v>
      </c>
      <c r="L23" s="768" t="s">
        <v>619</v>
      </c>
      <c r="M23" s="827">
        <v>14</v>
      </c>
    </row>
    <row r="24" spans="1:17" ht="42.95" customHeight="1">
      <c r="A24" s="885">
        <v>15</v>
      </c>
      <c r="B24" s="282" t="s">
        <v>18</v>
      </c>
      <c r="C24" s="496">
        <v>2189</v>
      </c>
      <c r="D24" s="492">
        <v>3908</v>
      </c>
      <c r="E24" s="492">
        <f t="shared" si="0"/>
        <v>6097</v>
      </c>
      <c r="F24" s="496">
        <v>2338</v>
      </c>
      <c r="G24" s="492">
        <v>4189</v>
      </c>
      <c r="H24" s="492">
        <f t="shared" si="1"/>
        <v>6527</v>
      </c>
      <c r="I24" s="496">
        <v>2370</v>
      </c>
      <c r="J24" s="492">
        <v>3913</v>
      </c>
      <c r="K24" s="500">
        <f t="shared" si="2"/>
        <v>6283</v>
      </c>
      <c r="L24" s="765" t="s">
        <v>620</v>
      </c>
      <c r="M24" s="887">
        <v>15</v>
      </c>
    </row>
    <row r="25" spans="1:17" ht="54.95" customHeight="1">
      <c r="A25" s="835">
        <v>16</v>
      </c>
      <c r="B25" s="770" t="s">
        <v>1987</v>
      </c>
      <c r="C25" s="775">
        <v>247</v>
      </c>
      <c r="D25" s="773">
        <v>7603</v>
      </c>
      <c r="E25" s="773">
        <f t="shared" si="0"/>
        <v>7850</v>
      </c>
      <c r="F25" s="775">
        <v>186</v>
      </c>
      <c r="G25" s="773">
        <v>7638</v>
      </c>
      <c r="H25" s="773">
        <f t="shared" si="1"/>
        <v>7824</v>
      </c>
      <c r="I25" s="775">
        <v>120</v>
      </c>
      <c r="J25" s="773">
        <v>7610</v>
      </c>
      <c r="K25" s="793">
        <f t="shared" si="2"/>
        <v>7730</v>
      </c>
      <c r="L25" s="768" t="s">
        <v>1995</v>
      </c>
      <c r="M25" s="827">
        <v>16</v>
      </c>
    </row>
    <row r="26" spans="1:17" ht="42.95" customHeight="1">
      <c r="A26" s="885">
        <v>17</v>
      </c>
      <c r="B26" s="282" t="s">
        <v>19</v>
      </c>
      <c r="C26" s="496">
        <v>938</v>
      </c>
      <c r="D26" s="492">
        <v>4351</v>
      </c>
      <c r="E26" s="492">
        <f t="shared" si="0"/>
        <v>5289</v>
      </c>
      <c r="F26" s="496">
        <v>911</v>
      </c>
      <c r="G26" s="492">
        <v>4824</v>
      </c>
      <c r="H26" s="492">
        <f t="shared" si="1"/>
        <v>5735</v>
      </c>
      <c r="I26" s="496">
        <v>749</v>
      </c>
      <c r="J26" s="492">
        <v>4614</v>
      </c>
      <c r="K26" s="500">
        <f t="shared" si="2"/>
        <v>5363</v>
      </c>
      <c r="L26" s="765" t="s">
        <v>621</v>
      </c>
      <c r="M26" s="887">
        <v>17</v>
      </c>
    </row>
    <row r="27" spans="1:17" ht="42.95" customHeight="1">
      <c r="A27" s="835">
        <v>18</v>
      </c>
      <c r="B27" s="622" t="s">
        <v>20</v>
      </c>
      <c r="C27" s="640">
        <v>1542</v>
      </c>
      <c r="D27" s="641">
        <v>4617</v>
      </c>
      <c r="E27" s="641">
        <f t="shared" si="0"/>
        <v>6159</v>
      </c>
      <c r="F27" s="640">
        <v>1229</v>
      </c>
      <c r="G27" s="641">
        <v>4496</v>
      </c>
      <c r="H27" s="641">
        <f t="shared" si="1"/>
        <v>5725</v>
      </c>
      <c r="I27" s="640">
        <v>1096</v>
      </c>
      <c r="J27" s="641">
        <v>5127</v>
      </c>
      <c r="K27" s="642">
        <f t="shared" si="2"/>
        <v>6223</v>
      </c>
      <c r="L27" s="768" t="s">
        <v>622</v>
      </c>
      <c r="M27" s="827">
        <v>18</v>
      </c>
    </row>
    <row r="28" spans="1:17" ht="42.95" customHeight="1">
      <c r="A28" s="840">
        <v>19</v>
      </c>
      <c r="B28" s="301" t="s">
        <v>21</v>
      </c>
      <c r="C28" s="497">
        <v>95</v>
      </c>
      <c r="D28" s="494">
        <v>6415</v>
      </c>
      <c r="E28" s="494">
        <f>D28+C28</f>
        <v>6510</v>
      </c>
      <c r="F28" s="497">
        <v>122</v>
      </c>
      <c r="G28" s="494">
        <v>6016</v>
      </c>
      <c r="H28" s="494">
        <f>G28+F28</f>
        <v>6138</v>
      </c>
      <c r="I28" s="497">
        <v>124</v>
      </c>
      <c r="J28" s="494">
        <v>5315</v>
      </c>
      <c r="K28" s="501">
        <f>J28+I28</f>
        <v>5439</v>
      </c>
      <c r="L28" s="780" t="s">
        <v>623</v>
      </c>
      <c r="M28" s="888">
        <v>19</v>
      </c>
    </row>
    <row r="29" spans="1:17" ht="18" customHeight="1">
      <c r="A29" s="886"/>
      <c r="B29" s="1426" t="s">
        <v>503</v>
      </c>
      <c r="C29" s="1426"/>
      <c r="D29" s="1426"/>
      <c r="E29" s="1428" t="s">
        <v>1179</v>
      </c>
      <c r="F29" s="1428"/>
      <c r="G29" s="1428"/>
      <c r="H29" s="1428"/>
      <c r="I29" s="1428"/>
      <c r="J29" s="1428"/>
      <c r="K29" s="1427" t="s">
        <v>1198</v>
      </c>
      <c r="L29" s="1427"/>
      <c r="M29" s="884"/>
    </row>
    <row r="30" spans="1:17" ht="18" customHeight="1">
      <c r="A30" s="1418" t="s">
        <v>2026</v>
      </c>
      <c r="B30" s="1429" t="s">
        <v>1565</v>
      </c>
      <c r="C30" s="1410">
        <v>1395</v>
      </c>
      <c r="D30" s="1430"/>
      <c r="E30" s="1431"/>
      <c r="F30" s="1410">
        <v>1395</v>
      </c>
      <c r="G30" s="1430"/>
      <c r="H30" s="1431"/>
      <c r="I30" s="1410">
        <v>1394</v>
      </c>
      <c r="J30" s="1430"/>
      <c r="K30" s="1431"/>
      <c r="L30" s="1432" t="s">
        <v>1564</v>
      </c>
      <c r="M30" s="1434" t="s">
        <v>2027</v>
      </c>
    </row>
    <row r="31" spans="1:17" ht="18" customHeight="1">
      <c r="A31" s="1419"/>
      <c r="B31" s="1429"/>
      <c r="C31" s="1423" t="s">
        <v>1307</v>
      </c>
      <c r="D31" s="1424"/>
      <c r="E31" s="1425"/>
      <c r="F31" s="1423" t="s">
        <v>1307</v>
      </c>
      <c r="G31" s="1424"/>
      <c r="H31" s="1425"/>
      <c r="I31" s="1423" t="s">
        <v>1157</v>
      </c>
      <c r="J31" s="1424"/>
      <c r="K31" s="1425"/>
      <c r="L31" s="1432"/>
      <c r="M31" s="1435"/>
    </row>
    <row r="32" spans="1:17" ht="18" customHeight="1">
      <c r="A32" s="1419"/>
      <c r="B32" s="1429"/>
      <c r="C32" s="472" t="s">
        <v>0</v>
      </c>
      <c r="D32" s="477" t="s">
        <v>1</v>
      </c>
      <c r="E32" s="483" t="s">
        <v>2</v>
      </c>
      <c r="F32" s="472" t="s">
        <v>0</v>
      </c>
      <c r="G32" s="477" t="s">
        <v>1</v>
      </c>
      <c r="H32" s="483" t="s">
        <v>2</v>
      </c>
      <c r="I32" s="472" t="s">
        <v>0</v>
      </c>
      <c r="J32" s="477" t="s">
        <v>1</v>
      </c>
      <c r="K32" s="477" t="s">
        <v>2</v>
      </c>
      <c r="L32" s="1432"/>
      <c r="M32" s="1435"/>
    </row>
    <row r="33" spans="1:20" ht="18" customHeight="1">
      <c r="A33" s="1419"/>
      <c r="B33" s="1410"/>
      <c r="C33" s="498" t="s">
        <v>500</v>
      </c>
      <c r="D33" s="357" t="s">
        <v>501</v>
      </c>
      <c r="E33" s="163" t="s">
        <v>502</v>
      </c>
      <c r="F33" s="498" t="s">
        <v>500</v>
      </c>
      <c r="G33" s="357" t="s">
        <v>501</v>
      </c>
      <c r="H33" s="163" t="s">
        <v>502</v>
      </c>
      <c r="I33" s="498" t="s">
        <v>500</v>
      </c>
      <c r="J33" s="357" t="s">
        <v>501</v>
      </c>
      <c r="K33" s="357" t="s">
        <v>502</v>
      </c>
      <c r="L33" s="1432"/>
      <c r="M33" s="1435"/>
    </row>
    <row r="34" spans="1:20" ht="18" customHeight="1">
      <c r="A34" s="1433"/>
      <c r="B34" s="1410"/>
      <c r="C34" s="473" t="s">
        <v>3</v>
      </c>
      <c r="D34" s="489" t="s">
        <v>4</v>
      </c>
      <c r="E34" s="485" t="s">
        <v>5</v>
      </c>
      <c r="F34" s="473" t="s">
        <v>3</v>
      </c>
      <c r="G34" s="489" t="s">
        <v>4</v>
      </c>
      <c r="H34" s="485" t="s">
        <v>5</v>
      </c>
      <c r="I34" s="473" t="s">
        <v>3</v>
      </c>
      <c r="J34" s="489" t="s">
        <v>4</v>
      </c>
      <c r="K34" s="478" t="s">
        <v>5</v>
      </c>
      <c r="L34" s="1431"/>
      <c r="M34" s="1436"/>
    </row>
    <row r="35" spans="1:20" ht="42.95" customHeight="1">
      <c r="A35" s="834">
        <v>20</v>
      </c>
      <c r="B35" s="633" t="s">
        <v>22</v>
      </c>
      <c r="C35" s="645">
        <v>880</v>
      </c>
      <c r="D35" s="646">
        <v>3540</v>
      </c>
      <c r="E35" s="646">
        <f>D35+C35</f>
        <v>4420</v>
      </c>
      <c r="F35" s="645">
        <v>628</v>
      </c>
      <c r="G35" s="646">
        <v>3247</v>
      </c>
      <c r="H35" s="647">
        <f>G35+F35</f>
        <v>3875</v>
      </c>
      <c r="I35" s="646">
        <v>614</v>
      </c>
      <c r="J35" s="646">
        <v>3183</v>
      </c>
      <c r="K35" s="647">
        <f t="shared" ref="K35:K41" si="4">J35+I35</f>
        <v>3797</v>
      </c>
      <c r="L35" s="776" t="s">
        <v>624</v>
      </c>
      <c r="M35" s="826">
        <v>20</v>
      </c>
      <c r="N35">
        <f>769+E24</f>
        <v>6866</v>
      </c>
    </row>
    <row r="36" spans="1:20" ht="44.1" customHeight="1">
      <c r="A36" s="832">
        <v>21</v>
      </c>
      <c r="B36" s="474" t="s">
        <v>1567</v>
      </c>
      <c r="C36" s="496">
        <v>559</v>
      </c>
      <c r="D36" s="492">
        <v>1921</v>
      </c>
      <c r="E36" s="492">
        <f>D36+C36</f>
        <v>2480</v>
      </c>
      <c r="F36" s="496">
        <v>510</v>
      </c>
      <c r="G36" s="492">
        <v>1883</v>
      </c>
      <c r="H36" s="500">
        <f>G36+F36</f>
        <v>2393</v>
      </c>
      <c r="I36" s="492">
        <v>489</v>
      </c>
      <c r="J36" s="492">
        <v>1776</v>
      </c>
      <c r="K36" s="500">
        <f t="shared" si="4"/>
        <v>2265</v>
      </c>
      <c r="L36" s="765" t="s">
        <v>1579</v>
      </c>
      <c r="M36" s="887">
        <v>21</v>
      </c>
    </row>
    <row r="37" spans="1:20" ht="42.95" customHeight="1">
      <c r="A37" s="835">
        <v>22</v>
      </c>
      <c r="B37" s="622" t="s">
        <v>1568</v>
      </c>
      <c r="C37" s="648">
        <v>70</v>
      </c>
      <c r="D37" s="649">
        <v>1955</v>
      </c>
      <c r="E37" s="641">
        <f t="shared" ref="E37:E49" si="5">D37+C37</f>
        <v>2025</v>
      </c>
      <c r="F37" s="648">
        <v>70</v>
      </c>
      <c r="G37" s="649">
        <v>1752</v>
      </c>
      <c r="H37" s="642">
        <f t="shared" ref="H37:H41" si="6">G37+F37</f>
        <v>1822</v>
      </c>
      <c r="I37" s="649">
        <v>61</v>
      </c>
      <c r="J37" s="649">
        <v>1731</v>
      </c>
      <c r="K37" s="642">
        <f t="shared" si="4"/>
        <v>1792</v>
      </c>
      <c r="L37" s="768" t="s">
        <v>1580</v>
      </c>
      <c r="M37" s="827">
        <v>22</v>
      </c>
    </row>
    <row r="38" spans="1:20" ht="47.25" customHeight="1">
      <c r="A38" s="832">
        <v>23</v>
      </c>
      <c r="B38" s="474" t="s">
        <v>2002</v>
      </c>
      <c r="C38" s="496">
        <v>68</v>
      </c>
      <c r="D38" s="492">
        <v>3914</v>
      </c>
      <c r="E38" s="492">
        <f t="shared" si="5"/>
        <v>3982</v>
      </c>
      <c r="F38" s="496">
        <v>50</v>
      </c>
      <c r="G38" s="492">
        <v>3358</v>
      </c>
      <c r="H38" s="500">
        <f t="shared" si="6"/>
        <v>3408</v>
      </c>
      <c r="I38" s="492">
        <v>40</v>
      </c>
      <c r="J38" s="492">
        <v>2995</v>
      </c>
      <c r="K38" s="500">
        <f t="shared" si="4"/>
        <v>3035</v>
      </c>
      <c r="L38" s="765" t="s">
        <v>2003</v>
      </c>
      <c r="M38" s="887">
        <v>23</v>
      </c>
    </row>
    <row r="39" spans="1:20" ht="44.1" customHeight="1">
      <c r="A39" s="835">
        <v>24</v>
      </c>
      <c r="B39" s="622" t="s">
        <v>1569</v>
      </c>
      <c r="C39" s="640">
        <v>132</v>
      </c>
      <c r="D39" s="641">
        <v>914</v>
      </c>
      <c r="E39" s="641">
        <f t="shared" si="5"/>
        <v>1046</v>
      </c>
      <c r="F39" s="640">
        <v>90</v>
      </c>
      <c r="G39" s="641">
        <v>747</v>
      </c>
      <c r="H39" s="642">
        <f t="shared" si="6"/>
        <v>837</v>
      </c>
      <c r="I39" s="641">
        <v>80</v>
      </c>
      <c r="J39" s="641">
        <v>678</v>
      </c>
      <c r="K39" s="642">
        <f t="shared" si="4"/>
        <v>758</v>
      </c>
      <c r="L39" s="768" t="s">
        <v>1581</v>
      </c>
      <c r="M39" s="827">
        <v>24</v>
      </c>
    </row>
    <row r="40" spans="1:20" ht="42.95" customHeight="1">
      <c r="A40" s="832">
        <v>25</v>
      </c>
      <c r="B40" s="474" t="s">
        <v>461</v>
      </c>
      <c r="C40" s="496">
        <v>25</v>
      </c>
      <c r="D40" s="492">
        <v>2788</v>
      </c>
      <c r="E40" s="492">
        <f t="shared" si="5"/>
        <v>2813</v>
      </c>
      <c r="F40" s="496">
        <v>29</v>
      </c>
      <c r="G40" s="492">
        <v>2581</v>
      </c>
      <c r="H40" s="500">
        <f t="shared" si="6"/>
        <v>2610</v>
      </c>
      <c r="I40" s="492">
        <v>28</v>
      </c>
      <c r="J40" s="492">
        <v>2026</v>
      </c>
      <c r="K40" s="500">
        <f t="shared" si="4"/>
        <v>2054</v>
      </c>
      <c r="L40" s="765" t="s">
        <v>625</v>
      </c>
      <c r="M40" s="887">
        <v>25</v>
      </c>
      <c r="Q40" s="1"/>
      <c r="R40" s="2" t="s">
        <v>1170</v>
      </c>
      <c r="S40" s="2" t="s">
        <v>1306</v>
      </c>
      <c r="T40" s="2" t="s">
        <v>1780</v>
      </c>
    </row>
    <row r="41" spans="1:20" ht="44.1" customHeight="1">
      <c r="A41" s="835">
        <v>26</v>
      </c>
      <c r="B41" s="622" t="s">
        <v>1570</v>
      </c>
      <c r="C41" s="640">
        <v>261</v>
      </c>
      <c r="D41" s="641">
        <v>1295</v>
      </c>
      <c r="E41" s="641">
        <f t="shared" si="5"/>
        <v>1556</v>
      </c>
      <c r="F41" s="640">
        <v>213</v>
      </c>
      <c r="G41" s="641">
        <v>1098</v>
      </c>
      <c r="H41" s="642">
        <f t="shared" si="6"/>
        <v>1311</v>
      </c>
      <c r="I41" s="641">
        <v>179</v>
      </c>
      <c r="J41" s="641">
        <v>985</v>
      </c>
      <c r="K41" s="642">
        <f t="shared" si="4"/>
        <v>1164</v>
      </c>
      <c r="L41" s="768" t="s">
        <v>1582</v>
      </c>
      <c r="M41" s="827">
        <v>26</v>
      </c>
      <c r="Q41" s="1"/>
      <c r="R41" s="1">
        <v>1394</v>
      </c>
      <c r="S41" s="1">
        <v>1395</v>
      </c>
      <c r="T41" s="1">
        <v>1396</v>
      </c>
    </row>
    <row r="42" spans="1:20" ht="44.1" customHeight="1">
      <c r="A42" s="832">
        <v>27</v>
      </c>
      <c r="B42" s="474" t="s">
        <v>1571</v>
      </c>
      <c r="C42" s="496" t="s">
        <v>14</v>
      </c>
      <c r="D42" s="492">
        <v>1742</v>
      </c>
      <c r="E42" s="492">
        <f>D42</f>
        <v>1742</v>
      </c>
      <c r="F42" s="496" t="s">
        <v>14</v>
      </c>
      <c r="G42" s="492">
        <v>1550</v>
      </c>
      <c r="H42" s="500">
        <f>G42</f>
        <v>1550</v>
      </c>
      <c r="I42" s="492" t="s">
        <v>14</v>
      </c>
      <c r="J42" s="492">
        <v>1026</v>
      </c>
      <c r="K42" s="500">
        <f>J42</f>
        <v>1026</v>
      </c>
      <c r="L42" s="765" t="s">
        <v>1583</v>
      </c>
      <c r="M42" s="887">
        <v>27</v>
      </c>
      <c r="Q42" s="1" t="s">
        <v>1101</v>
      </c>
      <c r="R42" s="1">
        <v>171609</v>
      </c>
      <c r="S42" s="1">
        <v>182344</v>
      </c>
      <c r="T42" s="1">
        <v>184729</v>
      </c>
    </row>
    <row r="43" spans="1:20" ht="44.1" customHeight="1">
      <c r="A43" s="835">
        <v>28</v>
      </c>
      <c r="B43" s="622" t="s">
        <v>1572</v>
      </c>
      <c r="C43" s="640" t="s">
        <v>14</v>
      </c>
      <c r="D43" s="641">
        <v>910</v>
      </c>
      <c r="E43" s="641">
        <f>D43</f>
        <v>910</v>
      </c>
      <c r="F43" s="640" t="s">
        <v>14</v>
      </c>
      <c r="G43" s="641">
        <v>974</v>
      </c>
      <c r="H43" s="642">
        <f>G43</f>
        <v>974</v>
      </c>
      <c r="I43" s="641" t="s">
        <v>14</v>
      </c>
      <c r="J43" s="641">
        <v>780</v>
      </c>
      <c r="K43" s="642">
        <f>J43</f>
        <v>780</v>
      </c>
      <c r="L43" s="768" t="s">
        <v>1584</v>
      </c>
      <c r="M43" s="827">
        <v>28</v>
      </c>
      <c r="Q43" s="1" t="s">
        <v>1102</v>
      </c>
      <c r="R43" s="1">
        <v>135247</v>
      </c>
      <c r="S43" s="1">
        <v>141303</v>
      </c>
      <c r="T43" s="1">
        <v>140008</v>
      </c>
    </row>
    <row r="44" spans="1:20" ht="42.95" customHeight="1">
      <c r="A44" s="832">
        <v>29</v>
      </c>
      <c r="B44" s="474" t="s">
        <v>1573</v>
      </c>
      <c r="C44" s="496">
        <v>206</v>
      </c>
      <c r="D44" s="492">
        <v>1329</v>
      </c>
      <c r="E44" s="492">
        <f t="shared" si="5"/>
        <v>1535</v>
      </c>
      <c r="F44" s="496">
        <v>122</v>
      </c>
      <c r="G44" s="492">
        <v>1148</v>
      </c>
      <c r="H44" s="500">
        <f t="shared" ref="H44:H47" si="7">G44+F44</f>
        <v>1270</v>
      </c>
      <c r="I44" s="492">
        <v>68</v>
      </c>
      <c r="J44" s="492">
        <v>1090</v>
      </c>
      <c r="K44" s="500">
        <f>J44+I44</f>
        <v>1158</v>
      </c>
      <c r="L44" s="765" t="s">
        <v>1936</v>
      </c>
      <c r="M44" s="887">
        <v>29</v>
      </c>
      <c r="Q44" s="1" t="s">
        <v>1083</v>
      </c>
      <c r="R44" s="1">
        <v>36362</v>
      </c>
      <c r="S44" s="1">
        <v>41041</v>
      </c>
      <c r="T44" s="1">
        <v>44721</v>
      </c>
    </row>
    <row r="45" spans="1:20" ht="42.95" customHeight="1">
      <c r="A45" s="835">
        <v>30</v>
      </c>
      <c r="B45" s="622" t="s">
        <v>1574</v>
      </c>
      <c r="C45" s="640">
        <v>163</v>
      </c>
      <c r="D45" s="641">
        <v>612</v>
      </c>
      <c r="E45" s="641">
        <f t="shared" si="5"/>
        <v>775</v>
      </c>
      <c r="F45" s="640">
        <v>175</v>
      </c>
      <c r="G45" s="641">
        <v>821</v>
      </c>
      <c r="H45" s="642">
        <f t="shared" si="7"/>
        <v>996</v>
      </c>
      <c r="I45" s="641">
        <v>80</v>
      </c>
      <c r="J45" s="641">
        <v>515</v>
      </c>
      <c r="K45" s="642">
        <f>J45+I45</f>
        <v>595</v>
      </c>
      <c r="L45" s="768" t="s">
        <v>1937</v>
      </c>
      <c r="M45" s="827">
        <v>30</v>
      </c>
      <c r="Q45" s="1"/>
      <c r="R45" s="1"/>
      <c r="S45" s="1"/>
      <c r="T45" s="1"/>
    </row>
    <row r="46" spans="1:20" ht="42.95" customHeight="1">
      <c r="A46" s="832">
        <v>31</v>
      </c>
      <c r="B46" s="474" t="s">
        <v>1575</v>
      </c>
      <c r="C46" s="496">
        <v>269</v>
      </c>
      <c r="D46" s="492">
        <v>760</v>
      </c>
      <c r="E46" s="492">
        <f t="shared" si="5"/>
        <v>1029</v>
      </c>
      <c r="F46" s="496">
        <v>196</v>
      </c>
      <c r="G46" s="492">
        <v>690</v>
      </c>
      <c r="H46" s="500">
        <f t="shared" si="7"/>
        <v>886</v>
      </c>
      <c r="I46" s="492">
        <v>205</v>
      </c>
      <c r="J46" s="492">
        <v>637</v>
      </c>
      <c r="K46" s="500">
        <f>J46+I46</f>
        <v>842</v>
      </c>
      <c r="L46" s="765" t="s">
        <v>1587</v>
      </c>
      <c r="M46" s="887">
        <v>31</v>
      </c>
      <c r="Q46" s="1"/>
      <c r="R46" s="1"/>
      <c r="S46" s="1"/>
      <c r="T46" s="1"/>
    </row>
    <row r="47" spans="1:20" ht="42.95" customHeight="1">
      <c r="A47" s="835">
        <v>32</v>
      </c>
      <c r="B47" s="622" t="s">
        <v>1576</v>
      </c>
      <c r="C47" s="640">
        <v>79</v>
      </c>
      <c r="D47" s="641">
        <v>419</v>
      </c>
      <c r="E47" s="641">
        <f t="shared" si="5"/>
        <v>498</v>
      </c>
      <c r="F47" s="640">
        <v>43</v>
      </c>
      <c r="G47" s="641">
        <v>237</v>
      </c>
      <c r="H47" s="642">
        <f t="shared" si="7"/>
        <v>280</v>
      </c>
      <c r="I47" s="641">
        <v>23</v>
      </c>
      <c r="J47" s="641">
        <v>76</v>
      </c>
      <c r="K47" s="642">
        <f>J47+I47</f>
        <v>99</v>
      </c>
      <c r="L47" s="768" t="s">
        <v>1939</v>
      </c>
      <c r="M47" s="827">
        <v>32</v>
      </c>
      <c r="Q47" s="1"/>
      <c r="R47" s="1"/>
      <c r="S47" s="1"/>
      <c r="T47" s="1"/>
    </row>
    <row r="48" spans="1:20" ht="44.1" customHeight="1">
      <c r="A48" s="832">
        <v>33</v>
      </c>
      <c r="B48" s="474" t="s">
        <v>1577</v>
      </c>
      <c r="C48" s="496" t="s">
        <v>14</v>
      </c>
      <c r="D48" s="492">
        <v>270</v>
      </c>
      <c r="E48" s="492">
        <f>D48</f>
        <v>270</v>
      </c>
      <c r="F48" s="496">
        <v>1</v>
      </c>
      <c r="G48" s="492">
        <v>183</v>
      </c>
      <c r="H48" s="500">
        <f>G48+F48</f>
        <v>184</v>
      </c>
      <c r="I48" s="492" t="s">
        <v>14</v>
      </c>
      <c r="J48" s="492">
        <v>71</v>
      </c>
      <c r="K48" s="500">
        <f>J48</f>
        <v>71</v>
      </c>
      <c r="L48" s="765" t="s">
        <v>1589</v>
      </c>
      <c r="M48" s="887">
        <v>33</v>
      </c>
      <c r="Q48" s="1"/>
      <c r="R48" s="1"/>
      <c r="S48" s="1"/>
      <c r="T48" s="1"/>
    </row>
    <row r="49" spans="1:24" ht="44.1" customHeight="1">
      <c r="A49" s="835">
        <v>34</v>
      </c>
      <c r="B49" s="622" t="s">
        <v>1578</v>
      </c>
      <c r="C49" s="640">
        <v>279</v>
      </c>
      <c r="D49" s="641">
        <v>423</v>
      </c>
      <c r="E49" s="641">
        <f t="shared" si="5"/>
        <v>702</v>
      </c>
      <c r="F49" s="640">
        <v>124</v>
      </c>
      <c r="G49" s="641">
        <v>249</v>
      </c>
      <c r="H49" s="642">
        <f t="shared" ref="H49" si="8">G49+F49</f>
        <v>373</v>
      </c>
      <c r="I49" s="641">
        <v>56</v>
      </c>
      <c r="J49" s="641">
        <v>114</v>
      </c>
      <c r="K49" s="642">
        <f>J49+I49</f>
        <v>170</v>
      </c>
      <c r="L49" s="768" t="s">
        <v>1590</v>
      </c>
      <c r="M49" s="827">
        <v>34</v>
      </c>
      <c r="Q49" s="1"/>
      <c r="R49" s="1"/>
      <c r="S49" s="1"/>
      <c r="T49" s="1"/>
    </row>
    <row r="50" spans="1:24" ht="46.5" customHeight="1">
      <c r="A50" s="832">
        <v>35</v>
      </c>
      <c r="B50" s="474" t="s">
        <v>2004</v>
      </c>
      <c r="C50" s="496">
        <v>14</v>
      </c>
      <c r="D50" s="492">
        <v>529</v>
      </c>
      <c r="E50" s="492">
        <f>D50+C50</f>
        <v>543</v>
      </c>
      <c r="F50" s="496">
        <v>13</v>
      </c>
      <c r="G50" s="492">
        <v>419</v>
      </c>
      <c r="H50" s="500">
        <f>G50+F50</f>
        <v>432</v>
      </c>
      <c r="I50" s="492">
        <v>11</v>
      </c>
      <c r="J50" s="492">
        <v>254</v>
      </c>
      <c r="K50" s="500">
        <f>J50+I50</f>
        <v>265</v>
      </c>
      <c r="L50" s="432" t="s">
        <v>2005</v>
      </c>
      <c r="M50" s="887">
        <v>35</v>
      </c>
      <c r="N50" s="229" t="s">
        <v>1165</v>
      </c>
      <c r="O50" s="415">
        <v>0</v>
      </c>
      <c r="P50" s="414">
        <v>0</v>
      </c>
      <c r="Q50" s="414">
        <f t="shared" ref="Q50" si="9">P50+O50</f>
        <v>0</v>
      </c>
      <c r="R50" s="415">
        <v>20</v>
      </c>
      <c r="S50" s="414">
        <v>28</v>
      </c>
      <c r="T50" s="414">
        <f>S50+R50</f>
        <v>48</v>
      </c>
      <c r="U50" s="415" t="s">
        <v>14</v>
      </c>
      <c r="V50" s="414" t="s">
        <v>14</v>
      </c>
      <c r="W50" s="417" t="s">
        <v>14</v>
      </c>
      <c r="X50" s="412" t="s">
        <v>1197</v>
      </c>
    </row>
    <row r="51" spans="1:24" ht="44.1" customHeight="1">
      <c r="A51" s="835">
        <v>36</v>
      </c>
      <c r="B51" s="622" t="s">
        <v>1777</v>
      </c>
      <c r="C51" s="640">
        <v>38</v>
      </c>
      <c r="D51" s="641">
        <v>66</v>
      </c>
      <c r="E51" s="641">
        <f>D51+C51</f>
        <v>104</v>
      </c>
      <c r="F51" s="640" t="s">
        <v>14</v>
      </c>
      <c r="G51" s="641" t="s">
        <v>14</v>
      </c>
      <c r="H51" s="642" t="s">
        <v>14</v>
      </c>
      <c r="I51" s="641" t="s">
        <v>14</v>
      </c>
      <c r="J51" s="641" t="s">
        <v>14</v>
      </c>
      <c r="K51" s="642" t="s">
        <v>14</v>
      </c>
      <c r="L51" s="768" t="s">
        <v>1776</v>
      </c>
      <c r="M51" s="827">
        <v>36</v>
      </c>
      <c r="N51" s="229"/>
      <c r="O51" s="492"/>
      <c r="P51" s="492"/>
      <c r="Q51" s="492"/>
      <c r="R51" s="492"/>
      <c r="S51" s="492"/>
      <c r="T51" s="492"/>
      <c r="U51" s="492"/>
      <c r="V51" s="492"/>
      <c r="W51" s="492"/>
      <c r="X51" s="471"/>
    </row>
    <row r="52" spans="1:24" ht="42.95" customHeight="1">
      <c r="A52" s="833">
        <v>37</v>
      </c>
      <c r="B52" s="388" t="s">
        <v>1779</v>
      </c>
      <c r="C52" s="497">
        <v>7</v>
      </c>
      <c r="D52" s="494">
        <v>116</v>
      </c>
      <c r="E52" s="494">
        <f>D52+C52</f>
        <v>123</v>
      </c>
      <c r="F52" s="497" t="s">
        <v>14</v>
      </c>
      <c r="G52" s="494" t="s">
        <v>14</v>
      </c>
      <c r="H52" s="501" t="s">
        <v>14</v>
      </c>
      <c r="I52" s="494" t="s">
        <v>14</v>
      </c>
      <c r="J52" s="494" t="s">
        <v>14</v>
      </c>
      <c r="K52" s="501" t="s">
        <v>14</v>
      </c>
      <c r="L52" s="587" t="s">
        <v>1938</v>
      </c>
      <c r="M52" s="888">
        <v>37</v>
      </c>
      <c r="N52" s="229"/>
      <c r="O52" s="492"/>
      <c r="P52" s="492"/>
      <c r="Q52" s="492"/>
      <c r="R52" s="492"/>
      <c r="S52" s="492"/>
      <c r="T52" s="492"/>
      <c r="U52" s="492"/>
      <c r="V52" s="492"/>
      <c r="W52" s="492"/>
      <c r="X52" s="471"/>
    </row>
    <row r="53" spans="1:24" ht="26.1" customHeight="1">
      <c r="A53" s="886"/>
      <c r="B53" s="1416" t="s">
        <v>27</v>
      </c>
      <c r="C53" s="1416"/>
      <c r="D53" s="1416"/>
      <c r="E53" s="1422" t="s">
        <v>626</v>
      </c>
      <c r="F53" s="1422"/>
      <c r="G53" s="1422"/>
      <c r="H53" s="1422"/>
      <c r="I53" s="1422"/>
      <c r="J53" s="1415" t="s">
        <v>24</v>
      </c>
      <c r="K53" s="1415"/>
      <c r="L53" s="1415"/>
      <c r="M53" s="884"/>
    </row>
    <row r="54" spans="1:24" ht="33" customHeight="1">
      <c r="A54" s="886"/>
      <c r="B54" s="1420" t="s">
        <v>1879</v>
      </c>
      <c r="C54" s="1420"/>
      <c r="D54" s="1420"/>
      <c r="E54" s="1420"/>
      <c r="F54" s="1420"/>
      <c r="G54" s="1420"/>
      <c r="H54" s="1420"/>
      <c r="I54" s="1420"/>
      <c r="J54" s="1420"/>
      <c r="K54" s="1420"/>
      <c r="L54" s="1420"/>
      <c r="M54" s="883"/>
    </row>
    <row r="55" spans="1:24" ht="33" customHeight="1"/>
    <row r="62" spans="1:24">
      <c r="P62" s="1"/>
      <c r="Q62" s="1"/>
      <c r="R62" s="1"/>
      <c r="S62" s="1"/>
    </row>
    <row r="63" spans="1:24">
      <c r="P63" s="1"/>
      <c r="Q63" s="1"/>
      <c r="R63" s="1"/>
      <c r="S63" s="1"/>
    </row>
    <row r="64" spans="1:24">
      <c r="P64" s="1"/>
    </row>
    <row r="65" spans="16:16">
      <c r="P65" s="1"/>
    </row>
    <row r="66" spans="16:16">
      <c r="P66" s="1"/>
    </row>
  </sheetData>
  <mergeCells count="32">
    <mergeCell ref="M4:M8"/>
    <mergeCell ref="A4:A8"/>
    <mergeCell ref="A30:A34"/>
    <mergeCell ref="M30:M34"/>
    <mergeCell ref="A1:M1"/>
    <mergeCell ref="A2:M2"/>
    <mergeCell ref="A3:M3"/>
    <mergeCell ref="C31:E31"/>
    <mergeCell ref="B4:B8"/>
    <mergeCell ref="C4:E4"/>
    <mergeCell ref="F4:H4"/>
    <mergeCell ref="I4:K4"/>
    <mergeCell ref="L4:L8"/>
    <mergeCell ref="I5:K5"/>
    <mergeCell ref="F5:H5"/>
    <mergeCell ref="C5:E5"/>
    <mergeCell ref="B54:L54"/>
    <mergeCell ref="Q11:Q12"/>
    <mergeCell ref="R11:R12"/>
    <mergeCell ref="B53:D53"/>
    <mergeCell ref="J53:L53"/>
    <mergeCell ref="E53:I53"/>
    <mergeCell ref="F31:H31"/>
    <mergeCell ref="I31:K31"/>
    <mergeCell ref="B29:D29"/>
    <mergeCell ref="K29:L29"/>
    <mergeCell ref="E29:J29"/>
    <mergeCell ref="B30:B34"/>
    <mergeCell ref="C30:E30"/>
    <mergeCell ref="F30:H30"/>
    <mergeCell ref="I30:K30"/>
    <mergeCell ref="L30:L34"/>
  </mergeCells>
  <pageMargins left="0.28999999999999998" right="0.22" top="0.43307086614173201" bottom="0.74803149606299202" header="0.27559055118110198" footer="0.511811023622047"/>
  <pageSetup paperSize="9" scale="68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3"/>
  <sheetViews>
    <sheetView view="pageBreakPreview" topLeftCell="A40" zoomScale="90" zoomScaleSheetLayoutView="90" workbookViewId="0">
      <selection activeCell="I43" sqref="I43"/>
    </sheetView>
  </sheetViews>
  <sheetFormatPr defaultRowHeight="15"/>
  <cols>
    <col min="1" max="1" width="5.85546875" customWidth="1"/>
    <col min="2" max="2" width="17.140625" customWidth="1"/>
    <col min="3" max="3" width="6" customWidth="1"/>
    <col min="4" max="4" width="10.28515625" customWidth="1"/>
    <col min="5" max="5" width="9.42578125" customWidth="1"/>
    <col min="6" max="6" width="5.85546875" customWidth="1"/>
    <col min="7" max="7" width="10" customWidth="1"/>
    <col min="8" max="8" width="8.7109375" customWidth="1"/>
    <col min="9" max="9" width="6.28515625" customWidth="1"/>
    <col min="10" max="10" width="9.85546875" customWidth="1"/>
    <col min="11" max="11" width="9" customWidth="1"/>
    <col min="12" max="12" width="12.5703125" customWidth="1"/>
    <col min="13" max="13" width="5.5703125" customWidth="1"/>
    <col min="14" max="14" width="11" bestFit="1" customWidth="1"/>
  </cols>
  <sheetData>
    <row r="1" spans="1:18" ht="20.100000000000001" customHeight="1">
      <c r="A1" s="1729" t="s">
        <v>911</v>
      </c>
      <c r="B1" s="1729"/>
      <c r="C1" s="1729"/>
      <c r="D1" s="1729"/>
      <c r="E1" s="1729"/>
      <c r="F1" s="1729"/>
      <c r="G1" s="1729"/>
      <c r="H1" s="1729"/>
      <c r="I1" s="1729"/>
      <c r="J1" s="1729"/>
      <c r="K1" s="1729"/>
      <c r="L1" s="1729"/>
      <c r="M1" s="1729"/>
    </row>
    <row r="2" spans="1:18" ht="20.100000000000001" customHeight="1">
      <c r="A2" s="1757" t="s">
        <v>912</v>
      </c>
      <c r="B2" s="1757"/>
      <c r="C2" s="1757"/>
      <c r="D2" s="1757"/>
      <c r="E2" s="1757"/>
      <c r="F2" s="1757"/>
      <c r="G2" s="1757"/>
      <c r="H2" s="1757"/>
      <c r="I2" s="1757"/>
      <c r="J2" s="1757"/>
      <c r="K2" s="1757"/>
      <c r="L2" s="1757"/>
      <c r="M2" s="1757"/>
    </row>
    <row r="3" spans="1:18" ht="20.100000000000001" customHeight="1">
      <c r="A3" s="1729" t="s">
        <v>913</v>
      </c>
      <c r="B3" s="1729"/>
      <c r="C3" s="1729"/>
      <c r="D3" s="1729"/>
      <c r="E3" s="1729"/>
      <c r="F3" s="1729"/>
      <c r="G3" s="1729"/>
      <c r="H3" s="1729"/>
      <c r="I3" s="1729"/>
      <c r="J3" s="1729"/>
      <c r="K3" s="1729"/>
      <c r="L3" s="1729"/>
      <c r="M3" s="1729"/>
      <c r="P3">
        <f>D8-G8</f>
        <v>137467</v>
      </c>
    </row>
    <row r="4" spans="1:18" ht="20.100000000000001" customHeight="1">
      <c r="A4" s="1412" t="s">
        <v>2026</v>
      </c>
      <c r="B4" s="1731" t="s">
        <v>413</v>
      </c>
      <c r="C4" s="1731" t="s">
        <v>1808</v>
      </c>
      <c r="D4" s="1734"/>
      <c r="E4" s="1734"/>
      <c r="F4" s="1731" t="s">
        <v>1312</v>
      </c>
      <c r="G4" s="1734"/>
      <c r="H4" s="1734"/>
      <c r="I4" s="1736" t="s">
        <v>1259</v>
      </c>
      <c r="J4" s="1737"/>
      <c r="K4" s="1738"/>
      <c r="L4" s="1613" t="s">
        <v>411</v>
      </c>
      <c r="M4" s="1412" t="s">
        <v>2027</v>
      </c>
      <c r="P4">
        <f>E8-H8</f>
        <v>-1488</v>
      </c>
    </row>
    <row r="5" spans="1:18" ht="20.100000000000001" customHeight="1">
      <c r="A5" s="1491"/>
      <c r="B5" s="1732"/>
      <c r="C5" s="1760" t="s">
        <v>299</v>
      </c>
      <c r="D5" s="356" t="s">
        <v>225</v>
      </c>
      <c r="E5" s="90" t="s">
        <v>300</v>
      </c>
      <c r="F5" s="1760" t="s">
        <v>299</v>
      </c>
      <c r="G5" s="356" t="s">
        <v>225</v>
      </c>
      <c r="H5" s="90" t="s">
        <v>300</v>
      </c>
      <c r="I5" s="356" t="s">
        <v>299</v>
      </c>
      <c r="J5" s="356" t="s">
        <v>225</v>
      </c>
      <c r="K5" s="90" t="s">
        <v>300</v>
      </c>
      <c r="L5" s="1758"/>
      <c r="M5" s="1491"/>
    </row>
    <row r="6" spans="1:18" ht="20.100000000000001" customHeight="1">
      <c r="A6" s="1491"/>
      <c r="B6" s="1732"/>
      <c r="C6" s="1761"/>
      <c r="D6" s="357" t="s">
        <v>553</v>
      </c>
      <c r="E6" s="89" t="s">
        <v>554</v>
      </c>
      <c r="F6" s="1761"/>
      <c r="G6" s="357" t="s">
        <v>553</v>
      </c>
      <c r="H6" s="89" t="s">
        <v>554</v>
      </c>
      <c r="I6" s="357"/>
      <c r="J6" s="357" t="s">
        <v>553</v>
      </c>
      <c r="K6" s="89" t="s">
        <v>554</v>
      </c>
      <c r="L6" s="1758"/>
      <c r="M6" s="1491"/>
    </row>
    <row r="7" spans="1:18" ht="20.100000000000001" customHeight="1">
      <c r="A7" s="1413"/>
      <c r="B7" s="1733"/>
      <c r="C7" s="91" t="s">
        <v>301</v>
      </c>
      <c r="D7" s="1287" t="s">
        <v>62</v>
      </c>
      <c r="E7" s="1288" t="s">
        <v>73</v>
      </c>
      <c r="F7" s="91" t="s">
        <v>301</v>
      </c>
      <c r="G7" s="1287" t="s">
        <v>62</v>
      </c>
      <c r="H7" s="1288" t="s">
        <v>73</v>
      </c>
      <c r="I7" s="91" t="s">
        <v>301</v>
      </c>
      <c r="J7" s="1287" t="s">
        <v>62</v>
      </c>
      <c r="K7" s="1288" t="s">
        <v>73</v>
      </c>
      <c r="L7" s="1759"/>
      <c r="M7" s="1413"/>
      <c r="Q7">
        <f>3552+1699+6513+18391</f>
        <v>30155</v>
      </c>
    </row>
    <row r="8" spans="1:18" ht="18" customHeight="1">
      <c r="A8" s="688"/>
      <c r="B8" s="712" t="s">
        <v>28</v>
      </c>
      <c r="C8" s="1289">
        <f>D8/E8</f>
        <v>46.616570064407576</v>
      </c>
      <c r="D8" s="719">
        <f>D9+D14+D15+D16+D17+D18+D19+D20+D21+D22+D23+D24+D25+D26+D27+D28+D29+D30+D31+D32+D33+D34+D35+D36+D37+D38+D39+D40+D41+D42+D43+D44+D45+D46</f>
        <v>8533303</v>
      </c>
      <c r="E8" s="997">
        <f>E9+E14+E15+E16+E17+E18+E19+E20+E21+E22+E23+E24+E25+E26+E27+E28+E29+E30+E31+E32+E33+E34+E35+E36+E37+E38+E39+E40+E41+E42+E43+E44+E45+E46</f>
        <v>183053</v>
      </c>
      <c r="F8" s="1290">
        <f>G8/H8</f>
        <v>45.495776006415916</v>
      </c>
      <c r="G8" s="719">
        <f>G9+G14+G15+G16+G17+G18+G19+G20+G21+G22+G23+G24+G25+G26+G27+G28+G29+G30+G31+G32+G33+G34+G35+G36+G37+G38+G39+G40+G41+G42+G43+G44+G45+G46</f>
        <v>8395836</v>
      </c>
      <c r="H8" s="997">
        <f>H9+H14+H15+H16+H17+H18+H19+H20+H21+H22+H23+H24+H25+H26+H27+H28+H29+H30+H31+H32+H33+H34+H35+H36+H37+H38+H39+H40+H41+H42+H43+H44+H45+H46</f>
        <v>184541</v>
      </c>
      <c r="I8" s="1289">
        <f>J8/K8</f>
        <v>46.407818673984373</v>
      </c>
      <c r="J8" s="719">
        <f>J9+J14+J15+J16+J17+J18+J19+J20+J21+J22+J23+J24+J25+J26+J27+J28+J29+J30+J31+J32+J33+J34+J35+J36+J37+J38+J39+J40+J41+J42+J43+J44+J45+J46</f>
        <v>8726387</v>
      </c>
      <c r="K8" s="997">
        <f>K9+K14+K15+K16+K17+K18+K19+K20+K21+K22+K23+K24+K25+K26+K27+K28+K29+K30+K31+K32+K33+K34+K35+K36+K37+K38+K39+K40+K41+K42+K43+K44+K45+K46</f>
        <v>188037</v>
      </c>
      <c r="L8" s="972" t="s">
        <v>627</v>
      </c>
      <c r="M8" s="689"/>
      <c r="N8" s="959"/>
      <c r="Q8" s="51"/>
    </row>
    <row r="9" spans="1:18" ht="18" customHeight="1">
      <c r="A9" s="933">
        <v>1</v>
      </c>
      <c r="B9" s="563" t="s">
        <v>113</v>
      </c>
      <c r="C9" s="564">
        <f>D9/E9</f>
        <v>46.931185402147932</v>
      </c>
      <c r="D9" s="981">
        <v>1393997</v>
      </c>
      <c r="E9" s="565">
        <v>29703</v>
      </c>
      <c r="F9" s="354">
        <f>G9/H9</f>
        <v>44.213563256508039</v>
      </c>
      <c r="G9" s="981">
        <v>1333260</v>
      </c>
      <c r="H9" s="565">
        <f>5251+24904</f>
        <v>30155</v>
      </c>
      <c r="I9" s="564">
        <f>J9/K9</f>
        <v>42.091405453409202</v>
      </c>
      <c r="J9" s="981">
        <v>1279705</v>
      </c>
      <c r="K9" s="565">
        <f>25168+5235</f>
        <v>30403</v>
      </c>
      <c r="L9" s="308" t="s">
        <v>114</v>
      </c>
      <c r="M9" s="948">
        <v>1</v>
      </c>
      <c r="N9" s="1025"/>
      <c r="Q9" s="51"/>
    </row>
    <row r="10" spans="1:18" ht="18" customHeight="1">
      <c r="A10" s="1693">
        <v>2</v>
      </c>
      <c r="B10" s="1762" t="s">
        <v>234</v>
      </c>
      <c r="C10" s="1763">
        <f>D10/E10</f>
        <v>44.258654474199872</v>
      </c>
      <c r="D10" s="1764">
        <v>1084160</v>
      </c>
      <c r="E10" s="1748">
        <v>24496</v>
      </c>
      <c r="F10" s="1765">
        <f>G10/H10</f>
        <v>41.642507227754578</v>
      </c>
      <c r="G10" s="1764">
        <v>1037065</v>
      </c>
      <c r="H10" s="1748">
        <v>24904</v>
      </c>
      <c r="I10" s="1770">
        <f>J10/K10</f>
        <v>39.279680546725999</v>
      </c>
      <c r="J10" s="1764">
        <v>988591</v>
      </c>
      <c r="K10" s="1748">
        <v>25168</v>
      </c>
      <c r="L10" s="1050" t="s">
        <v>235</v>
      </c>
      <c r="M10" s="1693">
        <v>2</v>
      </c>
      <c r="N10" s="1767"/>
      <c r="Q10" s="51"/>
    </row>
    <row r="11" spans="1:18" ht="18" customHeight="1">
      <c r="A11" s="1693"/>
      <c r="B11" s="1762"/>
      <c r="C11" s="1763"/>
      <c r="D11" s="1764"/>
      <c r="E11" s="1748"/>
      <c r="F11" s="1765"/>
      <c r="G11" s="1764"/>
      <c r="H11" s="1748"/>
      <c r="I11" s="1770"/>
      <c r="J11" s="1764"/>
      <c r="K11" s="1748"/>
      <c r="L11" s="1050" t="s">
        <v>551</v>
      </c>
      <c r="M11" s="1693"/>
      <c r="N11" s="1767"/>
      <c r="O11">
        <f>14449-14524</f>
        <v>-75</v>
      </c>
      <c r="Q11" s="51"/>
    </row>
    <row r="12" spans="1:18" ht="18" customHeight="1">
      <c r="A12" s="1693"/>
      <c r="B12" s="1762" t="s">
        <v>236</v>
      </c>
      <c r="C12" s="1763"/>
      <c r="D12" s="1764"/>
      <c r="E12" s="1748"/>
      <c r="F12" s="1765"/>
      <c r="G12" s="1764"/>
      <c r="H12" s="1748"/>
      <c r="I12" s="1770"/>
      <c r="J12" s="1764"/>
      <c r="K12" s="1748"/>
      <c r="L12" s="1050" t="s">
        <v>237</v>
      </c>
      <c r="M12" s="1693"/>
      <c r="N12" s="1767"/>
      <c r="Q12" s="51"/>
    </row>
    <row r="13" spans="1:18" ht="18" customHeight="1">
      <c r="A13" s="1693"/>
      <c r="B13" s="1762"/>
      <c r="C13" s="1763"/>
      <c r="D13" s="1764"/>
      <c r="E13" s="1748"/>
      <c r="F13" s="1765"/>
      <c r="G13" s="1764"/>
      <c r="H13" s="1748"/>
      <c r="I13" s="1770"/>
      <c r="J13" s="1764"/>
      <c r="K13" s="1748"/>
      <c r="L13" s="1050" t="s">
        <v>552</v>
      </c>
      <c r="M13" s="1693"/>
      <c r="N13" s="1025"/>
      <c r="Q13" s="51"/>
    </row>
    <row r="14" spans="1:18" ht="18" customHeight="1">
      <c r="A14" s="1291">
        <v>3</v>
      </c>
      <c r="B14" s="563" t="s">
        <v>238</v>
      </c>
      <c r="C14" s="564">
        <f>D14/E14</f>
        <v>43.888209310227658</v>
      </c>
      <c r="D14" s="981">
        <v>129163</v>
      </c>
      <c r="E14" s="982">
        <v>2943</v>
      </c>
      <c r="F14" s="354">
        <f>G14/H14</f>
        <v>41.572413793103451</v>
      </c>
      <c r="G14" s="355">
        <v>126588</v>
      </c>
      <c r="H14" s="360">
        <v>3045</v>
      </c>
      <c r="I14" s="1292">
        <f>J14/K14</f>
        <v>43.3544921875</v>
      </c>
      <c r="J14" s="355">
        <v>133185</v>
      </c>
      <c r="K14" s="360">
        <v>3072</v>
      </c>
      <c r="L14" s="308" t="s">
        <v>239</v>
      </c>
      <c r="M14" s="1293">
        <v>3</v>
      </c>
      <c r="N14" s="1025"/>
      <c r="O14">
        <f>14449+873</f>
        <v>15322</v>
      </c>
      <c r="Q14" s="51"/>
    </row>
    <row r="15" spans="1:18" ht="18" customHeight="1">
      <c r="A15" s="1296">
        <v>4</v>
      </c>
      <c r="B15" s="1022" t="s">
        <v>240</v>
      </c>
      <c r="C15" s="1027">
        <f t="shared" ref="C15:C46" si="0">D15/E15</f>
        <v>34.476207839562441</v>
      </c>
      <c r="D15" s="983">
        <v>189102</v>
      </c>
      <c r="E15" s="985">
        <v>5485</v>
      </c>
      <c r="F15" s="1026">
        <f t="shared" ref="F15:F46" si="1">G15/H15</f>
        <v>32.953648219950651</v>
      </c>
      <c r="G15" s="720">
        <v>186979</v>
      </c>
      <c r="H15" s="1017">
        <v>5674</v>
      </c>
      <c r="I15" s="1027">
        <f t="shared" ref="I15:I46" si="2">J15/K15</f>
        <v>32.567508417508421</v>
      </c>
      <c r="J15" s="720">
        <v>193451</v>
      </c>
      <c r="K15" s="1017">
        <v>5940</v>
      </c>
      <c r="L15" s="1050" t="s">
        <v>241</v>
      </c>
      <c r="M15" s="1297">
        <v>4</v>
      </c>
      <c r="N15" s="1025"/>
      <c r="Q15" s="132"/>
      <c r="R15">
        <f>184541-180421</f>
        <v>4120</v>
      </c>
    </row>
    <row r="16" spans="1:18" ht="18" customHeight="1">
      <c r="A16" s="1291">
        <v>5</v>
      </c>
      <c r="B16" s="563" t="s">
        <v>1108</v>
      </c>
      <c r="C16" s="564">
        <f t="shared" si="0"/>
        <v>35.975287496941519</v>
      </c>
      <c r="D16" s="981">
        <v>147031</v>
      </c>
      <c r="E16" s="982">
        <v>4087</v>
      </c>
      <c r="F16" s="354">
        <f t="shared" si="1"/>
        <v>36.247041777348464</v>
      </c>
      <c r="G16" s="355">
        <v>150099</v>
      </c>
      <c r="H16" s="360">
        <v>4141</v>
      </c>
      <c r="I16" s="564">
        <f t="shared" si="2"/>
        <v>42.978723404255319</v>
      </c>
      <c r="J16" s="355">
        <v>175740</v>
      </c>
      <c r="K16" s="360">
        <v>4089</v>
      </c>
      <c r="L16" s="308" t="s">
        <v>1106</v>
      </c>
      <c r="M16" s="1293">
        <v>5</v>
      </c>
      <c r="N16" s="1025"/>
      <c r="Q16" s="51"/>
    </row>
    <row r="17" spans="1:18" ht="18" customHeight="1">
      <c r="A17" s="1296">
        <v>6</v>
      </c>
      <c r="B17" s="1022" t="s">
        <v>242</v>
      </c>
      <c r="C17" s="1027">
        <f t="shared" si="0"/>
        <v>41.795347269049223</v>
      </c>
      <c r="D17" s="983">
        <v>123965</v>
      </c>
      <c r="E17" s="985">
        <v>2966</v>
      </c>
      <c r="F17" s="1026">
        <f t="shared" si="1"/>
        <v>39.397945659377072</v>
      </c>
      <c r="G17" s="720">
        <v>118903</v>
      </c>
      <c r="H17" s="1017">
        <v>3018</v>
      </c>
      <c r="I17" s="1027">
        <f t="shared" si="2"/>
        <v>39.945497630331751</v>
      </c>
      <c r="J17" s="720">
        <v>117999</v>
      </c>
      <c r="K17" s="1017">
        <v>2954</v>
      </c>
      <c r="L17" s="1050" t="s">
        <v>243</v>
      </c>
      <c r="M17" s="1297">
        <v>6</v>
      </c>
      <c r="N17" s="1025"/>
      <c r="O17">
        <f>15249-873</f>
        <v>14376</v>
      </c>
      <c r="Q17" s="51"/>
    </row>
    <row r="18" spans="1:18" ht="18" customHeight="1">
      <c r="A18" s="1291">
        <v>7</v>
      </c>
      <c r="B18" s="563" t="s">
        <v>244</v>
      </c>
      <c r="C18" s="564">
        <f t="shared" si="0"/>
        <v>52.656014306819067</v>
      </c>
      <c r="D18" s="981">
        <v>677209</v>
      </c>
      <c r="E18" s="982">
        <v>12861</v>
      </c>
      <c r="F18" s="354">
        <f t="shared" si="1"/>
        <v>49.698857099025851</v>
      </c>
      <c r="G18" s="355">
        <v>647924</v>
      </c>
      <c r="H18" s="360">
        <v>13037</v>
      </c>
      <c r="I18" s="564">
        <f t="shared" si="2"/>
        <v>52.472591054076105</v>
      </c>
      <c r="J18" s="355">
        <v>707383</v>
      </c>
      <c r="K18" s="360">
        <v>13481</v>
      </c>
      <c r="L18" s="308" t="s">
        <v>245</v>
      </c>
      <c r="M18" s="1293">
        <v>7</v>
      </c>
      <c r="N18" s="1025"/>
      <c r="Q18" s="51"/>
    </row>
    <row r="19" spans="1:18" ht="18" customHeight="1">
      <c r="A19" s="1296">
        <v>8</v>
      </c>
      <c r="B19" s="1022" t="s">
        <v>246</v>
      </c>
      <c r="C19" s="1027">
        <f t="shared" si="0"/>
        <v>45.578003120124805</v>
      </c>
      <c r="D19" s="983">
        <v>175293</v>
      </c>
      <c r="E19" s="985">
        <v>3846</v>
      </c>
      <c r="F19" s="1026">
        <f t="shared" si="1"/>
        <v>46.48422712933754</v>
      </c>
      <c r="G19" s="720">
        <v>176826</v>
      </c>
      <c r="H19" s="1017">
        <v>3804</v>
      </c>
      <c r="I19" s="1027">
        <f t="shared" si="2"/>
        <v>43.535976505139502</v>
      </c>
      <c r="J19" s="720">
        <v>177888</v>
      </c>
      <c r="K19" s="1017">
        <v>4086</v>
      </c>
      <c r="L19" s="1050" t="s">
        <v>247</v>
      </c>
      <c r="M19" s="1297">
        <v>8</v>
      </c>
      <c r="N19" s="1025"/>
      <c r="Q19" s="51"/>
    </row>
    <row r="20" spans="1:18" ht="18" customHeight="1">
      <c r="A20" s="1291">
        <v>9</v>
      </c>
      <c r="B20" s="107" t="s">
        <v>248</v>
      </c>
      <c r="C20" s="564">
        <f t="shared" si="0"/>
        <v>32.607272727272729</v>
      </c>
      <c r="D20" s="981">
        <v>35868</v>
      </c>
      <c r="E20" s="982">
        <v>1100</v>
      </c>
      <c r="F20" s="354">
        <f t="shared" si="1"/>
        <v>30.825301204819276</v>
      </c>
      <c r="G20" s="355">
        <v>35819</v>
      </c>
      <c r="H20" s="360">
        <v>1162</v>
      </c>
      <c r="I20" s="564">
        <f t="shared" si="2"/>
        <v>34.213636363636361</v>
      </c>
      <c r="J20" s="355">
        <v>37635</v>
      </c>
      <c r="K20" s="360">
        <v>1100</v>
      </c>
      <c r="L20" s="1052" t="s">
        <v>249</v>
      </c>
      <c r="M20" s="1293">
        <v>9</v>
      </c>
      <c r="N20" s="1025"/>
      <c r="Q20" s="51"/>
    </row>
    <row r="21" spans="1:18" ht="18" customHeight="1">
      <c r="A21" s="1296">
        <v>10</v>
      </c>
      <c r="B21" s="1022" t="s">
        <v>250</v>
      </c>
      <c r="C21" s="1027">
        <f t="shared" si="0"/>
        <v>35.955657492354739</v>
      </c>
      <c r="D21" s="983">
        <v>305695</v>
      </c>
      <c r="E21" s="985">
        <v>8502</v>
      </c>
      <c r="F21" s="1026">
        <f t="shared" si="1"/>
        <v>34.063493892601983</v>
      </c>
      <c r="G21" s="720">
        <v>295603</v>
      </c>
      <c r="H21" s="1017">
        <v>8678</v>
      </c>
      <c r="I21" s="1027">
        <f t="shared" si="2"/>
        <v>35.308762825804926</v>
      </c>
      <c r="J21" s="720">
        <v>299383</v>
      </c>
      <c r="K21" s="1017">
        <v>8479</v>
      </c>
      <c r="L21" s="964" t="s">
        <v>122</v>
      </c>
      <c r="M21" s="1297">
        <v>10</v>
      </c>
      <c r="N21" s="1025"/>
      <c r="Q21" s="51"/>
    </row>
    <row r="22" spans="1:18" ht="18" customHeight="1">
      <c r="A22" s="1291">
        <v>11</v>
      </c>
      <c r="B22" s="563" t="s">
        <v>251</v>
      </c>
      <c r="C22" s="564">
        <f t="shared" si="0"/>
        <v>41.651059791205313</v>
      </c>
      <c r="D22" s="981">
        <v>131659</v>
      </c>
      <c r="E22" s="982">
        <v>3161</v>
      </c>
      <c r="F22" s="354">
        <f t="shared" si="1"/>
        <v>42.494453248811411</v>
      </c>
      <c r="G22" s="355">
        <v>134070</v>
      </c>
      <c r="H22" s="360">
        <v>3155</v>
      </c>
      <c r="I22" s="564">
        <f t="shared" si="2"/>
        <v>42.27264627264627</v>
      </c>
      <c r="J22" s="355">
        <v>142332</v>
      </c>
      <c r="K22" s="360">
        <v>3367</v>
      </c>
      <c r="L22" s="308" t="s">
        <v>252</v>
      </c>
      <c r="M22" s="1293">
        <v>11</v>
      </c>
      <c r="N22" s="1025"/>
      <c r="Q22" s="51"/>
    </row>
    <row r="23" spans="1:18" ht="18" customHeight="1">
      <c r="A23" s="1296">
        <v>12</v>
      </c>
      <c r="B23" s="1022" t="s">
        <v>253</v>
      </c>
      <c r="C23" s="1027">
        <f t="shared" si="0"/>
        <v>57.168659127625205</v>
      </c>
      <c r="D23" s="983">
        <v>353874</v>
      </c>
      <c r="E23" s="985">
        <v>6190</v>
      </c>
      <c r="F23" s="1026">
        <f t="shared" si="1"/>
        <v>56.620467744467113</v>
      </c>
      <c r="G23" s="720">
        <v>360729</v>
      </c>
      <c r="H23" s="1017">
        <v>6371</v>
      </c>
      <c r="I23" s="1027">
        <f t="shared" si="2"/>
        <v>55.91211884284597</v>
      </c>
      <c r="J23" s="720">
        <v>357558</v>
      </c>
      <c r="K23" s="1017">
        <v>6395</v>
      </c>
      <c r="L23" s="1050" t="s">
        <v>254</v>
      </c>
      <c r="M23" s="1297">
        <v>12</v>
      </c>
      <c r="N23" s="1025"/>
      <c r="Q23" s="51"/>
    </row>
    <row r="24" spans="1:18" ht="18" customHeight="1">
      <c r="A24" s="1291">
        <v>13</v>
      </c>
      <c r="B24" s="563" t="s">
        <v>255</v>
      </c>
      <c r="C24" s="564">
        <f t="shared" si="0"/>
        <v>44.166156982670742</v>
      </c>
      <c r="D24" s="981">
        <v>129981</v>
      </c>
      <c r="E24" s="982">
        <v>2943</v>
      </c>
      <c r="F24" s="354">
        <f t="shared" si="1"/>
        <v>45.486672656483975</v>
      </c>
      <c r="G24" s="355">
        <v>151880</v>
      </c>
      <c r="H24" s="360">
        <v>3339</v>
      </c>
      <c r="I24" s="564">
        <f t="shared" si="2"/>
        <v>52.749550089982002</v>
      </c>
      <c r="J24" s="355">
        <v>175867</v>
      </c>
      <c r="K24" s="360">
        <v>3334</v>
      </c>
      <c r="L24" s="308" t="s">
        <v>256</v>
      </c>
      <c r="M24" s="1293">
        <v>13</v>
      </c>
      <c r="N24" s="1025"/>
      <c r="Q24" s="51"/>
    </row>
    <row r="25" spans="1:18" ht="18" customHeight="1">
      <c r="A25" s="1296">
        <v>14</v>
      </c>
      <c r="B25" s="1022" t="s">
        <v>257</v>
      </c>
      <c r="C25" s="1027">
        <f t="shared" si="0"/>
        <v>50.931163594470043</v>
      </c>
      <c r="D25" s="983">
        <v>176833</v>
      </c>
      <c r="E25" s="985">
        <v>3472</v>
      </c>
      <c r="F25" s="1026">
        <f t="shared" si="1"/>
        <v>59.196915351506455</v>
      </c>
      <c r="G25" s="720">
        <v>165041</v>
      </c>
      <c r="H25" s="1017">
        <v>2788</v>
      </c>
      <c r="I25" s="1027">
        <f t="shared" si="2"/>
        <v>57.883862688482516</v>
      </c>
      <c r="J25" s="720">
        <v>180424</v>
      </c>
      <c r="K25" s="1017">
        <v>3117</v>
      </c>
      <c r="L25" s="1050" t="s">
        <v>258</v>
      </c>
      <c r="M25" s="1297">
        <v>14</v>
      </c>
      <c r="N25" s="1025"/>
      <c r="Q25" s="51"/>
    </row>
    <row r="26" spans="1:18" ht="18" customHeight="1">
      <c r="A26" s="1291">
        <v>15</v>
      </c>
      <c r="B26" s="563" t="s">
        <v>259</v>
      </c>
      <c r="C26" s="564">
        <f t="shared" si="0"/>
        <v>68.590179873602338</v>
      </c>
      <c r="D26" s="981">
        <v>282180</v>
      </c>
      <c r="E26" s="982">
        <v>4114</v>
      </c>
      <c r="F26" s="354">
        <f t="shared" si="1"/>
        <v>72.997894182679659</v>
      </c>
      <c r="G26" s="355">
        <v>277319</v>
      </c>
      <c r="H26" s="360">
        <v>3799</v>
      </c>
      <c r="I26" s="564">
        <f t="shared" si="2"/>
        <v>66.278238993710687</v>
      </c>
      <c r="J26" s="355">
        <v>263456</v>
      </c>
      <c r="K26" s="360">
        <v>3975</v>
      </c>
      <c r="L26" s="308" t="s">
        <v>260</v>
      </c>
      <c r="M26" s="1293">
        <v>15</v>
      </c>
      <c r="N26" s="1025"/>
      <c r="Q26" s="51"/>
    </row>
    <row r="27" spans="1:18" ht="18" customHeight="1">
      <c r="A27" s="1296">
        <v>16</v>
      </c>
      <c r="B27" s="1022" t="s">
        <v>261</v>
      </c>
      <c r="C27" s="1027">
        <f t="shared" si="0"/>
        <v>45.733236574746009</v>
      </c>
      <c r="D27" s="983">
        <v>157551</v>
      </c>
      <c r="E27" s="985">
        <v>3445</v>
      </c>
      <c r="F27" s="1026">
        <f t="shared" si="1"/>
        <v>44.540268456375841</v>
      </c>
      <c r="G27" s="720">
        <v>159276</v>
      </c>
      <c r="H27" s="1017">
        <v>3576</v>
      </c>
      <c r="I27" s="1027">
        <f t="shared" si="2"/>
        <v>47.158088235294116</v>
      </c>
      <c r="J27" s="720">
        <v>166751</v>
      </c>
      <c r="K27" s="1017">
        <v>3536</v>
      </c>
      <c r="L27" s="1050" t="s">
        <v>783</v>
      </c>
      <c r="M27" s="1297">
        <v>16</v>
      </c>
      <c r="N27" s="1025"/>
      <c r="Q27" s="51"/>
    </row>
    <row r="28" spans="1:18" ht="18" customHeight="1">
      <c r="A28" s="1291">
        <v>17</v>
      </c>
      <c r="B28" s="563" t="s">
        <v>262</v>
      </c>
      <c r="C28" s="564">
        <f t="shared" si="0"/>
        <v>34.348364279398766</v>
      </c>
      <c r="D28" s="981">
        <v>38848</v>
      </c>
      <c r="E28" s="982">
        <v>1131</v>
      </c>
      <c r="F28" s="354">
        <f t="shared" si="1"/>
        <v>30.026604068857591</v>
      </c>
      <c r="G28" s="355">
        <v>38374</v>
      </c>
      <c r="H28" s="360">
        <v>1278</v>
      </c>
      <c r="I28" s="564">
        <f t="shared" si="2"/>
        <v>47.923561859732075</v>
      </c>
      <c r="J28" s="355">
        <v>60815</v>
      </c>
      <c r="K28" s="360">
        <v>1269</v>
      </c>
      <c r="L28" s="308" t="s">
        <v>263</v>
      </c>
      <c r="M28" s="1293">
        <v>17</v>
      </c>
      <c r="N28" s="1025"/>
      <c r="Q28" s="51"/>
    </row>
    <row r="29" spans="1:18" ht="18" customHeight="1">
      <c r="A29" s="1296">
        <v>18</v>
      </c>
      <c r="B29" s="1022" t="s">
        <v>264</v>
      </c>
      <c r="C29" s="1027">
        <f t="shared" si="0"/>
        <v>33.617782319877364</v>
      </c>
      <c r="D29" s="983">
        <v>328950</v>
      </c>
      <c r="E29" s="985">
        <v>9785</v>
      </c>
      <c r="F29" s="1026">
        <f t="shared" si="1"/>
        <v>33.154652555910545</v>
      </c>
      <c r="G29" s="720">
        <v>332077</v>
      </c>
      <c r="H29" s="1017">
        <v>10016</v>
      </c>
      <c r="I29" s="1027">
        <f t="shared" si="2"/>
        <v>35.707155076985003</v>
      </c>
      <c r="J29" s="720">
        <v>354822</v>
      </c>
      <c r="K29" s="1017">
        <v>9937</v>
      </c>
      <c r="L29" s="1050" t="s">
        <v>265</v>
      </c>
      <c r="M29" s="1297">
        <v>18</v>
      </c>
      <c r="N29" s="1025"/>
      <c r="Q29" s="51"/>
    </row>
    <row r="30" spans="1:18" ht="18" customHeight="1">
      <c r="A30" s="1291">
        <v>19</v>
      </c>
      <c r="B30" s="563" t="s">
        <v>266</v>
      </c>
      <c r="C30" s="564">
        <f t="shared" si="0"/>
        <v>48.014101694915254</v>
      </c>
      <c r="D30" s="981">
        <v>354104</v>
      </c>
      <c r="E30" s="982">
        <v>7375</v>
      </c>
      <c r="F30" s="354">
        <f t="shared" si="1"/>
        <v>43.393721633888049</v>
      </c>
      <c r="G30" s="355">
        <v>344199</v>
      </c>
      <c r="H30" s="360">
        <v>7932</v>
      </c>
      <c r="I30" s="564">
        <f t="shared" si="2"/>
        <v>46.316020191285865</v>
      </c>
      <c r="J30" s="355">
        <v>348667</v>
      </c>
      <c r="K30" s="360">
        <v>7528</v>
      </c>
      <c r="L30" s="1052" t="s">
        <v>267</v>
      </c>
      <c r="M30" s="1293">
        <v>19</v>
      </c>
      <c r="N30" s="1025"/>
      <c r="Q30" s="51"/>
      <c r="R30" s="49">
        <f>31711/D8*100</f>
        <v>0.37161460222378134</v>
      </c>
    </row>
    <row r="31" spans="1:18" ht="18" customHeight="1">
      <c r="A31" s="1296">
        <v>20</v>
      </c>
      <c r="B31" s="1022" t="s">
        <v>296</v>
      </c>
      <c r="C31" s="1027">
        <f t="shared" si="0"/>
        <v>51.74041063186376</v>
      </c>
      <c r="D31" s="983">
        <v>325085</v>
      </c>
      <c r="E31" s="985">
        <v>6283</v>
      </c>
      <c r="F31" s="1026">
        <f t="shared" si="1"/>
        <v>49.014838200473562</v>
      </c>
      <c r="G31" s="720">
        <v>310509</v>
      </c>
      <c r="H31" s="1017">
        <v>6335</v>
      </c>
      <c r="I31" s="1027">
        <f t="shared" si="2"/>
        <v>50.637708830548924</v>
      </c>
      <c r="J31" s="720">
        <v>318258</v>
      </c>
      <c r="K31" s="1017">
        <v>6285</v>
      </c>
      <c r="L31" s="964" t="s">
        <v>268</v>
      </c>
      <c r="M31" s="1297">
        <v>20</v>
      </c>
      <c r="Q31" s="51"/>
    </row>
    <row r="32" spans="1:18" ht="18" customHeight="1">
      <c r="A32" s="1291">
        <v>21</v>
      </c>
      <c r="B32" s="563" t="s">
        <v>269</v>
      </c>
      <c r="C32" s="564">
        <f t="shared" si="0"/>
        <v>46.785106382978725</v>
      </c>
      <c r="D32" s="981">
        <v>109945</v>
      </c>
      <c r="E32" s="960">
        <v>2350</v>
      </c>
      <c r="F32" s="354">
        <f t="shared" si="1"/>
        <v>49.866813186813189</v>
      </c>
      <c r="G32" s="355">
        <v>113447</v>
      </c>
      <c r="H32" s="360">
        <v>2275</v>
      </c>
      <c r="I32" s="564">
        <f t="shared" si="2"/>
        <v>56.032728881026095</v>
      </c>
      <c r="J32" s="355">
        <v>126690</v>
      </c>
      <c r="K32" s="360">
        <v>2261</v>
      </c>
      <c r="L32" s="965" t="s">
        <v>270</v>
      </c>
      <c r="M32" s="1293">
        <v>21</v>
      </c>
      <c r="Q32" s="51"/>
    </row>
    <row r="33" spans="1:21" ht="18" customHeight="1">
      <c r="A33" s="1296">
        <v>22</v>
      </c>
      <c r="B33" s="1022" t="s">
        <v>271</v>
      </c>
      <c r="C33" s="1027">
        <f t="shared" si="0"/>
        <v>45.397261491953408</v>
      </c>
      <c r="D33" s="983">
        <v>510583</v>
      </c>
      <c r="E33" s="989">
        <v>11247</v>
      </c>
      <c r="F33" s="1026">
        <f t="shared" si="1"/>
        <v>44.809785012828449</v>
      </c>
      <c r="G33" s="720">
        <v>506485</v>
      </c>
      <c r="H33" s="1017">
        <v>11303</v>
      </c>
      <c r="I33" s="1027">
        <f t="shared" si="2"/>
        <v>46.159814555633311</v>
      </c>
      <c r="J33" s="720">
        <v>527699</v>
      </c>
      <c r="K33" s="1017">
        <v>11432</v>
      </c>
      <c r="L33" s="964" t="s">
        <v>116</v>
      </c>
      <c r="M33" s="1297">
        <v>22</v>
      </c>
      <c r="Q33" s="51"/>
    </row>
    <row r="34" spans="1:21" ht="18" customHeight="1">
      <c r="A34" s="1291">
        <v>23</v>
      </c>
      <c r="B34" s="563" t="s">
        <v>272</v>
      </c>
      <c r="C34" s="564">
        <f t="shared" si="0"/>
        <v>48.478118876551271</v>
      </c>
      <c r="D34" s="981">
        <v>148440</v>
      </c>
      <c r="E34" s="960">
        <v>3062</v>
      </c>
      <c r="F34" s="354">
        <f t="shared" si="1"/>
        <v>51.643784153005463</v>
      </c>
      <c r="G34" s="355">
        <v>151213</v>
      </c>
      <c r="H34" s="360">
        <v>2928</v>
      </c>
      <c r="I34" s="564">
        <f t="shared" si="2"/>
        <v>54.621916842847078</v>
      </c>
      <c r="J34" s="355">
        <v>155017</v>
      </c>
      <c r="K34" s="360">
        <v>2838</v>
      </c>
      <c r="L34" s="965" t="s">
        <v>273</v>
      </c>
      <c r="M34" s="1293">
        <v>23</v>
      </c>
      <c r="Q34" s="51"/>
    </row>
    <row r="35" spans="1:21" ht="18" customHeight="1">
      <c r="A35" s="1296">
        <v>24</v>
      </c>
      <c r="B35" s="1022" t="s">
        <v>274</v>
      </c>
      <c r="C35" s="1027">
        <f t="shared" si="0"/>
        <v>48.046354297168627</v>
      </c>
      <c r="D35" s="983">
        <v>191753</v>
      </c>
      <c r="E35" s="989">
        <v>3991</v>
      </c>
      <c r="F35" s="1026">
        <f t="shared" si="1"/>
        <v>46.510261854210896</v>
      </c>
      <c r="G35" s="720">
        <v>197157</v>
      </c>
      <c r="H35" s="1017">
        <v>4239</v>
      </c>
      <c r="I35" s="1027">
        <f t="shared" si="2"/>
        <v>52.507737656595431</v>
      </c>
      <c r="J35" s="720">
        <v>213759</v>
      </c>
      <c r="K35" s="1017">
        <v>4071</v>
      </c>
      <c r="L35" s="1050" t="s">
        <v>275</v>
      </c>
      <c r="M35" s="1297">
        <v>24</v>
      </c>
      <c r="Q35" s="51"/>
    </row>
    <row r="36" spans="1:21" ht="18" customHeight="1">
      <c r="A36" s="1291">
        <v>25</v>
      </c>
      <c r="B36" s="18" t="s">
        <v>276</v>
      </c>
      <c r="C36" s="564">
        <f t="shared" si="0"/>
        <v>55.651457975986276</v>
      </c>
      <c r="D36" s="981">
        <v>162224</v>
      </c>
      <c r="E36" s="960">
        <v>2915</v>
      </c>
      <c r="F36" s="354">
        <f t="shared" si="1"/>
        <v>54.736684420772306</v>
      </c>
      <c r="G36" s="355">
        <v>164429</v>
      </c>
      <c r="H36" s="360">
        <v>3004</v>
      </c>
      <c r="I36" s="564">
        <f t="shared" si="2"/>
        <v>56.530999999999999</v>
      </c>
      <c r="J36" s="355">
        <v>169593</v>
      </c>
      <c r="K36" s="360">
        <v>3000</v>
      </c>
      <c r="L36" s="1052" t="s">
        <v>277</v>
      </c>
      <c r="M36" s="1293">
        <v>25</v>
      </c>
      <c r="Q36" s="51"/>
    </row>
    <row r="37" spans="1:21" ht="18" customHeight="1">
      <c r="A37" s="1296">
        <v>26</v>
      </c>
      <c r="B37" s="1022" t="s">
        <v>278</v>
      </c>
      <c r="C37" s="1027">
        <f t="shared" si="0"/>
        <v>43.806429070580016</v>
      </c>
      <c r="D37" s="983">
        <v>62687</v>
      </c>
      <c r="E37" s="989">
        <v>1431</v>
      </c>
      <c r="F37" s="1026">
        <f t="shared" si="1"/>
        <v>55.945488721804509</v>
      </c>
      <c r="G37" s="720">
        <v>59526</v>
      </c>
      <c r="H37" s="1017">
        <v>1064</v>
      </c>
      <c r="I37" s="1027">
        <f t="shared" si="2"/>
        <v>49.455547898001377</v>
      </c>
      <c r="J37" s="720">
        <v>71760</v>
      </c>
      <c r="K37" s="1017">
        <v>1451</v>
      </c>
      <c r="L37" s="1050" t="s">
        <v>279</v>
      </c>
      <c r="M37" s="1297">
        <v>26</v>
      </c>
      <c r="Q37" s="51"/>
    </row>
    <row r="38" spans="1:21" ht="18" customHeight="1">
      <c r="A38" s="1291">
        <v>27</v>
      </c>
      <c r="B38" s="563" t="s">
        <v>280</v>
      </c>
      <c r="C38" s="564">
        <f t="shared" si="0"/>
        <v>55.50584112149533</v>
      </c>
      <c r="D38" s="981">
        <v>47513</v>
      </c>
      <c r="E38" s="960">
        <v>856</v>
      </c>
      <c r="F38" s="354">
        <f t="shared" si="1"/>
        <v>58.02904564315353</v>
      </c>
      <c r="G38" s="355">
        <v>41955</v>
      </c>
      <c r="H38" s="360">
        <v>723</v>
      </c>
      <c r="I38" s="564">
        <f t="shared" si="2"/>
        <v>59.966666666666669</v>
      </c>
      <c r="J38" s="355">
        <v>44975</v>
      </c>
      <c r="K38" s="360">
        <v>750</v>
      </c>
      <c r="L38" s="308" t="s">
        <v>281</v>
      </c>
      <c r="M38" s="1293">
        <v>27</v>
      </c>
      <c r="Q38" s="51"/>
    </row>
    <row r="39" spans="1:21" ht="18" customHeight="1">
      <c r="A39" s="1296">
        <v>28</v>
      </c>
      <c r="B39" s="1022" t="s">
        <v>282</v>
      </c>
      <c r="C39" s="1027">
        <f t="shared" si="0"/>
        <v>59.701226309921964</v>
      </c>
      <c r="D39" s="983">
        <v>214208</v>
      </c>
      <c r="E39" s="989">
        <v>3588</v>
      </c>
      <c r="F39" s="1026">
        <f t="shared" si="1"/>
        <v>45.836671435383884</v>
      </c>
      <c r="G39" s="720">
        <v>192239</v>
      </c>
      <c r="H39" s="1017">
        <v>4194</v>
      </c>
      <c r="I39" s="1027">
        <f t="shared" si="2"/>
        <v>48.362658636265863</v>
      </c>
      <c r="J39" s="720">
        <v>224838</v>
      </c>
      <c r="K39" s="1017">
        <v>4649</v>
      </c>
      <c r="L39" s="1050" t="s">
        <v>283</v>
      </c>
      <c r="M39" s="1297">
        <v>28</v>
      </c>
      <c r="Q39" s="51"/>
    </row>
    <row r="40" spans="1:21" ht="18" customHeight="1">
      <c r="A40" s="1291">
        <v>29</v>
      </c>
      <c r="B40" s="563" t="s">
        <v>284</v>
      </c>
      <c r="C40" s="564">
        <f t="shared" si="0"/>
        <v>44.648063507337021</v>
      </c>
      <c r="D40" s="981">
        <v>185602</v>
      </c>
      <c r="E40" s="960">
        <v>4157</v>
      </c>
      <c r="F40" s="354">
        <f t="shared" si="1"/>
        <v>41.609624413145539</v>
      </c>
      <c r="G40" s="355">
        <v>177257</v>
      </c>
      <c r="H40" s="360">
        <v>4260</v>
      </c>
      <c r="I40" s="564">
        <f t="shared" si="2"/>
        <v>44.662777129521587</v>
      </c>
      <c r="J40" s="355">
        <v>191380</v>
      </c>
      <c r="K40" s="360">
        <v>4285</v>
      </c>
      <c r="L40" s="965" t="s">
        <v>285</v>
      </c>
      <c r="M40" s="1293">
        <v>29</v>
      </c>
      <c r="Q40" s="51"/>
    </row>
    <row r="41" spans="1:21" ht="18" customHeight="1">
      <c r="A41" s="1296">
        <v>30</v>
      </c>
      <c r="B41" s="1022" t="s">
        <v>286</v>
      </c>
      <c r="C41" s="1027">
        <f t="shared" si="0"/>
        <v>42.227532619850464</v>
      </c>
      <c r="D41" s="983">
        <v>288034</v>
      </c>
      <c r="E41" s="989">
        <v>6821</v>
      </c>
      <c r="F41" s="1026">
        <f t="shared" si="1"/>
        <v>53.894562463457419</v>
      </c>
      <c r="G41" s="720">
        <v>276533</v>
      </c>
      <c r="H41" s="1017">
        <v>5131</v>
      </c>
      <c r="I41" s="1027">
        <f t="shared" si="2"/>
        <v>43.802649203750555</v>
      </c>
      <c r="J41" s="720">
        <v>294310</v>
      </c>
      <c r="K41" s="1017">
        <v>6719</v>
      </c>
      <c r="L41" s="964" t="s">
        <v>287</v>
      </c>
      <c r="M41" s="1297">
        <v>30</v>
      </c>
      <c r="Q41" s="51"/>
    </row>
    <row r="42" spans="1:21" ht="18" customHeight="1">
      <c r="A42" s="1291">
        <v>31</v>
      </c>
      <c r="B42" s="563" t="s">
        <v>288</v>
      </c>
      <c r="C42" s="564">
        <f t="shared" si="0"/>
        <v>62.611836734693874</v>
      </c>
      <c r="D42" s="981">
        <v>153399</v>
      </c>
      <c r="E42" s="960">
        <v>2450</v>
      </c>
      <c r="F42" s="354">
        <f t="shared" si="1"/>
        <v>67.824838187702269</v>
      </c>
      <c r="G42" s="355">
        <v>167663</v>
      </c>
      <c r="H42" s="360">
        <v>2472</v>
      </c>
      <c r="I42" s="564">
        <f t="shared" si="2"/>
        <v>71.89359028068705</v>
      </c>
      <c r="J42" s="355">
        <v>171610</v>
      </c>
      <c r="K42" s="360">
        <v>2387</v>
      </c>
      <c r="L42" s="308" t="s">
        <v>289</v>
      </c>
      <c r="M42" s="1293">
        <v>31</v>
      </c>
      <c r="Q42" s="51"/>
    </row>
    <row r="43" spans="1:21" ht="18" customHeight="1">
      <c r="A43" s="1296">
        <v>32</v>
      </c>
      <c r="B43" s="1022" t="s">
        <v>290</v>
      </c>
      <c r="C43" s="1027">
        <f t="shared" si="0"/>
        <v>51.833052985702274</v>
      </c>
      <c r="D43" s="983">
        <v>123259</v>
      </c>
      <c r="E43" s="989">
        <v>2378</v>
      </c>
      <c r="F43" s="1026">
        <f t="shared" si="1"/>
        <v>51.381720430107528</v>
      </c>
      <c r="G43" s="720">
        <v>124241</v>
      </c>
      <c r="H43" s="1017">
        <v>2418</v>
      </c>
      <c r="I43" s="1027">
        <f t="shared" si="2"/>
        <v>56.95945945945946</v>
      </c>
      <c r="J43" s="720">
        <v>134880</v>
      </c>
      <c r="K43" s="1017">
        <v>2368</v>
      </c>
      <c r="L43" s="1050" t="s">
        <v>291</v>
      </c>
      <c r="M43" s="1297">
        <v>32</v>
      </c>
      <c r="Q43" s="51"/>
    </row>
    <row r="44" spans="1:21" ht="18" customHeight="1">
      <c r="A44" s="1291">
        <v>33</v>
      </c>
      <c r="B44" s="563" t="s">
        <v>119</v>
      </c>
      <c r="C44" s="564">
        <f t="shared" si="0"/>
        <v>48.63828477636438</v>
      </c>
      <c r="D44" s="981">
        <v>711189</v>
      </c>
      <c r="E44" s="960">
        <v>14622</v>
      </c>
      <c r="F44" s="354">
        <f t="shared" si="1"/>
        <v>46.431975906769672</v>
      </c>
      <c r="G44" s="355">
        <v>709202</v>
      </c>
      <c r="H44" s="360">
        <v>15274</v>
      </c>
      <c r="I44" s="564">
        <f t="shared" si="2"/>
        <v>47.627050247331425</v>
      </c>
      <c r="J44" s="355">
        <v>731742</v>
      </c>
      <c r="K44" s="360">
        <v>15364</v>
      </c>
      <c r="L44" s="965" t="s">
        <v>120</v>
      </c>
      <c r="M44" s="1293">
        <v>33</v>
      </c>
      <c r="Q44" s="51"/>
    </row>
    <row r="45" spans="1:21" ht="18" customHeight="1">
      <c r="A45" s="1296">
        <v>34</v>
      </c>
      <c r="B45" s="1022" t="s">
        <v>292</v>
      </c>
      <c r="C45" s="1027">
        <f t="shared" si="0"/>
        <v>43.035094796288824</v>
      </c>
      <c r="D45" s="983">
        <v>106684</v>
      </c>
      <c r="E45" s="989">
        <v>2479</v>
      </c>
      <c r="F45" s="1026">
        <f t="shared" si="1"/>
        <v>41.128367670364504</v>
      </c>
      <c r="G45" s="720">
        <v>103808</v>
      </c>
      <c r="H45" s="1017">
        <v>2524</v>
      </c>
      <c r="I45" s="1027">
        <f t="shared" si="2"/>
        <v>43.188017343318883</v>
      </c>
      <c r="J45" s="720">
        <v>109568</v>
      </c>
      <c r="K45" s="1017">
        <v>2537</v>
      </c>
      <c r="L45" s="964" t="s">
        <v>293</v>
      </c>
      <c r="M45" s="1297">
        <v>34</v>
      </c>
      <c r="Q45" s="51"/>
    </row>
    <row r="46" spans="1:21" ht="18" customHeight="1">
      <c r="A46" s="1294">
        <v>35</v>
      </c>
      <c r="B46" s="19" t="s">
        <v>294</v>
      </c>
      <c r="C46" s="67">
        <f t="shared" si="0"/>
        <v>46.723744292237441</v>
      </c>
      <c r="D46" s="1003">
        <v>61395</v>
      </c>
      <c r="E46" s="1000">
        <v>1314</v>
      </c>
      <c r="F46" s="322">
        <f t="shared" si="1"/>
        <v>45.630510846745977</v>
      </c>
      <c r="G46" s="309">
        <v>65206</v>
      </c>
      <c r="H46" s="317">
        <v>1429</v>
      </c>
      <c r="I46" s="67">
        <f t="shared" si="2"/>
        <v>42.615335868187579</v>
      </c>
      <c r="J46" s="309">
        <v>67247</v>
      </c>
      <c r="K46" s="317">
        <v>1578</v>
      </c>
      <c r="L46" s="336" t="s">
        <v>295</v>
      </c>
      <c r="M46" s="1295">
        <v>35</v>
      </c>
      <c r="Q46" s="51"/>
    </row>
    <row r="47" spans="1:21" ht="18" customHeight="1">
      <c r="A47" s="1768" t="s">
        <v>302</v>
      </c>
      <c r="B47" s="1768"/>
      <c r="C47" s="1768"/>
      <c r="D47" s="1768"/>
      <c r="E47" s="1769" t="s">
        <v>785</v>
      </c>
      <c r="F47" s="1769"/>
      <c r="G47" s="1769"/>
      <c r="H47" s="1769"/>
      <c r="I47" s="1769"/>
      <c r="J47" s="1515" t="s">
        <v>118</v>
      </c>
      <c r="K47" s="1515"/>
      <c r="L47" s="1515"/>
      <c r="M47" s="1515"/>
      <c r="S47" s="2" t="s">
        <v>1156</v>
      </c>
      <c r="T47" s="2" t="s">
        <v>1305</v>
      </c>
      <c r="U47" s="2" t="s">
        <v>1774</v>
      </c>
    </row>
    <row r="48" spans="1:21" ht="18" customHeight="1">
      <c r="A48" s="1420" t="s">
        <v>1979</v>
      </c>
      <c r="B48" s="1420"/>
      <c r="C48" s="1420"/>
      <c r="D48" s="1420"/>
      <c r="E48" s="1420"/>
      <c r="F48" s="1420"/>
      <c r="G48" s="1420"/>
      <c r="H48" s="1420"/>
      <c r="I48" s="1420"/>
      <c r="J48" s="1420"/>
      <c r="K48" s="1420"/>
      <c r="L48" s="1420"/>
      <c r="M48" s="1420"/>
      <c r="S48">
        <v>1394</v>
      </c>
      <c r="T48">
        <v>1395</v>
      </c>
      <c r="U48">
        <v>1396</v>
      </c>
    </row>
    <row r="49" spans="1:21" ht="18" customHeight="1">
      <c r="A49" s="1766" t="s">
        <v>1980</v>
      </c>
      <c r="B49" s="1766"/>
      <c r="C49" s="1766"/>
      <c r="D49" s="1766"/>
      <c r="E49" s="1766"/>
      <c r="F49" s="1766"/>
      <c r="G49" s="1766"/>
      <c r="H49" s="1766"/>
      <c r="I49" s="1766"/>
      <c r="J49" s="1766"/>
      <c r="K49" s="1766"/>
      <c r="L49" s="1766"/>
      <c r="M49" s="1766"/>
      <c r="R49" t="s">
        <v>303</v>
      </c>
      <c r="S49">
        <v>46</v>
      </c>
      <c r="T49">
        <v>45</v>
      </c>
      <c r="U49">
        <v>47</v>
      </c>
    </row>
    <row r="50" spans="1:21" ht="18" customHeight="1">
      <c r="A50" s="1766" t="s">
        <v>1981</v>
      </c>
      <c r="B50" s="1766"/>
      <c r="C50" s="1766"/>
      <c r="D50" s="1766"/>
      <c r="E50" s="1766"/>
      <c r="F50" s="1766"/>
      <c r="G50" s="1766"/>
      <c r="H50" s="1766"/>
      <c r="I50" s="1766"/>
      <c r="J50" s="1766"/>
      <c r="K50" s="1766"/>
      <c r="L50" s="1766"/>
      <c r="M50" s="1766"/>
    </row>
    <row r="51" spans="1:21" ht="10.5" customHeight="1"/>
    <row r="52" spans="1:21" ht="9" customHeight="1"/>
    <row r="53" spans="1:21" ht="19.5" customHeight="1"/>
  </sheetData>
  <mergeCells count="32">
    <mergeCell ref="F10:F13"/>
    <mergeCell ref="A49:M49"/>
    <mergeCell ref="A50:M50"/>
    <mergeCell ref="N10:N12"/>
    <mergeCell ref="B12:B13"/>
    <mergeCell ref="A47:D47"/>
    <mergeCell ref="E47:I47"/>
    <mergeCell ref="J47:M47"/>
    <mergeCell ref="A48:M48"/>
    <mergeCell ref="G10:G13"/>
    <mergeCell ref="H10:H13"/>
    <mergeCell ref="I10:I13"/>
    <mergeCell ref="J10:J13"/>
    <mergeCell ref="K10:K13"/>
    <mergeCell ref="M10:M13"/>
    <mergeCell ref="A10:A13"/>
    <mergeCell ref="B10:B11"/>
    <mergeCell ref="C10:C13"/>
    <mergeCell ref="D10:D13"/>
    <mergeCell ref="E10:E13"/>
    <mergeCell ref="A1:M1"/>
    <mergeCell ref="A2:M2"/>
    <mergeCell ref="A3:M3"/>
    <mergeCell ref="A4:A7"/>
    <mergeCell ref="B4:B7"/>
    <mergeCell ref="C4:E4"/>
    <mergeCell ref="F4:H4"/>
    <mergeCell ref="I4:K4"/>
    <mergeCell ref="L4:L7"/>
    <mergeCell ref="M4:M7"/>
    <mergeCell ref="C5:C6"/>
    <mergeCell ref="F5:F6"/>
  </mergeCells>
  <hyperlinks>
    <hyperlink ref="B37" r:id="rId1" location="FNote1" display="FNote1"/>
  </hyperlinks>
  <pageMargins left="0.55118110236220497" right="0.55118110236220497" top="0.31496062992126" bottom="0.55118110236220497" header="0.196850393700787" footer="0.31496062992126"/>
  <pageSetup paperSize="9" scale="72" orientation="portrait" verticalDpi="300" r:id="rId2"/>
  <headerFooter>
    <oddFooter>&amp;L&amp;"Times New Roman,Bold"Afghanistan Statistical Yearbook 2017-18&amp;R&amp;"Times New Roman,Bold"سالنامۀ احصائیوی / احصا ئيوي کالنی 1396</oddFooter>
  </headerFooter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38"/>
  <sheetViews>
    <sheetView view="pageBreakPreview" topLeftCell="A93" zoomScaleSheetLayoutView="100" workbookViewId="0">
      <selection activeCell="C100" sqref="C100:C101"/>
    </sheetView>
  </sheetViews>
  <sheetFormatPr defaultRowHeight="15"/>
  <cols>
    <col min="1" max="1" width="5.42578125" customWidth="1"/>
    <col min="2" max="2" width="15.42578125" customWidth="1"/>
    <col min="3" max="3" width="11" customWidth="1"/>
    <col min="4" max="4" width="10.28515625" customWidth="1"/>
    <col min="5" max="5" width="10.42578125" customWidth="1"/>
    <col min="6" max="6" width="9.5703125" customWidth="1"/>
    <col min="7" max="7" width="9.140625" style="33" customWidth="1"/>
    <col min="8" max="8" width="9.5703125" customWidth="1"/>
    <col min="9" max="9" width="9.28515625" customWidth="1"/>
    <col min="10" max="10" width="20.28515625" customWidth="1"/>
    <col min="11" max="11" width="4.85546875" customWidth="1"/>
    <col min="12" max="12" width="16.85546875" customWidth="1"/>
    <col min="13" max="13" width="16.28515625" bestFit="1" customWidth="1"/>
    <col min="14" max="14" width="12" customWidth="1"/>
    <col min="15" max="15" width="11.28515625" bestFit="1" customWidth="1"/>
    <col min="16" max="16" width="14.42578125" customWidth="1"/>
    <col min="17" max="17" width="13.140625" customWidth="1"/>
    <col min="18" max="18" width="14.85546875" customWidth="1"/>
    <col min="19" max="19" width="10.5703125" customWidth="1"/>
    <col min="20" max="20" width="11" customWidth="1"/>
    <col min="22" max="23" width="11.85546875" customWidth="1"/>
    <col min="24" max="24" width="15.28515625" customWidth="1"/>
  </cols>
  <sheetData>
    <row r="1" spans="1:28" ht="23.1" customHeight="1">
      <c r="A1" s="1407" t="s">
        <v>1798</v>
      </c>
      <c r="B1" s="1407"/>
      <c r="C1" s="1407"/>
      <c r="D1" s="1407"/>
      <c r="E1" s="1407"/>
      <c r="F1" s="1407"/>
      <c r="G1" s="1407"/>
      <c r="H1" s="1407"/>
      <c r="I1" s="1407"/>
      <c r="J1" s="1407"/>
      <c r="K1" s="1407"/>
      <c r="L1" s="10"/>
      <c r="M1" s="10"/>
      <c r="N1" s="10"/>
      <c r="O1" s="10"/>
      <c r="P1" s="10"/>
    </row>
    <row r="2" spans="1:28" ht="23.1" customHeight="1">
      <c r="A2" s="1407" t="s">
        <v>1799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0"/>
      <c r="M2" s="10"/>
      <c r="N2" s="10"/>
      <c r="O2" s="10"/>
      <c r="P2" s="10"/>
    </row>
    <row r="3" spans="1:28" ht="23.1" customHeight="1">
      <c r="A3" s="1771" t="s">
        <v>1800</v>
      </c>
      <c r="B3" s="1771"/>
      <c r="C3" s="1771"/>
      <c r="D3" s="1771"/>
      <c r="E3" s="1771"/>
      <c r="F3" s="1771"/>
      <c r="G3" s="1771"/>
      <c r="H3" s="1771"/>
      <c r="I3" s="1771"/>
      <c r="J3" s="1771"/>
      <c r="K3" s="1771"/>
      <c r="L3" s="10"/>
      <c r="M3" s="10"/>
      <c r="N3" s="10"/>
      <c r="O3" s="10"/>
      <c r="P3" s="34"/>
      <c r="Q3" s="57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23.1" customHeight="1">
      <c r="A4" s="1412" t="s">
        <v>2026</v>
      </c>
      <c r="B4" s="1772" t="s">
        <v>414</v>
      </c>
      <c r="C4" s="1775" t="s">
        <v>597</v>
      </c>
      <c r="D4" s="1776"/>
      <c r="E4" s="1777"/>
      <c r="F4" s="1778" t="s">
        <v>596</v>
      </c>
      <c r="G4" s="1778"/>
      <c r="H4" s="1778"/>
      <c r="I4" s="1779"/>
      <c r="J4" s="1780" t="s">
        <v>411</v>
      </c>
      <c r="K4" s="1412" t="s">
        <v>2027</v>
      </c>
      <c r="L4" s="1025"/>
      <c r="M4" s="58"/>
      <c r="N4" s="1025"/>
      <c r="O4" s="58"/>
      <c r="P4" s="58"/>
      <c r="Q4" s="58"/>
      <c r="R4" s="58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3.1" customHeight="1">
      <c r="A5" s="1491"/>
      <c r="B5" s="1773"/>
      <c r="C5" s="94" t="s">
        <v>728</v>
      </c>
      <c r="D5" s="93" t="s">
        <v>727</v>
      </c>
      <c r="E5" s="1033" t="s">
        <v>2</v>
      </c>
      <c r="F5" s="71" t="s">
        <v>304</v>
      </c>
      <c r="G5" s="92" t="s">
        <v>305</v>
      </c>
      <c r="H5" s="92" t="s">
        <v>306</v>
      </c>
      <c r="I5" s="1033" t="s">
        <v>2</v>
      </c>
      <c r="J5" s="1781"/>
      <c r="K5" s="1491"/>
      <c r="L5" s="69"/>
      <c r="M5" s="11"/>
      <c r="N5" s="66"/>
      <c r="O5" s="10"/>
      <c r="P5" s="55"/>
      <c r="Q5" s="52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3.1" customHeight="1">
      <c r="A6" s="1491"/>
      <c r="B6" s="1773"/>
      <c r="C6" s="952" t="s">
        <v>547</v>
      </c>
      <c r="D6" s="1054" t="s">
        <v>548</v>
      </c>
      <c r="E6" s="951" t="s">
        <v>499</v>
      </c>
      <c r="F6" s="35" t="s">
        <v>593</v>
      </c>
      <c r="G6" s="1041" t="s">
        <v>594</v>
      </c>
      <c r="H6" s="1041" t="s">
        <v>595</v>
      </c>
      <c r="I6" s="1037" t="s">
        <v>502</v>
      </c>
      <c r="J6" s="1781"/>
      <c r="K6" s="1491"/>
      <c r="L6" s="69"/>
      <c r="M6" s="66"/>
      <c r="N6" s="10"/>
      <c r="O6" s="10"/>
      <c r="P6" s="55"/>
      <c r="Q6" s="52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23.1" customHeight="1">
      <c r="A7" s="1413"/>
      <c r="B7" s="1774"/>
      <c r="C7" s="1270" t="s">
        <v>307</v>
      </c>
      <c r="D7" s="1271" t="s">
        <v>308</v>
      </c>
      <c r="E7" s="1272" t="s">
        <v>28</v>
      </c>
      <c r="F7" s="1273" t="s">
        <v>309</v>
      </c>
      <c r="G7" s="1271" t="s">
        <v>307</v>
      </c>
      <c r="H7" s="1274" t="s">
        <v>308</v>
      </c>
      <c r="I7" s="1272" t="s">
        <v>28</v>
      </c>
      <c r="J7" s="1782"/>
      <c r="K7" s="1413"/>
      <c r="L7" s="10"/>
      <c r="M7" s="11"/>
      <c r="N7" s="11"/>
      <c r="O7" s="54"/>
      <c r="P7" s="11"/>
      <c r="Q7" s="52"/>
      <c r="R7" s="10"/>
      <c r="S7" s="20"/>
      <c r="T7" s="20"/>
      <c r="U7" s="40"/>
      <c r="V7" s="1016"/>
      <c r="W7" s="1016"/>
      <c r="X7" s="1016"/>
      <c r="Y7" s="177"/>
      <c r="Z7" s="75"/>
      <c r="AA7" s="177"/>
      <c r="AB7" s="603"/>
    </row>
    <row r="8" spans="1:28" ht="24.95" customHeight="1">
      <c r="A8" s="1275"/>
      <c r="B8" s="1040" t="s">
        <v>28</v>
      </c>
      <c r="C8" s="983">
        <f t="shared" ref="C8:I8" si="0">C9+C12+C13+C14+C15+C16+C17+C18+C19+C20+C21+C22+C23+C24+C25+C26+C27+C28+C29+C30+C31+C32+C33+C34+C35+C36+C37+C38+C39+C40+C41+C42+C43+C44</f>
        <v>2350588</v>
      </c>
      <c r="D8" s="984">
        <f t="shared" si="0"/>
        <v>3491169</v>
      </c>
      <c r="E8" s="984">
        <f t="shared" si="0"/>
        <v>5841757</v>
      </c>
      <c r="F8" s="983">
        <f t="shared" si="0"/>
        <v>3345</v>
      </c>
      <c r="G8" s="984">
        <f>G9+G12+G13+G14+G15+G16+G17+G18+G19+G20+G21+G22+G23+G24+G25+G26+G27+G28+G29+G30+G31+G32+G33+G34+G35+G36+G37+G38+G39+G40+G41+G42+G43+G44</f>
        <v>778</v>
      </c>
      <c r="H8" s="984">
        <f>H9+H12+H13+H14+H15+H16+H17+H18+H19+H20+H21+H22+H23+H24+H25+H26+H27+H28+H29+H30+H31+H32+H33+H34+H35+H36+H37+H38+H39+H40+H41+H42+H43+H44</f>
        <v>2048</v>
      </c>
      <c r="I8" s="985">
        <f t="shared" si="0"/>
        <v>6171</v>
      </c>
      <c r="J8" s="1044" t="s">
        <v>627</v>
      </c>
      <c r="K8" s="1275"/>
      <c r="L8" s="344">
        <f>E8+E53+E98</f>
        <v>8533303</v>
      </c>
      <c r="M8" s="216">
        <f>I8+I53+I98</f>
        <v>14740</v>
      </c>
      <c r="N8" s="11"/>
      <c r="O8" s="224"/>
      <c r="P8" s="224"/>
      <c r="Q8" s="57"/>
      <c r="R8" s="11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24.95" customHeight="1">
      <c r="A9" s="1276">
        <v>1</v>
      </c>
      <c r="B9" s="1042" t="s">
        <v>113</v>
      </c>
      <c r="C9" s="601">
        <f>305717+89119</f>
        <v>394836</v>
      </c>
      <c r="D9" s="1016">
        <f>129250+323273</f>
        <v>452523</v>
      </c>
      <c r="E9" s="1016">
        <f>D9+C9</f>
        <v>847359</v>
      </c>
      <c r="F9" s="602">
        <f>149+60</f>
        <v>209</v>
      </c>
      <c r="G9" s="603">
        <v>23</v>
      </c>
      <c r="H9" s="603">
        <v>28</v>
      </c>
      <c r="I9" s="333">
        <f>H9+G9++F9</f>
        <v>260</v>
      </c>
      <c r="J9" s="1043" t="s">
        <v>114</v>
      </c>
      <c r="K9" s="1276">
        <v>1</v>
      </c>
      <c r="L9" s="464"/>
      <c r="M9" s="64"/>
      <c r="N9" s="64"/>
      <c r="O9" s="225"/>
      <c r="P9" s="226"/>
      <c r="Q9" s="52"/>
      <c r="R9" s="10"/>
      <c r="S9" s="20"/>
      <c r="T9" s="20"/>
      <c r="U9" s="162"/>
      <c r="V9" s="1016"/>
      <c r="W9" s="1016"/>
      <c r="X9" s="1016"/>
      <c r="Y9" s="603"/>
      <c r="Z9" s="603"/>
      <c r="AA9" s="603"/>
      <c r="AB9" s="603"/>
    </row>
    <row r="10" spans="1:28" ht="24.95" customHeight="1">
      <c r="A10" s="1785">
        <v>2</v>
      </c>
      <c r="B10" s="1022" t="s">
        <v>234</v>
      </c>
      <c r="C10" s="1788">
        <v>305717</v>
      </c>
      <c r="D10" s="1789">
        <v>323273</v>
      </c>
      <c r="E10" s="1789">
        <f>D10+C10</f>
        <v>628990</v>
      </c>
      <c r="F10" s="1790">
        <v>60</v>
      </c>
      <c r="G10" s="1783" t="s">
        <v>14</v>
      </c>
      <c r="H10" s="1783">
        <v>5</v>
      </c>
      <c r="I10" s="1784">
        <f>H10+F10</f>
        <v>65</v>
      </c>
      <c r="J10" s="1044" t="s">
        <v>723</v>
      </c>
      <c r="K10" s="1785">
        <v>2</v>
      </c>
      <c r="L10" s="216"/>
      <c r="M10" s="216"/>
      <c r="N10" s="216"/>
      <c r="O10" s="225"/>
      <c r="P10" s="226"/>
      <c r="Q10" s="51"/>
      <c r="R10" s="11"/>
      <c r="S10" s="11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4.95" customHeight="1">
      <c r="A11" s="1785"/>
      <c r="B11" s="1040" t="s">
        <v>236</v>
      </c>
      <c r="C11" s="1788"/>
      <c r="D11" s="1789"/>
      <c r="E11" s="1789"/>
      <c r="F11" s="1790"/>
      <c r="G11" s="1783"/>
      <c r="H11" s="1783"/>
      <c r="I11" s="1784"/>
      <c r="J11" s="1044" t="s">
        <v>724</v>
      </c>
      <c r="K11" s="1785"/>
      <c r="L11" s="461"/>
      <c r="M11" s="462"/>
      <c r="N11" s="217"/>
      <c r="O11" s="225"/>
      <c r="P11" s="226"/>
      <c r="Q11" s="51"/>
      <c r="R11" s="10"/>
      <c r="S11" s="20"/>
      <c r="T11" s="20"/>
      <c r="U11" s="40"/>
      <c r="V11" s="459"/>
      <c r="W11" s="459"/>
      <c r="X11" s="459"/>
      <c r="Y11" s="459"/>
      <c r="Z11" s="459"/>
      <c r="AA11" s="459"/>
      <c r="AB11" s="459"/>
    </row>
    <row r="12" spans="1:28" ht="24.95" customHeight="1">
      <c r="A12" s="1276">
        <v>3</v>
      </c>
      <c r="B12" s="1042" t="s">
        <v>238</v>
      </c>
      <c r="C12" s="601">
        <v>29749</v>
      </c>
      <c r="D12" s="1016">
        <v>54374</v>
      </c>
      <c r="E12" s="1016">
        <f>D12+C12</f>
        <v>84123</v>
      </c>
      <c r="F12" s="602">
        <v>1</v>
      </c>
      <c r="G12" s="603">
        <v>30</v>
      </c>
      <c r="H12" s="603">
        <v>33</v>
      </c>
      <c r="I12" s="333">
        <f>H12+G12+F12</f>
        <v>64</v>
      </c>
      <c r="J12" s="333" t="s">
        <v>310</v>
      </c>
      <c r="K12" s="1276">
        <v>3</v>
      </c>
      <c r="L12" s="323"/>
      <c r="O12" s="225"/>
      <c r="P12" s="226"/>
      <c r="Q12" s="5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24.95" customHeight="1">
      <c r="A13" s="732">
        <v>4</v>
      </c>
      <c r="B13" s="1040" t="s">
        <v>240</v>
      </c>
      <c r="C13" s="1031">
        <v>52618</v>
      </c>
      <c r="D13" s="1032">
        <v>70799</v>
      </c>
      <c r="E13" s="1032">
        <f t="shared" ref="E13:E43" si="1">D13+C13</f>
        <v>123417</v>
      </c>
      <c r="F13" s="1034">
        <v>70</v>
      </c>
      <c r="G13" s="1035">
        <v>44</v>
      </c>
      <c r="H13" s="1035">
        <v>28</v>
      </c>
      <c r="I13" s="1036">
        <f t="shared" ref="I13:I43" si="2">H13+G13+F13</f>
        <v>142</v>
      </c>
      <c r="J13" s="1036" t="s">
        <v>241</v>
      </c>
      <c r="K13" s="732">
        <v>4</v>
      </c>
      <c r="L13" s="213"/>
      <c r="M13" s="217"/>
      <c r="N13" s="344"/>
      <c r="O13" s="225"/>
      <c r="P13" s="226"/>
      <c r="Q13" s="51"/>
      <c r="R13" s="11"/>
      <c r="S13" s="178"/>
      <c r="T13" s="178"/>
      <c r="U13" s="178"/>
      <c r="V13" s="178"/>
      <c r="W13" s="178"/>
      <c r="X13" s="178"/>
      <c r="Y13" s="179"/>
      <c r="Z13" s="179"/>
      <c r="AA13" s="179"/>
      <c r="AB13" s="179"/>
    </row>
    <row r="14" spans="1:28" ht="24.95" customHeight="1">
      <c r="A14" s="1276">
        <v>5</v>
      </c>
      <c r="B14" s="1042" t="s">
        <v>1108</v>
      </c>
      <c r="C14" s="601">
        <v>32113</v>
      </c>
      <c r="D14" s="1016">
        <v>71573</v>
      </c>
      <c r="E14" s="1016">
        <f t="shared" si="1"/>
        <v>103686</v>
      </c>
      <c r="F14" s="602">
        <v>108</v>
      </c>
      <c r="G14" s="603">
        <v>38</v>
      </c>
      <c r="H14" s="603">
        <v>39</v>
      </c>
      <c r="I14" s="333">
        <f t="shared" si="2"/>
        <v>185</v>
      </c>
      <c r="J14" s="333" t="s">
        <v>1106</v>
      </c>
      <c r="K14" s="1276">
        <v>5</v>
      </c>
      <c r="L14" s="214"/>
      <c r="M14" s="218"/>
      <c r="N14" s="219"/>
      <c r="O14" s="225"/>
      <c r="P14" s="226"/>
      <c r="Q14" s="52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24.95" customHeight="1">
      <c r="A15" s="732">
        <v>6</v>
      </c>
      <c r="B15" s="1040" t="s">
        <v>242</v>
      </c>
      <c r="C15" s="1031">
        <v>29185</v>
      </c>
      <c r="D15" s="1032">
        <v>62038</v>
      </c>
      <c r="E15" s="1032">
        <f t="shared" si="1"/>
        <v>91223</v>
      </c>
      <c r="F15" s="1034">
        <v>49</v>
      </c>
      <c r="G15" s="1035">
        <v>26</v>
      </c>
      <c r="H15" s="1035">
        <v>46</v>
      </c>
      <c r="I15" s="1036">
        <f t="shared" si="2"/>
        <v>121</v>
      </c>
      <c r="J15" s="1036" t="s">
        <v>243</v>
      </c>
      <c r="K15" s="732">
        <v>6</v>
      </c>
      <c r="L15" s="214"/>
      <c r="M15" s="218"/>
      <c r="N15" s="219"/>
      <c r="O15" s="225"/>
      <c r="P15" s="226"/>
      <c r="Q15" s="52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24.95" customHeight="1">
      <c r="A16" s="1276">
        <v>7</v>
      </c>
      <c r="B16" s="1042" t="s">
        <v>311</v>
      </c>
      <c r="C16" s="601">
        <v>183406</v>
      </c>
      <c r="D16" s="1016">
        <v>292549</v>
      </c>
      <c r="E16" s="1016">
        <f t="shared" si="1"/>
        <v>475955</v>
      </c>
      <c r="F16" s="602">
        <v>291</v>
      </c>
      <c r="G16" s="603">
        <v>30</v>
      </c>
      <c r="H16" s="603">
        <v>43</v>
      </c>
      <c r="I16" s="333">
        <f t="shared" si="2"/>
        <v>364</v>
      </c>
      <c r="J16" s="333" t="s">
        <v>245</v>
      </c>
      <c r="K16" s="1276">
        <v>7</v>
      </c>
      <c r="L16" s="214"/>
      <c r="M16" s="218"/>
      <c r="N16" s="219"/>
      <c r="O16" s="225"/>
      <c r="P16" s="226"/>
      <c r="Q16" s="52"/>
      <c r="R16" s="10"/>
      <c r="S16" s="10"/>
      <c r="T16" s="10"/>
      <c r="U16" s="10"/>
    </row>
    <row r="17" spans="1:21" ht="24.95" customHeight="1">
      <c r="A17" s="732">
        <v>8</v>
      </c>
      <c r="B17" s="1040" t="s">
        <v>312</v>
      </c>
      <c r="C17" s="1031">
        <v>51751</v>
      </c>
      <c r="D17" s="1032">
        <v>68984</v>
      </c>
      <c r="E17" s="1032">
        <f t="shared" si="1"/>
        <v>120735</v>
      </c>
      <c r="F17" s="1034">
        <v>46</v>
      </c>
      <c r="G17" s="1035">
        <v>22</v>
      </c>
      <c r="H17" s="1035">
        <v>17</v>
      </c>
      <c r="I17" s="1036">
        <f t="shared" si="2"/>
        <v>85</v>
      </c>
      <c r="J17" s="1036" t="s">
        <v>247</v>
      </c>
      <c r="K17" s="732">
        <v>8</v>
      </c>
      <c r="L17" s="214"/>
      <c r="M17" s="64"/>
      <c r="N17" s="64"/>
      <c r="O17" s="225"/>
      <c r="P17" s="226"/>
      <c r="Q17" s="52"/>
      <c r="R17" s="11"/>
      <c r="S17" s="10"/>
      <c r="T17" s="10"/>
      <c r="U17" s="10"/>
    </row>
    <row r="18" spans="1:21" ht="24.95" customHeight="1">
      <c r="A18" s="1276">
        <v>9</v>
      </c>
      <c r="B18" s="1042" t="s">
        <v>248</v>
      </c>
      <c r="C18" s="601">
        <v>10832</v>
      </c>
      <c r="D18" s="1016">
        <v>10358</v>
      </c>
      <c r="E18" s="1016">
        <f t="shared" si="1"/>
        <v>21190</v>
      </c>
      <c r="F18" s="602">
        <v>30</v>
      </c>
      <c r="G18" s="603">
        <v>4</v>
      </c>
      <c r="H18" s="603">
        <v>1</v>
      </c>
      <c r="I18" s="333">
        <f t="shared" si="2"/>
        <v>35</v>
      </c>
      <c r="J18" s="333" t="s">
        <v>249</v>
      </c>
      <c r="K18" s="1276">
        <v>9</v>
      </c>
      <c r="L18" s="214"/>
      <c r="M18" s="218"/>
      <c r="N18" s="220"/>
      <c r="O18" s="225"/>
      <c r="P18" s="226"/>
      <c r="Q18" s="52"/>
      <c r="R18" s="10"/>
      <c r="S18" s="10"/>
      <c r="T18" s="10"/>
      <c r="U18" s="10"/>
    </row>
    <row r="19" spans="1:21" ht="24.95" customHeight="1">
      <c r="A19" s="732">
        <v>10</v>
      </c>
      <c r="B19" s="1040" t="s">
        <v>121</v>
      </c>
      <c r="C19" s="1031">
        <v>81341</v>
      </c>
      <c r="D19" s="1032">
        <v>118961</v>
      </c>
      <c r="E19" s="1032">
        <f t="shared" si="1"/>
        <v>200302</v>
      </c>
      <c r="F19" s="1034">
        <v>136</v>
      </c>
      <c r="G19" s="1035">
        <v>2</v>
      </c>
      <c r="H19" s="1035">
        <v>7</v>
      </c>
      <c r="I19" s="1036">
        <f t="shared" si="2"/>
        <v>145</v>
      </c>
      <c r="J19" s="1036" t="s">
        <v>122</v>
      </c>
      <c r="K19" s="732">
        <v>10</v>
      </c>
      <c r="L19" s="214"/>
      <c r="M19" s="218"/>
      <c r="N19" s="220"/>
      <c r="O19" s="225"/>
      <c r="P19" s="226"/>
      <c r="Q19" s="52"/>
      <c r="R19" s="10"/>
      <c r="S19" s="10"/>
      <c r="T19" s="10"/>
      <c r="U19" s="10"/>
    </row>
    <row r="20" spans="1:21" ht="24.95" customHeight="1">
      <c r="A20" s="1276">
        <v>11</v>
      </c>
      <c r="B20" s="1042" t="s">
        <v>313</v>
      </c>
      <c r="C20" s="601">
        <v>39590</v>
      </c>
      <c r="D20" s="1016">
        <v>42914</v>
      </c>
      <c r="E20" s="1016">
        <f t="shared" si="1"/>
        <v>82504</v>
      </c>
      <c r="F20" s="602">
        <v>67</v>
      </c>
      <c r="G20" s="603">
        <v>9</v>
      </c>
      <c r="H20" s="603">
        <v>1</v>
      </c>
      <c r="I20" s="333">
        <f t="shared" si="2"/>
        <v>77</v>
      </c>
      <c r="J20" s="333" t="s">
        <v>252</v>
      </c>
      <c r="K20" s="1276">
        <v>11</v>
      </c>
      <c r="L20" s="214"/>
      <c r="M20" s="218"/>
      <c r="N20" s="603"/>
      <c r="O20" s="225"/>
      <c r="P20" s="226"/>
      <c r="Q20" s="52"/>
      <c r="R20" s="10"/>
      <c r="S20" s="10"/>
      <c r="T20" s="10"/>
      <c r="U20" s="10"/>
    </row>
    <row r="21" spans="1:21" ht="24.95" customHeight="1">
      <c r="A21" s="732">
        <v>12</v>
      </c>
      <c r="B21" s="1040" t="s">
        <v>253</v>
      </c>
      <c r="C21" s="1031">
        <v>78613</v>
      </c>
      <c r="D21" s="1032">
        <v>160263</v>
      </c>
      <c r="E21" s="1032">
        <f t="shared" si="1"/>
        <v>238876</v>
      </c>
      <c r="F21" s="1034">
        <v>84</v>
      </c>
      <c r="G21" s="1035">
        <v>13</v>
      </c>
      <c r="H21" s="1035">
        <v>107</v>
      </c>
      <c r="I21" s="1036">
        <f t="shared" si="2"/>
        <v>204</v>
      </c>
      <c r="J21" s="1036" t="s">
        <v>314</v>
      </c>
      <c r="K21" s="732">
        <v>12</v>
      </c>
      <c r="L21" s="214"/>
      <c r="M21" s="64"/>
      <c r="N21" s="177"/>
      <c r="O21" s="225"/>
      <c r="P21" s="226"/>
      <c r="Q21" s="52"/>
      <c r="R21" s="10"/>
      <c r="S21" s="10"/>
      <c r="T21" s="10"/>
      <c r="U21" s="10"/>
    </row>
    <row r="22" spans="1:21" ht="24.95" customHeight="1">
      <c r="A22" s="1276">
        <v>13</v>
      </c>
      <c r="B22" s="1042" t="s">
        <v>255</v>
      </c>
      <c r="C22" s="601">
        <v>17231</v>
      </c>
      <c r="D22" s="1016">
        <v>86724</v>
      </c>
      <c r="E22" s="1016">
        <f t="shared" si="1"/>
        <v>103955</v>
      </c>
      <c r="F22" s="602">
        <v>81</v>
      </c>
      <c r="G22" s="603">
        <v>28</v>
      </c>
      <c r="H22" s="603">
        <v>153</v>
      </c>
      <c r="I22" s="333">
        <f t="shared" si="2"/>
        <v>262</v>
      </c>
      <c r="J22" s="333" t="s">
        <v>256</v>
      </c>
      <c r="K22" s="1276">
        <v>13</v>
      </c>
      <c r="L22" s="64"/>
      <c r="M22" s="64"/>
      <c r="N22" s="64"/>
      <c r="O22" s="225"/>
      <c r="P22" s="226"/>
      <c r="Q22" s="178"/>
      <c r="R22" s="180"/>
      <c r="S22" s="180"/>
      <c r="T22" s="180"/>
      <c r="U22" s="10"/>
    </row>
    <row r="23" spans="1:21" ht="24.95" customHeight="1">
      <c r="A23" s="732">
        <v>14</v>
      </c>
      <c r="B23" s="1040" t="s">
        <v>257</v>
      </c>
      <c r="C23" s="1031">
        <v>44761</v>
      </c>
      <c r="D23" s="1032">
        <v>90918</v>
      </c>
      <c r="E23" s="1032">
        <f t="shared" si="1"/>
        <v>135679</v>
      </c>
      <c r="F23" s="1034">
        <v>47</v>
      </c>
      <c r="G23" s="1035">
        <v>45</v>
      </c>
      <c r="H23" s="1035">
        <v>82</v>
      </c>
      <c r="I23" s="1036">
        <f t="shared" si="2"/>
        <v>174</v>
      </c>
      <c r="J23" s="1036" t="s">
        <v>258</v>
      </c>
      <c r="K23" s="732">
        <v>14</v>
      </c>
      <c r="L23" s="214"/>
      <c r="M23" s="64"/>
      <c r="N23" s="221"/>
      <c r="O23" s="225"/>
      <c r="P23" s="226"/>
      <c r="Q23" s="178"/>
      <c r="R23" s="180"/>
      <c r="S23" s="180"/>
      <c r="T23" s="180"/>
      <c r="U23" s="10"/>
    </row>
    <row r="24" spans="1:21" ht="24.95" customHeight="1">
      <c r="A24" s="1276">
        <v>15</v>
      </c>
      <c r="B24" s="1042" t="s">
        <v>259</v>
      </c>
      <c r="C24" s="601">
        <v>76889</v>
      </c>
      <c r="D24" s="1016">
        <v>144530</v>
      </c>
      <c r="E24" s="1016">
        <f t="shared" si="1"/>
        <v>221419</v>
      </c>
      <c r="F24" s="312">
        <v>43</v>
      </c>
      <c r="G24" s="603">
        <v>36</v>
      </c>
      <c r="H24" s="603">
        <v>100</v>
      </c>
      <c r="I24" s="333">
        <f t="shared" si="2"/>
        <v>179</v>
      </c>
      <c r="J24" s="333" t="s">
        <v>260</v>
      </c>
      <c r="K24" s="1276">
        <v>15</v>
      </c>
      <c r="L24" s="64"/>
      <c r="M24" s="222"/>
      <c r="N24" s="223"/>
      <c r="O24" s="225"/>
      <c r="P24" s="226"/>
      <c r="Q24" s="178"/>
      <c r="R24" s="180"/>
      <c r="S24" s="180"/>
      <c r="T24" s="180"/>
      <c r="U24" s="10"/>
    </row>
    <row r="25" spans="1:21" ht="24.95" customHeight="1">
      <c r="A25" s="732">
        <v>16</v>
      </c>
      <c r="B25" s="1040" t="s">
        <v>261</v>
      </c>
      <c r="C25" s="1031">
        <v>47845</v>
      </c>
      <c r="D25" s="1032">
        <v>70406</v>
      </c>
      <c r="E25" s="1032">
        <f t="shared" si="1"/>
        <v>118251</v>
      </c>
      <c r="F25" s="1034">
        <v>191</v>
      </c>
      <c r="G25" s="1035">
        <v>33</v>
      </c>
      <c r="H25" s="1035">
        <v>28</v>
      </c>
      <c r="I25" s="1036">
        <f>H25+G25+F25</f>
        <v>252</v>
      </c>
      <c r="J25" s="1050" t="s">
        <v>684</v>
      </c>
      <c r="K25" s="732">
        <v>16</v>
      </c>
      <c r="L25" s="64"/>
      <c r="M25" s="64"/>
      <c r="N25" s="64"/>
      <c r="O25" s="225"/>
      <c r="P25" s="226"/>
      <c r="Q25" s="178"/>
      <c r="R25" s="180"/>
      <c r="S25" s="180"/>
      <c r="T25" s="180"/>
      <c r="U25" s="10"/>
    </row>
    <row r="26" spans="1:21" ht="24.95" customHeight="1">
      <c r="A26" s="1276">
        <v>17</v>
      </c>
      <c r="B26" s="1042" t="s">
        <v>315</v>
      </c>
      <c r="C26" s="601">
        <v>13407</v>
      </c>
      <c r="D26" s="1016">
        <v>15655</v>
      </c>
      <c r="E26" s="1016">
        <f t="shared" si="1"/>
        <v>29062</v>
      </c>
      <c r="F26" s="311">
        <v>75</v>
      </c>
      <c r="G26" s="603">
        <v>16</v>
      </c>
      <c r="H26" s="603">
        <v>12</v>
      </c>
      <c r="I26" s="333">
        <f t="shared" si="2"/>
        <v>103</v>
      </c>
      <c r="J26" s="333" t="s">
        <v>263</v>
      </c>
      <c r="K26" s="1276">
        <v>17</v>
      </c>
      <c r="L26" s="64"/>
      <c r="M26" s="222"/>
      <c r="N26" s="223"/>
      <c r="O26" s="225"/>
      <c r="P26" s="226"/>
      <c r="Q26" s="178"/>
      <c r="R26" s="180"/>
      <c r="S26" s="180"/>
      <c r="T26" s="180"/>
      <c r="U26" s="10"/>
    </row>
    <row r="27" spans="1:21" ht="24.95" customHeight="1">
      <c r="A27" s="732">
        <v>18</v>
      </c>
      <c r="B27" s="1040" t="s">
        <v>316</v>
      </c>
      <c r="C27" s="1034">
        <v>98468</v>
      </c>
      <c r="D27" s="1035">
        <v>115399</v>
      </c>
      <c r="E27" s="1032">
        <f t="shared" si="1"/>
        <v>213867</v>
      </c>
      <c r="F27" s="721">
        <v>137</v>
      </c>
      <c r="G27" s="1035">
        <v>8</v>
      </c>
      <c r="H27" s="1035">
        <v>1</v>
      </c>
      <c r="I27" s="1036">
        <f>H27+G27+F27</f>
        <v>146</v>
      </c>
      <c r="J27" s="1036" t="s">
        <v>317</v>
      </c>
      <c r="K27" s="732">
        <v>18</v>
      </c>
      <c r="L27" s="1016"/>
      <c r="M27" s="1016"/>
      <c r="N27" s="1016"/>
      <c r="O27" s="225"/>
      <c r="P27" s="226"/>
      <c r="Q27" s="52"/>
      <c r="R27" s="10"/>
      <c r="S27" s="10"/>
      <c r="T27" s="10"/>
      <c r="U27" s="10"/>
    </row>
    <row r="28" spans="1:21" ht="24.95" customHeight="1">
      <c r="A28" s="1276">
        <v>19</v>
      </c>
      <c r="B28" s="1042" t="s">
        <v>318</v>
      </c>
      <c r="C28" s="601">
        <v>108311</v>
      </c>
      <c r="D28" s="1016">
        <v>137059</v>
      </c>
      <c r="E28" s="1016">
        <f t="shared" si="1"/>
        <v>245370</v>
      </c>
      <c r="F28" s="602">
        <v>242</v>
      </c>
      <c r="G28" s="603">
        <v>17</v>
      </c>
      <c r="H28" s="603">
        <v>5</v>
      </c>
      <c r="I28" s="333">
        <f t="shared" si="2"/>
        <v>264</v>
      </c>
      <c r="J28" s="333" t="s">
        <v>319</v>
      </c>
      <c r="K28" s="1276">
        <v>19</v>
      </c>
      <c r="L28" s="1016"/>
      <c r="M28" s="1016"/>
      <c r="N28" s="1016"/>
      <c r="O28" s="225"/>
      <c r="P28" s="226"/>
      <c r="Q28" s="52"/>
      <c r="R28" s="10"/>
      <c r="S28" s="10"/>
      <c r="T28" s="10"/>
      <c r="U28" s="10"/>
    </row>
    <row r="29" spans="1:21" ht="24.95" customHeight="1">
      <c r="A29" s="732">
        <v>20</v>
      </c>
      <c r="B29" s="1040" t="s">
        <v>333</v>
      </c>
      <c r="C29" s="1031">
        <v>91710</v>
      </c>
      <c r="D29" s="1032">
        <v>140172</v>
      </c>
      <c r="E29" s="1032">
        <f t="shared" si="1"/>
        <v>231882</v>
      </c>
      <c r="F29" s="1034">
        <v>114</v>
      </c>
      <c r="G29" s="1035">
        <v>29</v>
      </c>
      <c r="H29" s="1035">
        <v>20</v>
      </c>
      <c r="I29" s="1036">
        <f t="shared" si="2"/>
        <v>163</v>
      </c>
      <c r="J29" s="1036" t="s">
        <v>268</v>
      </c>
      <c r="K29" s="732">
        <v>20</v>
      </c>
      <c r="L29" s="459"/>
      <c r="M29" s="603"/>
      <c r="N29" s="603"/>
      <c r="O29" s="225"/>
      <c r="P29" s="226"/>
      <c r="Q29" s="52"/>
      <c r="R29" s="10"/>
      <c r="S29" s="10"/>
      <c r="T29" s="10"/>
      <c r="U29" s="10"/>
    </row>
    <row r="30" spans="1:21" ht="24.95" customHeight="1">
      <c r="A30" s="1276">
        <v>21</v>
      </c>
      <c r="B30" s="1042" t="s">
        <v>320</v>
      </c>
      <c r="C30" s="601">
        <v>31485</v>
      </c>
      <c r="D30" s="1016">
        <v>41960</v>
      </c>
      <c r="E30" s="1016">
        <f t="shared" si="1"/>
        <v>73445</v>
      </c>
      <c r="F30" s="602">
        <v>55</v>
      </c>
      <c r="G30" s="603">
        <v>4</v>
      </c>
      <c r="H30" s="603">
        <v>30</v>
      </c>
      <c r="I30" s="333">
        <f t="shared" si="2"/>
        <v>89</v>
      </c>
      <c r="J30" s="333" t="s">
        <v>321</v>
      </c>
      <c r="K30" s="1276">
        <v>21</v>
      </c>
      <c r="L30" s="281"/>
      <c r="M30" s="281"/>
      <c r="N30" s="64"/>
      <c r="O30" s="225"/>
      <c r="P30" s="226"/>
      <c r="Q30" s="52"/>
      <c r="R30" s="10"/>
      <c r="S30" s="10"/>
      <c r="T30" s="10"/>
      <c r="U30" s="10"/>
    </row>
    <row r="31" spans="1:21" ht="24.95" customHeight="1">
      <c r="A31" s="732">
        <v>22</v>
      </c>
      <c r="B31" s="1040" t="s">
        <v>115</v>
      </c>
      <c r="C31" s="1031">
        <v>151910</v>
      </c>
      <c r="D31" s="1032">
        <v>179140</v>
      </c>
      <c r="E31" s="1032">
        <f t="shared" si="1"/>
        <v>331050</v>
      </c>
      <c r="F31" s="1034">
        <v>105</v>
      </c>
      <c r="G31" s="1035">
        <v>3</v>
      </c>
      <c r="H31" s="1035">
        <v>12</v>
      </c>
      <c r="I31" s="1036">
        <f>H31+G31+F31</f>
        <v>120</v>
      </c>
      <c r="J31" s="1036" t="s">
        <v>116</v>
      </c>
      <c r="K31" s="732">
        <v>22</v>
      </c>
      <c r="L31" s="64"/>
      <c r="M31" s="64"/>
      <c r="N31" s="64"/>
      <c r="O31" s="225"/>
      <c r="P31" s="226"/>
      <c r="Q31" s="52"/>
      <c r="R31" s="10"/>
      <c r="S31" s="10"/>
      <c r="T31" s="10"/>
      <c r="U31" s="10"/>
    </row>
    <row r="32" spans="1:21" ht="24.95" customHeight="1">
      <c r="A32" s="1276">
        <v>23</v>
      </c>
      <c r="B32" s="1042" t="s">
        <v>322</v>
      </c>
      <c r="C32" s="601">
        <v>47822</v>
      </c>
      <c r="D32" s="1016">
        <v>59599</v>
      </c>
      <c r="E32" s="1016">
        <f t="shared" si="1"/>
        <v>107421</v>
      </c>
      <c r="F32" s="311">
        <v>96</v>
      </c>
      <c r="G32" s="603">
        <v>40</v>
      </c>
      <c r="H32" s="603">
        <v>16</v>
      </c>
      <c r="I32" s="333">
        <f>H32+G32+F32</f>
        <v>152</v>
      </c>
      <c r="J32" s="333" t="s">
        <v>323</v>
      </c>
      <c r="K32" s="1276">
        <v>23</v>
      </c>
      <c r="L32" s="64"/>
      <c r="M32" s="64"/>
      <c r="N32" s="64"/>
      <c r="O32" s="225"/>
      <c r="P32" s="226"/>
      <c r="Q32" s="52"/>
      <c r="R32" s="10"/>
      <c r="S32" s="10"/>
      <c r="T32" s="10"/>
      <c r="U32" s="10"/>
    </row>
    <row r="33" spans="1:21" ht="24.95" customHeight="1">
      <c r="A33" s="732">
        <v>24</v>
      </c>
      <c r="B33" s="1040" t="s">
        <v>274</v>
      </c>
      <c r="C33" s="1031">
        <v>53016</v>
      </c>
      <c r="D33" s="1032">
        <v>75315</v>
      </c>
      <c r="E33" s="1032">
        <f t="shared" si="1"/>
        <v>128331</v>
      </c>
      <c r="F33" s="1034">
        <v>226</v>
      </c>
      <c r="G33" s="1035">
        <v>88</v>
      </c>
      <c r="H33" s="1035">
        <v>113</v>
      </c>
      <c r="I33" s="1036">
        <f t="shared" si="2"/>
        <v>427</v>
      </c>
      <c r="J33" s="1036" t="s">
        <v>275</v>
      </c>
      <c r="K33" s="732">
        <v>24</v>
      </c>
      <c r="L33" s="64"/>
      <c r="M33" s="64"/>
      <c r="N33" s="64"/>
      <c r="O33" s="225"/>
      <c r="P33" s="226"/>
      <c r="Q33" s="52"/>
      <c r="R33" s="10"/>
      <c r="S33" s="10"/>
      <c r="T33" s="10"/>
      <c r="U33" s="10"/>
    </row>
    <row r="34" spans="1:21" ht="24.95" customHeight="1">
      <c r="A34" s="1276">
        <v>25</v>
      </c>
      <c r="B34" s="1042" t="s">
        <v>276</v>
      </c>
      <c r="C34" s="601">
        <v>42261</v>
      </c>
      <c r="D34" s="1016">
        <v>46949</v>
      </c>
      <c r="E34" s="1016">
        <f t="shared" si="1"/>
        <v>89210</v>
      </c>
      <c r="F34" s="602">
        <v>71</v>
      </c>
      <c r="G34" s="603">
        <v>8</v>
      </c>
      <c r="H34" s="603">
        <v>8</v>
      </c>
      <c r="I34" s="333">
        <f t="shared" si="2"/>
        <v>87</v>
      </c>
      <c r="J34" s="333" t="s">
        <v>277</v>
      </c>
      <c r="K34" s="1276">
        <v>25</v>
      </c>
      <c r="L34" s="64"/>
      <c r="M34" s="64"/>
      <c r="N34" s="64"/>
      <c r="O34" s="225"/>
      <c r="P34" s="226"/>
      <c r="Q34" s="52"/>
      <c r="R34" s="10"/>
      <c r="S34" s="10"/>
      <c r="T34" s="10"/>
      <c r="U34" s="10"/>
    </row>
    <row r="35" spans="1:21" ht="24.95" customHeight="1">
      <c r="A35" s="732">
        <v>26</v>
      </c>
      <c r="B35" s="1040" t="s">
        <v>278</v>
      </c>
      <c r="C35" s="1031">
        <v>7050</v>
      </c>
      <c r="D35" s="1032">
        <v>36599</v>
      </c>
      <c r="E35" s="1032">
        <f t="shared" si="1"/>
        <v>43649</v>
      </c>
      <c r="F35" s="721">
        <v>16</v>
      </c>
      <c r="G35" s="1035">
        <v>25</v>
      </c>
      <c r="H35" s="1035">
        <v>150</v>
      </c>
      <c r="I35" s="1036">
        <f t="shared" si="2"/>
        <v>191</v>
      </c>
      <c r="J35" s="1036" t="s">
        <v>279</v>
      </c>
      <c r="K35" s="732">
        <v>26</v>
      </c>
      <c r="L35" s="64"/>
      <c r="M35" s="64"/>
      <c r="N35" s="64"/>
      <c r="O35" s="225"/>
      <c r="P35" s="226"/>
      <c r="Q35" s="1016"/>
      <c r="R35" s="1016"/>
      <c r="S35" s="177"/>
      <c r="T35" s="177"/>
      <c r="U35" s="177"/>
    </row>
    <row r="36" spans="1:21" ht="24.95" customHeight="1">
      <c r="A36" s="1276">
        <v>27</v>
      </c>
      <c r="B36" s="1042" t="s">
        <v>324</v>
      </c>
      <c r="C36" s="601">
        <v>10096</v>
      </c>
      <c r="D36" s="1016">
        <v>29440</v>
      </c>
      <c r="E36" s="1016">
        <f t="shared" si="1"/>
        <v>39536</v>
      </c>
      <c r="F36" s="311">
        <v>28</v>
      </c>
      <c r="G36" s="603">
        <v>4</v>
      </c>
      <c r="H36" s="603">
        <v>131</v>
      </c>
      <c r="I36" s="333">
        <f t="shared" si="2"/>
        <v>163</v>
      </c>
      <c r="J36" s="333" t="s">
        <v>281</v>
      </c>
      <c r="K36" s="1276">
        <v>27</v>
      </c>
      <c r="L36" s="64"/>
      <c r="M36" s="64"/>
      <c r="N36" s="64"/>
      <c r="O36" s="225"/>
      <c r="P36" s="226"/>
      <c r="Q36" s="52"/>
      <c r="R36" s="10"/>
      <c r="S36" s="10"/>
      <c r="T36" s="10"/>
      <c r="U36" s="10"/>
    </row>
    <row r="37" spans="1:21" ht="24.95" customHeight="1">
      <c r="A37" s="732">
        <v>28</v>
      </c>
      <c r="B37" s="1040" t="s">
        <v>325</v>
      </c>
      <c r="C37" s="1031">
        <v>46081</v>
      </c>
      <c r="D37" s="1032">
        <v>119922</v>
      </c>
      <c r="E37" s="1032">
        <f t="shared" si="1"/>
        <v>166003</v>
      </c>
      <c r="F37" s="1034">
        <v>94</v>
      </c>
      <c r="G37" s="1035">
        <v>2</v>
      </c>
      <c r="H37" s="1035">
        <v>209</v>
      </c>
      <c r="I37" s="1036">
        <f t="shared" si="2"/>
        <v>305</v>
      </c>
      <c r="J37" s="1036" t="s">
        <v>283</v>
      </c>
      <c r="K37" s="732">
        <v>28</v>
      </c>
      <c r="L37" s="64"/>
      <c r="M37" s="64"/>
      <c r="N37" s="64"/>
      <c r="O37" s="225"/>
      <c r="P37" s="226"/>
      <c r="Q37" s="1016"/>
      <c r="R37" s="1016"/>
      <c r="S37" s="603"/>
      <c r="T37" s="603"/>
      <c r="U37" s="603"/>
    </row>
    <row r="38" spans="1:21" ht="24.95" customHeight="1">
      <c r="A38" s="1276">
        <v>29</v>
      </c>
      <c r="B38" s="1042" t="s">
        <v>326</v>
      </c>
      <c r="C38" s="601">
        <v>53679</v>
      </c>
      <c r="D38" s="1016">
        <v>72200</v>
      </c>
      <c r="E38" s="1016">
        <f t="shared" si="1"/>
        <v>125879</v>
      </c>
      <c r="F38" s="602">
        <v>67</v>
      </c>
      <c r="G38" s="603">
        <v>19</v>
      </c>
      <c r="H38" s="603">
        <v>25</v>
      </c>
      <c r="I38" s="333">
        <f t="shared" si="2"/>
        <v>111</v>
      </c>
      <c r="J38" s="333" t="s">
        <v>327</v>
      </c>
      <c r="K38" s="1276">
        <v>29</v>
      </c>
      <c r="L38" s="64"/>
      <c r="M38" s="64"/>
      <c r="N38" s="64"/>
      <c r="O38" s="225"/>
      <c r="P38" s="226"/>
      <c r="Q38" s="459"/>
      <c r="R38" s="459"/>
      <c r="S38" s="459"/>
      <c r="T38" s="459"/>
      <c r="U38" s="459"/>
    </row>
    <row r="39" spans="1:21" ht="24.95" customHeight="1">
      <c r="A39" s="732">
        <v>30</v>
      </c>
      <c r="B39" s="1040" t="s">
        <v>328</v>
      </c>
      <c r="C39" s="1031">
        <v>85680</v>
      </c>
      <c r="D39" s="1032">
        <v>115672</v>
      </c>
      <c r="E39" s="1032">
        <f t="shared" si="1"/>
        <v>201352</v>
      </c>
      <c r="F39" s="721">
        <v>82</v>
      </c>
      <c r="G39" s="1035">
        <v>31</v>
      </c>
      <c r="H39" s="1035">
        <v>101</v>
      </c>
      <c r="I39" s="1036">
        <f t="shared" si="2"/>
        <v>214</v>
      </c>
      <c r="J39" s="1036" t="s">
        <v>329</v>
      </c>
      <c r="K39" s="732">
        <v>30</v>
      </c>
      <c r="L39" s="64"/>
      <c r="M39" s="64"/>
      <c r="N39" s="64"/>
      <c r="O39" s="225"/>
      <c r="P39" s="226"/>
      <c r="Q39" s="52"/>
      <c r="R39" s="10"/>
      <c r="S39" s="10"/>
      <c r="T39" s="10"/>
      <c r="U39" s="10"/>
    </row>
    <row r="40" spans="1:21" ht="24.95" customHeight="1">
      <c r="A40" s="1276">
        <v>31</v>
      </c>
      <c r="B40" s="1042" t="s">
        <v>330</v>
      </c>
      <c r="C40" s="601">
        <v>26433</v>
      </c>
      <c r="D40" s="1016">
        <v>88445</v>
      </c>
      <c r="E40" s="1016">
        <f t="shared" si="1"/>
        <v>114878</v>
      </c>
      <c r="F40" s="602">
        <v>30</v>
      </c>
      <c r="G40" s="603">
        <v>5</v>
      </c>
      <c r="H40" s="603">
        <v>159</v>
      </c>
      <c r="I40" s="333">
        <f t="shared" si="2"/>
        <v>194</v>
      </c>
      <c r="J40" s="333" t="s">
        <v>289</v>
      </c>
      <c r="K40" s="1276">
        <v>31</v>
      </c>
      <c r="L40" s="64"/>
      <c r="M40" s="64"/>
      <c r="N40" s="64"/>
      <c r="O40" s="225"/>
      <c r="P40" s="226"/>
      <c r="Q40" s="52"/>
      <c r="R40" s="10"/>
      <c r="S40" s="10"/>
      <c r="T40" s="10"/>
      <c r="U40" s="10"/>
    </row>
    <row r="41" spans="1:21" ht="24.95" customHeight="1">
      <c r="A41" s="732">
        <v>32</v>
      </c>
      <c r="B41" s="1040" t="s">
        <v>290</v>
      </c>
      <c r="C41" s="1031">
        <v>27916</v>
      </c>
      <c r="D41" s="1032">
        <v>60894</v>
      </c>
      <c r="E41" s="1032">
        <f t="shared" si="1"/>
        <v>88810</v>
      </c>
      <c r="F41" s="1034">
        <v>30</v>
      </c>
      <c r="G41" s="1035">
        <v>43</v>
      </c>
      <c r="H41" s="1035">
        <v>170</v>
      </c>
      <c r="I41" s="1036">
        <f t="shared" si="2"/>
        <v>243</v>
      </c>
      <c r="J41" s="1036" t="s">
        <v>291</v>
      </c>
      <c r="K41" s="732">
        <v>32</v>
      </c>
      <c r="L41" s="64"/>
      <c r="M41" s="64"/>
      <c r="N41" s="64"/>
      <c r="O41" s="225"/>
      <c r="P41" s="226"/>
      <c r="Q41" s="10"/>
      <c r="R41" s="10"/>
      <c r="S41" s="10"/>
      <c r="T41" s="10"/>
      <c r="U41" s="10"/>
    </row>
    <row r="42" spans="1:21" ht="24.95" customHeight="1">
      <c r="A42" s="1276">
        <v>33</v>
      </c>
      <c r="B42" s="1042" t="s">
        <v>119</v>
      </c>
      <c r="C42" s="601">
        <v>237285</v>
      </c>
      <c r="D42" s="1016">
        <v>282782</v>
      </c>
      <c r="E42" s="1016">
        <f t="shared" si="1"/>
        <v>520067</v>
      </c>
      <c r="F42" s="602">
        <v>356</v>
      </c>
      <c r="G42" s="603">
        <v>13</v>
      </c>
      <c r="H42" s="603">
        <v>33</v>
      </c>
      <c r="I42" s="333">
        <f t="shared" si="2"/>
        <v>402</v>
      </c>
      <c r="J42" s="333" t="s">
        <v>120</v>
      </c>
      <c r="K42" s="1276">
        <v>33</v>
      </c>
      <c r="L42" s="64"/>
      <c r="M42" s="64"/>
      <c r="N42" s="64"/>
      <c r="O42" s="225"/>
      <c r="P42" s="226"/>
      <c r="Q42" s="10"/>
      <c r="R42" s="10"/>
      <c r="S42" s="10"/>
      <c r="T42" s="10"/>
      <c r="U42" s="10"/>
    </row>
    <row r="43" spans="1:21" ht="24.95" customHeight="1">
      <c r="A43" s="732">
        <v>34</v>
      </c>
      <c r="B43" s="1040" t="s">
        <v>292</v>
      </c>
      <c r="C43" s="1031">
        <v>27222</v>
      </c>
      <c r="D43" s="1032">
        <v>47565</v>
      </c>
      <c r="E43" s="1032">
        <f t="shared" si="1"/>
        <v>74787</v>
      </c>
      <c r="F43" s="1034">
        <v>5</v>
      </c>
      <c r="G43" s="1035">
        <v>38</v>
      </c>
      <c r="H43" s="1035">
        <v>129</v>
      </c>
      <c r="I43" s="1036">
        <f t="shared" si="2"/>
        <v>172</v>
      </c>
      <c r="J43" s="1036" t="s">
        <v>293</v>
      </c>
      <c r="K43" s="732">
        <v>34</v>
      </c>
      <c r="L43" s="64"/>
      <c r="M43" s="64"/>
      <c r="N43" s="64"/>
      <c r="O43" s="215"/>
      <c r="P43" s="10"/>
      <c r="Q43" s="10"/>
      <c r="R43" s="10"/>
      <c r="S43" s="10"/>
      <c r="T43" s="10"/>
      <c r="U43" s="10"/>
    </row>
    <row r="44" spans="1:21" ht="24.95" customHeight="1">
      <c r="A44" s="1277">
        <v>35</v>
      </c>
      <c r="B44" s="1045" t="s">
        <v>331</v>
      </c>
      <c r="C44" s="126">
        <v>19996</v>
      </c>
      <c r="D44" s="32">
        <v>28488</v>
      </c>
      <c r="E44" s="32">
        <f>D44+C44</f>
        <v>48484</v>
      </c>
      <c r="F44" s="212">
        <v>63</v>
      </c>
      <c r="G44" s="65">
        <v>2</v>
      </c>
      <c r="H44" s="65">
        <v>11</v>
      </c>
      <c r="I44" s="313">
        <f>H44+G44+F44</f>
        <v>76</v>
      </c>
      <c r="J44" s="209" t="s">
        <v>295</v>
      </c>
      <c r="K44" s="1277">
        <v>35</v>
      </c>
      <c r="L44" s="64"/>
      <c r="M44" s="64"/>
      <c r="N44" s="64"/>
      <c r="O44" s="215"/>
      <c r="P44" s="10"/>
      <c r="Q44" s="10"/>
      <c r="R44" s="10"/>
      <c r="S44" s="10"/>
      <c r="T44" s="10"/>
      <c r="U44" s="10"/>
    </row>
    <row r="45" spans="1:21" ht="24.95" customHeight="1">
      <c r="A45" s="1786" t="s">
        <v>332</v>
      </c>
      <c r="B45" s="1786"/>
      <c r="C45" s="1786"/>
      <c r="D45" s="1787" t="s">
        <v>782</v>
      </c>
      <c r="E45" s="1787"/>
      <c r="F45" s="1787"/>
      <c r="G45" s="1787"/>
      <c r="H45" s="1515" t="s">
        <v>451</v>
      </c>
      <c r="I45" s="1515"/>
      <c r="J45" s="1515"/>
      <c r="K45" s="1515"/>
      <c r="L45" s="10"/>
      <c r="N45" s="10"/>
      <c r="O45" s="10"/>
      <c r="P45" s="10"/>
      <c r="Q45" s="10"/>
      <c r="R45" s="10"/>
      <c r="S45" s="10"/>
      <c r="T45" s="10"/>
      <c r="U45" s="10"/>
    </row>
    <row r="46" spans="1:21" ht="23.1" customHeight="1">
      <c r="A46" s="1286"/>
      <c r="B46" s="1511" t="s">
        <v>1801</v>
      </c>
      <c r="C46" s="1511"/>
      <c r="D46" s="1511"/>
      <c r="E46" s="1511"/>
      <c r="F46" s="1511"/>
      <c r="G46" s="1511"/>
      <c r="H46" s="1511"/>
      <c r="I46" s="1511"/>
      <c r="J46" s="1511"/>
      <c r="K46" s="1286"/>
      <c r="L46" s="10"/>
      <c r="M46" s="11"/>
      <c r="N46" s="11"/>
      <c r="O46" s="11"/>
      <c r="P46" s="10"/>
      <c r="Q46" s="10"/>
      <c r="R46" s="10"/>
      <c r="S46" s="10"/>
      <c r="T46" s="10"/>
      <c r="U46" s="10"/>
    </row>
    <row r="47" spans="1:21" ht="23.1" customHeight="1">
      <c r="A47" s="1286"/>
      <c r="B47" s="1791" t="s">
        <v>1802</v>
      </c>
      <c r="C47" s="1791"/>
      <c r="D47" s="1791"/>
      <c r="E47" s="1791"/>
      <c r="F47" s="1791"/>
      <c r="G47" s="1791"/>
      <c r="H47" s="1791"/>
      <c r="I47" s="1791"/>
      <c r="J47" s="1791"/>
      <c r="K47" s="1286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23.1" customHeight="1">
      <c r="A48" s="1286"/>
      <c r="B48" s="1792" t="s">
        <v>1803</v>
      </c>
      <c r="C48" s="1792"/>
      <c r="D48" s="1792"/>
      <c r="E48" s="1792"/>
      <c r="F48" s="1792"/>
      <c r="G48" s="1792"/>
      <c r="H48" s="1792"/>
      <c r="I48" s="1792"/>
      <c r="J48" s="1792"/>
      <c r="K48" s="1286"/>
      <c r="L48" s="10"/>
      <c r="M48" s="10"/>
      <c r="N48" s="66"/>
      <c r="O48" s="31"/>
      <c r="P48" s="10"/>
      <c r="Q48" s="10"/>
      <c r="R48" s="10"/>
      <c r="S48" s="10"/>
      <c r="T48" s="10"/>
      <c r="U48" s="10"/>
    </row>
    <row r="49" spans="1:21" ht="23.1" customHeight="1">
      <c r="A49" s="1412" t="s">
        <v>2026</v>
      </c>
      <c r="B49" s="1772" t="s">
        <v>414</v>
      </c>
      <c r="C49" s="1775" t="s">
        <v>597</v>
      </c>
      <c r="D49" s="1776"/>
      <c r="E49" s="1777"/>
      <c r="F49" s="1778" t="s">
        <v>596</v>
      </c>
      <c r="G49" s="1778"/>
      <c r="H49" s="1778"/>
      <c r="I49" s="1779"/>
      <c r="J49" s="1780" t="s">
        <v>411</v>
      </c>
      <c r="K49" s="1412" t="s">
        <v>2027</v>
      </c>
      <c r="L49" s="10"/>
      <c r="M49" s="104"/>
      <c r="N49" s="105"/>
      <c r="O49" s="1016"/>
      <c r="P49" s="10"/>
      <c r="Q49" s="10"/>
      <c r="R49" s="10"/>
      <c r="S49" s="10"/>
      <c r="T49" s="10"/>
      <c r="U49" s="10"/>
    </row>
    <row r="50" spans="1:21" ht="23.1" customHeight="1">
      <c r="A50" s="1491"/>
      <c r="B50" s="1773"/>
      <c r="C50" s="94" t="s">
        <v>728</v>
      </c>
      <c r="D50" s="93" t="s">
        <v>727</v>
      </c>
      <c r="E50" s="1033" t="s">
        <v>2</v>
      </c>
      <c r="F50" s="71" t="s">
        <v>304</v>
      </c>
      <c r="G50" s="92" t="s">
        <v>305</v>
      </c>
      <c r="H50" s="92" t="s">
        <v>306</v>
      </c>
      <c r="I50" s="1033" t="s">
        <v>2</v>
      </c>
      <c r="J50" s="1781"/>
      <c r="K50" s="1491"/>
      <c r="L50" s="10"/>
      <c r="M50" s="104"/>
      <c r="N50" s="105"/>
      <c r="O50" s="1016"/>
      <c r="P50" s="10"/>
      <c r="Q50" s="10"/>
      <c r="R50" s="10"/>
      <c r="S50" s="10"/>
      <c r="T50" s="10"/>
      <c r="U50" s="10"/>
    </row>
    <row r="51" spans="1:21" ht="23.1" customHeight="1">
      <c r="A51" s="1491"/>
      <c r="B51" s="1773"/>
      <c r="C51" s="952" t="s">
        <v>547</v>
      </c>
      <c r="D51" s="1054" t="s">
        <v>548</v>
      </c>
      <c r="E51" s="951" t="s">
        <v>499</v>
      </c>
      <c r="F51" s="35" t="s">
        <v>593</v>
      </c>
      <c r="G51" s="1041" t="s">
        <v>594</v>
      </c>
      <c r="H51" s="1041" t="s">
        <v>595</v>
      </c>
      <c r="I51" s="1037" t="s">
        <v>502</v>
      </c>
      <c r="J51" s="1781"/>
      <c r="K51" s="1491"/>
      <c r="L51" s="68"/>
      <c r="M51" s="106"/>
      <c r="N51" s="105"/>
      <c r="O51" s="1016"/>
      <c r="P51" s="10"/>
      <c r="Q51" s="10"/>
      <c r="R51" s="30"/>
      <c r="S51" s="10"/>
      <c r="T51" s="10"/>
      <c r="U51" s="10"/>
    </row>
    <row r="52" spans="1:21" ht="23.1" customHeight="1">
      <c r="A52" s="1413"/>
      <c r="B52" s="1774"/>
      <c r="C52" s="1270" t="s">
        <v>307</v>
      </c>
      <c r="D52" s="1271" t="s">
        <v>308</v>
      </c>
      <c r="E52" s="1272" t="s">
        <v>28</v>
      </c>
      <c r="F52" s="1273" t="s">
        <v>309</v>
      </c>
      <c r="G52" s="1271" t="s">
        <v>307</v>
      </c>
      <c r="H52" s="1274" t="s">
        <v>308</v>
      </c>
      <c r="I52" s="1272" t="s">
        <v>28</v>
      </c>
      <c r="J52" s="1782"/>
      <c r="K52" s="1413"/>
      <c r="L52" s="181"/>
      <c r="M52" s="106"/>
      <c r="N52" s="182"/>
      <c r="O52" s="1016"/>
      <c r="P52" s="10"/>
      <c r="Q52" s="10"/>
      <c r="R52" s="30"/>
      <c r="S52" s="10"/>
      <c r="T52" s="10"/>
      <c r="U52" s="10"/>
    </row>
    <row r="53" spans="1:21" ht="24.95" customHeight="1">
      <c r="A53" s="1001"/>
      <c r="B53" s="1278" t="s">
        <v>28</v>
      </c>
      <c r="C53" s="991">
        <f>C54+C57+C58+C59+C60+C61+C62+C63+C64+C65+C66+C67+C68+C69+C70+C71+C72+C73+C74+C75+C76+C77+C78+C79+C80+C81+C82+C83+C84+C85+C86+C87+C88+C89</f>
        <v>644050</v>
      </c>
      <c r="D53" s="992">
        <f>D54+D57+D58+D59+D60+D61+D62+D63+D64+D65+D66+D67+D68+D69+D70+D71+D72+D73+D74+D75+D76+D77+D78+D79+D80+D81+D82+D83+D84+D85+D86+D87+D88+D89</f>
        <v>1100255</v>
      </c>
      <c r="E53" s="993">
        <f>E54+E57+E58+E59+E60+E61+E62+E63+E64+E65+E66+E67+E68+E69+E70+E71+E72+E73+E74+E75+E76+E77+E78+E79+E80+E81+E82+E83+E84+E85+E86+E87+E88+E89</f>
        <v>1744305</v>
      </c>
      <c r="F53" s="991">
        <f>F54+F57+F58+F59+F60+F61+F62+F63+F64+F65+F66+F67+F68+F69+F70+F71+F72+F73+F74+F75+F76+F77+F78+F79+F80+F81+F82+F83+F84+F85+F86+F87+F88+F89</f>
        <v>2090</v>
      </c>
      <c r="G53" s="992">
        <f>G54+G57+G58+G59+G60+G61+G62+G63+G64+G65+G66+G67+G68+G69+G70+G71+G72+G73+G74+G75+G76+G77+G78+G79+G80+G81+G83+G84+G86+G87+G88+G89</f>
        <v>558</v>
      </c>
      <c r="H53" s="992">
        <f>H54+H57+H58+H59+H60+H61+H62+H63+H64+H65+H66+H67+H68+H69+H70+H71+H72+H73+H74+H75+H76+H77+H78+H79+H80+H81+H82+H83+H84+H85+H86+H87+H88+H89</f>
        <v>1204</v>
      </c>
      <c r="I53" s="993">
        <f>I54+I57+I58+I59+I60+I61+I62+I63+I64+I65+I66+I67+I68+I69+I70+I71+I72+I73+I74+I75+I76+I77+I78+I79+I80+I81+I82+I83+I84+I85+I86+I87+I88+I89</f>
        <v>3852</v>
      </c>
      <c r="J53" s="731" t="s">
        <v>627</v>
      </c>
      <c r="K53" s="1001"/>
      <c r="L53" s="181"/>
      <c r="M53" s="181"/>
      <c r="N53" s="11"/>
      <c r="O53" s="1016"/>
      <c r="P53" s="10"/>
      <c r="Q53" s="10"/>
      <c r="R53" s="30"/>
      <c r="S53" s="10"/>
      <c r="T53" s="10"/>
      <c r="U53" s="10"/>
    </row>
    <row r="54" spans="1:21" ht="24.95" customHeight="1">
      <c r="A54" s="1279" t="s">
        <v>934</v>
      </c>
      <c r="B54" s="1280" t="s">
        <v>113</v>
      </c>
      <c r="C54" s="601">
        <f>19020+121668</f>
        <v>140688</v>
      </c>
      <c r="D54" s="1016">
        <f>42561+150211</f>
        <v>192772</v>
      </c>
      <c r="E54" s="460">
        <f>D54+C54</f>
        <v>333460</v>
      </c>
      <c r="F54" s="603">
        <v>115</v>
      </c>
      <c r="G54" s="603">
        <v>9</v>
      </c>
      <c r="H54" s="603">
        <v>34</v>
      </c>
      <c r="I54" s="333">
        <f>H54+G54+F54</f>
        <v>158</v>
      </c>
      <c r="J54" s="24" t="s">
        <v>114</v>
      </c>
      <c r="K54" s="1279" t="s">
        <v>934</v>
      </c>
      <c r="L54" s="181"/>
      <c r="M54" s="181"/>
      <c r="N54" s="11"/>
      <c r="O54" s="1016"/>
      <c r="P54" s="10"/>
      <c r="Q54" s="10"/>
      <c r="R54" s="30"/>
      <c r="S54" s="10"/>
      <c r="T54" s="10"/>
      <c r="U54" s="10"/>
    </row>
    <row r="55" spans="1:21" ht="24.95" customHeight="1">
      <c r="A55" s="732">
        <v>2</v>
      </c>
      <c r="B55" s="1281" t="s">
        <v>234</v>
      </c>
      <c r="C55" s="1788">
        <v>121668</v>
      </c>
      <c r="D55" s="1789">
        <v>150211</v>
      </c>
      <c r="E55" s="1793">
        <f>D55+C55</f>
        <v>271879</v>
      </c>
      <c r="F55" s="1790">
        <v>50</v>
      </c>
      <c r="G55" s="1783">
        <v>2</v>
      </c>
      <c r="H55" s="1783">
        <v>4</v>
      </c>
      <c r="I55" s="1784">
        <f>H55+G55+F55</f>
        <v>56</v>
      </c>
      <c r="J55" s="731" t="s">
        <v>723</v>
      </c>
      <c r="K55" s="732">
        <v>2</v>
      </c>
      <c r="L55" s="181"/>
      <c r="M55" s="181"/>
      <c r="N55" s="11"/>
      <c r="O55" s="1016"/>
      <c r="P55" s="10"/>
      <c r="Q55" s="10"/>
      <c r="R55" s="30"/>
      <c r="S55" s="10"/>
      <c r="T55" s="10"/>
      <c r="U55" s="10"/>
    </row>
    <row r="56" spans="1:21" ht="24.95" customHeight="1">
      <c r="A56" s="732"/>
      <c r="B56" s="1282" t="s">
        <v>236</v>
      </c>
      <c r="C56" s="1788"/>
      <c r="D56" s="1789"/>
      <c r="E56" s="1793"/>
      <c r="F56" s="1790"/>
      <c r="G56" s="1783"/>
      <c r="H56" s="1783"/>
      <c r="I56" s="1784"/>
      <c r="J56" s="731" t="s">
        <v>724</v>
      </c>
      <c r="K56" s="732"/>
      <c r="L56" s="181"/>
      <c r="M56" s="181"/>
      <c r="N56" s="11"/>
      <c r="O56" s="459"/>
      <c r="P56" s="459"/>
      <c r="Q56" s="459"/>
      <c r="R56" s="459"/>
      <c r="S56" s="459"/>
      <c r="T56" s="459"/>
      <c r="U56" s="10"/>
    </row>
    <row r="57" spans="1:21" ht="24.95" customHeight="1">
      <c r="A57" s="1283">
        <v>3</v>
      </c>
      <c r="B57" s="1280" t="s">
        <v>238</v>
      </c>
      <c r="C57" s="601">
        <v>8774</v>
      </c>
      <c r="D57" s="1016">
        <v>20083</v>
      </c>
      <c r="E57" s="460">
        <f>D57+C57</f>
        <v>28857</v>
      </c>
      <c r="F57" s="603">
        <v>10</v>
      </c>
      <c r="G57" s="603">
        <v>16</v>
      </c>
      <c r="H57" s="603">
        <v>54</v>
      </c>
      <c r="I57" s="333">
        <f>H57+G57+F57</f>
        <v>80</v>
      </c>
      <c r="J57" s="24" t="s">
        <v>310</v>
      </c>
      <c r="K57" s="1283">
        <v>3</v>
      </c>
      <c r="L57" s="181"/>
      <c r="M57" s="181"/>
      <c r="N57" s="11"/>
      <c r="O57" s="1016"/>
      <c r="P57" s="1016"/>
      <c r="Q57" s="1016"/>
      <c r="R57" s="603"/>
      <c r="S57" s="603"/>
      <c r="T57" s="603"/>
      <c r="U57" s="10"/>
    </row>
    <row r="58" spans="1:21" ht="24.95" customHeight="1">
      <c r="A58" s="732">
        <v>4</v>
      </c>
      <c r="B58" s="1282" t="s">
        <v>240</v>
      </c>
      <c r="C58" s="1031">
        <v>13677</v>
      </c>
      <c r="D58" s="1032">
        <v>27897</v>
      </c>
      <c r="E58" s="1039">
        <f t="shared" ref="E58:E88" si="3">D58+C58</f>
        <v>41574</v>
      </c>
      <c r="F58" s="1035">
        <v>63</v>
      </c>
      <c r="G58" s="1035">
        <v>17</v>
      </c>
      <c r="H58" s="1035">
        <v>43</v>
      </c>
      <c r="I58" s="1036">
        <f t="shared" ref="I58:I84" si="4">H58+G58+F58</f>
        <v>123</v>
      </c>
      <c r="J58" s="731" t="s">
        <v>241</v>
      </c>
      <c r="K58" s="732">
        <v>4</v>
      </c>
      <c r="L58" s="10"/>
      <c r="M58" s="66"/>
      <c r="N58" s="11"/>
      <c r="O58" s="459"/>
      <c r="P58" s="459"/>
      <c r="Q58" s="459"/>
      <c r="R58" s="459"/>
      <c r="S58" s="459"/>
      <c r="T58" s="459"/>
      <c r="U58" s="10"/>
    </row>
    <row r="59" spans="1:21" ht="24.95" customHeight="1">
      <c r="A59" s="1283">
        <v>5</v>
      </c>
      <c r="B59" s="1280" t="s">
        <v>1108</v>
      </c>
      <c r="C59" s="601">
        <v>5679</v>
      </c>
      <c r="D59" s="1016">
        <v>22844</v>
      </c>
      <c r="E59" s="460">
        <f t="shared" si="3"/>
        <v>28523</v>
      </c>
      <c r="F59" s="603">
        <v>72</v>
      </c>
      <c r="G59" s="603">
        <v>13</v>
      </c>
      <c r="H59" s="603">
        <v>22</v>
      </c>
      <c r="I59" s="333">
        <f t="shared" si="4"/>
        <v>107</v>
      </c>
      <c r="J59" s="24" t="s">
        <v>1106</v>
      </c>
      <c r="K59" s="1283">
        <v>5</v>
      </c>
      <c r="L59" s="10"/>
      <c r="M59" s="10"/>
      <c r="N59" s="11"/>
      <c r="O59" s="1016"/>
      <c r="P59" s="1016"/>
      <c r="Q59" s="1016"/>
      <c r="R59" s="30"/>
      <c r="S59" s="104"/>
      <c r="T59" s="104"/>
      <c r="U59" s="10"/>
    </row>
    <row r="60" spans="1:21" ht="24.95" customHeight="1">
      <c r="A60" s="732">
        <v>6</v>
      </c>
      <c r="B60" s="1282" t="s">
        <v>242</v>
      </c>
      <c r="C60" s="1031">
        <v>3793</v>
      </c>
      <c r="D60" s="1032">
        <v>17400</v>
      </c>
      <c r="E60" s="1039">
        <f t="shared" si="3"/>
        <v>21193</v>
      </c>
      <c r="F60" s="1035">
        <v>14</v>
      </c>
      <c r="G60" s="1035">
        <v>12</v>
      </c>
      <c r="H60" s="1035">
        <v>50</v>
      </c>
      <c r="I60" s="1036">
        <f t="shared" si="4"/>
        <v>76</v>
      </c>
      <c r="J60" s="731" t="s">
        <v>243</v>
      </c>
      <c r="K60" s="732">
        <v>6</v>
      </c>
      <c r="L60" s="10"/>
      <c r="M60" s="10"/>
      <c r="N60" s="11"/>
      <c r="O60" s="1016"/>
      <c r="P60" s="104"/>
      <c r="Q60" s="104"/>
      <c r="R60" s="30"/>
      <c r="S60" s="104"/>
      <c r="T60" s="104"/>
      <c r="U60" s="10"/>
    </row>
    <row r="61" spans="1:21" ht="24.95" customHeight="1">
      <c r="A61" s="1283">
        <v>7</v>
      </c>
      <c r="B61" s="1280" t="s">
        <v>311</v>
      </c>
      <c r="C61" s="601">
        <v>42314</v>
      </c>
      <c r="D61" s="1016">
        <v>92162</v>
      </c>
      <c r="E61" s="460">
        <f t="shared" si="3"/>
        <v>134476</v>
      </c>
      <c r="F61" s="603">
        <v>87</v>
      </c>
      <c r="G61" s="603">
        <v>21</v>
      </c>
      <c r="H61" s="603">
        <v>20</v>
      </c>
      <c r="I61" s="333">
        <f t="shared" si="4"/>
        <v>128</v>
      </c>
      <c r="J61" s="24" t="s">
        <v>245</v>
      </c>
      <c r="K61" s="1283">
        <v>7</v>
      </c>
      <c r="L61" s="10"/>
      <c r="M61" s="10"/>
      <c r="N61" s="11"/>
      <c r="O61" s="1016"/>
      <c r="P61" s="104"/>
      <c r="Q61" s="104"/>
      <c r="R61" s="177"/>
      <c r="S61" s="104"/>
      <c r="T61" s="104"/>
      <c r="U61" s="10"/>
    </row>
    <row r="62" spans="1:21" ht="24.95" customHeight="1">
      <c r="A62" s="732">
        <v>8</v>
      </c>
      <c r="B62" s="1282" t="s">
        <v>312</v>
      </c>
      <c r="C62" s="1031">
        <v>13082</v>
      </c>
      <c r="D62" s="1032">
        <v>22349</v>
      </c>
      <c r="E62" s="1039">
        <f t="shared" si="3"/>
        <v>35431</v>
      </c>
      <c r="F62" s="1035">
        <v>34</v>
      </c>
      <c r="G62" s="1035">
        <v>12</v>
      </c>
      <c r="H62" s="1035">
        <v>14</v>
      </c>
      <c r="I62" s="1036">
        <f t="shared" si="4"/>
        <v>60</v>
      </c>
      <c r="J62" s="731" t="s">
        <v>247</v>
      </c>
      <c r="K62" s="732">
        <v>8</v>
      </c>
      <c r="N62" s="2"/>
      <c r="O62" s="1016"/>
      <c r="R62" s="30"/>
    </row>
    <row r="63" spans="1:21" ht="24.95" customHeight="1">
      <c r="A63" s="1283">
        <v>9</v>
      </c>
      <c r="B63" s="1280" t="s">
        <v>248</v>
      </c>
      <c r="C63" s="601">
        <v>3817</v>
      </c>
      <c r="D63" s="1016">
        <v>4940</v>
      </c>
      <c r="E63" s="460">
        <f t="shared" si="3"/>
        <v>8757</v>
      </c>
      <c r="F63" s="603">
        <v>15</v>
      </c>
      <c r="G63" s="603">
        <v>9</v>
      </c>
      <c r="H63" s="603">
        <v>9</v>
      </c>
      <c r="I63" s="333">
        <f t="shared" si="4"/>
        <v>33</v>
      </c>
      <c r="J63" s="24" t="s">
        <v>249</v>
      </c>
      <c r="K63" s="1283">
        <v>9</v>
      </c>
      <c r="N63" s="2"/>
      <c r="O63" s="1016"/>
      <c r="R63" s="30"/>
    </row>
    <row r="64" spans="1:21" ht="24.95" customHeight="1">
      <c r="A64" s="732">
        <v>10</v>
      </c>
      <c r="B64" s="1282" t="s">
        <v>121</v>
      </c>
      <c r="C64" s="1031">
        <v>22954</v>
      </c>
      <c r="D64" s="1032">
        <v>44991</v>
      </c>
      <c r="E64" s="1039">
        <f t="shared" si="3"/>
        <v>67945</v>
      </c>
      <c r="F64" s="1035">
        <v>127</v>
      </c>
      <c r="G64" s="1035">
        <v>16</v>
      </c>
      <c r="H64" s="1035">
        <v>22</v>
      </c>
      <c r="I64" s="1036">
        <f t="shared" si="4"/>
        <v>165</v>
      </c>
      <c r="J64" s="731" t="s">
        <v>122</v>
      </c>
      <c r="K64" s="732">
        <v>10</v>
      </c>
      <c r="N64" s="2"/>
      <c r="O64" s="1016"/>
      <c r="R64" s="30"/>
    </row>
    <row r="65" spans="1:18" ht="24.95" customHeight="1">
      <c r="A65" s="1283">
        <v>11</v>
      </c>
      <c r="B65" s="1280" t="s">
        <v>313</v>
      </c>
      <c r="C65" s="601">
        <v>14341</v>
      </c>
      <c r="D65" s="1016">
        <v>17384</v>
      </c>
      <c r="E65" s="460">
        <f t="shared" si="3"/>
        <v>31725</v>
      </c>
      <c r="F65" s="603">
        <v>102</v>
      </c>
      <c r="G65" s="603">
        <v>24</v>
      </c>
      <c r="H65" s="603">
        <v>16</v>
      </c>
      <c r="I65" s="333">
        <f t="shared" si="4"/>
        <v>142</v>
      </c>
      <c r="J65" s="24" t="s">
        <v>252</v>
      </c>
      <c r="K65" s="1283">
        <v>11</v>
      </c>
      <c r="N65" s="2"/>
      <c r="O65" s="1016"/>
      <c r="R65" s="30"/>
    </row>
    <row r="66" spans="1:18" ht="24.95" customHeight="1">
      <c r="A66" s="732">
        <v>12</v>
      </c>
      <c r="B66" s="1282" t="s">
        <v>253</v>
      </c>
      <c r="C66" s="1031">
        <v>24475</v>
      </c>
      <c r="D66" s="1032">
        <v>48302</v>
      </c>
      <c r="E66" s="1039">
        <f t="shared" si="3"/>
        <v>72777</v>
      </c>
      <c r="F66" s="1035">
        <v>85</v>
      </c>
      <c r="G66" s="1035">
        <v>14</v>
      </c>
      <c r="H66" s="1035">
        <v>45</v>
      </c>
      <c r="I66" s="1036">
        <f t="shared" si="4"/>
        <v>144</v>
      </c>
      <c r="J66" s="731" t="s">
        <v>314</v>
      </c>
      <c r="K66" s="732">
        <v>12</v>
      </c>
      <c r="N66" s="2"/>
      <c r="O66" s="1016"/>
      <c r="R66" s="30"/>
    </row>
    <row r="67" spans="1:18" ht="24.95" customHeight="1">
      <c r="A67" s="1283">
        <v>13</v>
      </c>
      <c r="B67" s="1280" t="s">
        <v>255</v>
      </c>
      <c r="C67" s="601">
        <v>1353</v>
      </c>
      <c r="D67" s="1016">
        <v>17769</v>
      </c>
      <c r="E67" s="460">
        <f t="shared" si="3"/>
        <v>19122</v>
      </c>
      <c r="F67" s="603">
        <v>24</v>
      </c>
      <c r="G67" s="603">
        <v>4</v>
      </c>
      <c r="H67" s="603">
        <v>32</v>
      </c>
      <c r="I67" s="333">
        <f t="shared" si="4"/>
        <v>60</v>
      </c>
      <c r="J67" s="24" t="s">
        <v>256</v>
      </c>
      <c r="K67" s="1283">
        <v>13</v>
      </c>
      <c r="N67" s="2"/>
      <c r="O67" s="1016"/>
      <c r="R67" s="30"/>
    </row>
    <row r="68" spans="1:18" ht="24.95" customHeight="1">
      <c r="A68" s="732">
        <v>14</v>
      </c>
      <c r="B68" s="1282" t="s">
        <v>257</v>
      </c>
      <c r="C68" s="1031">
        <v>4635</v>
      </c>
      <c r="D68" s="1032">
        <v>23220</v>
      </c>
      <c r="E68" s="1039">
        <f t="shared" si="3"/>
        <v>27855</v>
      </c>
      <c r="F68" s="1035">
        <v>15</v>
      </c>
      <c r="G68" s="1035">
        <v>13</v>
      </c>
      <c r="H68" s="1035">
        <v>62</v>
      </c>
      <c r="I68" s="1036">
        <f t="shared" si="4"/>
        <v>90</v>
      </c>
      <c r="J68" s="731" t="s">
        <v>258</v>
      </c>
      <c r="K68" s="732">
        <v>14</v>
      </c>
      <c r="N68" s="2"/>
      <c r="O68" s="1016"/>
      <c r="R68" s="30"/>
    </row>
    <row r="69" spans="1:18" ht="24.95" customHeight="1">
      <c r="A69" s="1283">
        <v>15</v>
      </c>
      <c r="B69" s="1280" t="s">
        <v>259</v>
      </c>
      <c r="C69" s="601">
        <v>8037</v>
      </c>
      <c r="D69" s="1016">
        <v>31416</v>
      </c>
      <c r="E69" s="460">
        <f t="shared" si="3"/>
        <v>39453</v>
      </c>
      <c r="F69" s="64">
        <v>18</v>
      </c>
      <c r="G69" s="603">
        <v>10</v>
      </c>
      <c r="H69" s="603">
        <v>32</v>
      </c>
      <c r="I69" s="333">
        <f t="shared" si="4"/>
        <v>60</v>
      </c>
      <c r="J69" s="24" t="s">
        <v>260</v>
      </c>
      <c r="K69" s="1283">
        <v>15</v>
      </c>
      <c r="N69" s="2"/>
      <c r="O69" s="1016"/>
      <c r="R69" s="30"/>
    </row>
    <row r="70" spans="1:18" ht="24.95" customHeight="1">
      <c r="A70" s="732">
        <v>16</v>
      </c>
      <c r="B70" s="1282" t="s">
        <v>261</v>
      </c>
      <c r="C70" s="1031">
        <v>6947</v>
      </c>
      <c r="D70" s="1032">
        <v>19440</v>
      </c>
      <c r="E70" s="1039">
        <f t="shared" si="3"/>
        <v>26387</v>
      </c>
      <c r="F70" s="1035">
        <v>42</v>
      </c>
      <c r="G70" s="1035">
        <v>29</v>
      </c>
      <c r="H70" s="1035">
        <v>36</v>
      </c>
      <c r="I70" s="1036">
        <f t="shared" si="4"/>
        <v>107</v>
      </c>
      <c r="J70" s="731" t="s">
        <v>684</v>
      </c>
      <c r="K70" s="732">
        <v>16</v>
      </c>
      <c r="N70" s="2"/>
      <c r="O70" s="1016"/>
      <c r="R70" s="30"/>
    </row>
    <row r="71" spans="1:18" ht="24.95" customHeight="1">
      <c r="A71" s="1283">
        <v>17</v>
      </c>
      <c r="B71" s="1280" t="s">
        <v>315</v>
      </c>
      <c r="C71" s="601">
        <v>3137</v>
      </c>
      <c r="D71" s="1016">
        <v>4045</v>
      </c>
      <c r="E71" s="460">
        <f t="shared" si="3"/>
        <v>7182</v>
      </c>
      <c r="F71" s="335">
        <v>26</v>
      </c>
      <c r="G71" s="603">
        <v>29</v>
      </c>
      <c r="H71" s="603">
        <v>28</v>
      </c>
      <c r="I71" s="333">
        <f t="shared" si="4"/>
        <v>83</v>
      </c>
      <c r="J71" s="24" t="s">
        <v>263</v>
      </c>
      <c r="K71" s="1283">
        <v>17</v>
      </c>
      <c r="N71" s="2"/>
      <c r="O71" s="1016"/>
      <c r="R71" s="30"/>
    </row>
    <row r="72" spans="1:18" ht="24.95" customHeight="1">
      <c r="A72" s="732">
        <v>18</v>
      </c>
      <c r="B72" s="1282" t="s">
        <v>316</v>
      </c>
      <c r="C72" s="1031">
        <v>33728</v>
      </c>
      <c r="D72" s="1032">
        <v>39904</v>
      </c>
      <c r="E72" s="1039">
        <f t="shared" si="3"/>
        <v>73632</v>
      </c>
      <c r="F72" s="722">
        <v>168</v>
      </c>
      <c r="G72" s="1035">
        <v>20</v>
      </c>
      <c r="H72" s="1035">
        <v>3</v>
      </c>
      <c r="I72" s="1036">
        <f t="shared" si="4"/>
        <v>191</v>
      </c>
      <c r="J72" s="731" t="s">
        <v>317</v>
      </c>
      <c r="K72" s="732">
        <v>18</v>
      </c>
      <c r="N72" s="2"/>
      <c r="O72" s="1016"/>
      <c r="R72" s="30"/>
    </row>
    <row r="73" spans="1:18" ht="24.95" customHeight="1">
      <c r="A73" s="1283">
        <v>19</v>
      </c>
      <c r="B73" s="1280" t="s">
        <v>318</v>
      </c>
      <c r="C73" s="601">
        <v>29522</v>
      </c>
      <c r="D73" s="1016">
        <v>41064</v>
      </c>
      <c r="E73" s="460">
        <f t="shared" si="3"/>
        <v>70586</v>
      </c>
      <c r="F73" s="603">
        <v>113</v>
      </c>
      <c r="G73" s="603">
        <v>7</v>
      </c>
      <c r="H73" s="603">
        <v>15</v>
      </c>
      <c r="I73" s="333">
        <f t="shared" si="4"/>
        <v>135</v>
      </c>
      <c r="J73" s="24" t="s">
        <v>319</v>
      </c>
      <c r="K73" s="1283">
        <v>19</v>
      </c>
      <c r="N73" s="2"/>
      <c r="O73" s="1016"/>
      <c r="R73" s="30"/>
    </row>
    <row r="74" spans="1:18" ht="24.95" customHeight="1">
      <c r="A74" s="732">
        <v>20</v>
      </c>
      <c r="B74" s="1282" t="s">
        <v>333</v>
      </c>
      <c r="C74" s="1031">
        <v>21527</v>
      </c>
      <c r="D74" s="1032">
        <v>40753</v>
      </c>
      <c r="E74" s="1039">
        <f t="shared" si="3"/>
        <v>62280</v>
      </c>
      <c r="F74" s="1035">
        <v>89</v>
      </c>
      <c r="G74" s="1035">
        <v>25</v>
      </c>
      <c r="H74" s="1035">
        <v>25</v>
      </c>
      <c r="I74" s="1036">
        <f t="shared" si="4"/>
        <v>139</v>
      </c>
      <c r="J74" s="731" t="s">
        <v>268</v>
      </c>
      <c r="K74" s="732">
        <v>20</v>
      </c>
      <c r="N74" s="2"/>
      <c r="O74" s="1016"/>
      <c r="R74" s="30"/>
    </row>
    <row r="75" spans="1:18" ht="24.95" customHeight="1">
      <c r="A75" s="1283">
        <v>21</v>
      </c>
      <c r="B75" s="1280" t="s">
        <v>320</v>
      </c>
      <c r="C75" s="601">
        <v>9964</v>
      </c>
      <c r="D75" s="1016">
        <v>14291</v>
      </c>
      <c r="E75" s="460">
        <f t="shared" si="3"/>
        <v>24255</v>
      </c>
      <c r="F75" s="603">
        <v>53</v>
      </c>
      <c r="G75" s="603">
        <v>16</v>
      </c>
      <c r="H75" s="603">
        <v>22</v>
      </c>
      <c r="I75" s="333">
        <f t="shared" si="4"/>
        <v>91</v>
      </c>
      <c r="J75" s="24" t="s">
        <v>321</v>
      </c>
      <c r="K75" s="1283">
        <v>21</v>
      </c>
      <c r="L75" s="39"/>
      <c r="M75" s="39"/>
      <c r="N75" s="2"/>
      <c r="O75" s="1016"/>
      <c r="P75" s="102"/>
      <c r="Q75" s="102"/>
      <c r="R75" s="30"/>
    </row>
    <row r="76" spans="1:18" ht="24.95" customHeight="1">
      <c r="A76" s="732">
        <v>22</v>
      </c>
      <c r="B76" s="1282" t="s">
        <v>115</v>
      </c>
      <c r="C76" s="1031">
        <v>49067</v>
      </c>
      <c r="D76" s="1032">
        <v>64204</v>
      </c>
      <c r="E76" s="1039">
        <f t="shared" si="3"/>
        <v>113271</v>
      </c>
      <c r="F76" s="1035">
        <v>175</v>
      </c>
      <c r="G76" s="1035">
        <v>16</v>
      </c>
      <c r="H76" s="1035">
        <v>35</v>
      </c>
      <c r="I76" s="1036">
        <f t="shared" si="4"/>
        <v>226</v>
      </c>
      <c r="J76" s="731" t="s">
        <v>116</v>
      </c>
      <c r="K76" s="732">
        <v>22</v>
      </c>
      <c r="N76" s="2"/>
      <c r="O76" s="1016"/>
      <c r="P76" s="102"/>
      <c r="Q76" s="102"/>
      <c r="R76" s="30"/>
    </row>
    <row r="77" spans="1:18" ht="24.95" customHeight="1">
      <c r="A77" s="1283">
        <v>23</v>
      </c>
      <c r="B77" s="1280" t="s">
        <v>322</v>
      </c>
      <c r="C77" s="601">
        <v>12469</v>
      </c>
      <c r="D77" s="1016">
        <v>16430</v>
      </c>
      <c r="E77" s="460">
        <f t="shared" si="3"/>
        <v>28899</v>
      </c>
      <c r="F77" s="335">
        <v>61</v>
      </c>
      <c r="G77" s="603">
        <v>30</v>
      </c>
      <c r="H77" s="603">
        <v>43</v>
      </c>
      <c r="I77" s="333">
        <f t="shared" si="4"/>
        <v>134</v>
      </c>
      <c r="J77" s="24" t="s">
        <v>323</v>
      </c>
      <c r="K77" s="1283">
        <v>23</v>
      </c>
      <c r="N77" s="2"/>
      <c r="O77" s="1016"/>
      <c r="P77" s="102"/>
      <c r="Q77" s="102"/>
      <c r="R77" s="30"/>
    </row>
    <row r="78" spans="1:18" ht="24.95" customHeight="1">
      <c r="A78" s="732">
        <v>24</v>
      </c>
      <c r="B78" s="1282" t="s">
        <v>274</v>
      </c>
      <c r="C78" s="1031">
        <v>16215</v>
      </c>
      <c r="D78" s="1032">
        <v>27473</v>
      </c>
      <c r="E78" s="1039">
        <f t="shared" si="3"/>
        <v>43688</v>
      </c>
      <c r="F78" s="1035">
        <v>96</v>
      </c>
      <c r="G78" s="1035">
        <v>33</v>
      </c>
      <c r="H78" s="1035">
        <v>70</v>
      </c>
      <c r="I78" s="1036">
        <f t="shared" si="4"/>
        <v>199</v>
      </c>
      <c r="J78" s="731" t="s">
        <v>275</v>
      </c>
      <c r="K78" s="732">
        <v>24</v>
      </c>
      <c r="N78" s="2"/>
      <c r="O78" s="1016"/>
      <c r="P78" s="102"/>
      <c r="Q78" s="102"/>
      <c r="R78" s="30"/>
    </row>
    <row r="79" spans="1:18" ht="24.95" customHeight="1">
      <c r="A79" s="1283">
        <v>25</v>
      </c>
      <c r="B79" s="1280" t="s">
        <v>276</v>
      </c>
      <c r="C79" s="601">
        <v>21176</v>
      </c>
      <c r="D79" s="1016">
        <v>24432</v>
      </c>
      <c r="E79" s="460">
        <f t="shared" si="3"/>
        <v>45608</v>
      </c>
      <c r="F79" s="603">
        <v>71</v>
      </c>
      <c r="G79" s="603">
        <v>12</v>
      </c>
      <c r="H79" s="603">
        <v>8</v>
      </c>
      <c r="I79" s="333">
        <f t="shared" si="4"/>
        <v>91</v>
      </c>
      <c r="J79" s="24" t="s">
        <v>277</v>
      </c>
      <c r="K79" s="1283">
        <v>25</v>
      </c>
      <c r="N79" s="2"/>
      <c r="O79" s="1016"/>
      <c r="P79" s="96"/>
      <c r="Q79" s="96"/>
      <c r="R79" s="30"/>
    </row>
    <row r="80" spans="1:18" ht="24.95" customHeight="1">
      <c r="A80" s="732">
        <v>26</v>
      </c>
      <c r="B80" s="1282" t="s">
        <v>278</v>
      </c>
      <c r="C80" s="1031">
        <v>1897</v>
      </c>
      <c r="D80" s="1032">
        <v>11163</v>
      </c>
      <c r="E80" s="1039">
        <f t="shared" si="3"/>
        <v>13060</v>
      </c>
      <c r="F80" s="722">
        <v>6</v>
      </c>
      <c r="G80" s="1035">
        <v>7</v>
      </c>
      <c r="H80" s="1035">
        <v>35</v>
      </c>
      <c r="I80" s="1036">
        <f t="shared" si="4"/>
        <v>48</v>
      </c>
      <c r="J80" s="731" t="s">
        <v>279</v>
      </c>
      <c r="K80" s="732">
        <v>26</v>
      </c>
      <c r="N80" s="2"/>
      <c r="O80" s="1016"/>
      <c r="P80" s="96"/>
      <c r="Q80" s="96"/>
      <c r="R80" s="30"/>
    </row>
    <row r="81" spans="1:22" ht="24.95" customHeight="1">
      <c r="A81" s="1283">
        <v>27</v>
      </c>
      <c r="B81" s="1280" t="s">
        <v>324</v>
      </c>
      <c r="C81" s="601">
        <v>791</v>
      </c>
      <c r="D81" s="1016">
        <v>4957</v>
      </c>
      <c r="E81" s="460">
        <f t="shared" si="3"/>
        <v>5748</v>
      </c>
      <c r="F81" s="335">
        <v>6</v>
      </c>
      <c r="G81" s="603">
        <v>6</v>
      </c>
      <c r="H81" s="603">
        <v>21</v>
      </c>
      <c r="I81" s="333">
        <f t="shared" si="4"/>
        <v>33</v>
      </c>
      <c r="J81" s="24" t="s">
        <v>281</v>
      </c>
      <c r="K81" s="1283">
        <v>27</v>
      </c>
      <c r="N81" s="2"/>
      <c r="O81" s="1016"/>
      <c r="P81" s="103"/>
      <c r="Q81" s="103"/>
      <c r="R81" s="30"/>
    </row>
    <row r="82" spans="1:22" ht="24.95" customHeight="1">
      <c r="A82" s="732">
        <v>28</v>
      </c>
      <c r="B82" s="1282" t="s">
        <v>325</v>
      </c>
      <c r="C82" s="1031">
        <v>5434</v>
      </c>
      <c r="D82" s="1032">
        <v>24247</v>
      </c>
      <c r="E82" s="1039">
        <f t="shared" si="3"/>
        <v>29681</v>
      </c>
      <c r="F82" s="1035">
        <v>22</v>
      </c>
      <c r="G82" s="1035" t="s">
        <v>14</v>
      </c>
      <c r="H82" s="1035">
        <v>58</v>
      </c>
      <c r="I82" s="1036">
        <f>H82+F82</f>
        <v>80</v>
      </c>
      <c r="J82" s="731" t="s">
        <v>283</v>
      </c>
      <c r="K82" s="732">
        <v>28</v>
      </c>
      <c r="N82" s="2"/>
      <c r="O82" s="1016"/>
      <c r="R82" s="30"/>
    </row>
    <row r="83" spans="1:22" ht="24.95" customHeight="1">
      <c r="A83" s="1283">
        <v>29</v>
      </c>
      <c r="B83" s="1280" t="s">
        <v>326</v>
      </c>
      <c r="C83" s="601">
        <v>15508</v>
      </c>
      <c r="D83" s="1016">
        <v>23776</v>
      </c>
      <c r="E83" s="460">
        <f t="shared" si="3"/>
        <v>39284</v>
      </c>
      <c r="F83" s="603">
        <v>64</v>
      </c>
      <c r="G83" s="603">
        <v>22</v>
      </c>
      <c r="H83" s="603">
        <v>39</v>
      </c>
      <c r="I83" s="333">
        <f t="shared" si="4"/>
        <v>125</v>
      </c>
      <c r="J83" s="24" t="s">
        <v>327</v>
      </c>
      <c r="K83" s="1283">
        <v>29</v>
      </c>
      <c r="N83" s="2"/>
      <c r="O83" s="1016"/>
      <c r="R83" s="30"/>
    </row>
    <row r="84" spans="1:22" ht="24.95" customHeight="1">
      <c r="A84" s="732">
        <v>30</v>
      </c>
      <c r="B84" s="1282" t="s">
        <v>328</v>
      </c>
      <c r="C84" s="1031">
        <v>26568</v>
      </c>
      <c r="D84" s="1032">
        <v>33552</v>
      </c>
      <c r="E84" s="1039">
        <f t="shared" si="3"/>
        <v>60120</v>
      </c>
      <c r="F84" s="722">
        <v>31</v>
      </c>
      <c r="G84" s="1035">
        <v>39</v>
      </c>
      <c r="H84" s="1035">
        <v>81</v>
      </c>
      <c r="I84" s="1036">
        <f t="shared" si="4"/>
        <v>151</v>
      </c>
      <c r="J84" s="731" t="s">
        <v>329</v>
      </c>
      <c r="K84" s="732">
        <v>30</v>
      </c>
      <c r="N84" s="2"/>
      <c r="O84" s="1016"/>
      <c r="R84" s="30"/>
    </row>
    <row r="85" spans="1:22" ht="24.95" customHeight="1">
      <c r="A85" s="1283">
        <v>31</v>
      </c>
      <c r="B85" s="1280" t="s">
        <v>330</v>
      </c>
      <c r="C85" s="601">
        <v>4985</v>
      </c>
      <c r="D85" s="1016">
        <v>21877</v>
      </c>
      <c r="E85" s="460">
        <f t="shared" si="3"/>
        <v>26862</v>
      </c>
      <c r="F85" s="603">
        <v>17</v>
      </c>
      <c r="G85" s="603" t="s">
        <v>14</v>
      </c>
      <c r="H85" s="603">
        <v>58</v>
      </c>
      <c r="I85" s="333">
        <f>H85+F85</f>
        <v>75</v>
      </c>
      <c r="J85" s="24" t="s">
        <v>289</v>
      </c>
      <c r="K85" s="1283">
        <v>31</v>
      </c>
      <c r="N85" s="11"/>
      <c r="O85" s="1016"/>
      <c r="P85" s="10"/>
      <c r="Q85" s="10"/>
      <c r="R85" s="30"/>
      <c r="S85" s="10"/>
    </row>
    <row r="86" spans="1:22" ht="24.95" customHeight="1">
      <c r="A86" s="732">
        <v>32</v>
      </c>
      <c r="B86" s="1282" t="s">
        <v>290</v>
      </c>
      <c r="C86" s="1031">
        <v>5691</v>
      </c>
      <c r="D86" s="1032">
        <v>19279</v>
      </c>
      <c r="E86" s="1039">
        <f t="shared" si="3"/>
        <v>24970</v>
      </c>
      <c r="F86" s="1035">
        <v>22</v>
      </c>
      <c r="G86" s="1035">
        <v>41</v>
      </c>
      <c r="H86" s="1035">
        <v>54</v>
      </c>
      <c r="I86" s="1036">
        <f>H86+G86+F86</f>
        <v>117</v>
      </c>
      <c r="J86" s="731" t="s">
        <v>291</v>
      </c>
      <c r="K86" s="732">
        <v>32</v>
      </c>
      <c r="N86" s="10"/>
      <c r="O86" s="10"/>
      <c r="P86" s="10"/>
      <c r="Q86" s="10"/>
      <c r="R86" s="30"/>
      <c r="S86" s="10"/>
    </row>
    <row r="87" spans="1:22" ht="24.95" customHeight="1">
      <c r="A87" s="1283">
        <v>33</v>
      </c>
      <c r="B87" s="1280" t="s">
        <v>119</v>
      </c>
      <c r="C87" s="601">
        <v>61192</v>
      </c>
      <c r="D87" s="1016">
        <v>66989</v>
      </c>
      <c r="E87" s="460">
        <f t="shared" si="3"/>
        <v>128181</v>
      </c>
      <c r="F87" s="603">
        <v>215</v>
      </c>
      <c r="G87" s="603">
        <v>23</v>
      </c>
      <c r="H87" s="603">
        <v>36</v>
      </c>
      <c r="I87" s="333">
        <f>H87+G87+F87</f>
        <v>274</v>
      </c>
      <c r="J87" s="24" t="s">
        <v>120</v>
      </c>
      <c r="K87" s="1283">
        <v>33</v>
      </c>
    </row>
    <row r="88" spans="1:22" ht="24.95" customHeight="1">
      <c r="A88" s="732">
        <v>34</v>
      </c>
      <c r="B88" s="1282" t="s">
        <v>292</v>
      </c>
      <c r="C88" s="1031">
        <v>7112</v>
      </c>
      <c r="D88" s="1032">
        <v>13476</v>
      </c>
      <c r="E88" s="1039">
        <f t="shared" si="3"/>
        <v>20588</v>
      </c>
      <c r="F88" s="1035">
        <v>4</v>
      </c>
      <c r="G88" s="1035">
        <v>11</v>
      </c>
      <c r="H88" s="1035">
        <v>77</v>
      </c>
      <c r="I88" s="1036">
        <f>H88+G88+F88</f>
        <v>92</v>
      </c>
      <c r="J88" s="731" t="s">
        <v>293</v>
      </c>
      <c r="K88" s="732">
        <v>34</v>
      </c>
    </row>
    <row r="89" spans="1:22" ht="24.95" customHeight="1">
      <c r="A89" s="1284">
        <v>35</v>
      </c>
      <c r="B89" s="1285" t="s">
        <v>331</v>
      </c>
      <c r="C89" s="126">
        <v>3501</v>
      </c>
      <c r="D89" s="32">
        <v>5374</v>
      </c>
      <c r="E89" s="41">
        <f>D89+C89</f>
        <v>8875</v>
      </c>
      <c r="F89" s="65">
        <v>28</v>
      </c>
      <c r="G89" s="65">
        <v>2</v>
      </c>
      <c r="H89" s="65">
        <v>5</v>
      </c>
      <c r="I89" s="313">
        <f>H89+G89+F89</f>
        <v>35</v>
      </c>
      <c r="J89" s="70" t="s">
        <v>295</v>
      </c>
      <c r="K89" s="1284">
        <v>35</v>
      </c>
    </row>
    <row r="90" spans="1:22" ht="22.7" customHeight="1">
      <c r="A90" s="1684" t="s">
        <v>726</v>
      </c>
      <c r="B90" s="1786"/>
      <c r="C90" s="1786"/>
      <c r="D90" s="1787" t="s">
        <v>782</v>
      </c>
      <c r="E90" s="1787"/>
      <c r="F90" s="1787"/>
      <c r="G90" s="1787"/>
      <c r="H90" s="1515" t="s">
        <v>450</v>
      </c>
      <c r="I90" s="1515"/>
      <c r="J90" s="1515"/>
      <c r="K90" s="1794"/>
    </row>
    <row r="91" spans="1:22" ht="23.1" customHeight="1">
      <c r="A91" s="1511" t="s">
        <v>1804</v>
      </c>
      <c r="B91" s="1511"/>
      <c r="C91" s="1511"/>
      <c r="D91" s="1511"/>
      <c r="E91" s="1511"/>
      <c r="F91" s="1511"/>
      <c r="G91" s="1511"/>
      <c r="H91" s="1511"/>
      <c r="I91" s="1511"/>
      <c r="J91" s="1511"/>
      <c r="K91" s="1511"/>
    </row>
    <row r="92" spans="1:22" ht="23.1" customHeight="1">
      <c r="A92" s="1791" t="s">
        <v>1805</v>
      </c>
      <c r="B92" s="1791"/>
      <c r="C92" s="1791"/>
      <c r="D92" s="1791"/>
      <c r="E92" s="1791"/>
      <c r="F92" s="1791"/>
      <c r="G92" s="1791"/>
      <c r="H92" s="1791"/>
      <c r="I92" s="1791"/>
      <c r="J92" s="1791"/>
      <c r="K92" s="1791"/>
    </row>
    <row r="93" spans="1:22" ht="23.1" customHeight="1">
      <c r="A93" s="1792" t="s">
        <v>1806</v>
      </c>
      <c r="B93" s="1792"/>
      <c r="C93" s="1792"/>
      <c r="D93" s="1792"/>
      <c r="E93" s="1792"/>
      <c r="F93" s="1792"/>
      <c r="G93" s="1792"/>
      <c r="H93" s="1792"/>
      <c r="I93" s="1792"/>
      <c r="J93" s="1792"/>
      <c r="K93" s="1792"/>
    </row>
    <row r="94" spans="1:22" ht="23.1" customHeight="1">
      <c r="A94" s="1412" t="s">
        <v>2026</v>
      </c>
      <c r="B94" s="1772" t="s">
        <v>414</v>
      </c>
      <c r="C94" s="1775" t="s">
        <v>597</v>
      </c>
      <c r="D94" s="1776"/>
      <c r="E94" s="1777"/>
      <c r="F94" s="1778" t="s">
        <v>596</v>
      </c>
      <c r="G94" s="1778"/>
      <c r="H94" s="1778"/>
      <c r="I94" s="1779"/>
      <c r="J94" s="1780" t="s">
        <v>411</v>
      </c>
      <c r="K94" s="1412" t="s">
        <v>2027</v>
      </c>
      <c r="L94" s="986">
        <v>611316</v>
      </c>
      <c r="M94" s="987">
        <v>1043990</v>
      </c>
    </row>
    <row r="95" spans="1:22" ht="23.1" customHeight="1">
      <c r="A95" s="1491"/>
      <c r="B95" s="1773"/>
      <c r="C95" s="94" t="s">
        <v>728</v>
      </c>
      <c r="D95" s="93" t="s">
        <v>727</v>
      </c>
      <c r="E95" s="1033" t="s">
        <v>2</v>
      </c>
      <c r="F95" s="71" t="s">
        <v>304</v>
      </c>
      <c r="G95" s="92" t="s">
        <v>305</v>
      </c>
      <c r="H95" s="92" t="s">
        <v>306</v>
      </c>
      <c r="I95" s="1033" t="s">
        <v>2</v>
      </c>
      <c r="J95" s="1781"/>
      <c r="K95" s="1491"/>
      <c r="L95">
        <v>322114</v>
      </c>
      <c r="M95" s="10">
        <v>569877</v>
      </c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23.1" customHeight="1">
      <c r="A96" s="1491"/>
      <c r="B96" s="1773"/>
      <c r="C96" s="952" t="s">
        <v>547</v>
      </c>
      <c r="D96" s="1054" t="s">
        <v>548</v>
      </c>
      <c r="E96" s="951" t="s">
        <v>499</v>
      </c>
      <c r="F96" s="35" t="s">
        <v>593</v>
      </c>
      <c r="G96" s="1041" t="s">
        <v>594</v>
      </c>
      <c r="H96" s="1041" t="s">
        <v>595</v>
      </c>
      <c r="I96" s="1037" t="s">
        <v>502</v>
      </c>
      <c r="J96" s="1781"/>
      <c r="K96" s="1491"/>
      <c r="L96">
        <f>SUM(L94:L95)</f>
        <v>933430</v>
      </c>
      <c r="M96" s="10">
        <f>SUM(M94:M95)</f>
        <v>1613867</v>
      </c>
      <c r="N96" s="10">
        <f>M96+L96</f>
        <v>2547297</v>
      </c>
      <c r="O96" s="10"/>
      <c r="P96" s="10"/>
      <c r="Q96" s="130"/>
      <c r="R96" s="10"/>
      <c r="S96" s="10"/>
      <c r="T96" s="10"/>
      <c r="U96" s="10"/>
      <c r="V96" s="10"/>
    </row>
    <row r="97" spans="1:22" ht="23.1" customHeight="1">
      <c r="A97" s="1413"/>
      <c r="B97" s="1774"/>
      <c r="C97" s="1270" t="s">
        <v>307</v>
      </c>
      <c r="D97" s="1271" t="s">
        <v>308</v>
      </c>
      <c r="E97" s="1272" t="s">
        <v>28</v>
      </c>
      <c r="F97" s="1273" t="s">
        <v>309</v>
      </c>
      <c r="G97" s="1271" t="s">
        <v>307</v>
      </c>
      <c r="H97" s="1274" t="s">
        <v>308</v>
      </c>
      <c r="I97" s="1272" t="s">
        <v>28</v>
      </c>
      <c r="J97" s="1782"/>
      <c r="K97" s="1413"/>
      <c r="L97" s="1"/>
      <c r="M97" s="66"/>
      <c r="N97" s="66"/>
      <c r="O97" s="66"/>
      <c r="P97" s="10"/>
      <c r="Q97" s="130"/>
      <c r="R97" s="459"/>
      <c r="S97" s="459"/>
      <c r="T97" s="459"/>
      <c r="U97" s="459"/>
      <c r="V97" s="10"/>
    </row>
    <row r="98" spans="1:22" ht="24.95" customHeight="1">
      <c r="A98" s="1001"/>
      <c r="B98" s="723" t="s">
        <v>28</v>
      </c>
      <c r="C98" s="724">
        <f>C99+C102+C103+C104+C105+C106+C107+C108+C109+C110+C111+C112+C113+C114+C115+C116+C117+C118+C119+C120+C121+C122+C123+C124+C125+C126+C127+C128+C129+C130+C131+C132+C133+C134</f>
        <v>333273</v>
      </c>
      <c r="D98" s="724">
        <f t="shared" ref="D98:I98" si="5">D99+D102+D103+D104+D105+D106+D107+D108+D109+D110+D111+D112+D113+D114+D115+D116+D117+D118+D119+D120+D121+D122+D123+D124+D125+D126+D127+D128+D129+D130+D131+D132+D133+D134</f>
        <v>613968</v>
      </c>
      <c r="E98" s="724">
        <f t="shared" si="5"/>
        <v>947241</v>
      </c>
      <c r="F98" s="725">
        <f t="shared" si="5"/>
        <v>1461</v>
      </c>
      <c r="G98" s="724">
        <f t="shared" si="5"/>
        <v>1200</v>
      </c>
      <c r="H98" s="724">
        <f t="shared" si="5"/>
        <v>2056</v>
      </c>
      <c r="I98" s="726">
        <f t="shared" si="5"/>
        <v>4717</v>
      </c>
      <c r="J98" s="1044" t="s">
        <v>627</v>
      </c>
      <c r="K98" s="1001"/>
      <c r="L98" s="1"/>
      <c r="M98" s="1795" t="s">
        <v>1332</v>
      </c>
      <c r="N98" s="1795"/>
      <c r="O98" s="66"/>
      <c r="Q98" s="130"/>
      <c r="R98" s="10"/>
      <c r="S98" s="10"/>
      <c r="T98" s="10"/>
      <c r="U98" s="10"/>
      <c r="V98" s="10"/>
    </row>
    <row r="99" spans="1:22" ht="24.95" customHeight="1">
      <c r="A99" s="1279" t="s">
        <v>934</v>
      </c>
      <c r="B99" s="1042" t="s">
        <v>113</v>
      </c>
      <c r="C99" s="602">
        <f>77628+7978</f>
        <v>85606</v>
      </c>
      <c r="D99" s="603">
        <f>21909+105663</f>
        <v>127572</v>
      </c>
      <c r="E99" s="459">
        <f>D99+C99</f>
        <v>213178</v>
      </c>
      <c r="F99" s="331">
        <v>169</v>
      </c>
      <c r="G99" s="459">
        <v>63</v>
      </c>
      <c r="H99" s="459">
        <v>107</v>
      </c>
      <c r="I99" s="332">
        <f>H99+G99+F99</f>
        <v>339</v>
      </c>
      <c r="J99" s="1043" t="s">
        <v>114</v>
      </c>
      <c r="K99" s="1279" t="s">
        <v>934</v>
      </c>
      <c r="L99" s="1"/>
      <c r="M99" s="183">
        <f>12+5+25+12+48+179+253+18+3+48+2+4+47+424</f>
        <v>1080</v>
      </c>
      <c r="N99" s="183">
        <f>697+1227+825+764+318+1206+599+670+387+5031+429+73+380+1882+7366</f>
        <v>21854</v>
      </c>
      <c r="O99" s="183"/>
      <c r="Q99" s="130"/>
      <c r="R99" s="10"/>
      <c r="S99" s="10"/>
      <c r="T99" s="10"/>
      <c r="U99" s="10"/>
      <c r="V99" s="10"/>
    </row>
    <row r="100" spans="1:22" ht="24.95" customHeight="1">
      <c r="A100" s="732">
        <v>2</v>
      </c>
      <c r="B100" s="1022" t="s">
        <v>234</v>
      </c>
      <c r="C100" s="1790">
        <v>77628</v>
      </c>
      <c r="D100" s="1783">
        <v>105663</v>
      </c>
      <c r="E100" s="1796">
        <f>D100+C100</f>
        <v>183291</v>
      </c>
      <c r="F100" s="1797">
        <v>107</v>
      </c>
      <c r="G100" s="1798">
        <v>38</v>
      </c>
      <c r="H100" s="1798">
        <v>50</v>
      </c>
      <c r="I100" s="1799">
        <f>H100+G100+F100</f>
        <v>195</v>
      </c>
      <c r="J100" s="1044" t="s">
        <v>723</v>
      </c>
      <c r="K100" s="732">
        <v>2</v>
      </c>
      <c r="L100" s="49">
        <f>L96/M96</f>
        <v>0.57838099422071332</v>
      </c>
      <c r="M100" s="183"/>
      <c r="N100" s="183">
        <f>M99+N99</f>
        <v>22934</v>
      </c>
      <c r="O100" s="183"/>
      <c r="Q100" s="10"/>
      <c r="R100" s="10"/>
      <c r="S100" s="10"/>
      <c r="T100" s="10"/>
      <c r="U100" s="10"/>
      <c r="V100" s="10"/>
    </row>
    <row r="101" spans="1:22" ht="24.95" customHeight="1">
      <c r="A101" s="732"/>
      <c r="B101" s="1040" t="s">
        <v>236</v>
      </c>
      <c r="C101" s="1790"/>
      <c r="D101" s="1783"/>
      <c r="E101" s="1796"/>
      <c r="F101" s="1797"/>
      <c r="G101" s="1798"/>
      <c r="H101" s="1798"/>
      <c r="I101" s="1799"/>
      <c r="J101" s="1044" t="s">
        <v>724</v>
      </c>
      <c r="K101" s="732"/>
      <c r="L101" s="1"/>
      <c r="M101" s="183"/>
      <c r="N101" s="183"/>
      <c r="O101" s="183"/>
      <c r="Q101" s="10"/>
      <c r="R101" s="10"/>
      <c r="S101" s="10"/>
      <c r="T101" s="10"/>
      <c r="U101" s="10"/>
      <c r="V101" s="10"/>
    </row>
    <row r="102" spans="1:22" ht="24.95" customHeight="1">
      <c r="A102" s="1283">
        <v>3</v>
      </c>
      <c r="B102" s="1042" t="s">
        <v>238</v>
      </c>
      <c r="C102" s="602">
        <v>4737</v>
      </c>
      <c r="D102" s="603">
        <v>11446</v>
      </c>
      <c r="E102" s="459">
        <f>D102+C102</f>
        <v>16183</v>
      </c>
      <c r="F102" s="331">
        <v>0</v>
      </c>
      <c r="G102" s="459">
        <v>32</v>
      </c>
      <c r="H102" s="459">
        <v>49</v>
      </c>
      <c r="I102" s="332">
        <f>H102+G102+F102</f>
        <v>81</v>
      </c>
      <c r="J102" s="1043" t="s">
        <v>310</v>
      </c>
      <c r="K102" s="1283">
        <v>3</v>
      </c>
      <c r="L102" s="1"/>
      <c r="M102" s="183"/>
      <c r="N102" s="183"/>
      <c r="O102" s="183"/>
      <c r="P102" s="10"/>
      <c r="Q102" s="10"/>
      <c r="R102" s="10"/>
      <c r="S102" s="10"/>
      <c r="T102" s="10"/>
      <c r="U102" s="10"/>
      <c r="V102" s="10"/>
    </row>
    <row r="103" spans="1:22" ht="24.95" customHeight="1">
      <c r="A103" s="732">
        <v>4</v>
      </c>
      <c r="B103" s="1040" t="s">
        <v>240</v>
      </c>
      <c r="C103" s="1034">
        <v>6835</v>
      </c>
      <c r="D103" s="1035">
        <v>17276</v>
      </c>
      <c r="E103" s="1028">
        <f t="shared" ref="E103:E133" si="6">D103+C103</f>
        <v>24111</v>
      </c>
      <c r="F103" s="1029">
        <v>42</v>
      </c>
      <c r="G103" s="1028">
        <v>48</v>
      </c>
      <c r="H103" s="1028">
        <v>86</v>
      </c>
      <c r="I103" s="1038">
        <f t="shared" ref="I103:I133" si="7">H103+G103+F103</f>
        <v>176</v>
      </c>
      <c r="J103" s="1044" t="s">
        <v>241</v>
      </c>
      <c r="K103" s="732">
        <v>4</v>
      </c>
      <c r="L103" s="601">
        <f>109446+16505</f>
        <v>125951</v>
      </c>
      <c r="M103" s="1016">
        <f>139461+40282</f>
        <v>179743</v>
      </c>
      <c r="N103" s="460">
        <f>M103+L103</f>
        <v>305694</v>
      </c>
      <c r="O103" s="66"/>
      <c r="P103" s="10"/>
      <c r="Q103" s="10"/>
      <c r="R103" s="10"/>
      <c r="S103" s="10"/>
      <c r="T103" s="10"/>
      <c r="U103" s="10"/>
      <c r="V103" s="10"/>
    </row>
    <row r="104" spans="1:22" ht="24.95" customHeight="1">
      <c r="A104" s="1283">
        <v>5</v>
      </c>
      <c r="B104" s="1042" t="s">
        <v>1108</v>
      </c>
      <c r="C104" s="602">
        <v>1487</v>
      </c>
      <c r="D104" s="603">
        <v>13335</v>
      </c>
      <c r="E104" s="459">
        <f t="shared" si="6"/>
        <v>14822</v>
      </c>
      <c r="F104" s="331">
        <v>54</v>
      </c>
      <c r="G104" s="459">
        <v>8</v>
      </c>
      <c r="H104" s="459">
        <v>67</v>
      </c>
      <c r="I104" s="332">
        <f t="shared" si="7"/>
        <v>129</v>
      </c>
      <c r="J104" s="1043" t="s">
        <v>1106</v>
      </c>
      <c r="K104" s="1283">
        <v>5</v>
      </c>
      <c r="L104" s="602">
        <f>7942+71903</f>
        <v>79845</v>
      </c>
      <c r="M104" s="603">
        <f>21913+95246</f>
        <v>117159</v>
      </c>
      <c r="N104" s="459">
        <f>M104+L104</f>
        <v>197004</v>
      </c>
      <c r="O104" s="66"/>
      <c r="P104" s="10"/>
      <c r="Q104" s="10"/>
      <c r="R104" s="10"/>
      <c r="S104" s="10"/>
      <c r="T104" s="10"/>
      <c r="U104" s="10"/>
      <c r="V104" s="10"/>
    </row>
    <row r="105" spans="1:22" ht="24.95" customHeight="1">
      <c r="A105" s="732">
        <v>6</v>
      </c>
      <c r="B105" s="1040" t="s">
        <v>242</v>
      </c>
      <c r="C105" s="1034">
        <v>1648</v>
      </c>
      <c r="D105" s="1035">
        <v>9901</v>
      </c>
      <c r="E105" s="1028">
        <f t="shared" si="6"/>
        <v>11549</v>
      </c>
      <c r="F105" s="1029">
        <v>4</v>
      </c>
      <c r="G105" s="1028">
        <v>22</v>
      </c>
      <c r="H105" s="1028">
        <v>45</v>
      </c>
      <c r="I105" s="1038">
        <f t="shared" si="7"/>
        <v>71</v>
      </c>
      <c r="J105" s="1044" t="s">
        <v>243</v>
      </c>
      <c r="K105" s="732">
        <v>6</v>
      </c>
      <c r="L105" s="1">
        <f>SUM(L103:L104)</f>
        <v>205796</v>
      </c>
      <c r="M105" s="1">
        <f>SUM(M103:M104)</f>
        <v>296902</v>
      </c>
      <c r="N105" s="1">
        <f>SUM(N103:N104)</f>
        <v>502698</v>
      </c>
      <c r="O105" s="1"/>
    </row>
    <row r="106" spans="1:22" ht="24.95" customHeight="1">
      <c r="A106" s="1283">
        <v>7</v>
      </c>
      <c r="B106" s="1042" t="s">
        <v>311</v>
      </c>
      <c r="C106" s="602">
        <v>16391</v>
      </c>
      <c r="D106" s="603">
        <v>50387</v>
      </c>
      <c r="E106" s="459">
        <f t="shared" si="6"/>
        <v>66778</v>
      </c>
      <c r="F106" s="331">
        <v>87</v>
      </c>
      <c r="G106" s="459">
        <v>88</v>
      </c>
      <c r="H106" s="459">
        <v>118</v>
      </c>
      <c r="I106" s="332">
        <f t="shared" si="7"/>
        <v>293</v>
      </c>
      <c r="J106" s="1043" t="s">
        <v>245</v>
      </c>
      <c r="K106" s="1283">
        <v>7</v>
      </c>
      <c r="L106" s="1"/>
      <c r="M106" s="1"/>
      <c r="N106" s="1"/>
      <c r="O106" s="1"/>
    </row>
    <row r="107" spans="1:22" ht="24.95" customHeight="1">
      <c r="A107" s="732">
        <v>8</v>
      </c>
      <c r="B107" s="1040" t="s">
        <v>312</v>
      </c>
      <c r="C107" s="1034">
        <v>5727</v>
      </c>
      <c r="D107" s="1035">
        <v>13400</v>
      </c>
      <c r="E107" s="1028">
        <f t="shared" si="6"/>
        <v>19127</v>
      </c>
      <c r="F107" s="1029">
        <v>17</v>
      </c>
      <c r="G107" s="1028">
        <v>43</v>
      </c>
      <c r="H107" s="1028">
        <v>61</v>
      </c>
      <c r="I107" s="1038">
        <f t="shared" si="7"/>
        <v>121</v>
      </c>
      <c r="J107" s="1044" t="s">
        <v>247</v>
      </c>
      <c r="K107" s="732">
        <v>8</v>
      </c>
      <c r="L107" s="1"/>
      <c r="M107" s="49"/>
      <c r="N107" s="1"/>
      <c r="O107" s="1"/>
    </row>
    <row r="108" spans="1:22" ht="24.95" customHeight="1">
      <c r="A108" s="1283">
        <v>9</v>
      </c>
      <c r="B108" s="1042" t="s">
        <v>248</v>
      </c>
      <c r="C108" s="602">
        <v>1979</v>
      </c>
      <c r="D108" s="603">
        <v>3942</v>
      </c>
      <c r="E108" s="459">
        <f t="shared" si="6"/>
        <v>5921</v>
      </c>
      <c r="F108" s="331">
        <v>6</v>
      </c>
      <c r="G108" s="459">
        <v>25</v>
      </c>
      <c r="H108" s="459">
        <v>29</v>
      </c>
      <c r="I108" s="332">
        <f t="shared" si="7"/>
        <v>60</v>
      </c>
      <c r="J108" s="1043" t="s">
        <v>249</v>
      </c>
      <c r="K108" s="1283">
        <v>9</v>
      </c>
      <c r="L108" s="1">
        <f>D98+D53+D8-5121001</f>
        <v>84391</v>
      </c>
      <c r="M108" s="1">
        <f>C98+C53+C8-3297769</f>
        <v>30142</v>
      </c>
      <c r="N108" s="1"/>
      <c r="O108" s="1"/>
    </row>
    <row r="109" spans="1:22" ht="24.95" customHeight="1">
      <c r="A109" s="732">
        <v>10</v>
      </c>
      <c r="B109" s="1040" t="s">
        <v>121</v>
      </c>
      <c r="C109" s="1034">
        <v>11557</v>
      </c>
      <c r="D109" s="1035">
        <v>25891</v>
      </c>
      <c r="E109" s="1028">
        <f t="shared" si="6"/>
        <v>37448</v>
      </c>
      <c r="F109" s="1029">
        <v>71</v>
      </c>
      <c r="G109" s="1028">
        <v>41</v>
      </c>
      <c r="H109" s="1028">
        <v>60</v>
      </c>
      <c r="I109" s="1038">
        <f t="shared" si="7"/>
        <v>172</v>
      </c>
      <c r="J109" s="1044" t="s">
        <v>122</v>
      </c>
      <c r="K109" s="732">
        <v>10</v>
      </c>
    </row>
    <row r="110" spans="1:22" ht="24.95" customHeight="1">
      <c r="A110" s="1283">
        <v>11</v>
      </c>
      <c r="B110" s="1042" t="s">
        <v>313</v>
      </c>
      <c r="C110" s="602">
        <v>7232</v>
      </c>
      <c r="D110" s="603">
        <v>10198</v>
      </c>
      <c r="E110" s="459">
        <f t="shared" si="6"/>
        <v>17430</v>
      </c>
      <c r="F110" s="331">
        <v>48</v>
      </c>
      <c r="G110" s="459">
        <v>41</v>
      </c>
      <c r="H110" s="459">
        <v>36</v>
      </c>
      <c r="I110" s="332">
        <f t="shared" si="7"/>
        <v>125</v>
      </c>
      <c r="J110" s="1043" t="s">
        <v>252</v>
      </c>
      <c r="K110" s="1283">
        <v>11</v>
      </c>
    </row>
    <row r="111" spans="1:22" ht="24.95" customHeight="1">
      <c r="A111" s="732">
        <v>12</v>
      </c>
      <c r="B111" s="1040" t="s">
        <v>253</v>
      </c>
      <c r="C111" s="1034">
        <v>14998</v>
      </c>
      <c r="D111" s="1035">
        <v>27223</v>
      </c>
      <c r="E111" s="1028">
        <f t="shared" si="6"/>
        <v>42221</v>
      </c>
      <c r="F111" s="1029">
        <v>80</v>
      </c>
      <c r="G111" s="1028">
        <v>69</v>
      </c>
      <c r="H111" s="1028">
        <v>135</v>
      </c>
      <c r="I111" s="1038">
        <f t="shared" si="7"/>
        <v>284</v>
      </c>
      <c r="J111" s="1044" t="s">
        <v>314</v>
      </c>
      <c r="K111" s="732">
        <v>12</v>
      </c>
    </row>
    <row r="112" spans="1:22" ht="24.95" customHeight="1">
      <c r="A112" s="1283">
        <v>13</v>
      </c>
      <c r="B112" s="1042" t="s">
        <v>255</v>
      </c>
      <c r="C112" s="602">
        <v>223</v>
      </c>
      <c r="D112" s="603">
        <v>6681</v>
      </c>
      <c r="E112" s="459">
        <f t="shared" si="6"/>
        <v>6904</v>
      </c>
      <c r="F112" s="331">
        <v>15</v>
      </c>
      <c r="G112" s="459">
        <v>2</v>
      </c>
      <c r="H112" s="459">
        <v>46</v>
      </c>
      <c r="I112" s="332">
        <f t="shared" si="7"/>
        <v>63</v>
      </c>
      <c r="J112" s="1043" t="s">
        <v>256</v>
      </c>
      <c r="K112" s="1283">
        <v>13</v>
      </c>
    </row>
    <row r="113" spans="1:13" ht="24.95" customHeight="1">
      <c r="A113" s="732">
        <v>14</v>
      </c>
      <c r="B113" s="1040" t="s">
        <v>257</v>
      </c>
      <c r="C113" s="1034">
        <v>1166</v>
      </c>
      <c r="D113" s="1035">
        <v>12133</v>
      </c>
      <c r="E113" s="1028">
        <f t="shared" si="6"/>
        <v>13299</v>
      </c>
      <c r="F113" s="1029">
        <v>16</v>
      </c>
      <c r="G113" s="1028">
        <v>9</v>
      </c>
      <c r="H113" s="1028">
        <v>68</v>
      </c>
      <c r="I113" s="1038">
        <f t="shared" si="7"/>
        <v>93</v>
      </c>
      <c r="J113" s="1044" t="s">
        <v>258</v>
      </c>
      <c r="K113" s="732">
        <v>14</v>
      </c>
    </row>
    <row r="114" spans="1:13" ht="24.95" customHeight="1">
      <c r="A114" s="1283">
        <v>15</v>
      </c>
      <c r="B114" s="1042" t="s">
        <v>259</v>
      </c>
      <c r="C114" s="602">
        <v>3610</v>
      </c>
      <c r="D114" s="603">
        <v>17698</v>
      </c>
      <c r="E114" s="459">
        <f t="shared" si="6"/>
        <v>21308</v>
      </c>
      <c r="F114" s="325">
        <v>23</v>
      </c>
      <c r="G114" s="459">
        <v>20</v>
      </c>
      <c r="H114" s="459">
        <v>69</v>
      </c>
      <c r="I114" s="332">
        <f t="shared" si="7"/>
        <v>112</v>
      </c>
      <c r="J114" s="1043" t="s">
        <v>260</v>
      </c>
      <c r="K114" s="1283">
        <v>15</v>
      </c>
    </row>
    <row r="115" spans="1:13" ht="24.95" customHeight="1">
      <c r="A115" s="732">
        <v>16</v>
      </c>
      <c r="B115" s="1040" t="s">
        <v>261</v>
      </c>
      <c r="C115" s="1034">
        <v>1996</v>
      </c>
      <c r="D115" s="1035">
        <v>10917</v>
      </c>
      <c r="E115" s="1028">
        <f t="shared" si="6"/>
        <v>12913</v>
      </c>
      <c r="F115" s="1029">
        <v>11</v>
      </c>
      <c r="G115" s="1028">
        <v>23</v>
      </c>
      <c r="H115" s="1028">
        <v>51</v>
      </c>
      <c r="I115" s="1038">
        <f t="shared" si="7"/>
        <v>85</v>
      </c>
      <c r="J115" s="1044" t="s">
        <v>684</v>
      </c>
      <c r="K115" s="732">
        <v>16</v>
      </c>
    </row>
    <row r="116" spans="1:13" ht="24.95" customHeight="1">
      <c r="A116" s="1283">
        <v>17</v>
      </c>
      <c r="B116" s="1042" t="s">
        <v>315</v>
      </c>
      <c r="C116" s="602">
        <v>625</v>
      </c>
      <c r="D116" s="603">
        <v>1979</v>
      </c>
      <c r="E116" s="459">
        <f t="shared" si="6"/>
        <v>2604</v>
      </c>
      <c r="F116" s="326">
        <v>4</v>
      </c>
      <c r="G116" s="459">
        <v>8</v>
      </c>
      <c r="H116" s="459">
        <v>16</v>
      </c>
      <c r="I116" s="332">
        <f t="shared" si="7"/>
        <v>28</v>
      </c>
      <c r="J116" s="1043" t="s">
        <v>263</v>
      </c>
      <c r="K116" s="1283">
        <v>17</v>
      </c>
    </row>
    <row r="117" spans="1:13" ht="24.95" customHeight="1">
      <c r="A117" s="732">
        <v>18</v>
      </c>
      <c r="B117" s="1040" t="s">
        <v>316</v>
      </c>
      <c r="C117" s="1034">
        <v>18932</v>
      </c>
      <c r="D117" s="1035">
        <v>22519</v>
      </c>
      <c r="E117" s="1028">
        <f t="shared" si="6"/>
        <v>41451</v>
      </c>
      <c r="F117" s="727">
        <v>167</v>
      </c>
      <c r="G117" s="1028">
        <v>74</v>
      </c>
      <c r="H117" s="1028">
        <v>80</v>
      </c>
      <c r="I117" s="1038">
        <f t="shared" si="7"/>
        <v>321</v>
      </c>
      <c r="J117" s="1044" t="s">
        <v>317</v>
      </c>
      <c r="K117" s="732">
        <v>18</v>
      </c>
    </row>
    <row r="118" spans="1:13" ht="24.95" customHeight="1">
      <c r="A118" s="1283">
        <v>19</v>
      </c>
      <c r="B118" s="1042" t="s">
        <v>318</v>
      </c>
      <c r="C118" s="602">
        <v>15965</v>
      </c>
      <c r="D118" s="603">
        <v>22183</v>
      </c>
      <c r="E118" s="459">
        <f t="shared" si="6"/>
        <v>38148</v>
      </c>
      <c r="F118" s="331">
        <v>75</v>
      </c>
      <c r="G118" s="459">
        <v>77</v>
      </c>
      <c r="H118" s="459">
        <v>74</v>
      </c>
      <c r="I118" s="332">
        <f t="shared" si="7"/>
        <v>226</v>
      </c>
      <c r="J118" s="1043" t="s">
        <v>319</v>
      </c>
      <c r="K118" s="1283">
        <v>19</v>
      </c>
    </row>
    <row r="119" spans="1:13" ht="24.95" customHeight="1">
      <c r="A119" s="732">
        <v>20</v>
      </c>
      <c r="B119" s="1040" t="s">
        <v>333</v>
      </c>
      <c r="C119" s="1034">
        <v>10313</v>
      </c>
      <c r="D119" s="1035">
        <v>20610</v>
      </c>
      <c r="E119" s="1028">
        <f t="shared" si="6"/>
        <v>30923</v>
      </c>
      <c r="F119" s="1029">
        <v>46</v>
      </c>
      <c r="G119" s="1028">
        <v>38</v>
      </c>
      <c r="H119" s="1028">
        <v>64</v>
      </c>
      <c r="I119" s="1038">
        <f t="shared" si="7"/>
        <v>148</v>
      </c>
      <c r="J119" s="1044" t="s">
        <v>268</v>
      </c>
      <c r="K119" s="732">
        <v>20</v>
      </c>
    </row>
    <row r="120" spans="1:13" ht="24.95" customHeight="1">
      <c r="A120" s="1283">
        <v>21</v>
      </c>
      <c r="B120" s="1042" t="s">
        <v>320</v>
      </c>
      <c r="C120" s="602">
        <v>4724</v>
      </c>
      <c r="D120" s="603">
        <v>7521</v>
      </c>
      <c r="E120" s="459">
        <f t="shared" si="6"/>
        <v>12245</v>
      </c>
      <c r="F120" s="331">
        <v>29</v>
      </c>
      <c r="G120" s="459">
        <v>29</v>
      </c>
      <c r="H120" s="459">
        <v>40</v>
      </c>
      <c r="I120" s="332">
        <f t="shared" si="7"/>
        <v>98</v>
      </c>
      <c r="J120" s="1043" t="s">
        <v>321</v>
      </c>
      <c r="K120" s="1283">
        <v>21</v>
      </c>
      <c r="M120">
        <f>8418777+22934</f>
        <v>8441711</v>
      </c>
    </row>
    <row r="121" spans="1:13" ht="24.95" customHeight="1">
      <c r="A121" s="732">
        <v>22</v>
      </c>
      <c r="B121" s="1040" t="s">
        <v>115</v>
      </c>
      <c r="C121" s="1034">
        <v>30013</v>
      </c>
      <c r="D121" s="1035">
        <v>36249</v>
      </c>
      <c r="E121" s="1028">
        <f t="shared" si="6"/>
        <v>66262</v>
      </c>
      <c r="F121" s="1029">
        <v>114</v>
      </c>
      <c r="G121" s="1028">
        <v>57</v>
      </c>
      <c r="H121" s="1028">
        <v>58</v>
      </c>
      <c r="I121" s="1038">
        <f t="shared" si="7"/>
        <v>229</v>
      </c>
      <c r="J121" s="1044" t="s">
        <v>116</v>
      </c>
      <c r="K121" s="732">
        <v>22</v>
      </c>
    </row>
    <row r="122" spans="1:13" ht="24.95" customHeight="1">
      <c r="A122" s="1283">
        <v>23</v>
      </c>
      <c r="B122" s="1042" t="s">
        <v>322</v>
      </c>
      <c r="C122" s="602">
        <v>5072</v>
      </c>
      <c r="D122" s="603">
        <v>7048</v>
      </c>
      <c r="E122" s="459">
        <f t="shared" si="6"/>
        <v>12120</v>
      </c>
      <c r="F122" s="326">
        <v>29</v>
      </c>
      <c r="G122" s="459">
        <v>32</v>
      </c>
      <c r="H122" s="459">
        <v>41</v>
      </c>
      <c r="I122" s="332">
        <f t="shared" si="7"/>
        <v>102</v>
      </c>
      <c r="J122" s="1043" t="s">
        <v>323</v>
      </c>
      <c r="K122" s="1283">
        <v>23</v>
      </c>
    </row>
    <row r="123" spans="1:13" ht="24.95" customHeight="1">
      <c r="A123" s="732">
        <v>24</v>
      </c>
      <c r="B123" s="1040" t="s">
        <v>274</v>
      </c>
      <c r="C123" s="1034">
        <v>6099</v>
      </c>
      <c r="D123" s="1035">
        <v>13635</v>
      </c>
      <c r="E123" s="1028">
        <f t="shared" si="6"/>
        <v>19734</v>
      </c>
      <c r="F123" s="1029">
        <v>59</v>
      </c>
      <c r="G123" s="1028">
        <v>34</v>
      </c>
      <c r="H123" s="1028">
        <v>73</v>
      </c>
      <c r="I123" s="1038">
        <f t="shared" si="7"/>
        <v>166</v>
      </c>
      <c r="J123" s="1044" t="s">
        <v>275</v>
      </c>
      <c r="K123" s="732">
        <v>24</v>
      </c>
    </row>
    <row r="124" spans="1:13" ht="24.95" customHeight="1">
      <c r="A124" s="1283">
        <v>25</v>
      </c>
      <c r="B124" s="1042" t="s">
        <v>276</v>
      </c>
      <c r="C124" s="602">
        <v>11851</v>
      </c>
      <c r="D124" s="603">
        <v>15555</v>
      </c>
      <c r="E124" s="459">
        <f t="shared" si="6"/>
        <v>27406</v>
      </c>
      <c r="F124" s="331">
        <v>105</v>
      </c>
      <c r="G124" s="459">
        <v>46</v>
      </c>
      <c r="H124" s="459">
        <v>54</v>
      </c>
      <c r="I124" s="332">
        <f t="shared" si="7"/>
        <v>205</v>
      </c>
      <c r="J124" s="1043" t="s">
        <v>277</v>
      </c>
      <c r="K124" s="1283">
        <v>25</v>
      </c>
    </row>
    <row r="125" spans="1:13" ht="24.95" customHeight="1">
      <c r="A125" s="732">
        <v>26</v>
      </c>
      <c r="B125" s="1040" t="s">
        <v>278</v>
      </c>
      <c r="C125" s="1034">
        <v>838</v>
      </c>
      <c r="D125" s="1035">
        <v>5140</v>
      </c>
      <c r="E125" s="1028">
        <f t="shared" si="6"/>
        <v>5978</v>
      </c>
      <c r="F125" s="727">
        <v>3</v>
      </c>
      <c r="G125" s="1028">
        <v>8</v>
      </c>
      <c r="H125" s="1028">
        <v>40</v>
      </c>
      <c r="I125" s="1038">
        <f t="shared" si="7"/>
        <v>51</v>
      </c>
      <c r="J125" s="1044" t="s">
        <v>279</v>
      </c>
      <c r="K125" s="732">
        <v>26</v>
      </c>
    </row>
    <row r="126" spans="1:13" ht="24.95" customHeight="1">
      <c r="A126" s="1283">
        <v>27</v>
      </c>
      <c r="B126" s="1042" t="s">
        <v>324</v>
      </c>
      <c r="C126" s="602">
        <v>229</v>
      </c>
      <c r="D126" s="603">
        <v>2000</v>
      </c>
      <c r="E126" s="459">
        <f t="shared" si="6"/>
        <v>2229</v>
      </c>
      <c r="F126" s="326">
        <v>4</v>
      </c>
      <c r="G126" s="459">
        <v>2</v>
      </c>
      <c r="H126" s="459">
        <v>21</v>
      </c>
      <c r="I126" s="332">
        <f t="shared" si="7"/>
        <v>27</v>
      </c>
      <c r="J126" s="1043" t="s">
        <v>281</v>
      </c>
      <c r="K126" s="1283">
        <v>27</v>
      </c>
    </row>
    <row r="127" spans="1:13" ht="24.95" customHeight="1">
      <c r="A127" s="732">
        <v>28</v>
      </c>
      <c r="B127" s="1040" t="s">
        <v>325</v>
      </c>
      <c r="C127" s="1034">
        <v>2664</v>
      </c>
      <c r="D127" s="1035">
        <v>15860</v>
      </c>
      <c r="E127" s="1028">
        <f t="shared" si="6"/>
        <v>18524</v>
      </c>
      <c r="F127" s="1029">
        <v>16</v>
      </c>
      <c r="G127" s="1028">
        <v>8</v>
      </c>
      <c r="H127" s="1028">
        <v>57</v>
      </c>
      <c r="I127" s="1038">
        <f t="shared" si="7"/>
        <v>81</v>
      </c>
      <c r="J127" s="1044" t="s">
        <v>283</v>
      </c>
      <c r="K127" s="732">
        <v>28</v>
      </c>
    </row>
    <row r="128" spans="1:13" ht="24.95" customHeight="1">
      <c r="A128" s="1283">
        <v>29</v>
      </c>
      <c r="B128" s="1042" t="s">
        <v>326</v>
      </c>
      <c r="C128" s="602">
        <v>7647</v>
      </c>
      <c r="D128" s="603">
        <v>12792</v>
      </c>
      <c r="E128" s="459">
        <f t="shared" si="6"/>
        <v>20439</v>
      </c>
      <c r="F128" s="331">
        <v>33</v>
      </c>
      <c r="G128" s="459">
        <v>35</v>
      </c>
      <c r="H128" s="459">
        <v>45</v>
      </c>
      <c r="I128" s="332">
        <f t="shared" si="7"/>
        <v>113</v>
      </c>
      <c r="J128" s="1043" t="s">
        <v>327</v>
      </c>
      <c r="K128" s="1283">
        <v>29</v>
      </c>
    </row>
    <row r="129" spans="1:11" ht="24.95" customHeight="1">
      <c r="A129" s="732">
        <v>30</v>
      </c>
      <c r="B129" s="1040" t="s">
        <v>328</v>
      </c>
      <c r="C129" s="1034">
        <v>11481</v>
      </c>
      <c r="D129" s="1035">
        <v>15081</v>
      </c>
      <c r="E129" s="1028">
        <f t="shared" si="6"/>
        <v>26562</v>
      </c>
      <c r="F129" s="727">
        <v>8</v>
      </c>
      <c r="G129" s="1028">
        <v>59</v>
      </c>
      <c r="H129" s="1028">
        <v>64</v>
      </c>
      <c r="I129" s="1038">
        <f t="shared" si="7"/>
        <v>131</v>
      </c>
      <c r="J129" s="1044" t="s">
        <v>329</v>
      </c>
      <c r="K129" s="732">
        <v>30</v>
      </c>
    </row>
    <row r="130" spans="1:11" ht="24.95" customHeight="1">
      <c r="A130" s="1283">
        <v>31</v>
      </c>
      <c r="B130" s="1042" t="s">
        <v>330</v>
      </c>
      <c r="C130" s="962">
        <v>2107</v>
      </c>
      <c r="D130" s="366">
        <v>9552</v>
      </c>
      <c r="E130" s="459">
        <f t="shared" si="6"/>
        <v>11659</v>
      </c>
      <c r="F130" s="331">
        <v>15</v>
      </c>
      <c r="G130" s="459">
        <v>3</v>
      </c>
      <c r="H130" s="459">
        <v>60</v>
      </c>
      <c r="I130" s="332">
        <f t="shared" si="7"/>
        <v>78</v>
      </c>
      <c r="J130" s="1043" t="s">
        <v>289</v>
      </c>
      <c r="K130" s="1283">
        <v>31</v>
      </c>
    </row>
    <row r="131" spans="1:11" ht="24.95" customHeight="1">
      <c r="A131" s="732">
        <v>32</v>
      </c>
      <c r="B131" s="1040" t="s">
        <v>290</v>
      </c>
      <c r="C131" s="1034">
        <v>1685</v>
      </c>
      <c r="D131" s="1035">
        <v>7794</v>
      </c>
      <c r="E131" s="1028">
        <f t="shared" si="6"/>
        <v>9479</v>
      </c>
      <c r="F131" s="1029">
        <v>3</v>
      </c>
      <c r="G131" s="1028">
        <v>17</v>
      </c>
      <c r="H131" s="1028">
        <v>71</v>
      </c>
      <c r="I131" s="1038">
        <f>H131+G131+F131</f>
        <v>91</v>
      </c>
      <c r="J131" s="1044" t="s">
        <v>291</v>
      </c>
      <c r="K131" s="732">
        <v>32</v>
      </c>
    </row>
    <row r="132" spans="1:11" ht="24.95" customHeight="1">
      <c r="A132" s="1283">
        <v>33</v>
      </c>
      <c r="B132" s="1042" t="s">
        <v>119</v>
      </c>
      <c r="C132" s="602">
        <v>32024</v>
      </c>
      <c r="D132" s="603">
        <v>30917</v>
      </c>
      <c r="E132" s="459">
        <f t="shared" si="6"/>
        <v>62941</v>
      </c>
      <c r="F132" s="331">
        <v>93</v>
      </c>
      <c r="G132" s="459">
        <v>95</v>
      </c>
      <c r="H132" s="459">
        <v>104</v>
      </c>
      <c r="I132" s="332">
        <f t="shared" si="7"/>
        <v>292</v>
      </c>
      <c r="J132" s="1043" t="s">
        <v>120</v>
      </c>
      <c r="K132" s="1283">
        <v>33</v>
      </c>
    </row>
    <row r="133" spans="1:11" ht="24.95" customHeight="1">
      <c r="A133" s="732">
        <v>34</v>
      </c>
      <c r="B133" s="1040" t="s">
        <v>292</v>
      </c>
      <c r="C133" s="1034">
        <v>4108</v>
      </c>
      <c r="D133" s="1035">
        <v>7201</v>
      </c>
      <c r="E133" s="1028">
        <f t="shared" si="6"/>
        <v>11309</v>
      </c>
      <c r="F133" s="1029">
        <v>4</v>
      </c>
      <c r="G133" s="1028">
        <v>37</v>
      </c>
      <c r="H133" s="1028">
        <v>57</v>
      </c>
      <c r="I133" s="1038">
        <f t="shared" si="7"/>
        <v>98</v>
      </c>
      <c r="J133" s="1044" t="s">
        <v>293</v>
      </c>
      <c r="K133" s="732">
        <v>34</v>
      </c>
    </row>
    <row r="134" spans="1:11" ht="24.95" customHeight="1">
      <c r="A134" s="1284">
        <v>35</v>
      </c>
      <c r="B134" s="1045" t="s">
        <v>331</v>
      </c>
      <c r="C134" s="212">
        <v>1704</v>
      </c>
      <c r="D134" s="65">
        <v>2332</v>
      </c>
      <c r="E134" s="328">
        <f>D134+C134</f>
        <v>4036</v>
      </c>
      <c r="F134" s="327">
        <v>11</v>
      </c>
      <c r="G134" s="328">
        <v>7</v>
      </c>
      <c r="H134" s="328">
        <v>10</v>
      </c>
      <c r="I134" s="329">
        <f>H134+G134+F134</f>
        <v>28</v>
      </c>
      <c r="J134" s="209" t="s">
        <v>295</v>
      </c>
      <c r="K134" s="1284">
        <v>35</v>
      </c>
    </row>
    <row r="135" spans="1:11" ht="22.7" customHeight="1">
      <c r="A135" s="1786" t="s">
        <v>726</v>
      </c>
      <c r="B135" s="1786"/>
      <c r="C135" s="1786"/>
      <c r="D135" s="1787" t="s">
        <v>782</v>
      </c>
      <c r="E135" s="1787"/>
      <c r="F135" s="1787"/>
      <c r="G135" s="1787"/>
      <c r="H135" s="1515" t="s">
        <v>377</v>
      </c>
      <c r="I135" s="1515"/>
      <c r="J135" s="1515"/>
      <c r="K135" s="1515"/>
    </row>
    <row r="138" spans="1:11">
      <c r="I138">
        <f>E98+E53+E8</f>
        <v>8533303</v>
      </c>
    </row>
  </sheetData>
  <mergeCells count="60">
    <mergeCell ref="A135:C135"/>
    <mergeCell ref="D135:G135"/>
    <mergeCell ref="H135:K135"/>
    <mergeCell ref="M98:N98"/>
    <mergeCell ref="C100:C101"/>
    <mergeCell ref="D100:D101"/>
    <mergeCell ref="E100:E101"/>
    <mergeCell ref="F100:F101"/>
    <mergeCell ref="G100:G101"/>
    <mergeCell ref="H100:H101"/>
    <mergeCell ref="I100:I101"/>
    <mergeCell ref="K94:K97"/>
    <mergeCell ref="A90:C90"/>
    <mergeCell ref="D90:G90"/>
    <mergeCell ref="H90:K90"/>
    <mergeCell ref="A91:K91"/>
    <mergeCell ref="A92:K92"/>
    <mergeCell ref="A93:K93"/>
    <mergeCell ref="A94:A97"/>
    <mergeCell ref="B94:B97"/>
    <mergeCell ref="C94:E94"/>
    <mergeCell ref="F94:I94"/>
    <mergeCell ref="J94:J97"/>
    <mergeCell ref="K49:K52"/>
    <mergeCell ref="C55:C56"/>
    <mergeCell ref="D55:D56"/>
    <mergeCell ref="E55:E56"/>
    <mergeCell ref="F55:F56"/>
    <mergeCell ref="G55:G56"/>
    <mergeCell ref="H55:H56"/>
    <mergeCell ref="I55:I56"/>
    <mergeCell ref="B46:J46"/>
    <mergeCell ref="B47:J47"/>
    <mergeCell ref="B48:J48"/>
    <mergeCell ref="A49:A52"/>
    <mergeCell ref="B49:B52"/>
    <mergeCell ref="C49:E49"/>
    <mergeCell ref="F49:I49"/>
    <mergeCell ref="J49:J52"/>
    <mergeCell ref="H10:H11"/>
    <mergeCell ref="I10:I11"/>
    <mergeCell ref="K10:K11"/>
    <mergeCell ref="A45:C45"/>
    <mergeCell ref="D45:G45"/>
    <mergeCell ref="H45:K45"/>
    <mergeCell ref="A10:A11"/>
    <mergeCell ref="C10:C11"/>
    <mergeCell ref="D10:D11"/>
    <mergeCell ref="E10:E11"/>
    <mergeCell ref="F10:F11"/>
    <mergeCell ref="G10:G11"/>
    <mergeCell ref="A1:K1"/>
    <mergeCell ref="A2:K2"/>
    <mergeCell ref="A3:K3"/>
    <mergeCell ref="A4:A7"/>
    <mergeCell ref="B4:B7"/>
    <mergeCell ref="C4:E4"/>
    <mergeCell ref="F4:I4"/>
    <mergeCell ref="J4:J7"/>
    <mergeCell ref="K4:K7"/>
  </mergeCells>
  <pageMargins left="0.55118110236220474" right="0.55118110236220474" top="0.35433070866141736" bottom="0.55118110236220474" header="0.19685039370078741" footer="0.35433070866141736"/>
  <pageSetup paperSize="9" scale="73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2" manualBreakCount="2">
    <brk id="45" max="10" man="1"/>
    <brk id="9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3"/>
  <sheetViews>
    <sheetView view="pageBreakPreview" zoomScale="75" zoomScaleSheetLayoutView="75" workbookViewId="0">
      <selection activeCell="D10" sqref="D10"/>
    </sheetView>
  </sheetViews>
  <sheetFormatPr defaultRowHeight="15"/>
  <cols>
    <col min="1" max="1" width="7.42578125" customWidth="1"/>
    <col min="2" max="2" width="18" customWidth="1"/>
    <col min="3" max="3" width="19.140625" customWidth="1"/>
    <col min="4" max="5" width="18.42578125" customWidth="1"/>
    <col min="6" max="6" width="18.42578125" style="172" customWidth="1"/>
    <col min="7" max="7" width="16.42578125" customWidth="1"/>
    <col min="8" max="8" width="7.42578125" customWidth="1"/>
  </cols>
  <sheetData>
    <row r="1" spans="1:11" ht="24.95" customHeight="1">
      <c r="A1" s="1729" t="s">
        <v>1857</v>
      </c>
      <c r="B1" s="1729"/>
      <c r="C1" s="1729"/>
      <c r="D1" s="1729"/>
      <c r="E1" s="1729"/>
      <c r="F1" s="1729"/>
      <c r="G1" s="1729"/>
      <c r="H1" s="1729"/>
    </row>
    <row r="2" spans="1:11" ht="24.95" customHeight="1">
      <c r="A2" s="1407" t="s">
        <v>1858</v>
      </c>
      <c r="B2" s="1407"/>
      <c r="C2" s="1407"/>
      <c r="D2" s="1407"/>
      <c r="E2" s="1407"/>
      <c r="F2" s="1407"/>
      <c r="G2" s="1407"/>
      <c r="H2" s="1407"/>
    </row>
    <row r="3" spans="1:11" ht="24.95" customHeight="1">
      <c r="A3" s="1511" t="s">
        <v>1859</v>
      </c>
      <c r="B3" s="1511"/>
      <c r="C3" s="1511"/>
      <c r="D3" s="1511"/>
      <c r="E3" s="1511"/>
      <c r="F3" s="1511"/>
      <c r="G3" s="1511"/>
      <c r="H3" s="1511"/>
    </row>
    <row r="4" spans="1:11" ht="24.95" customHeight="1">
      <c r="A4" s="1459" t="s">
        <v>2026</v>
      </c>
      <c r="B4" s="1549" t="s">
        <v>414</v>
      </c>
      <c r="C4" s="1803" t="s">
        <v>830</v>
      </c>
      <c r="D4" s="1804"/>
      <c r="E4" s="1804"/>
      <c r="F4" s="1805" t="s">
        <v>334</v>
      </c>
      <c r="G4" s="1557" t="s">
        <v>411</v>
      </c>
      <c r="H4" s="1459" t="s">
        <v>2027</v>
      </c>
    </row>
    <row r="5" spans="1:11" ht="24.95" customHeight="1">
      <c r="A5" s="1460"/>
      <c r="B5" s="1619"/>
      <c r="C5" s="1085" t="s">
        <v>728</v>
      </c>
      <c r="D5" s="1085" t="s">
        <v>727</v>
      </c>
      <c r="E5" s="1085" t="s">
        <v>2</v>
      </c>
      <c r="F5" s="1806"/>
      <c r="G5" s="1624"/>
      <c r="H5" s="1460"/>
    </row>
    <row r="6" spans="1:11" ht="24.95" customHeight="1">
      <c r="A6" s="1460"/>
      <c r="B6" s="1619"/>
      <c r="C6" s="1089" t="s">
        <v>831</v>
      </c>
      <c r="D6" s="1089" t="s">
        <v>548</v>
      </c>
      <c r="E6" s="1089" t="s">
        <v>502</v>
      </c>
      <c r="F6" s="1244" t="s">
        <v>598</v>
      </c>
      <c r="G6" s="1624"/>
      <c r="H6" s="1460"/>
    </row>
    <row r="7" spans="1:11" ht="24.95" customHeight="1">
      <c r="A7" s="1460"/>
      <c r="B7" s="1500"/>
      <c r="C7" s="1062" t="s">
        <v>307</v>
      </c>
      <c r="D7" s="1062" t="s">
        <v>308</v>
      </c>
      <c r="E7" s="1062" t="s">
        <v>28</v>
      </c>
      <c r="F7" s="1245" t="s">
        <v>458</v>
      </c>
      <c r="G7" s="1502"/>
      <c r="H7" s="1460"/>
    </row>
    <row r="8" spans="1:11" ht="27.95" customHeight="1">
      <c r="A8" s="1246"/>
      <c r="B8" s="1247" t="s">
        <v>28</v>
      </c>
      <c r="C8" s="1248">
        <f>C9+C10+C11+C12+C14+C16+C17+C18+C19+C21+C23+C25+C26+C27+C28+C29+C30+C31+C32+C36+C37+C39+C40+C41</f>
        <v>3708</v>
      </c>
      <c r="D8" s="1249">
        <f>D9+D10+D11+D12+D13+D14+D15+D16+D17+D18+D19+D20+D21+D22+D23+D24+D25+D26+D27+D28+D29+D30+D31+D32+D33+D34+D35+D36+D37+D38+D39+D40+D41+D42</f>
        <v>15993</v>
      </c>
      <c r="E8" s="1250">
        <f>E9+E10+E11+E12+E13+E14+E15+E16+E17+E18+E19+E20+E21+E22+E23+E24+E25+E26+E27+E28+E29+E30+E31+E32+E33+E34+E35+E36+E37+E38+E39+E40+E41+E42</f>
        <v>19701</v>
      </c>
      <c r="F8" s="1251">
        <f>F9+F10+F11+F12+F13+F14+F15+F16+F17+F18+F19+F20+F22+F23+F24+F25+F26+F27+F28+F29+F30+F31+F33+F35+F36+F37+F38+F39+F40+F41+F42</f>
        <v>171</v>
      </c>
      <c r="G8" s="1252" t="s">
        <v>2</v>
      </c>
      <c r="H8" s="1246"/>
      <c r="J8">
        <f>88+141+191+7</f>
        <v>427</v>
      </c>
      <c r="K8">
        <f>13+73+93+12+95+46+161+62+71+52+112+25+453+93+129+318+74+341+12+116+105+153+104+306+93+98+7+37+80+51+68+32+8</f>
        <v>3493</v>
      </c>
    </row>
    <row r="9" spans="1:11" ht="27.95" customHeight="1">
      <c r="A9" s="938">
        <v>1</v>
      </c>
      <c r="B9" s="1253" t="s">
        <v>335</v>
      </c>
      <c r="C9" s="1254">
        <f>427+30+106+18</f>
        <v>581</v>
      </c>
      <c r="D9" s="1255">
        <f>3493+165+17</f>
        <v>3675</v>
      </c>
      <c r="E9" s="1255">
        <f>D9+C9</f>
        <v>4256</v>
      </c>
      <c r="F9" s="1256">
        <v>17</v>
      </c>
      <c r="G9" s="1255" t="s">
        <v>114</v>
      </c>
      <c r="H9" s="938">
        <v>1</v>
      </c>
    </row>
    <row r="10" spans="1:11" ht="27.95" customHeight="1">
      <c r="A10" s="914">
        <v>2</v>
      </c>
      <c r="B10" s="1247" t="s">
        <v>238</v>
      </c>
      <c r="C10" s="1248">
        <f>185+17</f>
        <v>202</v>
      </c>
      <c r="D10" s="1249">
        <f>43+233+85</f>
        <v>361</v>
      </c>
      <c r="E10" s="1249">
        <f t="shared" ref="E10" si="0">D10+C10</f>
        <v>563</v>
      </c>
      <c r="F10" s="1251">
        <v>5</v>
      </c>
      <c r="G10" s="1249" t="s">
        <v>310</v>
      </c>
      <c r="H10" s="914">
        <v>2</v>
      </c>
    </row>
    <row r="11" spans="1:11" ht="27.95" customHeight="1">
      <c r="A11" s="938">
        <v>3</v>
      </c>
      <c r="B11" s="1253" t="s">
        <v>240</v>
      </c>
      <c r="C11" s="1254">
        <f>80+68</f>
        <v>148</v>
      </c>
      <c r="D11" s="1255">
        <f>450+20+209+50</f>
        <v>729</v>
      </c>
      <c r="E11" s="1255">
        <f>D11+C11</f>
        <v>877</v>
      </c>
      <c r="F11" s="1256">
        <v>5</v>
      </c>
      <c r="G11" s="1257" t="s">
        <v>241</v>
      </c>
      <c r="H11" s="938">
        <v>3</v>
      </c>
    </row>
    <row r="12" spans="1:11" ht="27.95" customHeight="1">
      <c r="A12" s="914">
        <v>4</v>
      </c>
      <c r="B12" s="1247" t="s">
        <v>1108</v>
      </c>
      <c r="C12" s="1248">
        <v>2</v>
      </c>
      <c r="D12" s="1249">
        <f>298+63+115</f>
        <v>476</v>
      </c>
      <c r="E12" s="1249">
        <f>D12+C12</f>
        <v>478</v>
      </c>
      <c r="F12" s="1251">
        <v>11</v>
      </c>
      <c r="G12" s="1249" t="s">
        <v>1106</v>
      </c>
      <c r="H12" s="914">
        <v>4</v>
      </c>
    </row>
    <row r="13" spans="1:11" ht="27.95" customHeight="1">
      <c r="A13" s="938">
        <v>5</v>
      </c>
      <c r="B13" s="1253" t="s">
        <v>336</v>
      </c>
      <c r="C13" s="1254" t="s">
        <v>14</v>
      </c>
      <c r="D13" s="1255">
        <v>86</v>
      </c>
      <c r="E13" s="1255">
        <f>D13</f>
        <v>86</v>
      </c>
      <c r="F13" s="1256">
        <v>3</v>
      </c>
      <c r="G13" s="1255" t="s">
        <v>243</v>
      </c>
      <c r="H13" s="938">
        <v>5</v>
      </c>
    </row>
    <row r="14" spans="1:11" ht="27.95" customHeight="1">
      <c r="A14" s="914">
        <v>6</v>
      </c>
      <c r="B14" s="1247" t="s">
        <v>311</v>
      </c>
      <c r="C14" s="1248">
        <v>299</v>
      </c>
      <c r="D14" s="1249">
        <f>984+93+51+85+38+116+34</f>
        <v>1401</v>
      </c>
      <c r="E14" s="1249">
        <f>D14+C14</f>
        <v>1700</v>
      </c>
      <c r="F14" s="1251">
        <v>15</v>
      </c>
      <c r="G14" s="1249" t="s">
        <v>245</v>
      </c>
      <c r="H14" s="914">
        <v>6</v>
      </c>
    </row>
    <row r="15" spans="1:11" ht="27.95" customHeight="1">
      <c r="A15" s="938">
        <v>7</v>
      </c>
      <c r="B15" s="1258" t="s">
        <v>251</v>
      </c>
      <c r="C15" s="1254" t="s">
        <v>14</v>
      </c>
      <c r="D15" s="1255">
        <f>106+54+70</f>
        <v>230</v>
      </c>
      <c r="E15" s="1255">
        <f>D15</f>
        <v>230</v>
      </c>
      <c r="F15" s="1256">
        <v>4</v>
      </c>
      <c r="G15" s="1257" t="s">
        <v>247</v>
      </c>
      <c r="H15" s="938">
        <v>7</v>
      </c>
    </row>
    <row r="16" spans="1:11" ht="27.95" customHeight="1">
      <c r="A16" s="914">
        <v>8</v>
      </c>
      <c r="B16" s="1259" t="s">
        <v>936</v>
      </c>
      <c r="C16" s="1248">
        <v>273</v>
      </c>
      <c r="D16" s="1249">
        <f>24+186+85</f>
        <v>295</v>
      </c>
      <c r="E16" s="1249">
        <f>D16+C16</f>
        <v>568</v>
      </c>
      <c r="F16" s="1251">
        <v>3</v>
      </c>
      <c r="G16" s="1252" t="s">
        <v>249</v>
      </c>
      <c r="H16" s="914">
        <v>8</v>
      </c>
    </row>
    <row r="17" spans="1:8" ht="27.95" customHeight="1">
      <c r="A17" s="938">
        <v>9</v>
      </c>
      <c r="B17" s="1258" t="s">
        <v>121</v>
      </c>
      <c r="C17" s="1254">
        <v>32</v>
      </c>
      <c r="D17" s="1255">
        <f>31+152+79</f>
        <v>262</v>
      </c>
      <c r="E17" s="1255">
        <f t="shared" ref="E17:E19" si="1">D17+C17</f>
        <v>294</v>
      </c>
      <c r="F17" s="1256">
        <v>4</v>
      </c>
      <c r="G17" s="1257" t="s">
        <v>122</v>
      </c>
      <c r="H17" s="938">
        <v>9</v>
      </c>
    </row>
    <row r="18" spans="1:8" ht="27.95" customHeight="1">
      <c r="A18" s="914">
        <v>10</v>
      </c>
      <c r="B18" s="1259" t="s">
        <v>251</v>
      </c>
      <c r="C18" s="1248">
        <f>368+43</f>
        <v>411</v>
      </c>
      <c r="D18" s="1249">
        <f>8+88+260</f>
        <v>356</v>
      </c>
      <c r="E18" s="1249">
        <f t="shared" si="1"/>
        <v>767</v>
      </c>
      <c r="F18" s="1251">
        <v>5</v>
      </c>
      <c r="G18" s="1252" t="s">
        <v>252</v>
      </c>
      <c r="H18" s="914">
        <v>10</v>
      </c>
    </row>
    <row r="19" spans="1:8" ht="27.95" customHeight="1">
      <c r="A19" s="938">
        <v>11</v>
      </c>
      <c r="B19" s="1253" t="s">
        <v>253</v>
      </c>
      <c r="C19" s="1254">
        <f>150+213+54</f>
        <v>417</v>
      </c>
      <c r="D19" s="1255">
        <f>94+51+150+95</f>
        <v>390</v>
      </c>
      <c r="E19" s="1255">
        <f t="shared" si="1"/>
        <v>807</v>
      </c>
      <c r="F19" s="1256">
        <v>7</v>
      </c>
      <c r="G19" s="1255" t="s">
        <v>314</v>
      </c>
      <c r="H19" s="938">
        <v>11</v>
      </c>
    </row>
    <row r="20" spans="1:8" ht="27.95" customHeight="1">
      <c r="A20" s="914">
        <v>12</v>
      </c>
      <c r="B20" s="1247" t="s">
        <v>257</v>
      </c>
      <c r="C20" s="1248" t="s">
        <v>14</v>
      </c>
      <c r="D20" s="1249">
        <f>85+408</f>
        <v>493</v>
      </c>
      <c r="E20" s="1249">
        <f>D20</f>
        <v>493</v>
      </c>
      <c r="F20" s="1251">
        <v>3</v>
      </c>
      <c r="G20" s="1249" t="s">
        <v>258</v>
      </c>
      <c r="H20" s="914">
        <v>12</v>
      </c>
    </row>
    <row r="21" spans="1:8" ht="27.95" customHeight="1">
      <c r="A21" s="938">
        <v>13</v>
      </c>
      <c r="B21" s="1253" t="s">
        <v>255</v>
      </c>
      <c r="C21" s="1254">
        <v>5</v>
      </c>
      <c r="D21" s="1255">
        <v>97</v>
      </c>
      <c r="E21" s="1255">
        <f>D21+C21</f>
        <v>102</v>
      </c>
      <c r="F21" s="1256">
        <v>4</v>
      </c>
      <c r="G21" s="1255" t="s">
        <v>256</v>
      </c>
      <c r="H21" s="938">
        <v>13</v>
      </c>
    </row>
    <row r="22" spans="1:8" ht="27.95" customHeight="1">
      <c r="A22" s="914">
        <v>14</v>
      </c>
      <c r="B22" s="1247" t="s">
        <v>259</v>
      </c>
      <c r="C22" s="1248" t="s">
        <v>14</v>
      </c>
      <c r="D22" s="1249">
        <f>53+27+10+59</f>
        <v>149</v>
      </c>
      <c r="E22" s="1249">
        <f>D22</f>
        <v>149</v>
      </c>
      <c r="F22" s="1251">
        <v>6</v>
      </c>
      <c r="G22" s="1249" t="s">
        <v>260</v>
      </c>
      <c r="H22" s="914">
        <v>14</v>
      </c>
    </row>
    <row r="23" spans="1:8" ht="27.95" customHeight="1">
      <c r="A23" s="938">
        <v>15</v>
      </c>
      <c r="B23" s="1260" t="s">
        <v>261</v>
      </c>
      <c r="C23" s="1254">
        <v>83</v>
      </c>
      <c r="D23" s="1255">
        <f>77+189+62+280</f>
        <v>608</v>
      </c>
      <c r="E23" s="1255">
        <f>D23+C23</f>
        <v>691</v>
      </c>
      <c r="F23" s="1256">
        <v>9</v>
      </c>
      <c r="G23" s="1261" t="s">
        <v>684</v>
      </c>
      <c r="H23" s="938">
        <v>15</v>
      </c>
    </row>
    <row r="24" spans="1:8" ht="27.95" customHeight="1">
      <c r="A24" s="914">
        <v>16</v>
      </c>
      <c r="B24" s="1247" t="s">
        <v>315</v>
      </c>
      <c r="C24" s="1248" t="s">
        <v>14</v>
      </c>
      <c r="D24" s="1249">
        <v>316</v>
      </c>
      <c r="E24" s="1249">
        <f>D24</f>
        <v>316</v>
      </c>
      <c r="F24" s="1251">
        <v>3</v>
      </c>
      <c r="G24" s="1262" t="s">
        <v>263</v>
      </c>
      <c r="H24" s="914">
        <v>16</v>
      </c>
    </row>
    <row r="25" spans="1:8" ht="27.95" customHeight="1">
      <c r="A25" s="938">
        <v>17</v>
      </c>
      <c r="B25" s="1253" t="s">
        <v>316</v>
      </c>
      <c r="C25" s="1254">
        <v>206</v>
      </c>
      <c r="D25" s="1255">
        <f>78+89+46+120+358+167</f>
        <v>858</v>
      </c>
      <c r="E25" s="1255">
        <f>D25+C25</f>
        <v>1064</v>
      </c>
      <c r="F25" s="1256">
        <v>10</v>
      </c>
      <c r="G25" s="1255" t="s">
        <v>317</v>
      </c>
      <c r="H25" s="938">
        <v>17</v>
      </c>
    </row>
    <row r="26" spans="1:8" ht="27.95" customHeight="1">
      <c r="A26" s="914">
        <v>18</v>
      </c>
      <c r="B26" s="1247" t="s">
        <v>318</v>
      </c>
      <c r="C26" s="1248">
        <v>108</v>
      </c>
      <c r="D26" s="1249">
        <f>142+17</f>
        <v>159</v>
      </c>
      <c r="E26" s="1249">
        <f t="shared" ref="E26:E32" si="2">D26+C26</f>
        <v>267</v>
      </c>
      <c r="F26" s="1251">
        <v>2</v>
      </c>
      <c r="G26" s="1249" t="s">
        <v>319</v>
      </c>
      <c r="H26" s="914">
        <v>18</v>
      </c>
    </row>
    <row r="27" spans="1:8" ht="27.95" customHeight="1">
      <c r="A27" s="938">
        <v>19</v>
      </c>
      <c r="B27" s="1253" t="s">
        <v>1242</v>
      </c>
      <c r="C27" s="1254">
        <f>6+25+58</f>
        <v>89</v>
      </c>
      <c r="D27" s="1255">
        <f>232+232+71+60+194</f>
        <v>789</v>
      </c>
      <c r="E27" s="1255">
        <f t="shared" si="2"/>
        <v>878</v>
      </c>
      <c r="F27" s="1256">
        <v>6</v>
      </c>
      <c r="G27" s="1255" t="s">
        <v>268</v>
      </c>
      <c r="H27" s="938">
        <v>19</v>
      </c>
    </row>
    <row r="28" spans="1:8" ht="27.95" customHeight="1">
      <c r="A28" s="914">
        <v>20</v>
      </c>
      <c r="B28" s="1247" t="s">
        <v>320</v>
      </c>
      <c r="C28" s="1248">
        <f>26+137</f>
        <v>163</v>
      </c>
      <c r="D28" s="1249">
        <f>75+86+31+43</f>
        <v>235</v>
      </c>
      <c r="E28" s="1249">
        <f t="shared" si="2"/>
        <v>398</v>
      </c>
      <c r="F28" s="1251">
        <v>5</v>
      </c>
      <c r="G28" s="1249" t="s">
        <v>321</v>
      </c>
      <c r="H28" s="914">
        <v>20</v>
      </c>
    </row>
    <row r="29" spans="1:8" ht="27.95" customHeight="1">
      <c r="A29" s="938">
        <v>21</v>
      </c>
      <c r="B29" s="1258" t="s">
        <v>115</v>
      </c>
      <c r="C29" s="1254">
        <f>116+36</f>
        <v>152</v>
      </c>
      <c r="D29" s="1255">
        <f>132+350+147+114+166</f>
        <v>909</v>
      </c>
      <c r="E29" s="1255">
        <f t="shared" si="2"/>
        <v>1061</v>
      </c>
      <c r="F29" s="1256">
        <v>6</v>
      </c>
      <c r="G29" s="1257" t="s">
        <v>116</v>
      </c>
      <c r="H29" s="938">
        <v>21</v>
      </c>
    </row>
    <row r="30" spans="1:8" ht="27.95" customHeight="1">
      <c r="A30" s="914">
        <v>22</v>
      </c>
      <c r="B30" s="1263" t="s">
        <v>322</v>
      </c>
      <c r="C30" s="1248">
        <v>26</v>
      </c>
      <c r="D30" s="1249">
        <v>229</v>
      </c>
      <c r="E30" s="1249">
        <f t="shared" si="2"/>
        <v>255</v>
      </c>
      <c r="F30" s="1251">
        <v>4</v>
      </c>
      <c r="G30" s="1252" t="s">
        <v>323</v>
      </c>
      <c r="H30" s="914">
        <v>22</v>
      </c>
    </row>
    <row r="31" spans="1:8" ht="27.95" customHeight="1">
      <c r="A31" s="938">
        <v>23</v>
      </c>
      <c r="B31" s="1258" t="s">
        <v>274</v>
      </c>
      <c r="C31" s="1254">
        <v>40</v>
      </c>
      <c r="D31" s="1255">
        <f>83+370</f>
        <v>453</v>
      </c>
      <c r="E31" s="1255">
        <f t="shared" si="2"/>
        <v>493</v>
      </c>
      <c r="F31" s="1256">
        <v>3</v>
      </c>
      <c r="G31" s="1257" t="s">
        <v>275</v>
      </c>
      <c r="H31" s="938">
        <v>23</v>
      </c>
    </row>
    <row r="32" spans="1:8" ht="27.95" customHeight="1">
      <c r="A32" s="914">
        <v>24</v>
      </c>
      <c r="B32" s="1259" t="s">
        <v>276</v>
      </c>
      <c r="C32" s="1248">
        <f>133+68</f>
        <v>201</v>
      </c>
      <c r="D32" s="1249">
        <f>30+98+78</f>
        <v>206</v>
      </c>
      <c r="E32" s="1249">
        <f t="shared" si="2"/>
        <v>407</v>
      </c>
      <c r="F32" s="1251">
        <v>5</v>
      </c>
      <c r="G32" s="1252" t="s">
        <v>277</v>
      </c>
      <c r="H32" s="914">
        <v>24</v>
      </c>
    </row>
    <row r="33" spans="1:8" ht="27.95" customHeight="1">
      <c r="A33" s="938">
        <v>25</v>
      </c>
      <c r="B33" s="1258" t="s">
        <v>278</v>
      </c>
      <c r="C33" s="1254" t="s">
        <v>14</v>
      </c>
      <c r="D33" s="1255">
        <f>99+37</f>
        <v>136</v>
      </c>
      <c r="E33" s="1255">
        <f>D33</f>
        <v>136</v>
      </c>
      <c r="F33" s="1256">
        <v>2</v>
      </c>
      <c r="G33" s="1257" t="s">
        <v>279</v>
      </c>
      <c r="H33" s="938">
        <v>25</v>
      </c>
    </row>
    <row r="34" spans="1:8" ht="27.95" customHeight="1">
      <c r="A34" s="914">
        <v>26</v>
      </c>
      <c r="B34" s="1259" t="s">
        <v>324</v>
      </c>
      <c r="C34" s="1248" t="s">
        <v>14</v>
      </c>
      <c r="D34" s="1249">
        <v>24</v>
      </c>
      <c r="E34" s="1249">
        <f t="shared" ref="E34:E35" si="3">D34</f>
        <v>24</v>
      </c>
      <c r="F34" s="1251">
        <v>2</v>
      </c>
      <c r="G34" s="1252" t="s">
        <v>281</v>
      </c>
      <c r="H34" s="914">
        <v>26</v>
      </c>
    </row>
    <row r="35" spans="1:8" ht="27.95" customHeight="1">
      <c r="A35" s="938">
        <v>27</v>
      </c>
      <c r="B35" s="1258" t="s">
        <v>325</v>
      </c>
      <c r="C35" s="1254" t="s">
        <v>14</v>
      </c>
      <c r="D35" s="1255">
        <v>100</v>
      </c>
      <c r="E35" s="1255">
        <f t="shared" si="3"/>
        <v>100</v>
      </c>
      <c r="F35" s="1256">
        <v>4</v>
      </c>
      <c r="G35" s="1257" t="s">
        <v>283</v>
      </c>
      <c r="H35" s="938">
        <v>27</v>
      </c>
    </row>
    <row r="36" spans="1:8" ht="27.95" customHeight="1">
      <c r="A36" s="914">
        <v>28</v>
      </c>
      <c r="B36" s="1259" t="s">
        <v>338</v>
      </c>
      <c r="C36" s="1248">
        <v>8</v>
      </c>
      <c r="D36" s="1249">
        <f>217+133+10+57+18+27</f>
        <v>462</v>
      </c>
      <c r="E36" s="1249">
        <f>D36+C36</f>
        <v>470</v>
      </c>
      <c r="F36" s="1251">
        <v>6</v>
      </c>
      <c r="G36" s="1252" t="s">
        <v>327</v>
      </c>
      <c r="H36" s="914">
        <v>28</v>
      </c>
    </row>
    <row r="37" spans="1:8" ht="27.95" customHeight="1">
      <c r="A37" s="938">
        <v>29</v>
      </c>
      <c r="B37" s="1258" t="s">
        <v>328</v>
      </c>
      <c r="C37" s="1254">
        <v>31</v>
      </c>
      <c r="D37" s="1255">
        <f>62+210+22</f>
        <v>294</v>
      </c>
      <c r="E37" s="1255">
        <f>D37+C37</f>
        <v>325</v>
      </c>
      <c r="F37" s="1256">
        <v>5</v>
      </c>
      <c r="G37" s="1257" t="s">
        <v>329</v>
      </c>
      <c r="H37" s="938">
        <v>29</v>
      </c>
    </row>
    <row r="38" spans="1:8" ht="27.95" customHeight="1">
      <c r="A38" s="914">
        <v>30</v>
      </c>
      <c r="B38" s="1259" t="s">
        <v>330</v>
      </c>
      <c r="C38" s="1248" t="s">
        <v>14</v>
      </c>
      <c r="D38" s="1249">
        <f>104+152</f>
        <v>256</v>
      </c>
      <c r="E38" s="1249">
        <f>D38</f>
        <v>256</v>
      </c>
      <c r="F38" s="1251">
        <v>2</v>
      </c>
      <c r="G38" s="1252" t="s">
        <v>289</v>
      </c>
      <c r="H38" s="914">
        <v>30</v>
      </c>
    </row>
    <row r="39" spans="1:8" ht="27.95" customHeight="1">
      <c r="A39" s="938">
        <v>31</v>
      </c>
      <c r="B39" s="1258" t="s">
        <v>290</v>
      </c>
      <c r="C39" s="1254">
        <v>16</v>
      </c>
      <c r="D39" s="1255">
        <f>79+25</f>
        <v>104</v>
      </c>
      <c r="E39" s="1255">
        <f>D39+C39</f>
        <v>120</v>
      </c>
      <c r="F39" s="1256">
        <v>3</v>
      </c>
      <c r="G39" s="1257" t="s">
        <v>291</v>
      </c>
      <c r="H39" s="938">
        <v>31</v>
      </c>
    </row>
    <row r="40" spans="1:8" ht="27.95" customHeight="1">
      <c r="A40" s="914">
        <v>32</v>
      </c>
      <c r="B40" s="1259" t="s">
        <v>119</v>
      </c>
      <c r="C40" s="1248">
        <f>99+99+16</f>
        <v>214</v>
      </c>
      <c r="D40" s="1249">
        <v>600</v>
      </c>
      <c r="E40" s="1249">
        <f t="shared" ref="E40:E41" si="4">D40+C40</f>
        <v>814</v>
      </c>
      <c r="F40" s="1251">
        <v>7</v>
      </c>
      <c r="G40" s="1252" t="s">
        <v>120</v>
      </c>
      <c r="H40" s="914">
        <v>32</v>
      </c>
    </row>
    <row r="41" spans="1:8" ht="27.95" customHeight="1">
      <c r="A41" s="938">
        <v>33</v>
      </c>
      <c r="B41" s="1258" t="s">
        <v>292</v>
      </c>
      <c r="C41" s="1254">
        <v>1</v>
      </c>
      <c r="D41" s="1255">
        <f>24+158+25</f>
        <v>207</v>
      </c>
      <c r="E41" s="1255">
        <f t="shared" si="4"/>
        <v>208</v>
      </c>
      <c r="F41" s="1256">
        <v>3</v>
      </c>
      <c r="G41" s="1257" t="s">
        <v>293</v>
      </c>
      <c r="H41" s="938">
        <v>33</v>
      </c>
    </row>
    <row r="42" spans="1:8" ht="27.95" customHeight="1">
      <c r="A42" s="916">
        <v>34</v>
      </c>
      <c r="B42" s="1264" t="s">
        <v>331</v>
      </c>
      <c r="C42" s="1265" t="s">
        <v>14</v>
      </c>
      <c r="D42" s="1266">
        <v>48</v>
      </c>
      <c r="E42" s="1266">
        <f>D42</f>
        <v>48</v>
      </c>
      <c r="F42" s="1267">
        <v>3</v>
      </c>
      <c r="G42" s="1268" t="s">
        <v>295</v>
      </c>
      <c r="H42" s="916">
        <v>34</v>
      </c>
    </row>
    <row r="43" spans="1:8" ht="26.45" customHeight="1">
      <c r="A43" s="1800" t="s">
        <v>832</v>
      </c>
      <c r="B43" s="1800"/>
      <c r="C43" s="1800"/>
      <c r="D43" s="1801" t="s">
        <v>737</v>
      </c>
      <c r="E43" s="1801"/>
      <c r="F43" s="1269"/>
      <c r="G43" s="1802" t="s">
        <v>118</v>
      </c>
      <c r="H43" s="1802"/>
    </row>
  </sheetData>
  <mergeCells count="12">
    <mergeCell ref="A43:C43"/>
    <mergeCell ref="D43:E43"/>
    <mergeCell ref="G43:H43"/>
    <mergeCell ref="A1:H1"/>
    <mergeCell ref="A2:H2"/>
    <mergeCell ref="A3:H3"/>
    <mergeCell ref="A4:A7"/>
    <mergeCell ref="B4:B7"/>
    <mergeCell ref="C4:E4"/>
    <mergeCell ref="F4:F5"/>
    <mergeCell ref="G4:G7"/>
    <mergeCell ref="H4:H7"/>
  </mergeCells>
  <pageMargins left="0.55118110236220474" right="0.55118110236220474" top="0.35433070866141736" bottom="0.55118110236220474" header="0.19685039370078741" footer="0.35433070866141736"/>
  <pageSetup paperSize="9" scale="68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49"/>
  <sheetViews>
    <sheetView view="pageBreakPreview" topLeftCell="A65" zoomScale="80" zoomScaleSheetLayoutView="80" workbookViewId="0">
      <selection activeCell="D81" sqref="D80:D81"/>
    </sheetView>
  </sheetViews>
  <sheetFormatPr defaultRowHeight="15"/>
  <cols>
    <col min="1" max="1" width="7" customWidth="1"/>
    <col min="2" max="2" width="13.7109375" customWidth="1"/>
    <col min="3" max="3" width="18.140625" bestFit="1" customWidth="1"/>
    <col min="4" max="4" width="9.85546875" customWidth="1"/>
    <col min="5" max="5" width="10.7109375" bestFit="1" customWidth="1"/>
    <col min="6" max="6" width="8.85546875" customWidth="1"/>
    <col min="7" max="8" width="10.28515625" style="172" bestFit="1" customWidth="1"/>
    <col min="9" max="9" width="7.85546875" style="172" customWidth="1"/>
    <col min="10" max="11" width="10.28515625" bestFit="1" customWidth="1"/>
    <col min="12" max="12" width="8.42578125" customWidth="1"/>
    <col min="13" max="13" width="14.28515625" customWidth="1"/>
    <col min="14" max="14" width="13.7109375" customWidth="1"/>
    <col min="15" max="15" width="8.42578125" customWidth="1"/>
    <col min="17" max="17" width="11.42578125" bestFit="1" customWidth="1"/>
  </cols>
  <sheetData>
    <row r="1" spans="1:20" ht="24.95" customHeight="1">
      <c r="A1" s="1407" t="s">
        <v>917</v>
      </c>
      <c r="B1" s="1407"/>
      <c r="C1" s="1407"/>
      <c r="D1" s="1407"/>
      <c r="E1" s="1407"/>
      <c r="F1" s="1407"/>
      <c r="G1" s="1407"/>
      <c r="H1" s="1407"/>
      <c r="I1" s="1407"/>
      <c r="J1" s="1407"/>
      <c r="K1" s="1407"/>
      <c r="L1" s="1407"/>
      <c r="M1" s="1407"/>
      <c r="N1" s="1407"/>
      <c r="O1" s="1407"/>
    </row>
    <row r="2" spans="1:20" ht="24.95" customHeight="1">
      <c r="A2" s="1407" t="s">
        <v>919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407"/>
      <c r="M2" s="1407"/>
      <c r="N2" s="1407"/>
      <c r="O2" s="1407"/>
      <c r="Q2">
        <f>8533303+405244</f>
        <v>8938547</v>
      </c>
    </row>
    <row r="3" spans="1:20" ht="24.95" customHeight="1">
      <c r="A3" s="1814" t="s">
        <v>918</v>
      </c>
      <c r="B3" s="1814"/>
      <c r="C3" s="1814"/>
      <c r="D3" s="1814"/>
      <c r="E3" s="1814"/>
      <c r="F3" s="1814"/>
      <c r="G3" s="1814"/>
      <c r="H3" s="1814"/>
      <c r="I3" s="1814"/>
      <c r="J3" s="1814"/>
      <c r="K3" s="1814"/>
      <c r="L3" s="1814"/>
      <c r="M3" s="1814"/>
      <c r="N3" s="1814"/>
      <c r="O3" s="1814"/>
      <c r="R3" s="39"/>
      <c r="S3" s="39"/>
    </row>
    <row r="4" spans="1:20" ht="24.95" customHeight="1">
      <c r="A4" s="1459" t="s">
        <v>2026</v>
      </c>
      <c r="B4" s="1815" t="s">
        <v>414</v>
      </c>
      <c r="C4" s="1818" t="s">
        <v>416</v>
      </c>
      <c r="D4" s="1821" t="s">
        <v>1775</v>
      </c>
      <c r="E4" s="1822"/>
      <c r="F4" s="1822"/>
      <c r="G4" s="1821" t="s">
        <v>1313</v>
      </c>
      <c r="H4" s="1822"/>
      <c r="I4" s="1822"/>
      <c r="J4" s="1823" t="s">
        <v>1160</v>
      </c>
      <c r="K4" s="1824"/>
      <c r="L4" s="1825"/>
      <c r="M4" s="1826" t="s">
        <v>415</v>
      </c>
      <c r="N4" s="1807" t="s">
        <v>411</v>
      </c>
      <c r="O4" s="1459" t="s">
        <v>2027</v>
      </c>
    </row>
    <row r="5" spans="1:20" ht="24.95" customHeight="1">
      <c r="A5" s="1460"/>
      <c r="B5" s="1816"/>
      <c r="C5" s="1819"/>
      <c r="D5" s="1176" t="s">
        <v>340</v>
      </c>
      <c r="E5" s="1177" t="s">
        <v>225</v>
      </c>
      <c r="F5" s="1178" t="s">
        <v>341</v>
      </c>
      <c r="G5" s="1176" t="s">
        <v>340</v>
      </c>
      <c r="H5" s="1177" t="s">
        <v>225</v>
      </c>
      <c r="I5" s="1178" t="s">
        <v>341</v>
      </c>
      <c r="J5" s="1176" t="s">
        <v>340</v>
      </c>
      <c r="K5" s="1177" t="s">
        <v>225</v>
      </c>
      <c r="L5" s="1178" t="s">
        <v>341</v>
      </c>
      <c r="M5" s="1810"/>
      <c r="N5" s="1808"/>
      <c r="O5" s="1460"/>
      <c r="Q5">
        <f>E9+E10+E11</f>
        <v>405269</v>
      </c>
      <c r="S5">
        <f>E9-302418</f>
        <v>-1408</v>
      </c>
    </row>
    <row r="6" spans="1:20" ht="24.95" customHeight="1">
      <c r="A6" s="1460"/>
      <c r="B6" s="1816"/>
      <c r="C6" s="1819"/>
      <c r="D6" s="1179" t="s">
        <v>554</v>
      </c>
      <c r="E6" s="1180" t="s">
        <v>553</v>
      </c>
      <c r="F6" s="1181" t="s">
        <v>599</v>
      </c>
      <c r="G6" s="1179" t="s">
        <v>554</v>
      </c>
      <c r="H6" s="1180" t="s">
        <v>553</v>
      </c>
      <c r="I6" s="1181" t="s">
        <v>599</v>
      </c>
      <c r="J6" s="1179" t="s">
        <v>554</v>
      </c>
      <c r="K6" s="1180" t="s">
        <v>553</v>
      </c>
      <c r="L6" s="1181" t="s">
        <v>599</v>
      </c>
      <c r="M6" s="1810" t="s">
        <v>600</v>
      </c>
      <c r="N6" s="1808"/>
      <c r="O6" s="1460"/>
      <c r="S6">
        <f>E10-72653</f>
        <v>-235</v>
      </c>
    </row>
    <row r="7" spans="1:20" ht="24.95" customHeight="1">
      <c r="A7" s="1461"/>
      <c r="B7" s="1817"/>
      <c r="C7" s="1820"/>
      <c r="D7" s="1167" t="s">
        <v>73</v>
      </c>
      <c r="E7" s="1182" t="s">
        <v>342</v>
      </c>
      <c r="F7" s="1183" t="s">
        <v>343</v>
      </c>
      <c r="G7" s="1167" t="s">
        <v>73</v>
      </c>
      <c r="H7" s="1182" t="s">
        <v>342</v>
      </c>
      <c r="I7" s="1183" t="s">
        <v>343</v>
      </c>
      <c r="J7" s="1167" t="s">
        <v>73</v>
      </c>
      <c r="K7" s="1182" t="s">
        <v>342</v>
      </c>
      <c r="L7" s="1183" t="s">
        <v>343</v>
      </c>
      <c r="M7" s="1811"/>
      <c r="N7" s="1809"/>
      <c r="O7" s="1461"/>
      <c r="Q7" s="447">
        <f>60390/202787*100</f>
        <v>29.780015484227292</v>
      </c>
      <c r="R7" s="10"/>
      <c r="S7">
        <f>E11-30198</f>
        <v>1643</v>
      </c>
    </row>
    <row r="8" spans="1:20" ht="18.600000000000001" customHeight="1">
      <c r="A8" s="1633"/>
      <c r="B8" s="1812" t="s">
        <v>28</v>
      </c>
      <c r="C8" s="1184" t="s">
        <v>28</v>
      </c>
      <c r="D8" s="1185">
        <f>D12+D16+D20+D24+D28+D32+D36+D44+D52+D56+D60+D64+D68+D72+D81+D85+D89+D97+D101+D113+D117+D121+D125+D129+D133+D137+D141+D145</f>
        <v>23168</v>
      </c>
      <c r="E8" s="1186">
        <f>E12+E16+E20+E24+E28+E32+E36+E44+E52+E56+E60+E64+E68+E72+E81+E85+E89+E97+E101+E109+E113+E117+E121+E125+E129+E133+E137+E141+E145</f>
        <v>405269</v>
      </c>
      <c r="F8" s="1186">
        <f>F12+F16+F20+F24+F28+F32+F36+F44+F52+F56+F60+F64+F68+F72+F81+F85+F89+F93+F97+F101+F109+F113+F117+F121+F125+F129+F133+F137+F141+F145</f>
        <v>1306</v>
      </c>
      <c r="G8" s="1185">
        <f>G12+G16+G20+G28+G32+G36+G40+G44+G48+G52+G56+G60+G68+G72+G81+G85+G89+G93+G97+G101+G113+G117+G121+G125+G129+G133+G137+G141+G145</f>
        <v>18774</v>
      </c>
      <c r="H8" s="1186">
        <f>H12+H16+H20+H28+H32+H36+H40+H44+H48+H52+H56+H60+H68+H72+H81+H85+H89+H93+H97+H101+H113+H117+H121+H125+H129+H133+H137+H141+H145</f>
        <v>337178</v>
      </c>
      <c r="I8" s="1186">
        <f>I12+I16+I20+I24+I28+I32+I36+I40+I44+I48+I52+I56+I60+I68+I72+I81+I85+I89+I93+I97+I101+I113+I117+I121+I125+I129+I133+I137+I141+I145</f>
        <v>1051</v>
      </c>
      <c r="J8" s="1185">
        <f>J12+J20+J24+J28+J32+J36+J40+J44+J48+J52+J56+J60+J68+J72+J81+J85+J89+J93+J97+J101+J109+J113+J117+J121+J125+J129+J133+J137+J141+J145</f>
        <v>15459</v>
      </c>
      <c r="K8" s="1186">
        <f>K12+K20+K24+K28+K32+K36+K40+K44+K48+K52+K56+K60+K68+K72+K81+K85+K89+K93+K97+K101+K109+K113+K117+K121+K125+K129+K133+K137+K141+K145</f>
        <v>283346</v>
      </c>
      <c r="L8" s="1187">
        <f>L12+L20+L24+L28+L32+L36+L40+L44+L48+L52+L56+L60+L68+L72+L81+L85+L89+L93+L97+L101+L105+L109+L113+L117+L121+L125+L129+L133+L137+L141+L145</f>
        <v>905</v>
      </c>
      <c r="M8" s="1188" t="s">
        <v>627</v>
      </c>
      <c r="N8" s="1813" t="s">
        <v>801</v>
      </c>
      <c r="O8" s="1633"/>
      <c r="Q8" s="10"/>
      <c r="R8" s="10"/>
    </row>
    <row r="9" spans="1:20" ht="18.600000000000001" customHeight="1">
      <c r="A9" s="1634"/>
      <c r="B9" s="1812"/>
      <c r="C9" s="1184" t="s">
        <v>344</v>
      </c>
      <c r="D9" s="1185">
        <f>D13+D21+D25+D33+D37+D45+D53+D57+D61+D65+D69+D73+D82+D86+D90+D98+D114+D118+D122+D126+D130+D134+D138+D142+D146</f>
        <v>5351</v>
      </c>
      <c r="E9" s="1186">
        <f>E13+E25+E29+E33+E37+E45+E53+E57+E61+E65+E69+E73+E82+E86+E90+E98+E102+E110+E114+E118+E122+E126+E130+E138+E134+E142+E146</f>
        <v>301010</v>
      </c>
      <c r="F9" s="1186">
        <f>F13+F21+F25+F29+F33+F37+F45+F53+F57+F61+F65+F69+F73+F82+F86+F90+F98+F114+F118+F122+F126+F130+F134+F138+F142+F146</f>
        <v>524</v>
      </c>
      <c r="G9" s="1185" t="s">
        <v>485</v>
      </c>
      <c r="H9" s="1186">
        <f>H13+H17+H21+H29+H33+H37+H41+H45+H49+H53+H57+H61+H69+H73+H82+H86+H90+H94+H98+H114+H118+H122+H126+H130+H134+H138+H142+H146</f>
        <v>251462</v>
      </c>
      <c r="I9" s="1186">
        <f>I13+I29+I33+I37+I41+I45+I49+I53+I57+I61+I69+I73+I82+I86+I90+I94+I98+I114+I118+I122+I126+I130+I138+I142+I146</f>
        <v>367</v>
      </c>
      <c r="J9" s="1185" t="s">
        <v>485</v>
      </c>
      <c r="K9" s="1186">
        <f>K13+K21+K25+K29+K33+K37+K41+K53+K57+K69+K73+K82+K86+K90+K94+K98+K110+K114+K118+K122+K126+K130+K134+K138+K142+K146</f>
        <v>209075</v>
      </c>
      <c r="L9" s="1187">
        <f>L13+L21+L25+L29+L33+L37+L41+L53+L57+L69+L73+L82+L86+L90+L94+L98+L106+L110+L114+L118+L122+L126+L130+L134+L138+L142+L146</f>
        <v>282</v>
      </c>
      <c r="M9" s="1189" t="s">
        <v>864</v>
      </c>
      <c r="N9" s="1813"/>
      <c r="O9" s="1634"/>
      <c r="Q9" s="470">
        <f>6282/10473*100</f>
        <v>59.98281294757949</v>
      </c>
      <c r="R9" s="10"/>
    </row>
    <row r="10" spans="1:20" ht="18.600000000000001" customHeight="1">
      <c r="A10" s="1634"/>
      <c r="B10" s="1812"/>
      <c r="C10" s="1184" t="s">
        <v>1982</v>
      </c>
      <c r="D10" s="1185">
        <v>5219</v>
      </c>
      <c r="E10" s="1190">
        <f>E14+E18+E26+E30+E34+E38+E46+E54+E58+E62+E70+E74+E83+E87+E91+E99+E103+E111+E115+E119+E123+E127+E131+E139+E143+E147</f>
        <v>72418</v>
      </c>
      <c r="F10" s="1190">
        <f>F14+F18+F26+F30+F34+F38+F46+F54+F58+F70+F74+F83+F87+F91+F99+F115+F119+F131+F139+F143+F147</f>
        <v>315</v>
      </c>
      <c r="G10" s="1185" t="s">
        <v>485</v>
      </c>
      <c r="H10" s="1190">
        <f>H14+H22+H30+H34+H38+H46+H50+H54+H58+H70+H74+H83+H87+H91+H99+H115+H119+H123+H127+H131+H135+H139+H143+H147</f>
        <v>59081</v>
      </c>
      <c r="I10" s="1190">
        <f>I14+I17+I22+I30+I34+I38+I46+I50+I54+I58+I70+I74+I83+I87+I91+I99+I115+I119+I131+I139+I143+I147</f>
        <v>252</v>
      </c>
      <c r="J10" s="1185" t="s">
        <v>485</v>
      </c>
      <c r="K10" s="1190">
        <f>K14+K22+K30+K34+K38+K46+K50+K54+K58+K62+K70+K74+K83+K87+K91+K95+K99+K115+K123+K131+K135+K139+K143+K147</f>
        <v>51881</v>
      </c>
      <c r="L10" s="1191">
        <f>L14+L22+L30+L34+L38+L46+L50+L54+L58+L62+L70+L74+L83+L87+L91+L95+L99+L115+L123+L131+L135+L139+L143+L147</f>
        <v>202</v>
      </c>
      <c r="M10" s="1189" t="s">
        <v>865</v>
      </c>
      <c r="N10" s="1813"/>
      <c r="O10" s="1634"/>
      <c r="Q10" s="97"/>
      <c r="R10" s="10"/>
    </row>
    <row r="11" spans="1:20" ht="18.600000000000001" customHeight="1">
      <c r="A11" s="1634"/>
      <c r="B11" s="1812"/>
      <c r="C11" s="1192" t="s">
        <v>1983</v>
      </c>
      <c r="D11" s="1193">
        <v>12598</v>
      </c>
      <c r="E11" s="1194">
        <f>E15+E23+E27+E31+E35+E39+E47+E55+E59+E63+E71+E84+E88+E92+E100+E104+E112+E116+E120+E124+E128+E132+E140+E144+E148</f>
        <v>31841</v>
      </c>
      <c r="F11" s="1194">
        <f>F15+F23+F27+F31+F35+F39+F47+F55+F63+F71+F84+F88+F92+F96+F100+F104+F112+F116+F120+F124+F128+F132+F140+F144+F148</f>
        <v>467</v>
      </c>
      <c r="G11" s="1193" t="s">
        <v>485</v>
      </c>
      <c r="H11" s="1194">
        <f>H15+H23+H31+H35+H39+H47+H55+H63+H71+H84+H88+H92+H100+H104+H116+H120+H124+H128+H132+H144+H148</f>
        <v>26635</v>
      </c>
      <c r="I11" s="1194">
        <f>I15+I23+I27+I31+I35+I39+I47+I55+I63+I71+I84+I92+I100+I104+I116+I120+I124+I128+I132+I136+I144+I148</f>
        <v>432</v>
      </c>
      <c r="J11" s="1193" t="s">
        <v>485</v>
      </c>
      <c r="K11" s="1194">
        <f>K15+K23+K27+K31+K35+K39+K47+K55+K63+K71+K84+K88+K92+K100+K104+K116+K120+K124+K128+K132+K136+K144+K148</f>
        <v>22390</v>
      </c>
      <c r="L11" s="1195">
        <f>L15+L23+L27+L31+L35+L39+L47+L55+L63+L71+L84+L88+L92+L100+L104+L116+L120+L124+L128+L136+L132+L144+L148</f>
        <v>421</v>
      </c>
      <c r="M11" s="1189" t="s">
        <v>1018</v>
      </c>
      <c r="N11" s="1813"/>
      <c r="O11" s="1634"/>
    </row>
    <row r="12" spans="1:20" ht="18.600000000000001" customHeight="1">
      <c r="A12" s="1460">
        <v>1</v>
      </c>
      <c r="B12" s="1827" t="s">
        <v>345</v>
      </c>
      <c r="C12" s="1166" t="s">
        <v>28</v>
      </c>
      <c r="D12" s="1196">
        <v>12999</v>
      </c>
      <c r="E12" s="1197">
        <f>E13+E14+E15</f>
        <v>194929</v>
      </c>
      <c r="F12" s="1197">
        <f>F13+F14+F15</f>
        <v>656</v>
      </c>
      <c r="G12" s="1196">
        <v>9869</v>
      </c>
      <c r="H12" s="1197">
        <f>H13+H14+H15</f>
        <v>156164</v>
      </c>
      <c r="I12" s="1197">
        <f>I13+I14+I15</f>
        <v>545</v>
      </c>
      <c r="J12" s="1196">
        <v>7876</v>
      </c>
      <c r="K12" s="1197">
        <f>K13+K14+K15</f>
        <v>122090</v>
      </c>
      <c r="L12" s="1198">
        <f>L13+L14+L15</f>
        <v>424</v>
      </c>
      <c r="M12" s="1199" t="s">
        <v>627</v>
      </c>
      <c r="N12" s="1828" t="s">
        <v>346</v>
      </c>
      <c r="O12" s="1460">
        <v>1</v>
      </c>
    </row>
    <row r="13" spans="1:20" ht="18.600000000000001" customHeight="1">
      <c r="A13" s="1460"/>
      <c r="B13" s="1827"/>
      <c r="C13" s="1166" t="s">
        <v>344</v>
      </c>
      <c r="D13" s="1196">
        <v>2604</v>
      </c>
      <c r="E13" s="1197">
        <f>137455+7387</f>
        <v>144842</v>
      </c>
      <c r="F13" s="1197">
        <v>213</v>
      </c>
      <c r="G13" s="1196" t="s">
        <v>485</v>
      </c>
      <c r="H13" s="1197">
        <v>116908</v>
      </c>
      <c r="I13" s="1197">
        <f>7+153</f>
        <v>160</v>
      </c>
      <c r="J13" s="1196" t="s">
        <v>485</v>
      </c>
      <c r="K13" s="1197">
        <v>92820</v>
      </c>
      <c r="L13" s="1198">
        <v>87</v>
      </c>
      <c r="M13" s="1200" t="s">
        <v>864</v>
      </c>
      <c r="N13" s="1828"/>
      <c r="O13" s="1460"/>
    </row>
    <row r="14" spans="1:20" ht="18.600000000000001" customHeight="1">
      <c r="A14" s="1460"/>
      <c r="B14" s="1827"/>
      <c r="C14" s="1166" t="s">
        <v>1982</v>
      </c>
      <c r="D14" s="1196">
        <v>3022</v>
      </c>
      <c r="E14" s="1197">
        <f>35053+1824</f>
        <v>36877</v>
      </c>
      <c r="F14" s="1197">
        <f>161+12</f>
        <v>173</v>
      </c>
      <c r="G14" s="1196" t="s">
        <v>485</v>
      </c>
      <c r="H14" s="1197">
        <v>29147</v>
      </c>
      <c r="I14" s="1197">
        <f>11+130</f>
        <v>141</v>
      </c>
      <c r="J14" s="1196" t="s">
        <v>485</v>
      </c>
      <c r="K14" s="1197">
        <v>21697</v>
      </c>
      <c r="L14" s="1198">
        <v>104</v>
      </c>
      <c r="M14" s="1200" t="s">
        <v>865</v>
      </c>
      <c r="N14" s="1828"/>
      <c r="O14" s="1460"/>
      <c r="T14">
        <f>8868122+1550+337178-59216</f>
        <v>9147634</v>
      </c>
    </row>
    <row r="15" spans="1:20" ht="18.600000000000001" customHeight="1">
      <c r="A15" s="1460"/>
      <c r="B15" s="1827"/>
      <c r="C15" s="1201" t="s">
        <v>1983</v>
      </c>
      <c r="D15" s="1196">
        <v>7373</v>
      </c>
      <c r="E15" s="1202">
        <f>429+12781</f>
        <v>13210</v>
      </c>
      <c r="F15" s="1202">
        <f>259+11</f>
        <v>270</v>
      </c>
      <c r="G15" s="1196" t="s">
        <v>485</v>
      </c>
      <c r="H15" s="1202">
        <v>10109</v>
      </c>
      <c r="I15" s="1202">
        <f>235+9</f>
        <v>244</v>
      </c>
      <c r="J15" s="1196" t="s">
        <v>485</v>
      </c>
      <c r="K15" s="1202">
        <v>7573</v>
      </c>
      <c r="L15" s="1203">
        <v>233</v>
      </c>
      <c r="M15" s="1200" t="s">
        <v>1018</v>
      </c>
      <c r="N15" s="1828"/>
      <c r="O15" s="1460"/>
      <c r="Q15" s="1020"/>
      <c r="R15" s="10"/>
    </row>
    <row r="16" spans="1:20" ht="18.600000000000001" customHeight="1">
      <c r="A16" s="1634">
        <v>2</v>
      </c>
      <c r="B16" s="1812" t="s">
        <v>1314</v>
      </c>
      <c r="C16" s="1184" t="s">
        <v>28</v>
      </c>
      <c r="D16" s="1185">
        <v>6</v>
      </c>
      <c r="E16" s="1186">
        <f>E18</f>
        <v>47</v>
      </c>
      <c r="F16" s="1187">
        <v>1</v>
      </c>
      <c r="G16" s="1185">
        <v>6</v>
      </c>
      <c r="H16" s="1186">
        <f>H17</f>
        <v>50</v>
      </c>
      <c r="I16" s="1187">
        <f>I17</f>
        <v>1</v>
      </c>
      <c r="J16" s="1185" t="s">
        <v>485</v>
      </c>
      <c r="K16" s="1186" t="s">
        <v>485</v>
      </c>
      <c r="L16" s="1187" t="s">
        <v>485</v>
      </c>
      <c r="M16" s="1188" t="s">
        <v>627</v>
      </c>
      <c r="N16" s="1813" t="s">
        <v>1315</v>
      </c>
      <c r="O16" s="1634">
        <v>2</v>
      </c>
      <c r="Q16" s="1020"/>
      <c r="R16" s="200"/>
      <c r="S16" s="39"/>
    </row>
    <row r="17" spans="1:19" ht="18.600000000000001" customHeight="1">
      <c r="A17" s="1634"/>
      <c r="B17" s="1812"/>
      <c r="C17" s="1184" t="s">
        <v>344</v>
      </c>
      <c r="D17" s="1185" t="s">
        <v>485</v>
      </c>
      <c r="E17" s="1186" t="s">
        <v>485</v>
      </c>
      <c r="F17" s="1187" t="s">
        <v>485</v>
      </c>
      <c r="G17" s="1185" t="s">
        <v>485</v>
      </c>
      <c r="H17" s="1186">
        <v>50</v>
      </c>
      <c r="I17" s="1187">
        <v>1</v>
      </c>
      <c r="J17" s="1185" t="s">
        <v>485</v>
      </c>
      <c r="K17" s="1186" t="s">
        <v>485</v>
      </c>
      <c r="L17" s="1187" t="s">
        <v>485</v>
      </c>
      <c r="M17" s="1189" t="s">
        <v>864</v>
      </c>
      <c r="N17" s="1813"/>
      <c r="O17" s="1634"/>
      <c r="Q17" s="1020"/>
      <c r="R17" s="10"/>
    </row>
    <row r="18" spans="1:19" ht="18.600000000000001" customHeight="1">
      <c r="A18" s="1634"/>
      <c r="B18" s="1812"/>
      <c r="C18" s="1184" t="s">
        <v>1982</v>
      </c>
      <c r="D18" s="1185">
        <v>6</v>
      </c>
      <c r="E18" s="1186">
        <v>47</v>
      </c>
      <c r="F18" s="1187">
        <v>1</v>
      </c>
      <c r="G18" s="1185" t="s">
        <v>485</v>
      </c>
      <c r="H18" s="1186" t="s">
        <v>485</v>
      </c>
      <c r="I18" s="1187" t="s">
        <v>485</v>
      </c>
      <c r="J18" s="1185" t="s">
        <v>485</v>
      </c>
      <c r="K18" s="1186" t="s">
        <v>485</v>
      </c>
      <c r="L18" s="1187" t="s">
        <v>485</v>
      </c>
      <c r="M18" s="1189" t="s">
        <v>865</v>
      </c>
      <c r="N18" s="1813"/>
      <c r="O18" s="1634"/>
      <c r="Q18" s="1020"/>
      <c r="R18" s="447"/>
      <c r="S18" s="39">
        <f>242187+5400307+1344</f>
        <v>5643838</v>
      </c>
    </row>
    <row r="19" spans="1:19" ht="18.600000000000001" customHeight="1">
      <c r="A19" s="1634"/>
      <c r="B19" s="1812"/>
      <c r="C19" s="1192" t="s">
        <v>1983</v>
      </c>
      <c r="D19" s="1185" t="s">
        <v>1848</v>
      </c>
      <c r="E19" s="1186" t="s">
        <v>485</v>
      </c>
      <c r="F19" s="1187" t="s">
        <v>1848</v>
      </c>
      <c r="G19" s="1185" t="s">
        <v>485</v>
      </c>
      <c r="H19" s="1186" t="s">
        <v>485</v>
      </c>
      <c r="I19" s="1187" t="s">
        <v>485</v>
      </c>
      <c r="J19" s="1185" t="s">
        <v>485</v>
      </c>
      <c r="K19" s="1186" t="s">
        <v>485</v>
      </c>
      <c r="L19" s="1187" t="s">
        <v>485</v>
      </c>
      <c r="M19" s="1189" t="s">
        <v>1018</v>
      </c>
      <c r="N19" s="1813"/>
      <c r="O19" s="1634"/>
      <c r="Q19" s="1020"/>
      <c r="R19" s="447"/>
      <c r="S19">
        <f>3408599+205+94992</f>
        <v>3503796</v>
      </c>
    </row>
    <row r="20" spans="1:19" ht="18.600000000000001" customHeight="1">
      <c r="A20" s="1460">
        <v>3</v>
      </c>
      <c r="B20" s="1827" t="s">
        <v>240</v>
      </c>
      <c r="C20" s="1166" t="s">
        <v>28</v>
      </c>
      <c r="D20" s="1196">
        <v>120</v>
      </c>
      <c r="E20" s="1197">
        <f>E23</f>
        <v>1739</v>
      </c>
      <c r="F20" s="1197">
        <v>7</v>
      </c>
      <c r="G20" s="1196">
        <v>76</v>
      </c>
      <c r="H20" s="1197">
        <f>H21+H22+H23</f>
        <v>1618</v>
      </c>
      <c r="I20" s="1197">
        <f>I22+I23</f>
        <v>5</v>
      </c>
      <c r="J20" s="1196">
        <v>62</v>
      </c>
      <c r="K20" s="1197">
        <f>K21+K22+K23</f>
        <v>948</v>
      </c>
      <c r="L20" s="1198">
        <f>L21+L22+L23</f>
        <v>7</v>
      </c>
      <c r="M20" s="1199" t="s">
        <v>627</v>
      </c>
      <c r="N20" s="1828" t="s">
        <v>347</v>
      </c>
      <c r="O20" s="1460">
        <v>3</v>
      </c>
      <c r="Q20" s="97"/>
      <c r="R20" s="447"/>
      <c r="S20" s="39">
        <f>S19+S18</f>
        <v>9147634</v>
      </c>
    </row>
    <row r="21" spans="1:19" ht="18.600000000000001" customHeight="1">
      <c r="A21" s="1460"/>
      <c r="B21" s="1827"/>
      <c r="C21" s="1166" t="s">
        <v>344</v>
      </c>
      <c r="D21" s="1196">
        <v>1</v>
      </c>
      <c r="E21" s="1197" t="s">
        <v>485</v>
      </c>
      <c r="F21" s="1197">
        <v>1</v>
      </c>
      <c r="G21" s="1196" t="s">
        <v>485</v>
      </c>
      <c r="H21" s="1197">
        <v>1247</v>
      </c>
      <c r="I21" s="1197" t="s">
        <v>485</v>
      </c>
      <c r="J21" s="1196" t="s">
        <v>485</v>
      </c>
      <c r="K21" s="1197">
        <v>815</v>
      </c>
      <c r="L21" s="1198">
        <v>2</v>
      </c>
      <c r="M21" s="1200" t="s">
        <v>864</v>
      </c>
      <c r="N21" s="1828"/>
      <c r="O21" s="1460"/>
    </row>
    <row r="22" spans="1:19" ht="18.600000000000001" customHeight="1">
      <c r="A22" s="1460"/>
      <c r="B22" s="1827"/>
      <c r="C22" s="1166" t="s">
        <v>1982</v>
      </c>
      <c r="D22" s="1196" t="s">
        <v>485</v>
      </c>
      <c r="E22" s="1197" t="s">
        <v>485</v>
      </c>
      <c r="F22" s="1197" t="s">
        <v>485</v>
      </c>
      <c r="G22" s="1196" t="s">
        <v>485</v>
      </c>
      <c r="H22" s="1197">
        <v>289</v>
      </c>
      <c r="I22" s="1197">
        <v>1</v>
      </c>
      <c r="J22" s="1196" t="s">
        <v>485</v>
      </c>
      <c r="K22" s="1197">
        <v>105</v>
      </c>
      <c r="L22" s="1198">
        <v>1</v>
      </c>
      <c r="M22" s="1200" t="s">
        <v>865</v>
      </c>
      <c r="N22" s="1828"/>
      <c r="O22" s="1460"/>
    </row>
    <row r="23" spans="1:19" ht="18.600000000000001" customHeight="1">
      <c r="A23" s="1460"/>
      <c r="B23" s="1827"/>
      <c r="C23" s="1201" t="s">
        <v>1983</v>
      </c>
      <c r="D23" s="1196">
        <v>119</v>
      </c>
      <c r="E23" s="1197">
        <v>1739</v>
      </c>
      <c r="F23" s="1197">
        <v>6</v>
      </c>
      <c r="G23" s="1196" t="s">
        <v>485</v>
      </c>
      <c r="H23" s="1197">
        <v>82</v>
      </c>
      <c r="I23" s="1197">
        <v>4</v>
      </c>
      <c r="J23" s="1196" t="s">
        <v>485</v>
      </c>
      <c r="K23" s="1197">
        <v>28</v>
      </c>
      <c r="L23" s="1198">
        <v>4</v>
      </c>
      <c r="M23" s="1200" t="s">
        <v>1018</v>
      </c>
      <c r="N23" s="1828"/>
      <c r="O23" s="1460"/>
      <c r="R23" s="39"/>
      <c r="S23" s="39"/>
    </row>
    <row r="24" spans="1:19" ht="18.600000000000001" customHeight="1">
      <c r="A24" s="1634">
        <v>4</v>
      </c>
      <c r="B24" s="1812" t="s">
        <v>1108</v>
      </c>
      <c r="C24" s="1184" t="s">
        <v>28</v>
      </c>
      <c r="D24" s="1185">
        <v>56</v>
      </c>
      <c r="E24" s="1186">
        <f>E25+E26+E27</f>
        <v>1116</v>
      </c>
      <c r="F24" s="1186">
        <v>4</v>
      </c>
      <c r="G24" s="1185" t="s">
        <v>485</v>
      </c>
      <c r="H24" s="1186" t="s">
        <v>485</v>
      </c>
      <c r="I24" s="1186">
        <f>I27</f>
        <v>1</v>
      </c>
      <c r="J24" s="1185">
        <v>50</v>
      </c>
      <c r="K24" s="1186">
        <f>K25+K27</f>
        <v>1488</v>
      </c>
      <c r="L24" s="1187">
        <f>L25+L27</f>
        <v>4</v>
      </c>
      <c r="M24" s="1188" t="s">
        <v>627</v>
      </c>
      <c r="N24" s="1828" t="s">
        <v>1110</v>
      </c>
      <c r="O24" s="1634">
        <v>4</v>
      </c>
    </row>
    <row r="25" spans="1:19" ht="18.600000000000001" customHeight="1">
      <c r="A25" s="1634"/>
      <c r="B25" s="1812"/>
      <c r="C25" s="1184" t="s">
        <v>344</v>
      </c>
      <c r="D25" s="1185">
        <v>20</v>
      </c>
      <c r="E25" s="1186">
        <v>647</v>
      </c>
      <c r="F25" s="1186">
        <v>1</v>
      </c>
      <c r="G25" s="1185" t="s">
        <v>485</v>
      </c>
      <c r="H25" s="1186" t="s">
        <v>485</v>
      </c>
      <c r="I25" s="1186" t="s">
        <v>485</v>
      </c>
      <c r="J25" s="1185" t="s">
        <v>485</v>
      </c>
      <c r="K25" s="1186">
        <v>1028</v>
      </c>
      <c r="L25" s="1187">
        <v>1</v>
      </c>
      <c r="M25" s="1189" t="s">
        <v>864</v>
      </c>
      <c r="N25" s="1828"/>
      <c r="O25" s="1634"/>
    </row>
    <row r="26" spans="1:19" ht="18.600000000000001" customHeight="1">
      <c r="A26" s="1634"/>
      <c r="B26" s="1812"/>
      <c r="C26" s="1184" t="s">
        <v>1982</v>
      </c>
      <c r="D26" s="1185">
        <v>11</v>
      </c>
      <c r="E26" s="1186">
        <v>311</v>
      </c>
      <c r="F26" s="1186">
        <v>1</v>
      </c>
      <c r="G26" s="1185" t="s">
        <v>485</v>
      </c>
      <c r="H26" s="1186" t="s">
        <v>14</v>
      </c>
      <c r="I26" s="1186" t="s">
        <v>14</v>
      </c>
      <c r="J26" s="1185" t="s">
        <v>485</v>
      </c>
      <c r="K26" s="1186" t="s">
        <v>14</v>
      </c>
      <c r="L26" s="1187" t="s">
        <v>14</v>
      </c>
      <c r="M26" s="1189" t="s">
        <v>865</v>
      </c>
      <c r="N26" s="1828"/>
      <c r="O26" s="1634"/>
    </row>
    <row r="27" spans="1:19" ht="18.600000000000001" customHeight="1">
      <c r="A27" s="1634"/>
      <c r="B27" s="1812"/>
      <c r="C27" s="1192" t="s">
        <v>1983</v>
      </c>
      <c r="D27" s="1185">
        <v>25</v>
      </c>
      <c r="E27" s="1186">
        <v>158</v>
      </c>
      <c r="F27" s="1186">
        <v>2</v>
      </c>
      <c r="G27" s="1185" t="s">
        <v>485</v>
      </c>
      <c r="H27" s="1186" t="s">
        <v>485</v>
      </c>
      <c r="I27" s="1186">
        <v>1</v>
      </c>
      <c r="J27" s="1185" t="s">
        <v>485</v>
      </c>
      <c r="K27" s="1186">
        <v>460</v>
      </c>
      <c r="L27" s="1187">
        <v>3</v>
      </c>
      <c r="M27" s="1189" t="s">
        <v>1018</v>
      </c>
      <c r="N27" s="1828"/>
      <c r="O27" s="1634"/>
    </row>
    <row r="28" spans="1:19" ht="18.600000000000001" customHeight="1">
      <c r="A28" s="1460">
        <v>5</v>
      </c>
      <c r="B28" s="1827" t="s">
        <v>242</v>
      </c>
      <c r="C28" s="1166" t="s">
        <v>28</v>
      </c>
      <c r="D28" s="1196">
        <v>119</v>
      </c>
      <c r="E28" s="1204">
        <f>E29+E30+E31</f>
        <v>3653</v>
      </c>
      <c r="F28" s="1204">
        <v>9</v>
      </c>
      <c r="G28" s="1196">
        <v>135</v>
      </c>
      <c r="H28" s="1204">
        <f>H29+H30+H31</f>
        <v>2701</v>
      </c>
      <c r="I28" s="1204">
        <f>I29+I30+I31</f>
        <v>9</v>
      </c>
      <c r="J28" s="1196">
        <v>107</v>
      </c>
      <c r="K28" s="1204">
        <f>K29+K30+K31</f>
        <v>1997</v>
      </c>
      <c r="L28" s="1205">
        <f>L29+L30+L31</f>
        <v>6</v>
      </c>
      <c r="M28" s="1199" t="s">
        <v>627</v>
      </c>
      <c r="N28" s="1828" t="s">
        <v>348</v>
      </c>
      <c r="O28" s="1460">
        <v>5</v>
      </c>
    </row>
    <row r="29" spans="1:19" ht="18.600000000000001" customHeight="1">
      <c r="A29" s="1460"/>
      <c r="B29" s="1827"/>
      <c r="C29" s="1166" t="s">
        <v>344</v>
      </c>
      <c r="D29" s="1196" t="s">
        <v>485</v>
      </c>
      <c r="E29" s="1204">
        <v>2164</v>
      </c>
      <c r="F29" s="1197">
        <v>1</v>
      </c>
      <c r="G29" s="1196" t="s">
        <v>485</v>
      </c>
      <c r="H29" s="1204">
        <v>1581</v>
      </c>
      <c r="I29" s="1197">
        <v>1</v>
      </c>
      <c r="J29" s="1196" t="s">
        <v>485</v>
      </c>
      <c r="K29" s="1204">
        <v>1278</v>
      </c>
      <c r="L29" s="1198">
        <v>1</v>
      </c>
      <c r="M29" s="1200" t="s">
        <v>864</v>
      </c>
      <c r="N29" s="1828"/>
      <c r="O29" s="1460"/>
    </row>
    <row r="30" spans="1:19" ht="18.600000000000001" customHeight="1">
      <c r="A30" s="1460"/>
      <c r="B30" s="1827"/>
      <c r="C30" s="1166" t="s">
        <v>1982</v>
      </c>
      <c r="D30" s="1196">
        <v>62</v>
      </c>
      <c r="E30" s="1204">
        <v>924</v>
      </c>
      <c r="F30" s="1197">
        <v>5</v>
      </c>
      <c r="G30" s="1196" t="s">
        <v>485</v>
      </c>
      <c r="H30" s="1204">
        <v>729</v>
      </c>
      <c r="I30" s="1197">
        <v>5</v>
      </c>
      <c r="J30" s="1196" t="s">
        <v>485</v>
      </c>
      <c r="K30" s="1204">
        <v>445</v>
      </c>
      <c r="L30" s="1198">
        <v>4</v>
      </c>
      <c r="M30" s="1200" t="s">
        <v>865</v>
      </c>
      <c r="N30" s="1828"/>
      <c r="O30" s="1460"/>
    </row>
    <row r="31" spans="1:19" ht="18.600000000000001" customHeight="1">
      <c r="A31" s="1460"/>
      <c r="B31" s="1827"/>
      <c r="C31" s="1201" t="s">
        <v>1983</v>
      </c>
      <c r="D31" s="1196">
        <v>57</v>
      </c>
      <c r="E31" s="1204">
        <v>565</v>
      </c>
      <c r="F31" s="1197">
        <v>3</v>
      </c>
      <c r="G31" s="1196" t="s">
        <v>485</v>
      </c>
      <c r="H31" s="1204">
        <v>391</v>
      </c>
      <c r="I31" s="1197">
        <v>3</v>
      </c>
      <c r="J31" s="1196" t="s">
        <v>485</v>
      </c>
      <c r="K31" s="1204">
        <v>274</v>
      </c>
      <c r="L31" s="1198">
        <v>1</v>
      </c>
      <c r="M31" s="1200" t="s">
        <v>1018</v>
      </c>
      <c r="N31" s="1828"/>
      <c r="O31" s="1460"/>
    </row>
    <row r="32" spans="1:19" ht="18.600000000000001" customHeight="1">
      <c r="A32" s="1634">
        <v>6</v>
      </c>
      <c r="B32" s="1812" t="s">
        <v>311</v>
      </c>
      <c r="C32" s="1184" t="s">
        <v>28</v>
      </c>
      <c r="D32" s="1185">
        <v>1302</v>
      </c>
      <c r="E32" s="1186">
        <f>E33+E34+E35</f>
        <v>27554</v>
      </c>
      <c r="F32" s="1186">
        <v>101</v>
      </c>
      <c r="G32" s="1185">
        <v>1196</v>
      </c>
      <c r="H32" s="1186">
        <f>H33+H34+H35</f>
        <v>26343</v>
      </c>
      <c r="I32" s="1186">
        <f>I33+I34+I35</f>
        <v>72</v>
      </c>
      <c r="J32" s="1185">
        <v>1004</v>
      </c>
      <c r="K32" s="1186">
        <f>K33+K34+K35</f>
        <v>20996</v>
      </c>
      <c r="L32" s="1187">
        <f>L33+L34+L35</f>
        <v>73</v>
      </c>
      <c r="M32" s="1188" t="s">
        <v>627</v>
      </c>
      <c r="N32" s="1813" t="s">
        <v>245</v>
      </c>
      <c r="O32" s="1634">
        <v>6</v>
      </c>
    </row>
    <row r="33" spans="1:15" ht="18.600000000000001" customHeight="1">
      <c r="A33" s="1634"/>
      <c r="B33" s="1812"/>
      <c r="C33" s="1184" t="s">
        <v>344</v>
      </c>
      <c r="D33" s="1185">
        <v>658</v>
      </c>
      <c r="E33" s="1186">
        <v>21754</v>
      </c>
      <c r="F33" s="1186">
        <v>75</v>
      </c>
      <c r="G33" s="1185" t="s">
        <v>485</v>
      </c>
      <c r="H33" s="1186">
        <v>19534</v>
      </c>
      <c r="I33" s="1186">
        <v>47</v>
      </c>
      <c r="J33" s="1185" t="s">
        <v>485</v>
      </c>
      <c r="K33" s="1186">
        <f>13695+2469</f>
        <v>16164</v>
      </c>
      <c r="L33" s="1187">
        <v>49</v>
      </c>
      <c r="M33" s="1189" t="s">
        <v>864</v>
      </c>
      <c r="N33" s="1813"/>
      <c r="O33" s="1634"/>
    </row>
    <row r="34" spans="1:15" ht="18.600000000000001" customHeight="1">
      <c r="A34" s="1634"/>
      <c r="B34" s="1812"/>
      <c r="C34" s="1184" t="s">
        <v>1982</v>
      </c>
      <c r="D34" s="1185">
        <v>179</v>
      </c>
      <c r="E34" s="1186">
        <v>4049</v>
      </c>
      <c r="F34" s="1186">
        <v>8</v>
      </c>
      <c r="G34" s="1185" t="s">
        <v>485</v>
      </c>
      <c r="H34" s="1186">
        <v>4524</v>
      </c>
      <c r="I34" s="1186">
        <v>5</v>
      </c>
      <c r="J34" s="1185" t="s">
        <v>485</v>
      </c>
      <c r="K34" s="1186">
        <v>3320</v>
      </c>
      <c r="L34" s="1187">
        <v>4</v>
      </c>
      <c r="M34" s="1189" t="s">
        <v>865</v>
      </c>
      <c r="N34" s="1813"/>
      <c r="O34" s="1634"/>
    </row>
    <row r="35" spans="1:15" ht="18.600000000000001" customHeight="1">
      <c r="A35" s="1634"/>
      <c r="B35" s="1812"/>
      <c r="C35" s="1192" t="s">
        <v>1983</v>
      </c>
      <c r="D35" s="1185">
        <v>465</v>
      </c>
      <c r="E35" s="1186">
        <v>1751</v>
      </c>
      <c r="F35" s="1194">
        <v>18</v>
      </c>
      <c r="G35" s="1185" t="s">
        <v>485</v>
      </c>
      <c r="H35" s="1186">
        <v>2285</v>
      </c>
      <c r="I35" s="1194">
        <v>20</v>
      </c>
      <c r="J35" s="1185" t="s">
        <v>485</v>
      </c>
      <c r="K35" s="1186">
        <v>1512</v>
      </c>
      <c r="L35" s="1195">
        <v>20</v>
      </c>
      <c r="M35" s="1189" t="s">
        <v>1018</v>
      </c>
      <c r="N35" s="1813"/>
      <c r="O35" s="1634"/>
    </row>
    <row r="36" spans="1:15" ht="18.600000000000001" customHeight="1">
      <c r="A36" s="1460">
        <v>7</v>
      </c>
      <c r="B36" s="1827" t="s">
        <v>312</v>
      </c>
      <c r="C36" s="1166" t="s">
        <v>28</v>
      </c>
      <c r="D36" s="1196">
        <v>143</v>
      </c>
      <c r="E36" s="1197">
        <f>E37+E38+E39</f>
        <v>3762</v>
      </c>
      <c r="F36" s="1197">
        <v>8</v>
      </c>
      <c r="G36" s="1196">
        <v>92</v>
      </c>
      <c r="H36" s="1197">
        <f>H37+H38+H39</f>
        <v>2711</v>
      </c>
      <c r="I36" s="1197">
        <f>I37+I38+I39</f>
        <v>5</v>
      </c>
      <c r="J36" s="1196">
        <v>108</v>
      </c>
      <c r="K36" s="1197">
        <f>K37+K38+K39</f>
        <v>3662</v>
      </c>
      <c r="L36" s="1198">
        <f>L37+L38+L39</f>
        <v>6</v>
      </c>
      <c r="M36" s="1199" t="s">
        <v>627</v>
      </c>
      <c r="N36" s="1828" t="s">
        <v>247</v>
      </c>
      <c r="O36" s="1460">
        <v>7</v>
      </c>
    </row>
    <row r="37" spans="1:15" ht="18.600000000000001" customHeight="1">
      <c r="A37" s="1460"/>
      <c r="B37" s="1827"/>
      <c r="C37" s="1166" t="s">
        <v>344</v>
      </c>
      <c r="D37" s="1196">
        <v>24</v>
      </c>
      <c r="E37" s="1197">
        <v>3137</v>
      </c>
      <c r="F37" s="1197">
        <v>3</v>
      </c>
      <c r="G37" s="1196" t="s">
        <v>485</v>
      </c>
      <c r="H37" s="1197">
        <v>2178</v>
      </c>
      <c r="I37" s="1197">
        <v>2</v>
      </c>
      <c r="J37" s="1196" t="s">
        <v>485</v>
      </c>
      <c r="K37" s="1197">
        <v>2818</v>
      </c>
      <c r="L37" s="1198">
        <v>2</v>
      </c>
      <c r="M37" s="1200" t="s">
        <v>864</v>
      </c>
      <c r="N37" s="1828"/>
      <c r="O37" s="1460"/>
    </row>
    <row r="38" spans="1:15" ht="18.600000000000001" customHeight="1">
      <c r="A38" s="1460"/>
      <c r="B38" s="1827"/>
      <c r="C38" s="1166" t="s">
        <v>1982</v>
      </c>
      <c r="D38" s="1196">
        <v>52</v>
      </c>
      <c r="E38" s="1197">
        <v>515</v>
      </c>
      <c r="F38" s="1197">
        <v>3</v>
      </c>
      <c r="G38" s="1196" t="s">
        <v>485</v>
      </c>
      <c r="H38" s="1197">
        <v>470</v>
      </c>
      <c r="I38" s="1197">
        <v>1</v>
      </c>
      <c r="J38" s="1196" t="s">
        <v>485</v>
      </c>
      <c r="K38" s="1197">
        <v>738</v>
      </c>
      <c r="L38" s="1198">
        <v>1</v>
      </c>
      <c r="M38" s="1200" t="s">
        <v>865</v>
      </c>
      <c r="N38" s="1828"/>
      <c r="O38" s="1460"/>
    </row>
    <row r="39" spans="1:15" ht="18.600000000000001" customHeight="1">
      <c r="A39" s="1460"/>
      <c r="B39" s="1827"/>
      <c r="C39" s="1201" t="s">
        <v>1983</v>
      </c>
      <c r="D39" s="1196">
        <v>67</v>
      </c>
      <c r="E39" s="1197">
        <v>110</v>
      </c>
      <c r="F39" s="1197">
        <v>2</v>
      </c>
      <c r="G39" s="1196" t="s">
        <v>485</v>
      </c>
      <c r="H39" s="1197">
        <v>63</v>
      </c>
      <c r="I39" s="1197">
        <v>2</v>
      </c>
      <c r="J39" s="1196" t="s">
        <v>485</v>
      </c>
      <c r="K39" s="1197">
        <f>106</f>
        <v>106</v>
      </c>
      <c r="L39" s="1198">
        <v>3</v>
      </c>
      <c r="M39" s="1200" t="s">
        <v>1018</v>
      </c>
      <c r="N39" s="1828"/>
      <c r="O39" s="1460"/>
    </row>
    <row r="40" spans="1:15" ht="18.600000000000001" customHeight="1">
      <c r="A40" s="1634">
        <v>8</v>
      </c>
      <c r="B40" s="1812" t="s">
        <v>936</v>
      </c>
      <c r="C40" s="1184" t="s">
        <v>28</v>
      </c>
      <c r="D40" s="1185" t="s">
        <v>485</v>
      </c>
      <c r="E40" s="1186" t="s">
        <v>485</v>
      </c>
      <c r="F40" s="1186" t="s">
        <v>485</v>
      </c>
      <c r="G40" s="1185">
        <v>7</v>
      </c>
      <c r="H40" s="1186">
        <f>H41</f>
        <v>415</v>
      </c>
      <c r="I40" s="1186">
        <f>I41</f>
        <v>1</v>
      </c>
      <c r="J40" s="1185">
        <v>5</v>
      </c>
      <c r="K40" s="1186">
        <f>K41</f>
        <v>239</v>
      </c>
      <c r="L40" s="1187">
        <f>L41</f>
        <v>1</v>
      </c>
      <c r="M40" s="1188" t="s">
        <v>627</v>
      </c>
      <c r="N40" s="1813" t="s">
        <v>249</v>
      </c>
      <c r="O40" s="1634">
        <v>8</v>
      </c>
    </row>
    <row r="41" spans="1:15" ht="18.600000000000001" customHeight="1">
      <c r="A41" s="1634"/>
      <c r="B41" s="1812"/>
      <c r="C41" s="1184" t="s">
        <v>344</v>
      </c>
      <c r="D41" s="1185" t="s">
        <v>485</v>
      </c>
      <c r="E41" s="1186" t="s">
        <v>485</v>
      </c>
      <c r="F41" s="1186" t="s">
        <v>485</v>
      </c>
      <c r="G41" s="1185" t="s">
        <v>485</v>
      </c>
      <c r="H41" s="1186">
        <v>415</v>
      </c>
      <c r="I41" s="1186">
        <v>1</v>
      </c>
      <c r="J41" s="1185" t="s">
        <v>485</v>
      </c>
      <c r="K41" s="1186">
        <v>239</v>
      </c>
      <c r="L41" s="1187">
        <v>1</v>
      </c>
      <c r="M41" s="1189" t="s">
        <v>864</v>
      </c>
      <c r="N41" s="1813"/>
      <c r="O41" s="1634"/>
    </row>
    <row r="42" spans="1:15" ht="18.600000000000001" customHeight="1">
      <c r="A42" s="1634"/>
      <c r="B42" s="1812"/>
      <c r="C42" s="1184" t="s">
        <v>1982</v>
      </c>
      <c r="D42" s="1185" t="s">
        <v>485</v>
      </c>
      <c r="E42" s="1186" t="s">
        <v>485</v>
      </c>
      <c r="F42" s="1186" t="s">
        <v>485</v>
      </c>
      <c r="G42" s="1185" t="s">
        <v>485</v>
      </c>
      <c r="H42" s="1186" t="s">
        <v>485</v>
      </c>
      <c r="I42" s="1186" t="s">
        <v>485</v>
      </c>
      <c r="J42" s="1185" t="s">
        <v>485</v>
      </c>
      <c r="K42" s="1186" t="s">
        <v>485</v>
      </c>
      <c r="L42" s="1187" t="s">
        <v>485</v>
      </c>
      <c r="M42" s="1189" t="s">
        <v>865</v>
      </c>
      <c r="N42" s="1813"/>
      <c r="O42" s="1634"/>
    </row>
    <row r="43" spans="1:15" ht="18.600000000000001" customHeight="1">
      <c r="A43" s="1634"/>
      <c r="B43" s="1812"/>
      <c r="C43" s="1192" t="s">
        <v>1983</v>
      </c>
      <c r="D43" s="1185" t="s">
        <v>14</v>
      </c>
      <c r="E43" s="1186" t="s">
        <v>14</v>
      </c>
      <c r="F43" s="1186" t="s">
        <v>485</v>
      </c>
      <c r="G43" s="1185" t="s">
        <v>485</v>
      </c>
      <c r="H43" s="1186" t="s">
        <v>14</v>
      </c>
      <c r="I43" s="1186" t="s">
        <v>14</v>
      </c>
      <c r="J43" s="1185" t="s">
        <v>485</v>
      </c>
      <c r="K43" s="1186" t="s">
        <v>14</v>
      </c>
      <c r="L43" s="1187" t="s">
        <v>14</v>
      </c>
      <c r="M43" s="1189" t="s">
        <v>1018</v>
      </c>
      <c r="N43" s="1813"/>
      <c r="O43" s="1634"/>
    </row>
    <row r="44" spans="1:15" ht="18.600000000000001" customHeight="1">
      <c r="A44" s="1460">
        <v>9</v>
      </c>
      <c r="B44" s="1827" t="s">
        <v>121</v>
      </c>
      <c r="C44" s="1166" t="s">
        <v>28</v>
      </c>
      <c r="D44" s="1196">
        <v>305</v>
      </c>
      <c r="E44" s="1197">
        <f>E45+E46+E47</f>
        <v>4589</v>
      </c>
      <c r="F44" s="1197">
        <v>16</v>
      </c>
      <c r="G44" s="1196">
        <v>209</v>
      </c>
      <c r="H44" s="1197">
        <f>H45+H46+H47</f>
        <v>3864</v>
      </c>
      <c r="I44" s="1197">
        <f>I45+I46+I47</f>
        <v>14</v>
      </c>
      <c r="J44" s="1196">
        <v>140</v>
      </c>
      <c r="K44" s="1197">
        <f>K46+K47</f>
        <v>2243</v>
      </c>
      <c r="L44" s="1198">
        <f>L46+L47</f>
        <v>7</v>
      </c>
      <c r="M44" s="1199" t="s">
        <v>627</v>
      </c>
      <c r="N44" s="1828" t="s">
        <v>122</v>
      </c>
      <c r="O44" s="1460">
        <v>9</v>
      </c>
    </row>
    <row r="45" spans="1:15" ht="18.600000000000001" customHeight="1">
      <c r="A45" s="1460"/>
      <c r="B45" s="1827"/>
      <c r="C45" s="1166" t="s">
        <v>344</v>
      </c>
      <c r="D45" s="1196">
        <v>92</v>
      </c>
      <c r="E45" s="1197">
        <v>3549</v>
      </c>
      <c r="F45" s="1197">
        <v>8</v>
      </c>
      <c r="G45" s="1196" t="s">
        <v>485</v>
      </c>
      <c r="H45" s="1197">
        <v>3139</v>
      </c>
      <c r="I45" s="1197">
        <v>9</v>
      </c>
      <c r="J45" s="1196" t="s">
        <v>485</v>
      </c>
      <c r="K45" s="1197" t="s">
        <v>14</v>
      </c>
      <c r="L45" s="1198" t="s">
        <v>14</v>
      </c>
      <c r="M45" s="1200" t="s">
        <v>864</v>
      </c>
      <c r="N45" s="1828"/>
      <c r="O45" s="1460"/>
    </row>
    <row r="46" spans="1:15" ht="18.600000000000001" customHeight="1">
      <c r="A46" s="1460"/>
      <c r="B46" s="1827"/>
      <c r="C46" s="1166" t="s">
        <v>1982</v>
      </c>
      <c r="D46" s="1196">
        <v>85</v>
      </c>
      <c r="E46" s="1197">
        <v>800</v>
      </c>
      <c r="F46" s="1197">
        <v>4</v>
      </c>
      <c r="G46" s="1196" t="s">
        <v>485</v>
      </c>
      <c r="H46" s="1197">
        <v>569</v>
      </c>
      <c r="I46" s="1197">
        <v>1</v>
      </c>
      <c r="J46" s="1196" t="s">
        <v>485</v>
      </c>
      <c r="K46" s="1197">
        <v>1705</v>
      </c>
      <c r="L46" s="1198">
        <v>3</v>
      </c>
      <c r="M46" s="1200" t="s">
        <v>865</v>
      </c>
      <c r="N46" s="1828"/>
      <c r="O46" s="1460"/>
    </row>
    <row r="47" spans="1:15" ht="18.600000000000001" customHeight="1">
      <c r="A47" s="1460"/>
      <c r="B47" s="1827"/>
      <c r="C47" s="1201" t="s">
        <v>1983</v>
      </c>
      <c r="D47" s="1196">
        <v>128</v>
      </c>
      <c r="E47" s="1197">
        <v>240</v>
      </c>
      <c r="F47" s="1202">
        <v>4</v>
      </c>
      <c r="G47" s="1196" t="s">
        <v>485</v>
      </c>
      <c r="H47" s="1197">
        <v>156</v>
      </c>
      <c r="I47" s="1202">
        <v>4</v>
      </c>
      <c r="J47" s="1196" t="s">
        <v>485</v>
      </c>
      <c r="K47" s="1197">
        <v>538</v>
      </c>
      <c r="L47" s="1203">
        <v>4</v>
      </c>
      <c r="M47" s="1200" t="s">
        <v>1018</v>
      </c>
      <c r="N47" s="1828"/>
      <c r="O47" s="1460"/>
    </row>
    <row r="48" spans="1:15" ht="18.600000000000001" customHeight="1">
      <c r="A48" s="1634">
        <v>10</v>
      </c>
      <c r="B48" s="1812" t="s">
        <v>251</v>
      </c>
      <c r="C48" s="1184" t="s">
        <v>28</v>
      </c>
      <c r="D48" s="1185" t="s">
        <v>485</v>
      </c>
      <c r="E48" s="1186" t="s">
        <v>485</v>
      </c>
      <c r="F48" s="1186" t="s">
        <v>485</v>
      </c>
      <c r="G48" s="1185">
        <v>48</v>
      </c>
      <c r="H48" s="1186">
        <f>H49+H50</f>
        <v>648</v>
      </c>
      <c r="I48" s="1186">
        <f>I49+I50</f>
        <v>4</v>
      </c>
      <c r="J48" s="1185">
        <v>6</v>
      </c>
      <c r="K48" s="1186">
        <f>K50</f>
        <v>421</v>
      </c>
      <c r="L48" s="1187">
        <f>L50</f>
        <v>2</v>
      </c>
      <c r="M48" s="1188" t="s">
        <v>627</v>
      </c>
      <c r="N48" s="1813" t="s">
        <v>252</v>
      </c>
      <c r="O48" s="1634">
        <v>10</v>
      </c>
    </row>
    <row r="49" spans="1:15" ht="18.600000000000001" customHeight="1">
      <c r="A49" s="1634"/>
      <c r="B49" s="1812"/>
      <c r="C49" s="1184" t="s">
        <v>344</v>
      </c>
      <c r="D49" s="1185" t="s">
        <v>485</v>
      </c>
      <c r="E49" s="1186" t="s">
        <v>485</v>
      </c>
      <c r="F49" s="1186" t="s">
        <v>485</v>
      </c>
      <c r="G49" s="1185" t="s">
        <v>485</v>
      </c>
      <c r="H49" s="1186">
        <v>557</v>
      </c>
      <c r="I49" s="1186">
        <v>3</v>
      </c>
      <c r="J49" s="1185" t="s">
        <v>485</v>
      </c>
      <c r="K49" s="1186" t="s">
        <v>14</v>
      </c>
      <c r="L49" s="1187" t="s">
        <v>14</v>
      </c>
      <c r="M49" s="1189" t="s">
        <v>864</v>
      </c>
      <c r="N49" s="1813"/>
      <c r="O49" s="1634"/>
    </row>
    <row r="50" spans="1:15" ht="18.600000000000001" customHeight="1">
      <c r="A50" s="1634"/>
      <c r="B50" s="1812"/>
      <c r="C50" s="1184" t="s">
        <v>1982</v>
      </c>
      <c r="D50" s="1185" t="s">
        <v>485</v>
      </c>
      <c r="E50" s="1186" t="s">
        <v>485</v>
      </c>
      <c r="F50" s="1186" t="s">
        <v>485</v>
      </c>
      <c r="G50" s="1185" t="s">
        <v>485</v>
      </c>
      <c r="H50" s="1186">
        <v>91</v>
      </c>
      <c r="I50" s="1186">
        <v>1</v>
      </c>
      <c r="J50" s="1185" t="s">
        <v>485</v>
      </c>
      <c r="K50" s="1186">
        <v>421</v>
      </c>
      <c r="L50" s="1187">
        <v>2</v>
      </c>
      <c r="M50" s="1189" t="s">
        <v>865</v>
      </c>
      <c r="N50" s="1813"/>
      <c r="O50" s="1634"/>
    </row>
    <row r="51" spans="1:15" ht="18.600000000000001" customHeight="1">
      <c r="A51" s="1634"/>
      <c r="B51" s="1812"/>
      <c r="C51" s="1192" t="s">
        <v>1983</v>
      </c>
      <c r="D51" s="1185" t="s">
        <v>485</v>
      </c>
      <c r="E51" s="1186" t="s">
        <v>485</v>
      </c>
      <c r="F51" s="1194" t="s">
        <v>485</v>
      </c>
      <c r="G51" s="1185" t="s">
        <v>485</v>
      </c>
      <c r="H51" s="1186" t="s">
        <v>14</v>
      </c>
      <c r="I51" s="1194" t="s">
        <v>14</v>
      </c>
      <c r="J51" s="1185" t="s">
        <v>485</v>
      </c>
      <c r="K51" s="1186" t="s">
        <v>14</v>
      </c>
      <c r="L51" s="1195" t="s">
        <v>14</v>
      </c>
      <c r="M51" s="1189" t="s">
        <v>1018</v>
      </c>
      <c r="N51" s="1813"/>
      <c r="O51" s="1634"/>
    </row>
    <row r="52" spans="1:15" ht="18.600000000000001" customHeight="1">
      <c r="A52" s="1460">
        <v>11</v>
      </c>
      <c r="B52" s="1827" t="s">
        <v>253</v>
      </c>
      <c r="C52" s="1166" t="s">
        <v>28</v>
      </c>
      <c r="D52" s="1196">
        <v>424</v>
      </c>
      <c r="E52" s="1197">
        <f>E53+E54+E55</f>
        <v>10636</v>
      </c>
      <c r="F52" s="1197">
        <v>42</v>
      </c>
      <c r="G52" s="1196">
        <v>324</v>
      </c>
      <c r="H52" s="1197">
        <f>H53+H54+H55</f>
        <v>6499</v>
      </c>
      <c r="I52" s="1197">
        <f>I53+I54+I55</f>
        <v>31</v>
      </c>
      <c r="J52" s="1196">
        <v>178</v>
      </c>
      <c r="K52" s="1197">
        <f>K53+K54+K55</f>
        <v>3335</v>
      </c>
      <c r="L52" s="1198">
        <f>L53+L54+L55</f>
        <v>19</v>
      </c>
      <c r="M52" s="1199" t="s">
        <v>627</v>
      </c>
      <c r="N52" s="1828" t="s">
        <v>314</v>
      </c>
      <c r="O52" s="1460">
        <v>11</v>
      </c>
    </row>
    <row r="53" spans="1:15" ht="18.600000000000001" customHeight="1">
      <c r="A53" s="1460"/>
      <c r="B53" s="1827"/>
      <c r="C53" s="1166" t="s">
        <v>344</v>
      </c>
      <c r="D53" s="1196">
        <v>113</v>
      </c>
      <c r="E53" s="1197">
        <v>8008</v>
      </c>
      <c r="F53" s="1197">
        <v>21</v>
      </c>
      <c r="G53" s="1196" t="s">
        <v>485</v>
      </c>
      <c r="H53" s="1197">
        <v>4656</v>
      </c>
      <c r="I53" s="1197">
        <v>12</v>
      </c>
      <c r="J53" s="1196" t="s">
        <v>485</v>
      </c>
      <c r="K53" s="1197">
        <v>2250</v>
      </c>
      <c r="L53" s="1198">
        <v>10</v>
      </c>
      <c r="M53" s="1200" t="s">
        <v>864</v>
      </c>
      <c r="N53" s="1828"/>
      <c r="O53" s="1460"/>
    </row>
    <row r="54" spans="1:15" ht="18.600000000000001" customHeight="1">
      <c r="A54" s="1460"/>
      <c r="B54" s="1827"/>
      <c r="C54" s="1166" t="s">
        <v>1982</v>
      </c>
      <c r="D54" s="1196">
        <v>167</v>
      </c>
      <c r="E54" s="1197">
        <v>1922</v>
      </c>
      <c r="F54" s="1197">
        <v>14</v>
      </c>
      <c r="G54" s="1196" t="s">
        <v>485</v>
      </c>
      <c r="H54" s="1197">
        <v>1283</v>
      </c>
      <c r="I54" s="1197">
        <v>10</v>
      </c>
      <c r="J54" s="1196" t="s">
        <v>485</v>
      </c>
      <c r="K54" s="1197">
        <v>725</v>
      </c>
      <c r="L54" s="1198">
        <v>3</v>
      </c>
      <c r="M54" s="1200" t="s">
        <v>865</v>
      </c>
      <c r="N54" s="1828"/>
      <c r="O54" s="1460"/>
    </row>
    <row r="55" spans="1:15" ht="18.600000000000001" customHeight="1">
      <c r="A55" s="1460"/>
      <c r="B55" s="1827"/>
      <c r="C55" s="1201" t="s">
        <v>1983</v>
      </c>
      <c r="D55" s="1196">
        <v>144</v>
      </c>
      <c r="E55" s="1197">
        <v>706</v>
      </c>
      <c r="F55" s="1202">
        <v>7</v>
      </c>
      <c r="G55" s="1196" t="s">
        <v>485</v>
      </c>
      <c r="H55" s="1197">
        <v>560</v>
      </c>
      <c r="I55" s="1202">
        <v>9</v>
      </c>
      <c r="J55" s="1196" t="s">
        <v>485</v>
      </c>
      <c r="K55" s="1197">
        <v>360</v>
      </c>
      <c r="L55" s="1203">
        <v>6</v>
      </c>
      <c r="M55" s="1200" t="s">
        <v>1018</v>
      </c>
      <c r="N55" s="1828"/>
      <c r="O55" s="1460"/>
    </row>
    <row r="56" spans="1:15" ht="18.600000000000001" customHeight="1">
      <c r="A56" s="1634">
        <v>12</v>
      </c>
      <c r="B56" s="1812" t="s">
        <v>290</v>
      </c>
      <c r="C56" s="1184" t="s">
        <v>28</v>
      </c>
      <c r="D56" s="1185">
        <v>51</v>
      </c>
      <c r="E56" s="1186">
        <f>E57+E58+E59</f>
        <v>877</v>
      </c>
      <c r="F56" s="1186">
        <v>4</v>
      </c>
      <c r="G56" s="1185">
        <v>37</v>
      </c>
      <c r="H56" s="1186">
        <f>H57+H58</f>
        <v>475</v>
      </c>
      <c r="I56" s="1186">
        <f>I57+I58</f>
        <v>3</v>
      </c>
      <c r="J56" s="1185">
        <v>10</v>
      </c>
      <c r="K56" s="1186">
        <f>K57+K58</f>
        <v>451</v>
      </c>
      <c r="L56" s="1187">
        <f>L57+L58</f>
        <v>3</v>
      </c>
      <c r="M56" s="1188" t="s">
        <v>627</v>
      </c>
      <c r="N56" s="1813" t="s">
        <v>291</v>
      </c>
      <c r="O56" s="1634">
        <v>12</v>
      </c>
    </row>
    <row r="57" spans="1:15" ht="18.600000000000001" customHeight="1">
      <c r="A57" s="1634"/>
      <c r="B57" s="1812"/>
      <c r="C57" s="1184" t="s">
        <v>344</v>
      </c>
      <c r="D57" s="1185">
        <v>3</v>
      </c>
      <c r="E57" s="1186">
        <v>725</v>
      </c>
      <c r="F57" s="1186">
        <v>1</v>
      </c>
      <c r="G57" s="1185" t="s">
        <v>485</v>
      </c>
      <c r="H57" s="1186">
        <v>382</v>
      </c>
      <c r="I57" s="1186">
        <v>2</v>
      </c>
      <c r="J57" s="1185" t="s">
        <v>485</v>
      </c>
      <c r="K57" s="1186">
        <v>434</v>
      </c>
      <c r="L57" s="1187">
        <v>2</v>
      </c>
      <c r="M57" s="1189" t="s">
        <v>864</v>
      </c>
      <c r="N57" s="1813"/>
      <c r="O57" s="1634"/>
    </row>
    <row r="58" spans="1:15" ht="18.600000000000001" customHeight="1">
      <c r="A58" s="1634"/>
      <c r="B58" s="1812"/>
      <c r="C58" s="1184" t="s">
        <v>1982</v>
      </c>
      <c r="D58" s="1185">
        <v>48</v>
      </c>
      <c r="E58" s="1186">
        <v>121</v>
      </c>
      <c r="F58" s="1186">
        <v>3</v>
      </c>
      <c r="G58" s="1185" t="s">
        <v>485</v>
      </c>
      <c r="H58" s="1186">
        <v>93</v>
      </c>
      <c r="I58" s="1186">
        <v>1</v>
      </c>
      <c r="J58" s="1185" t="s">
        <v>485</v>
      </c>
      <c r="K58" s="1186">
        <v>17</v>
      </c>
      <c r="L58" s="1187">
        <v>1</v>
      </c>
      <c r="M58" s="1189" t="s">
        <v>865</v>
      </c>
      <c r="N58" s="1813"/>
      <c r="O58" s="1634"/>
    </row>
    <row r="59" spans="1:15" ht="18.600000000000001" customHeight="1">
      <c r="A59" s="1634"/>
      <c r="B59" s="1812"/>
      <c r="C59" s="1192" t="s">
        <v>1983</v>
      </c>
      <c r="D59" s="1185" t="s">
        <v>485</v>
      </c>
      <c r="E59" s="1186">
        <v>31</v>
      </c>
      <c r="F59" s="1186" t="s">
        <v>485</v>
      </c>
      <c r="G59" s="1185" t="s">
        <v>485</v>
      </c>
      <c r="H59" s="1186" t="s">
        <v>485</v>
      </c>
      <c r="I59" s="1186" t="s">
        <v>14</v>
      </c>
      <c r="J59" s="1185" t="s">
        <v>485</v>
      </c>
      <c r="K59" s="1186" t="s">
        <v>485</v>
      </c>
      <c r="L59" s="1187" t="s">
        <v>14</v>
      </c>
      <c r="M59" s="1189" t="s">
        <v>1018</v>
      </c>
      <c r="N59" s="1813"/>
      <c r="O59" s="1634"/>
    </row>
    <row r="60" spans="1:15" ht="18.600000000000001" customHeight="1">
      <c r="A60" s="1460">
        <v>13</v>
      </c>
      <c r="B60" s="1827" t="s">
        <v>257</v>
      </c>
      <c r="C60" s="1166" t="s">
        <v>28</v>
      </c>
      <c r="D60" s="1196">
        <v>235</v>
      </c>
      <c r="E60" s="1197">
        <f>E61+E62+E63</f>
        <v>6460</v>
      </c>
      <c r="F60" s="1197">
        <v>12</v>
      </c>
      <c r="G60" s="1196">
        <v>143</v>
      </c>
      <c r="H60" s="1197">
        <f>H61+H63</f>
        <v>5802</v>
      </c>
      <c r="I60" s="1197">
        <f>I61+I63</f>
        <v>12</v>
      </c>
      <c r="J60" s="1196">
        <v>155</v>
      </c>
      <c r="K60" s="1197">
        <f>K62+K63</f>
        <v>4442</v>
      </c>
      <c r="L60" s="1198">
        <f>L62+L63</f>
        <v>9</v>
      </c>
      <c r="M60" s="1199" t="s">
        <v>627</v>
      </c>
      <c r="N60" s="1828" t="s">
        <v>258</v>
      </c>
      <c r="O60" s="1460">
        <v>13</v>
      </c>
    </row>
    <row r="61" spans="1:15" ht="18.600000000000001" customHeight="1">
      <c r="A61" s="1460"/>
      <c r="B61" s="1827"/>
      <c r="C61" s="1166" t="s">
        <v>344</v>
      </c>
      <c r="D61" s="1196">
        <v>57</v>
      </c>
      <c r="E61" s="1197">
        <v>4883</v>
      </c>
      <c r="F61" s="1197">
        <v>6</v>
      </c>
      <c r="G61" s="1196" t="s">
        <v>485</v>
      </c>
      <c r="H61" s="1197">
        <v>5306</v>
      </c>
      <c r="I61" s="1197">
        <v>2</v>
      </c>
      <c r="J61" s="1196" t="s">
        <v>485</v>
      </c>
      <c r="K61" s="1197" t="s">
        <v>14</v>
      </c>
      <c r="L61" s="1198" t="s">
        <v>14</v>
      </c>
      <c r="M61" s="1200" t="s">
        <v>864</v>
      </c>
      <c r="N61" s="1828"/>
      <c r="O61" s="1460"/>
    </row>
    <row r="62" spans="1:15" ht="18.600000000000001" customHeight="1">
      <c r="A62" s="1460"/>
      <c r="B62" s="1827"/>
      <c r="C62" s="1166" t="s">
        <v>1982</v>
      </c>
      <c r="D62" s="1196" t="s">
        <v>485</v>
      </c>
      <c r="E62" s="1197">
        <v>1140</v>
      </c>
      <c r="F62" s="1197" t="s">
        <v>485</v>
      </c>
      <c r="G62" s="1196" t="s">
        <v>485</v>
      </c>
      <c r="H62" s="1197" t="s">
        <v>485</v>
      </c>
      <c r="I62" s="1197" t="s">
        <v>485</v>
      </c>
      <c r="J62" s="1196" t="s">
        <v>485</v>
      </c>
      <c r="K62" s="1197">
        <v>3754</v>
      </c>
      <c r="L62" s="1198">
        <v>1</v>
      </c>
      <c r="M62" s="1200" t="s">
        <v>865</v>
      </c>
      <c r="N62" s="1828"/>
      <c r="O62" s="1460"/>
    </row>
    <row r="63" spans="1:15" ht="18.600000000000001" customHeight="1">
      <c r="A63" s="1460"/>
      <c r="B63" s="1827"/>
      <c r="C63" s="1206" t="s">
        <v>1983</v>
      </c>
      <c r="D63" s="1196">
        <v>178</v>
      </c>
      <c r="E63" s="1197">
        <v>437</v>
      </c>
      <c r="F63" s="1197">
        <v>6</v>
      </c>
      <c r="G63" s="1196" t="s">
        <v>485</v>
      </c>
      <c r="H63" s="1197">
        <v>496</v>
      </c>
      <c r="I63" s="1197">
        <v>10</v>
      </c>
      <c r="J63" s="1196" t="s">
        <v>485</v>
      </c>
      <c r="K63" s="1197">
        <v>688</v>
      </c>
      <c r="L63" s="1198">
        <v>8</v>
      </c>
      <c r="M63" s="1200" t="s">
        <v>1018</v>
      </c>
      <c r="N63" s="1828"/>
      <c r="O63" s="1460"/>
    </row>
    <row r="64" spans="1:15" ht="18.600000000000001" customHeight="1">
      <c r="A64" s="1634">
        <v>14</v>
      </c>
      <c r="B64" s="1812" t="s">
        <v>255</v>
      </c>
      <c r="C64" s="1184" t="s">
        <v>28</v>
      </c>
      <c r="D64" s="1185">
        <f>D65</f>
        <v>1</v>
      </c>
      <c r="E64" s="1186">
        <f>E65</f>
        <v>77</v>
      </c>
      <c r="F64" s="1186">
        <f>F65</f>
        <v>1</v>
      </c>
      <c r="G64" s="1185" t="s">
        <v>485</v>
      </c>
      <c r="H64" s="1186" t="s">
        <v>485</v>
      </c>
      <c r="I64" s="1186" t="str">
        <f>I65</f>
        <v>-</v>
      </c>
      <c r="J64" s="1185" t="s">
        <v>485</v>
      </c>
      <c r="K64" s="1186" t="s">
        <v>485</v>
      </c>
      <c r="L64" s="1187" t="str">
        <f>L65</f>
        <v>-</v>
      </c>
      <c r="M64" s="1188" t="s">
        <v>627</v>
      </c>
      <c r="N64" s="1831" t="s">
        <v>256</v>
      </c>
      <c r="O64" s="1634">
        <v>14</v>
      </c>
    </row>
    <row r="65" spans="1:15" ht="18.600000000000001" customHeight="1">
      <c r="A65" s="1634"/>
      <c r="B65" s="1812"/>
      <c r="C65" s="1184" t="s">
        <v>344</v>
      </c>
      <c r="D65" s="1185">
        <v>1</v>
      </c>
      <c r="E65" s="1186">
        <v>77</v>
      </c>
      <c r="F65" s="1186">
        <v>1</v>
      </c>
      <c r="G65" s="1185" t="s">
        <v>485</v>
      </c>
      <c r="H65" s="1186" t="s">
        <v>485</v>
      </c>
      <c r="I65" s="1186" t="s">
        <v>14</v>
      </c>
      <c r="J65" s="1185" t="s">
        <v>485</v>
      </c>
      <c r="K65" s="1186" t="s">
        <v>485</v>
      </c>
      <c r="L65" s="1187" t="s">
        <v>14</v>
      </c>
      <c r="M65" s="1189" t="s">
        <v>864</v>
      </c>
      <c r="N65" s="1831"/>
      <c r="O65" s="1634"/>
    </row>
    <row r="66" spans="1:15" ht="18.600000000000001" customHeight="1">
      <c r="A66" s="1634"/>
      <c r="B66" s="1812"/>
      <c r="C66" s="1184" t="s">
        <v>1982</v>
      </c>
      <c r="D66" s="1185" t="s">
        <v>485</v>
      </c>
      <c r="E66" s="1186" t="s">
        <v>485</v>
      </c>
      <c r="F66" s="1186" t="s">
        <v>14</v>
      </c>
      <c r="G66" s="1185" t="s">
        <v>485</v>
      </c>
      <c r="H66" s="1186" t="s">
        <v>485</v>
      </c>
      <c r="I66" s="1186" t="s">
        <v>14</v>
      </c>
      <c r="J66" s="1185" t="s">
        <v>485</v>
      </c>
      <c r="K66" s="1186" t="s">
        <v>485</v>
      </c>
      <c r="L66" s="1187" t="s">
        <v>14</v>
      </c>
      <c r="M66" s="1189" t="s">
        <v>865</v>
      </c>
      <c r="N66" s="1831"/>
      <c r="O66" s="1634"/>
    </row>
    <row r="67" spans="1:15" ht="18.600000000000001" customHeight="1">
      <c r="A67" s="1634"/>
      <c r="B67" s="1812"/>
      <c r="C67" s="1207" t="s">
        <v>1983</v>
      </c>
      <c r="D67" s="1185" t="s">
        <v>485</v>
      </c>
      <c r="E67" s="1186" t="s">
        <v>485</v>
      </c>
      <c r="F67" s="1186" t="s">
        <v>14</v>
      </c>
      <c r="G67" s="1185" t="s">
        <v>485</v>
      </c>
      <c r="H67" s="1186" t="s">
        <v>485</v>
      </c>
      <c r="I67" s="1186" t="s">
        <v>14</v>
      </c>
      <c r="J67" s="1185" t="s">
        <v>485</v>
      </c>
      <c r="K67" s="1186" t="s">
        <v>485</v>
      </c>
      <c r="L67" s="1187" t="s">
        <v>14</v>
      </c>
      <c r="M67" s="1189" t="s">
        <v>1018</v>
      </c>
      <c r="N67" s="1831"/>
      <c r="O67" s="1634"/>
    </row>
    <row r="68" spans="1:15" ht="18.600000000000001" customHeight="1">
      <c r="A68" s="1460">
        <v>15</v>
      </c>
      <c r="B68" s="1827" t="s">
        <v>259</v>
      </c>
      <c r="C68" s="1166" t="s">
        <v>28</v>
      </c>
      <c r="D68" s="1196">
        <v>845</v>
      </c>
      <c r="E68" s="1197">
        <f>E69+E70+E71</f>
        <v>25906</v>
      </c>
      <c r="F68" s="1197">
        <v>86</v>
      </c>
      <c r="G68" s="1196">
        <v>856</v>
      </c>
      <c r="H68" s="1197">
        <f>H69+H70+H71</f>
        <v>22246</v>
      </c>
      <c r="I68" s="1197">
        <f>I69+I70+I71</f>
        <v>62</v>
      </c>
      <c r="J68" s="1196">
        <v>480</v>
      </c>
      <c r="K68" s="1197">
        <f>K69+K70+K71</f>
        <v>10978</v>
      </c>
      <c r="L68" s="1198">
        <f>L69+L70+L71</f>
        <v>36</v>
      </c>
      <c r="M68" s="1199" t="s">
        <v>627</v>
      </c>
      <c r="N68" s="1829" t="s">
        <v>260</v>
      </c>
      <c r="O68" s="1460">
        <v>15</v>
      </c>
    </row>
    <row r="69" spans="1:15" ht="18.600000000000001" customHeight="1">
      <c r="A69" s="1460"/>
      <c r="B69" s="1827"/>
      <c r="C69" s="1166" t="s">
        <v>344</v>
      </c>
      <c r="D69" s="1196">
        <v>148</v>
      </c>
      <c r="E69" s="1197">
        <v>19996</v>
      </c>
      <c r="F69" s="1197">
        <v>34</v>
      </c>
      <c r="G69" s="1196" t="s">
        <v>485</v>
      </c>
      <c r="H69" s="1197">
        <v>17663</v>
      </c>
      <c r="I69" s="1197">
        <v>24</v>
      </c>
      <c r="J69" s="1196" t="s">
        <v>485</v>
      </c>
      <c r="K69" s="1197">
        <v>8497</v>
      </c>
      <c r="L69" s="1198">
        <v>8</v>
      </c>
      <c r="M69" s="1200" t="s">
        <v>864</v>
      </c>
      <c r="N69" s="1829"/>
      <c r="O69" s="1460"/>
    </row>
    <row r="70" spans="1:15" ht="18.600000000000001" customHeight="1">
      <c r="A70" s="1460"/>
      <c r="B70" s="1827"/>
      <c r="C70" s="1166" t="s">
        <v>1982</v>
      </c>
      <c r="D70" s="1196">
        <v>320</v>
      </c>
      <c r="E70" s="1197">
        <v>4743</v>
      </c>
      <c r="F70" s="1197">
        <v>32</v>
      </c>
      <c r="G70" s="1196" t="s">
        <v>485</v>
      </c>
      <c r="H70" s="1197">
        <v>3696</v>
      </c>
      <c r="I70" s="1197">
        <v>19</v>
      </c>
      <c r="J70" s="1196" t="s">
        <v>485</v>
      </c>
      <c r="K70" s="1197">
        <v>1963</v>
      </c>
      <c r="L70" s="1198">
        <v>13</v>
      </c>
      <c r="M70" s="1200" t="s">
        <v>865</v>
      </c>
      <c r="N70" s="1829"/>
      <c r="O70" s="1460"/>
    </row>
    <row r="71" spans="1:15" ht="18.600000000000001" customHeight="1">
      <c r="A71" s="1460"/>
      <c r="B71" s="1827"/>
      <c r="C71" s="1206" t="s">
        <v>1983</v>
      </c>
      <c r="D71" s="1196">
        <v>377</v>
      </c>
      <c r="E71" s="1208">
        <v>1167</v>
      </c>
      <c r="F71" s="1208">
        <v>20</v>
      </c>
      <c r="G71" s="1196" t="s">
        <v>485</v>
      </c>
      <c r="H71" s="1208">
        <v>887</v>
      </c>
      <c r="I71" s="1208">
        <v>19</v>
      </c>
      <c r="J71" s="1196" t="s">
        <v>485</v>
      </c>
      <c r="K71" s="1208">
        <v>518</v>
      </c>
      <c r="L71" s="1209">
        <v>15</v>
      </c>
      <c r="M71" s="1200" t="s">
        <v>1018</v>
      </c>
      <c r="N71" s="1829"/>
      <c r="O71" s="1460"/>
    </row>
    <row r="72" spans="1:15" ht="18.600000000000001" customHeight="1">
      <c r="A72" s="1634">
        <v>16</v>
      </c>
      <c r="B72" s="1812" t="s">
        <v>261</v>
      </c>
      <c r="C72" s="1184" t="s">
        <v>28</v>
      </c>
      <c r="D72" s="1185">
        <v>86</v>
      </c>
      <c r="E72" s="1186">
        <f>E73+E74</f>
        <v>1599</v>
      </c>
      <c r="F72" s="1186">
        <v>8</v>
      </c>
      <c r="G72" s="1185">
        <v>43</v>
      </c>
      <c r="H72" s="1186">
        <f>H73+H74</f>
        <v>932</v>
      </c>
      <c r="I72" s="1186">
        <f>I73+I74</f>
        <v>5</v>
      </c>
      <c r="J72" s="1185">
        <v>48</v>
      </c>
      <c r="K72" s="1186">
        <f>K73+K74</f>
        <v>755</v>
      </c>
      <c r="L72" s="1187">
        <f>L73+L74</f>
        <v>5</v>
      </c>
      <c r="M72" s="1188" t="s">
        <v>627</v>
      </c>
      <c r="N72" s="1831" t="s">
        <v>684</v>
      </c>
      <c r="O72" s="1634">
        <v>16</v>
      </c>
    </row>
    <row r="73" spans="1:15" ht="18.600000000000001" customHeight="1">
      <c r="A73" s="1634"/>
      <c r="B73" s="1812"/>
      <c r="C73" s="1184" t="s">
        <v>344</v>
      </c>
      <c r="D73" s="1185">
        <v>37</v>
      </c>
      <c r="E73" s="1186">
        <v>1456</v>
      </c>
      <c r="F73" s="1186">
        <v>5</v>
      </c>
      <c r="G73" s="1185" t="s">
        <v>485</v>
      </c>
      <c r="H73" s="1186">
        <v>837</v>
      </c>
      <c r="I73" s="1186">
        <v>2</v>
      </c>
      <c r="J73" s="1185" t="s">
        <v>485</v>
      </c>
      <c r="K73" s="1186">
        <v>669</v>
      </c>
      <c r="L73" s="1187">
        <v>2</v>
      </c>
      <c r="M73" s="1189" t="s">
        <v>864</v>
      </c>
      <c r="N73" s="1831"/>
      <c r="O73" s="1634"/>
    </row>
    <row r="74" spans="1:15" ht="18.600000000000001" customHeight="1">
      <c r="A74" s="1634"/>
      <c r="B74" s="1812"/>
      <c r="C74" s="1184" t="s">
        <v>1982</v>
      </c>
      <c r="D74" s="1185">
        <v>49</v>
      </c>
      <c r="E74" s="1186">
        <v>143</v>
      </c>
      <c r="F74" s="1186">
        <v>3</v>
      </c>
      <c r="G74" s="1185" t="s">
        <v>485</v>
      </c>
      <c r="H74" s="1186">
        <v>95</v>
      </c>
      <c r="I74" s="1186">
        <v>3</v>
      </c>
      <c r="J74" s="1185" t="s">
        <v>485</v>
      </c>
      <c r="K74" s="1186">
        <v>86</v>
      </c>
      <c r="L74" s="1187">
        <v>3</v>
      </c>
      <c r="M74" s="1189" t="s">
        <v>865</v>
      </c>
      <c r="N74" s="1831"/>
      <c r="O74" s="1634"/>
    </row>
    <row r="75" spans="1:15" ht="18.600000000000001" customHeight="1">
      <c r="A75" s="1650"/>
      <c r="B75" s="1830"/>
      <c r="C75" s="1211" t="s">
        <v>1983</v>
      </c>
      <c r="D75" s="1212" t="s">
        <v>485</v>
      </c>
      <c r="E75" s="1213" t="s">
        <v>485</v>
      </c>
      <c r="F75" s="1213" t="s">
        <v>485</v>
      </c>
      <c r="G75" s="1212" t="s">
        <v>485</v>
      </c>
      <c r="H75" s="1213" t="s">
        <v>14</v>
      </c>
      <c r="I75" s="1213" t="s">
        <v>14</v>
      </c>
      <c r="J75" s="1212" t="s">
        <v>485</v>
      </c>
      <c r="K75" s="1213" t="s">
        <v>14</v>
      </c>
      <c r="L75" s="1214" t="s">
        <v>14</v>
      </c>
      <c r="M75" s="1215" t="s">
        <v>1018</v>
      </c>
      <c r="N75" s="1832"/>
      <c r="O75" s="1650"/>
    </row>
    <row r="76" spans="1:15" ht="24.95" customHeight="1">
      <c r="A76" s="1836" t="s">
        <v>916</v>
      </c>
      <c r="B76" s="1836"/>
      <c r="C76" s="1836"/>
      <c r="D76" s="1836"/>
      <c r="E76" s="1836"/>
      <c r="F76" s="1837" t="s">
        <v>915</v>
      </c>
      <c r="G76" s="1837"/>
      <c r="H76" s="1837"/>
      <c r="I76" s="1837"/>
      <c r="J76" s="1837"/>
      <c r="K76" s="1838" t="s">
        <v>914</v>
      </c>
      <c r="L76" s="1838"/>
      <c r="M76" s="1838"/>
      <c r="N76" s="1838"/>
      <c r="O76" s="1838"/>
    </row>
    <row r="77" spans="1:15" ht="24.95" customHeight="1">
      <c r="A77" s="1459" t="s">
        <v>2026</v>
      </c>
      <c r="B77" s="1815" t="s">
        <v>414</v>
      </c>
      <c r="C77" s="1818" t="s">
        <v>416</v>
      </c>
      <c r="D77" s="1821" t="s">
        <v>1775</v>
      </c>
      <c r="E77" s="1822"/>
      <c r="F77" s="1822"/>
      <c r="G77" s="1821" t="s">
        <v>1313</v>
      </c>
      <c r="H77" s="1822"/>
      <c r="I77" s="1822"/>
      <c r="J77" s="1823" t="s">
        <v>1160</v>
      </c>
      <c r="K77" s="1824"/>
      <c r="L77" s="1825"/>
      <c r="M77" s="1826" t="s">
        <v>415</v>
      </c>
      <c r="N77" s="1807" t="s">
        <v>411</v>
      </c>
      <c r="O77" s="1459" t="s">
        <v>2027</v>
      </c>
    </row>
    <row r="78" spans="1:15" ht="24.95" customHeight="1">
      <c r="A78" s="1460"/>
      <c r="B78" s="1816"/>
      <c r="C78" s="1819"/>
      <c r="D78" s="1176" t="s">
        <v>340</v>
      </c>
      <c r="E78" s="1177" t="s">
        <v>225</v>
      </c>
      <c r="F78" s="1178" t="s">
        <v>341</v>
      </c>
      <c r="G78" s="1176" t="s">
        <v>340</v>
      </c>
      <c r="H78" s="1177" t="s">
        <v>225</v>
      </c>
      <c r="I78" s="1178" t="s">
        <v>341</v>
      </c>
      <c r="J78" s="1176" t="s">
        <v>340</v>
      </c>
      <c r="K78" s="1177" t="s">
        <v>225</v>
      </c>
      <c r="L78" s="1178" t="s">
        <v>341</v>
      </c>
      <c r="M78" s="1810"/>
      <c r="N78" s="1808"/>
      <c r="O78" s="1460"/>
    </row>
    <row r="79" spans="1:15" ht="24.95" customHeight="1">
      <c r="A79" s="1460"/>
      <c r="B79" s="1816"/>
      <c r="C79" s="1819"/>
      <c r="D79" s="1179" t="s">
        <v>554</v>
      </c>
      <c r="E79" s="1180" t="s">
        <v>553</v>
      </c>
      <c r="F79" s="1181" t="s">
        <v>599</v>
      </c>
      <c r="G79" s="1179" t="s">
        <v>554</v>
      </c>
      <c r="H79" s="1180" t="s">
        <v>553</v>
      </c>
      <c r="I79" s="1181" t="s">
        <v>599</v>
      </c>
      <c r="J79" s="1179" t="s">
        <v>554</v>
      </c>
      <c r="K79" s="1180" t="s">
        <v>553</v>
      </c>
      <c r="L79" s="1181" t="s">
        <v>599</v>
      </c>
      <c r="M79" s="1810" t="s">
        <v>600</v>
      </c>
      <c r="N79" s="1808"/>
      <c r="O79" s="1460"/>
    </row>
    <row r="80" spans="1:15" ht="24.95" customHeight="1">
      <c r="A80" s="1461"/>
      <c r="B80" s="1817"/>
      <c r="C80" s="1820"/>
      <c r="D80" s="1167" t="s">
        <v>73</v>
      </c>
      <c r="E80" s="1182" t="s">
        <v>342</v>
      </c>
      <c r="F80" s="1183" t="s">
        <v>343</v>
      </c>
      <c r="G80" s="1167" t="s">
        <v>73</v>
      </c>
      <c r="H80" s="1182" t="s">
        <v>342</v>
      </c>
      <c r="I80" s="1183" t="s">
        <v>343</v>
      </c>
      <c r="J80" s="1167" t="s">
        <v>73</v>
      </c>
      <c r="K80" s="1182" t="s">
        <v>342</v>
      </c>
      <c r="L80" s="1183" t="s">
        <v>343</v>
      </c>
      <c r="M80" s="1811"/>
      <c r="N80" s="1809"/>
      <c r="O80" s="1461"/>
    </row>
    <row r="81" spans="1:29" ht="18.95" customHeight="1">
      <c r="A81" s="1459">
        <v>17</v>
      </c>
      <c r="B81" s="1833" t="s">
        <v>316</v>
      </c>
      <c r="C81" s="1166" t="s">
        <v>28</v>
      </c>
      <c r="D81" s="1216">
        <f>D82+D83+D84</f>
        <v>87</v>
      </c>
      <c r="E81" s="1217">
        <f>E82+E83+E84</f>
        <v>1203</v>
      </c>
      <c r="F81" s="1218">
        <f>F82+F83+F84</f>
        <v>8</v>
      </c>
      <c r="G81" s="1197">
        <v>66</v>
      </c>
      <c r="H81" s="1197">
        <f>H82+H83+H84</f>
        <v>916</v>
      </c>
      <c r="I81" s="1197">
        <f>I82+I83+I84</f>
        <v>4</v>
      </c>
      <c r="J81" s="1196">
        <v>89</v>
      </c>
      <c r="K81" s="1197">
        <f>K82+K83+K84</f>
        <v>1750</v>
      </c>
      <c r="L81" s="1197">
        <f>L82+L83+L84</f>
        <v>6</v>
      </c>
      <c r="M81" s="1219" t="s">
        <v>627</v>
      </c>
      <c r="N81" s="1834" t="s">
        <v>317</v>
      </c>
      <c r="O81" s="1459">
        <v>17</v>
      </c>
      <c r="Q81" s="1839" t="s">
        <v>315</v>
      </c>
      <c r="R81" s="365" t="s">
        <v>28</v>
      </c>
      <c r="S81" s="362" t="s">
        <v>485</v>
      </c>
      <c r="T81" s="50" t="s">
        <v>485</v>
      </c>
      <c r="U81" s="50" t="s">
        <v>485</v>
      </c>
      <c r="V81" s="43" t="s">
        <v>485</v>
      </c>
      <c r="W81" s="50" t="s">
        <v>485</v>
      </c>
      <c r="X81" s="50" t="s">
        <v>485</v>
      </c>
      <c r="Y81" s="43" t="s">
        <v>485</v>
      </c>
      <c r="Z81" s="50" t="s">
        <v>485</v>
      </c>
      <c r="AA81" s="307" t="s">
        <v>485</v>
      </c>
      <c r="AB81" s="185" t="s">
        <v>627</v>
      </c>
      <c r="AC81" s="585" t="s">
        <v>263</v>
      </c>
    </row>
    <row r="82" spans="1:29" ht="18.95" customHeight="1">
      <c r="A82" s="1460"/>
      <c r="B82" s="1833"/>
      <c r="C82" s="1166" t="s">
        <v>344</v>
      </c>
      <c r="D82" s="1220">
        <v>14</v>
      </c>
      <c r="E82" s="1221">
        <v>877</v>
      </c>
      <c r="F82" s="1222">
        <v>2</v>
      </c>
      <c r="G82" s="1197" t="s">
        <v>485</v>
      </c>
      <c r="H82" s="1197">
        <v>628</v>
      </c>
      <c r="I82" s="1197">
        <v>1</v>
      </c>
      <c r="J82" s="1196" t="s">
        <v>485</v>
      </c>
      <c r="K82" s="1197">
        <v>1325</v>
      </c>
      <c r="L82" s="1197">
        <v>1</v>
      </c>
      <c r="M82" s="1223" t="s">
        <v>864</v>
      </c>
      <c r="N82" s="1835"/>
      <c r="O82" s="1460"/>
      <c r="Q82" s="1840"/>
      <c r="R82" s="363" t="s">
        <v>344</v>
      </c>
      <c r="S82" s="228" t="s">
        <v>485</v>
      </c>
      <c r="T82" s="24" t="s">
        <v>485</v>
      </c>
      <c r="U82" s="24" t="s">
        <v>485</v>
      </c>
      <c r="V82" s="25" t="s">
        <v>485</v>
      </c>
      <c r="W82" s="24" t="s">
        <v>485</v>
      </c>
      <c r="X82" s="24" t="s">
        <v>485</v>
      </c>
      <c r="Y82" s="25" t="s">
        <v>485</v>
      </c>
      <c r="Z82" s="24" t="s">
        <v>485</v>
      </c>
      <c r="AA82" s="1043" t="s">
        <v>485</v>
      </c>
      <c r="AB82" s="1041" t="s">
        <v>864</v>
      </c>
      <c r="AC82" s="586"/>
    </row>
    <row r="83" spans="1:29" ht="18.95" customHeight="1">
      <c r="A83" s="1460"/>
      <c r="B83" s="1833"/>
      <c r="C83" s="1166" t="s">
        <v>1982</v>
      </c>
      <c r="D83" s="1220">
        <v>12</v>
      </c>
      <c r="E83" s="1221">
        <v>252</v>
      </c>
      <c r="F83" s="1222">
        <v>1</v>
      </c>
      <c r="G83" s="1197" t="s">
        <v>485</v>
      </c>
      <c r="H83" s="1197">
        <v>220</v>
      </c>
      <c r="I83" s="1197">
        <v>1</v>
      </c>
      <c r="J83" s="1196" t="s">
        <v>485</v>
      </c>
      <c r="K83" s="1197">
        <v>301</v>
      </c>
      <c r="L83" s="1197">
        <v>1</v>
      </c>
      <c r="M83" s="1223" t="s">
        <v>865</v>
      </c>
      <c r="N83" s="1835"/>
      <c r="O83" s="1460"/>
      <c r="Q83" s="1840"/>
      <c r="R83" s="363" t="s">
        <v>1982</v>
      </c>
      <c r="S83" s="228" t="s">
        <v>485</v>
      </c>
      <c r="T83" s="24" t="s">
        <v>485</v>
      </c>
      <c r="U83" s="24" t="s">
        <v>485</v>
      </c>
      <c r="V83" s="25" t="s">
        <v>485</v>
      </c>
      <c r="W83" s="24" t="s">
        <v>485</v>
      </c>
      <c r="X83" s="24" t="s">
        <v>485</v>
      </c>
      <c r="Y83" s="25" t="s">
        <v>485</v>
      </c>
      <c r="Z83" s="24" t="s">
        <v>485</v>
      </c>
      <c r="AA83" s="1043" t="s">
        <v>485</v>
      </c>
      <c r="AB83" s="1041" t="s">
        <v>865</v>
      </c>
      <c r="AC83" s="586"/>
    </row>
    <row r="84" spans="1:29" ht="18.95" customHeight="1">
      <c r="A84" s="1460"/>
      <c r="B84" s="1833"/>
      <c r="C84" s="1206" t="s">
        <v>1983</v>
      </c>
      <c r="D84" s="1220">
        <v>61</v>
      </c>
      <c r="E84" s="1221">
        <v>74</v>
      </c>
      <c r="F84" s="1222">
        <v>5</v>
      </c>
      <c r="G84" s="1197" t="s">
        <v>485</v>
      </c>
      <c r="H84" s="1197">
        <v>68</v>
      </c>
      <c r="I84" s="1197">
        <v>2</v>
      </c>
      <c r="J84" s="1196" t="s">
        <v>485</v>
      </c>
      <c r="K84" s="1197">
        <v>124</v>
      </c>
      <c r="L84" s="1197">
        <v>4</v>
      </c>
      <c r="M84" s="1223" t="s">
        <v>1018</v>
      </c>
      <c r="N84" s="1835"/>
      <c r="O84" s="1460"/>
      <c r="Q84" s="1840"/>
      <c r="R84" s="364" t="s">
        <v>1983</v>
      </c>
      <c r="S84" s="228" t="s">
        <v>485</v>
      </c>
      <c r="T84" s="24" t="s">
        <v>485</v>
      </c>
      <c r="U84" s="24" t="s">
        <v>485</v>
      </c>
      <c r="V84" s="25" t="s">
        <v>485</v>
      </c>
      <c r="W84" s="24" t="s">
        <v>485</v>
      </c>
      <c r="X84" s="24" t="s">
        <v>485</v>
      </c>
      <c r="Y84" s="25" t="s">
        <v>485</v>
      </c>
      <c r="Z84" s="24" t="s">
        <v>485</v>
      </c>
      <c r="AA84" s="1043" t="s">
        <v>485</v>
      </c>
      <c r="AB84" s="1041" t="s">
        <v>1018</v>
      </c>
      <c r="AC84" s="586"/>
    </row>
    <row r="85" spans="1:29" ht="18.95" customHeight="1">
      <c r="A85" s="1634">
        <v>18</v>
      </c>
      <c r="B85" s="1841" t="s">
        <v>318</v>
      </c>
      <c r="C85" s="1184" t="s">
        <v>28</v>
      </c>
      <c r="D85" s="1224">
        <f>D86+D87+D88</f>
        <v>153</v>
      </c>
      <c r="E85" s="1225">
        <f>E86+E87+E88</f>
        <v>3326</v>
      </c>
      <c r="F85" s="1226">
        <f>F86+F87+F88</f>
        <v>14</v>
      </c>
      <c r="G85" s="1186">
        <v>78</v>
      </c>
      <c r="H85" s="1186">
        <f>H86+H87+H88</f>
        <v>3199</v>
      </c>
      <c r="I85" s="1186">
        <f>I86+I87+I88</f>
        <v>4</v>
      </c>
      <c r="J85" s="1185">
        <v>166</v>
      </c>
      <c r="K85" s="1186">
        <f>K86+K87+K88</f>
        <v>7107</v>
      </c>
      <c r="L85" s="1186">
        <f>L86+L87+L88</f>
        <v>23</v>
      </c>
      <c r="M85" s="1227" t="s">
        <v>627</v>
      </c>
      <c r="N85" s="1842" t="s">
        <v>319</v>
      </c>
      <c r="O85" s="1634">
        <v>18</v>
      </c>
    </row>
    <row r="86" spans="1:29" ht="18.95" customHeight="1">
      <c r="A86" s="1634"/>
      <c r="B86" s="1841"/>
      <c r="C86" s="1184" t="s">
        <v>344</v>
      </c>
      <c r="D86" s="1224">
        <v>39</v>
      </c>
      <c r="E86" s="1228">
        <v>2820</v>
      </c>
      <c r="F86" s="1226">
        <v>6</v>
      </c>
      <c r="G86" s="1186" t="s">
        <v>485</v>
      </c>
      <c r="H86" s="1186">
        <v>2676</v>
      </c>
      <c r="I86" s="1186">
        <v>2</v>
      </c>
      <c r="J86" s="1185" t="s">
        <v>485</v>
      </c>
      <c r="K86" s="1186">
        <v>6220</v>
      </c>
      <c r="L86" s="1186">
        <v>13</v>
      </c>
      <c r="M86" s="1229" t="s">
        <v>864</v>
      </c>
      <c r="N86" s="1842"/>
      <c r="O86" s="1634"/>
    </row>
    <row r="87" spans="1:29" ht="18.95" customHeight="1">
      <c r="A87" s="1634"/>
      <c r="B87" s="1841"/>
      <c r="C87" s="1184" t="s">
        <v>1982</v>
      </c>
      <c r="D87" s="1224">
        <v>34</v>
      </c>
      <c r="E87" s="1228">
        <v>396</v>
      </c>
      <c r="F87" s="1226">
        <v>3</v>
      </c>
      <c r="G87" s="1186" t="s">
        <v>485</v>
      </c>
      <c r="H87" s="1186">
        <v>469</v>
      </c>
      <c r="I87" s="1186">
        <v>2</v>
      </c>
      <c r="J87" s="1185" t="s">
        <v>485</v>
      </c>
      <c r="K87" s="1186">
        <v>799</v>
      </c>
      <c r="L87" s="1186">
        <v>3</v>
      </c>
      <c r="M87" s="1229" t="s">
        <v>865</v>
      </c>
      <c r="N87" s="1842"/>
      <c r="O87" s="1634"/>
    </row>
    <row r="88" spans="1:29" ht="18.95" customHeight="1">
      <c r="A88" s="1634"/>
      <c r="B88" s="1841"/>
      <c r="C88" s="1207" t="s">
        <v>1983</v>
      </c>
      <c r="D88" s="1224">
        <v>80</v>
      </c>
      <c r="E88" s="1228">
        <v>110</v>
      </c>
      <c r="F88" s="1226">
        <v>5</v>
      </c>
      <c r="G88" s="1186" t="s">
        <v>485</v>
      </c>
      <c r="H88" s="1186">
        <v>54</v>
      </c>
      <c r="I88" s="1230"/>
      <c r="J88" s="1185" t="s">
        <v>485</v>
      </c>
      <c r="K88" s="1186">
        <v>88</v>
      </c>
      <c r="L88" s="1186">
        <v>7</v>
      </c>
      <c r="M88" s="1229" t="s">
        <v>1018</v>
      </c>
      <c r="N88" s="1842"/>
      <c r="O88" s="1634"/>
    </row>
    <row r="89" spans="1:29" ht="18.95" customHeight="1">
      <c r="A89" s="1460">
        <v>19</v>
      </c>
      <c r="B89" s="1833" t="s">
        <v>333</v>
      </c>
      <c r="C89" s="1166" t="s">
        <v>28</v>
      </c>
      <c r="D89" s="1220">
        <f>D90+D91+D92</f>
        <v>323</v>
      </c>
      <c r="E89" s="1231">
        <f>E90+E91+E92</f>
        <v>6383</v>
      </c>
      <c r="F89" s="1222">
        <f>F90+F92+F91</f>
        <v>21</v>
      </c>
      <c r="G89" s="1197">
        <v>206</v>
      </c>
      <c r="H89" s="1197">
        <f>H90+H91+H92</f>
        <v>4479</v>
      </c>
      <c r="I89" s="1197">
        <f>I90+I91+I92</f>
        <v>12</v>
      </c>
      <c r="J89" s="1196">
        <v>201</v>
      </c>
      <c r="K89" s="1197">
        <f>K90+K91+K92</f>
        <v>5178</v>
      </c>
      <c r="L89" s="1197">
        <f>L90+L91+L92</f>
        <v>14</v>
      </c>
      <c r="M89" s="1219" t="s">
        <v>627</v>
      </c>
      <c r="N89" s="1835" t="s">
        <v>268</v>
      </c>
      <c r="O89" s="1460">
        <v>19</v>
      </c>
    </row>
    <row r="90" spans="1:29" ht="18.95" customHeight="1">
      <c r="A90" s="1460"/>
      <c r="B90" s="1833"/>
      <c r="C90" s="1166" t="s">
        <v>344</v>
      </c>
      <c r="D90" s="1220">
        <v>127</v>
      </c>
      <c r="E90" s="1221">
        <v>5452</v>
      </c>
      <c r="F90" s="1222">
        <v>14</v>
      </c>
      <c r="G90" s="1197" t="s">
        <v>485</v>
      </c>
      <c r="H90" s="1197">
        <v>3839</v>
      </c>
      <c r="I90" s="1197">
        <v>7</v>
      </c>
      <c r="J90" s="1196" t="s">
        <v>485</v>
      </c>
      <c r="K90" s="1197">
        <v>4360</v>
      </c>
      <c r="L90" s="1197">
        <v>6</v>
      </c>
      <c r="M90" s="1223" t="s">
        <v>864</v>
      </c>
      <c r="N90" s="1835"/>
      <c r="O90" s="1460"/>
    </row>
    <row r="91" spans="1:29" ht="18.95" customHeight="1">
      <c r="A91" s="1460"/>
      <c r="B91" s="1833"/>
      <c r="C91" s="1166" t="s">
        <v>1982</v>
      </c>
      <c r="D91" s="1220">
        <v>60</v>
      </c>
      <c r="E91" s="1221">
        <v>758</v>
      </c>
      <c r="F91" s="1222">
        <v>3</v>
      </c>
      <c r="G91" s="1197" t="s">
        <v>485</v>
      </c>
      <c r="H91" s="1197">
        <v>535</v>
      </c>
      <c r="I91" s="1197">
        <v>1</v>
      </c>
      <c r="J91" s="1196" t="s">
        <v>485</v>
      </c>
      <c r="K91" s="1197">
        <v>605</v>
      </c>
      <c r="L91" s="1197">
        <v>2</v>
      </c>
      <c r="M91" s="1223" t="s">
        <v>865</v>
      </c>
      <c r="N91" s="1835"/>
      <c r="O91" s="1460"/>
    </row>
    <row r="92" spans="1:29" ht="18.95" customHeight="1">
      <c r="A92" s="1460"/>
      <c r="B92" s="1833"/>
      <c r="C92" s="1206" t="s">
        <v>1983</v>
      </c>
      <c r="D92" s="1220">
        <v>136</v>
      </c>
      <c r="E92" s="1221">
        <v>173</v>
      </c>
      <c r="F92" s="1222">
        <v>4</v>
      </c>
      <c r="G92" s="1197" t="s">
        <v>485</v>
      </c>
      <c r="H92" s="1197">
        <v>105</v>
      </c>
      <c r="I92" s="1208">
        <v>4</v>
      </c>
      <c r="J92" s="1196" t="s">
        <v>485</v>
      </c>
      <c r="K92" s="1197">
        <v>213</v>
      </c>
      <c r="L92" s="1208">
        <v>6</v>
      </c>
      <c r="M92" s="1223" t="s">
        <v>1018</v>
      </c>
      <c r="N92" s="1835"/>
      <c r="O92" s="1460"/>
    </row>
    <row r="93" spans="1:29" ht="18.95" customHeight="1">
      <c r="A93" s="1634">
        <v>20</v>
      </c>
      <c r="B93" s="1841" t="s">
        <v>320</v>
      </c>
      <c r="C93" s="1184" t="s">
        <v>28</v>
      </c>
      <c r="D93" s="1224" t="s">
        <v>485</v>
      </c>
      <c r="E93" s="1225" t="s">
        <v>485</v>
      </c>
      <c r="F93" s="1226">
        <v>1</v>
      </c>
      <c r="G93" s="1186">
        <v>24</v>
      </c>
      <c r="H93" s="1186">
        <f>H94</f>
        <v>104</v>
      </c>
      <c r="I93" s="1186">
        <f>I94</f>
        <v>1</v>
      </c>
      <c r="J93" s="1185">
        <v>11</v>
      </c>
      <c r="K93" s="1186">
        <f>K94+K95</f>
        <v>635</v>
      </c>
      <c r="L93" s="1186">
        <f>L94+L95</f>
        <v>5</v>
      </c>
      <c r="M93" s="1227" t="s">
        <v>627</v>
      </c>
      <c r="N93" s="1845" t="s">
        <v>321</v>
      </c>
      <c r="O93" s="1634">
        <v>20</v>
      </c>
    </row>
    <row r="94" spans="1:29" ht="18.95" customHeight="1">
      <c r="A94" s="1634"/>
      <c r="B94" s="1841"/>
      <c r="C94" s="1184" t="s">
        <v>344</v>
      </c>
      <c r="D94" s="1224" t="s">
        <v>485</v>
      </c>
      <c r="E94" s="1225" t="s">
        <v>485</v>
      </c>
      <c r="F94" s="1226" t="s">
        <v>485</v>
      </c>
      <c r="G94" s="1186" t="s">
        <v>485</v>
      </c>
      <c r="H94" s="1186">
        <v>104</v>
      </c>
      <c r="I94" s="1186">
        <v>1</v>
      </c>
      <c r="J94" s="1185" t="s">
        <v>485</v>
      </c>
      <c r="K94" s="1186">
        <v>601</v>
      </c>
      <c r="L94" s="1186">
        <v>4</v>
      </c>
      <c r="M94" s="1229" t="s">
        <v>864</v>
      </c>
      <c r="N94" s="1845"/>
      <c r="O94" s="1634"/>
    </row>
    <row r="95" spans="1:29" ht="18.95" customHeight="1">
      <c r="A95" s="1634"/>
      <c r="B95" s="1841"/>
      <c r="C95" s="1184" t="s">
        <v>1982</v>
      </c>
      <c r="D95" s="1224" t="s">
        <v>485</v>
      </c>
      <c r="E95" s="1225" t="s">
        <v>485</v>
      </c>
      <c r="F95" s="1226" t="s">
        <v>1848</v>
      </c>
      <c r="G95" s="1186" t="s">
        <v>485</v>
      </c>
      <c r="H95" s="1186" t="s">
        <v>485</v>
      </c>
      <c r="I95" s="1186" t="s">
        <v>485</v>
      </c>
      <c r="J95" s="1185" t="s">
        <v>485</v>
      </c>
      <c r="K95" s="1186">
        <v>34</v>
      </c>
      <c r="L95" s="1186">
        <v>1</v>
      </c>
      <c r="M95" s="1229" t="s">
        <v>865</v>
      </c>
      <c r="N95" s="1845"/>
      <c r="O95" s="1634"/>
    </row>
    <row r="96" spans="1:29" ht="18.95" customHeight="1">
      <c r="A96" s="1634"/>
      <c r="B96" s="1841"/>
      <c r="C96" s="1207" t="s">
        <v>1983</v>
      </c>
      <c r="D96" s="1224" t="s">
        <v>485</v>
      </c>
      <c r="E96" s="1225" t="s">
        <v>485</v>
      </c>
      <c r="F96" s="1226">
        <v>1</v>
      </c>
      <c r="G96" s="1186" t="s">
        <v>485</v>
      </c>
      <c r="H96" s="1186" t="s">
        <v>485</v>
      </c>
      <c r="I96" s="1186" t="s">
        <v>485</v>
      </c>
      <c r="J96" s="1185" t="s">
        <v>485</v>
      </c>
      <c r="K96" s="1186" t="s">
        <v>485</v>
      </c>
      <c r="L96" s="1186" t="s">
        <v>485</v>
      </c>
      <c r="M96" s="1229" t="s">
        <v>1018</v>
      </c>
      <c r="N96" s="1845"/>
      <c r="O96" s="1634"/>
    </row>
    <row r="97" spans="1:15" ht="18.95" customHeight="1">
      <c r="A97" s="1460">
        <v>21</v>
      </c>
      <c r="B97" s="1833" t="s">
        <v>115</v>
      </c>
      <c r="C97" s="1166" t="s">
        <v>28</v>
      </c>
      <c r="D97" s="1220">
        <f>D98+D99+D100</f>
        <v>1517</v>
      </c>
      <c r="E97" s="1231">
        <f>E98+E99+E100</f>
        <v>23397</v>
      </c>
      <c r="F97" s="1222">
        <f>F98+F99+F100</f>
        <v>62</v>
      </c>
      <c r="G97" s="1197">
        <v>1022</v>
      </c>
      <c r="H97" s="1197">
        <f>H98+H99+H100</f>
        <v>15668</v>
      </c>
      <c r="I97" s="1197">
        <f>I98+I99+I100</f>
        <v>46</v>
      </c>
      <c r="J97" s="1196">
        <v>817</v>
      </c>
      <c r="K97" s="1197">
        <f>K98+K99+K100</f>
        <v>14415</v>
      </c>
      <c r="L97" s="1197">
        <f>L98+L99+L100</f>
        <v>39</v>
      </c>
      <c r="M97" s="1219" t="s">
        <v>627</v>
      </c>
      <c r="N97" s="1846" t="s">
        <v>116</v>
      </c>
      <c r="O97" s="1460">
        <v>21</v>
      </c>
    </row>
    <row r="98" spans="1:15" ht="18.95" customHeight="1">
      <c r="A98" s="1460"/>
      <c r="B98" s="1833"/>
      <c r="C98" s="1166" t="s">
        <v>344</v>
      </c>
      <c r="D98" s="1220">
        <v>364</v>
      </c>
      <c r="E98" s="1221">
        <v>17817</v>
      </c>
      <c r="F98" s="1222">
        <v>27</v>
      </c>
      <c r="G98" s="1197" t="s">
        <v>485</v>
      </c>
      <c r="H98" s="1197">
        <v>12022</v>
      </c>
      <c r="I98" s="1197">
        <v>14</v>
      </c>
      <c r="J98" s="1196" t="s">
        <v>485</v>
      </c>
      <c r="K98" s="1197">
        <v>11018</v>
      </c>
      <c r="L98" s="1197">
        <v>10</v>
      </c>
      <c r="M98" s="1223" t="s">
        <v>864</v>
      </c>
      <c r="N98" s="1846"/>
      <c r="O98" s="1460"/>
    </row>
    <row r="99" spans="1:15" ht="18.95" customHeight="1">
      <c r="A99" s="1460"/>
      <c r="B99" s="1833"/>
      <c r="C99" s="1166" t="s">
        <v>1982</v>
      </c>
      <c r="D99" s="1220">
        <v>276</v>
      </c>
      <c r="E99" s="1221">
        <v>4098</v>
      </c>
      <c r="F99" s="1222">
        <v>13</v>
      </c>
      <c r="G99" s="1197" t="s">
        <v>485</v>
      </c>
      <c r="H99" s="1197">
        <v>2489</v>
      </c>
      <c r="I99" s="1197">
        <v>12</v>
      </c>
      <c r="J99" s="1196" t="s">
        <v>485</v>
      </c>
      <c r="K99" s="1197">
        <v>2354</v>
      </c>
      <c r="L99" s="1197">
        <v>11</v>
      </c>
      <c r="M99" s="1223" t="s">
        <v>865</v>
      </c>
      <c r="N99" s="1846"/>
      <c r="O99" s="1460"/>
    </row>
    <row r="100" spans="1:15" ht="18.95" customHeight="1">
      <c r="A100" s="1460"/>
      <c r="B100" s="1833"/>
      <c r="C100" s="1206" t="s">
        <v>1983</v>
      </c>
      <c r="D100" s="1220">
        <v>877</v>
      </c>
      <c r="E100" s="1221">
        <v>1482</v>
      </c>
      <c r="F100" s="1222">
        <v>22</v>
      </c>
      <c r="G100" s="1197" t="s">
        <v>485</v>
      </c>
      <c r="H100" s="1208">
        <v>1157</v>
      </c>
      <c r="I100" s="1208">
        <v>20</v>
      </c>
      <c r="J100" s="1196" t="s">
        <v>485</v>
      </c>
      <c r="K100" s="1208">
        <v>1043</v>
      </c>
      <c r="L100" s="1208">
        <v>18</v>
      </c>
      <c r="M100" s="1223" t="s">
        <v>1018</v>
      </c>
      <c r="N100" s="1846"/>
      <c r="O100" s="1460"/>
    </row>
    <row r="101" spans="1:15" ht="18.95" customHeight="1">
      <c r="A101" s="1634">
        <v>22</v>
      </c>
      <c r="B101" s="1841" t="s">
        <v>337</v>
      </c>
      <c r="C101" s="1184" t="s">
        <v>28</v>
      </c>
      <c r="D101" s="1224">
        <v>77</v>
      </c>
      <c r="E101" s="1225">
        <f>E102+E103+E104</f>
        <v>1685</v>
      </c>
      <c r="F101" s="1226">
        <v>3</v>
      </c>
      <c r="G101" s="1186">
        <v>23</v>
      </c>
      <c r="H101" s="1186">
        <f>H104</f>
        <v>488</v>
      </c>
      <c r="I101" s="1186">
        <f>I104</f>
        <v>1</v>
      </c>
      <c r="J101" s="1185">
        <v>21</v>
      </c>
      <c r="K101" s="1186">
        <f>K104</f>
        <v>500</v>
      </c>
      <c r="L101" s="1186">
        <f>L104</f>
        <v>2</v>
      </c>
      <c r="M101" s="1227" t="s">
        <v>627</v>
      </c>
      <c r="N101" s="1843" t="s">
        <v>323</v>
      </c>
      <c r="O101" s="1634">
        <v>22</v>
      </c>
    </row>
    <row r="102" spans="1:15" ht="18.95" customHeight="1">
      <c r="A102" s="1634"/>
      <c r="B102" s="1841"/>
      <c r="C102" s="1184" t="s">
        <v>344</v>
      </c>
      <c r="D102" s="1224" t="s">
        <v>485</v>
      </c>
      <c r="E102" s="1228">
        <v>1052</v>
      </c>
      <c r="F102" s="1232" t="s">
        <v>485</v>
      </c>
      <c r="G102" s="1186" t="s">
        <v>485</v>
      </c>
      <c r="H102" s="1186" t="s">
        <v>14</v>
      </c>
      <c r="I102" s="1186" t="s">
        <v>14</v>
      </c>
      <c r="J102" s="1185" t="s">
        <v>485</v>
      </c>
      <c r="K102" s="1186" t="s">
        <v>14</v>
      </c>
      <c r="L102" s="1186" t="s">
        <v>14</v>
      </c>
      <c r="M102" s="1229" t="s">
        <v>864</v>
      </c>
      <c r="N102" s="1843"/>
      <c r="O102" s="1634"/>
    </row>
    <row r="103" spans="1:15" ht="18.95" customHeight="1">
      <c r="A103" s="1634"/>
      <c r="B103" s="1841"/>
      <c r="C103" s="1184" t="s">
        <v>1982</v>
      </c>
      <c r="D103" s="1224" t="s">
        <v>485</v>
      </c>
      <c r="E103" s="1228">
        <v>369</v>
      </c>
      <c r="F103" s="1232" t="s">
        <v>485</v>
      </c>
      <c r="G103" s="1186" t="s">
        <v>485</v>
      </c>
      <c r="H103" s="1186" t="s">
        <v>14</v>
      </c>
      <c r="I103" s="1186" t="s">
        <v>14</v>
      </c>
      <c r="J103" s="1185" t="s">
        <v>485</v>
      </c>
      <c r="K103" s="1186" t="s">
        <v>14</v>
      </c>
      <c r="L103" s="1186" t="s">
        <v>14</v>
      </c>
      <c r="M103" s="1229" t="s">
        <v>865</v>
      </c>
      <c r="N103" s="1843"/>
      <c r="O103" s="1634"/>
    </row>
    <row r="104" spans="1:15" ht="18.95" customHeight="1">
      <c r="A104" s="1634"/>
      <c r="B104" s="1841"/>
      <c r="C104" s="1207" t="s">
        <v>1983</v>
      </c>
      <c r="D104" s="1224">
        <v>77</v>
      </c>
      <c r="E104" s="1228">
        <v>264</v>
      </c>
      <c r="F104" s="1232">
        <v>3</v>
      </c>
      <c r="G104" s="1186" t="s">
        <v>485</v>
      </c>
      <c r="H104" s="1233">
        <v>488</v>
      </c>
      <c r="I104" s="1233">
        <v>1</v>
      </c>
      <c r="J104" s="1185" t="s">
        <v>485</v>
      </c>
      <c r="K104" s="1233">
        <v>500</v>
      </c>
      <c r="L104" s="1233">
        <v>2</v>
      </c>
      <c r="M104" s="1229" t="s">
        <v>1018</v>
      </c>
      <c r="N104" s="1843"/>
      <c r="O104" s="1634"/>
    </row>
    <row r="105" spans="1:15" ht="18.95" customHeight="1">
      <c r="A105" s="1460">
        <v>23</v>
      </c>
      <c r="B105" s="1833" t="s">
        <v>278</v>
      </c>
      <c r="C105" s="1166" t="s">
        <v>28</v>
      </c>
      <c r="D105" s="1220" t="s">
        <v>485</v>
      </c>
      <c r="E105" s="1231" t="s">
        <v>485</v>
      </c>
      <c r="F105" s="1198" t="s">
        <v>485</v>
      </c>
      <c r="G105" s="1197" t="s">
        <v>485</v>
      </c>
      <c r="H105" s="1197" t="s">
        <v>485</v>
      </c>
      <c r="I105" s="1197" t="str">
        <f>I106</f>
        <v>…</v>
      </c>
      <c r="J105" s="1196" t="s">
        <v>485</v>
      </c>
      <c r="K105" s="1197" t="s">
        <v>485</v>
      </c>
      <c r="L105" s="1197">
        <f>L106</f>
        <v>1</v>
      </c>
      <c r="M105" s="1219" t="s">
        <v>627</v>
      </c>
      <c r="N105" s="1844" t="s">
        <v>279</v>
      </c>
      <c r="O105" s="1460">
        <v>23</v>
      </c>
    </row>
    <row r="106" spans="1:15" ht="18.95" customHeight="1">
      <c r="A106" s="1460"/>
      <c r="B106" s="1833"/>
      <c r="C106" s="1166" t="s">
        <v>344</v>
      </c>
      <c r="D106" s="1220" t="s">
        <v>485</v>
      </c>
      <c r="E106" s="1231" t="s">
        <v>485</v>
      </c>
      <c r="F106" s="1198" t="s">
        <v>485</v>
      </c>
      <c r="G106" s="1197" t="s">
        <v>485</v>
      </c>
      <c r="H106" s="1197" t="s">
        <v>485</v>
      </c>
      <c r="I106" s="1197" t="s">
        <v>485</v>
      </c>
      <c r="J106" s="1196" t="s">
        <v>485</v>
      </c>
      <c r="K106" s="1197" t="s">
        <v>485</v>
      </c>
      <c r="L106" s="1197">
        <v>1</v>
      </c>
      <c r="M106" s="1223" t="s">
        <v>864</v>
      </c>
      <c r="N106" s="1844"/>
      <c r="O106" s="1460"/>
    </row>
    <row r="107" spans="1:15" ht="18.95" customHeight="1">
      <c r="A107" s="1460"/>
      <c r="B107" s="1833"/>
      <c r="C107" s="1166" t="s">
        <v>1982</v>
      </c>
      <c r="D107" s="1220" t="s">
        <v>485</v>
      </c>
      <c r="E107" s="1231" t="s">
        <v>485</v>
      </c>
      <c r="F107" s="1198" t="s">
        <v>485</v>
      </c>
      <c r="G107" s="1197" t="s">
        <v>485</v>
      </c>
      <c r="H107" s="1197" t="s">
        <v>485</v>
      </c>
      <c r="I107" s="1197" t="s">
        <v>14</v>
      </c>
      <c r="J107" s="1196" t="s">
        <v>485</v>
      </c>
      <c r="K107" s="1197" t="s">
        <v>485</v>
      </c>
      <c r="L107" s="1197" t="s">
        <v>14</v>
      </c>
      <c r="M107" s="1223" t="s">
        <v>865</v>
      </c>
      <c r="N107" s="1844"/>
      <c r="O107" s="1460"/>
    </row>
    <row r="108" spans="1:15" ht="18.95" customHeight="1">
      <c r="A108" s="1460"/>
      <c r="B108" s="1833"/>
      <c r="C108" s="1206" t="s">
        <v>1983</v>
      </c>
      <c r="D108" s="1220" t="s">
        <v>485</v>
      </c>
      <c r="E108" s="1231" t="s">
        <v>485</v>
      </c>
      <c r="F108" s="1198" t="s">
        <v>485</v>
      </c>
      <c r="G108" s="1197" t="s">
        <v>485</v>
      </c>
      <c r="H108" s="1208" t="s">
        <v>485</v>
      </c>
      <c r="I108" s="1208" t="s">
        <v>14</v>
      </c>
      <c r="J108" s="1196" t="s">
        <v>485</v>
      </c>
      <c r="K108" s="1208" t="s">
        <v>485</v>
      </c>
      <c r="L108" s="1208" t="s">
        <v>14</v>
      </c>
      <c r="M108" s="1223" t="s">
        <v>1018</v>
      </c>
      <c r="N108" s="1844"/>
      <c r="O108" s="1460"/>
    </row>
    <row r="109" spans="1:15" ht="18.95" customHeight="1">
      <c r="A109" s="1634">
        <v>24</v>
      </c>
      <c r="B109" s="1841" t="s">
        <v>324</v>
      </c>
      <c r="C109" s="1184" t="s">
        <v>28</v>
      </c>
      <c r="D109" s="1224" t="s">
        <v>485</v>
      </c>
      <c r="E109" s="1225">
        <f>E110+E111+E112</f>
        <v>1043</v>
      </c>
      <c r="F109" s="1232">
        <v>1</v>
      </c>
      <c r="G109" s="1186">
        <v>4</v>
      </c>
      <c r="H109" s="1233" t="str">
        <f>H110</f>
        <v>…</v>
      </c>
      <c r="I109" s="1233" t="str">
        <f>I110</f>
        <v>…</v>
      </c>
      <c r="J109" s="1185">
        <v>4</v>
      </c>
      <c r="K109" s="1233">
        <f>K110</f>
        <v>157</v>
      </c>
      <c r="L109" s="1233">
        <f>L110</f>
        <v>1</v>
      </c>
      <c r="M109" s="1227" t="s">
        <v>627</v>
      </c>
      <c r="N109" s="1847" t="s">
        <v>281</v>
      </c>
      <c r="O109" s="1634">
        <v>24</v>
      </c>
    </row>
    <row r="110" spans="1:15" ht="18.95" customHeight="1">
      <c r="A110" s="1634"/>
      <c r="B110" s="1841"/>
      <c r="C110" s="1184" t="s">
        <v>344</v>
      </c>
      <c r="D110" s="1224" t="s">
        <v>485</v>
      </c>
      <c r="E110" s="1228">
        <v>858</v>
      </c>
      <c r="F110" s="1232" t="s">
        <v>485</v>
      </c>
      <c r="G110" s="1186" t="s">
        <v>485</v>
      </c>
      <c r="H110" s="1233" t="s">
        <v>485</v>
      </c>
      <c r="I110" s="1233" t="s">
        <v>485</v>
      </c>
      <c r="J110" s="1185" t="s">
        <v>485</v>
      </c>
      <c r="K110" s="1233">
        <v>157</v>
      </c>
      <c r="L110" s="1233">
        <v>1</v>
      </c>
      <c r="M110" s="1229" t="s">
        <v>864</v>
      </c>
      <c r="N110" s="1845"/>
      <c r="O110" s="1634"/>
    </row>
    <row r="111" spans="1:15" ht="18.95" customHeight="1">
      <c r="A111" s="1634"/>
      <c r="B111" s="1841"/>
      <c r="C111" s="1184" t="s">
        <v>1982</v>
      </c>
      <c r="D111" s="1224" t="s">
        <v>485</v>
      </c>
      <c r="E111" s="1228">
        <v>97</v>
      </c>
      <c r="F111" s="1232" t="s">
        <v>485</v>
      </c>
      <c r="G111" s="1186" t="s">
        <v>485</v>
      </c>
      <c r="H111" s="1233" t="s">
        <v>14</v>
      </c>
      <c r="I111" s="1233" t="s">
        <v>14</v>
      </c>
      <c r="J111" s="1185" t="s">
        <v>485</v>
      </c>
      <c r="K111" s="1233" t="s">
        <v>14</v>
      </c>
      <c r="L111" s="1233" t="s">
        <v>14</v>
      </c>
      <c r="M111" s="1229" t="s">
        <v>865</v>
      </c>
      <c r="N111" s="1845"/>
      <c r="O111" s="1634"/>
    </row>
    <row r="112" spans="1:15" ht="18.95" customHeight="1">
      <c r="A112" s="1634"/>
      <c r="B112" s="1841"/>
      <c r="C112" s="1207" t="s">
        <v>1983</v>
      </c>
      <c r="D112" s="1224" t="s">
        <v>485</v>
      </c>
      <c r="E112" s="1228">
        <v>88</v>
      </c>
      <c r="F112" s="1232">
        <v>1</v>
      </c>
      <c r="G112" s="1186" t="s">
        <v>485</v>
      </c>
      <c r="H112" s="1233" t="s">
        <v>14</v>
      </c>
      <c r="I112" s="1233" t="s">
        <v>14</v>
      </c>
      <c r="J112" s="1185" t="s">
        <v>485</v>
      </c>
      <c r="K112" s="1233" t="s">
        <v>14</v>
      </c>
      <c r="L112" s="1233" t="s">
        <v>14</v>
      </c>
      <c r="M112" s="1229" t="s">
        <v>1018</v>
      </c>
      <c r="N112" s="1845"/>
      <c r="O112" s="1634"/>
    </row>
    <row r="113" spans="1:15" ht="18.95" customHeight="1">
      <c r="A113" s="1460">
        <v>25</v>
      </c>
      <c r="B113" s="1833" t="s">
        <v>325</v>
      </c>
      <c r="C113" s="1166" t="s">
        <v>28</v>
      </c>
      <c r="D113" s="1220">
        <f>D114+D115+D116</f>
        <v>625</v>
      </c>
      <c r="E113" s="1231">
        <f>E114+E115+E116</f>
        <v>10199</v>
      </c>
      <c r="F113" s="1234">
        <f>F114+F115+F116</f>
        <v>38</v>
      </c>
      <c r="G113" s="1197">
        <v>520</v>
      </c>
      <c r="H113" s="1197">
        <f>H114+H115+H116</f>
        <v>11338</v>
      </c>
      <c r="I113" s="1197">
        <f>I114+I115+I116</f>
        <v>34</v>
      </c>
      <c r="J113" s="1196">
        <v>490</v>
      </c>
      <c r="K113" s="1197">
        <f>K114+K115+K116</f>
        <v>8694</v>
      </c>
      <c r="L113" s="1197">
        <f>L114+L115+L116</f>
        <v>31</v>
      </c>
      <c r="M113" s="1219" t="s">
        <v>627</v>
      </c>
      <c r="N113" s="1846" t="s">
        <v>283</v>
      </c>
      <c r="O113" s="1460">
        <v>25</v>
      </c>
    </row>
    <row r="114" spans="1:15" ht="18.95" customHeight="1">
      <c r="A114" s="1460"/>
      <c r="B114" s="1833"/>
      <c r="C114" s="1166" t="s">
        <v>344</v>
      </c>
      <c r="D114" s="1220">
        <v>213</v>
      </c>
      <c r="E114" s="1221">
        <v>8277</v>
      </c>
      <c r="F114" s="1222">
        <v>20</v>
      </c>
      <c r="G114" s="1197" t="s">
        <v>485</v>
      </c>
      <c r="H114" s="1197">
        <v>9294</v>
      </c>
      <c r="I114" s="1235">
        <v>15</v>
      </c>
      <c r="J114" s="1196" t="s">
        <v>485</v>
      </c>
      <c r="K114" s="1197">
        <v>6839</v>
      </c>
      <c r="L114" s="1235">
        <v>15</v>
      </c>
      <c r="M114" s="1223" t="s">
        <v>864</v>
      </c>
      <c r="N114" s="1846"/>
      <c r="O114" s="1460"/>
    </row>
    <row r="115" spans="1:15" ht="18.95" customHeight="1">
      <c r="A115" s="1460"/>
      <c r="B115" s="1833"/>
      <c r="C115" s="1166" t="s">
        <v>1982</v>
      </c>
      <c r="D115" s="1220">
        <v>165</v>
      </c>
      <c r="E115" s="1221">
        <v>1486</v>
      </c>
      <c r="F115" s="1222">
        <v>11</v>
      </c>
      <c r="G115" s="1197" t="s">
        <v>485</v>
      </c>
      <c r="H115" s="1197">
        <v>1570</v>
      </c>
      <c r="I115" s="1235">
        <v>10</v>
      </c>
      <c r="J115" s="1196" t="s">
        <v>485</v>
      </c>
      <c r="K115" s="1197">
        <v>1419</v>
      </c>
      <c r="L115" s="1235">
        <v>7</v>
      </c>
      <c r="M115" s="1223" t="s">
        <v>865</v>
      </c>
      <c r="N115" s="1846"/>
      <c r="O115" s="1460"/>
    </row>
    <row r="116" spans="1:15" ht="18.95" customHeight="1">
      <c r="A116" s="1460"/>
      <c r="B116" s="1833"/>
      <c r="C116" s="1206" t="s">
        <v>1983</v>
      </c>
      <c r="D116" s="1220">
        <v>247</v>
      </c>
      <c r="E116" s="1221">
        <v>436</v>
      </c>
      <c r="F116" s="1222">
        <v>7</v>
      </c>
      <c r="G116" s="1197" t="s">
        <v>485</v>
      </c>
      <c r="H116" s="1197">
        <v>474</v>
      </c>
      <c r="I116" s="1208">
        <v>9</v>
      </c>
      <c r="J116" s="1196" t="s">
        <v>485</v>
      </c>
      <c r="K116" s="1197">
        <v>436</v>
      </c>
      <c r="L116" s="1208">
        <v>9</v>
      </c>
      <c r="M116" s="1223" t="s">
        <v>1018</v>
      </c>
      <c r="N116" s="1846"/>
      <c r="O116" s="1460"/>
    </row>
    <row r="117" spans="1:15" ht="18.95" customHeight="1">
      <c r="A117" s="1634">
        <v>26</v>
      </c>
      <c r="B117" s="1841" t="s">
        <v>326</v>
      </c>
      <c r="C117" s="1184" t="s">
        <v>28</v>
      </c>
      <c r="D117" s="1224">
        <f>D118+D120</f>
        <v>26</v>
      </c>
      <c r="E117" s="1225">
        <f>E118+E119+E120</f>
        <v>1762</v>
      </c>
      <c r="F117" s="1226">
        <f>F118+F119+F120</f>
        <v>8</v>
      </c>
      <c r="G117" s="1186">
        <v>154</v>
      </c>
      <c r="H117" s="1186">
        <f>H118+H119+H120</f>
        <v>3884</v>
      </c>
      <c r="I117" s="1186">
        <f>I118+I119+I120</f>
        <v>8</v>
      </c>
      <c r="J117" s="1185">
        <v>65</v>
      </c>
      <c r="K117" s="1186">
        <f>K118+K120</f>
        <v>1041</v>
      </c>
      <c r="L117" s="1186">
        <f>L118+L120</f>
        <v>5</v>
      </c>
      <c r="M117" s="1227" t="s">
        <v>627</v>
      </c>
      <c r="N117" s="1843" t="s">
        <v>327</v>
      </c>
      <c r="O117" s="1634">
        <v>26</v>
      </c>
    </row>
    <row r="118" spans="1:15" ht="18.95" customHeight="1">
      <c r="A118" s="1634"/>
      <c r="B118" s="1841"/>
      <c r="C118" s="1184" t="s">
        <v>344</v>
      </c>
      <c r="D118" s="1224">
        <v>8</v>
      </c>
      <c r="E118" s="1228">
        <v>1452</v>
      </c>
      <c r="F118" s="1226">
        <v>2</v>
      </c>
      <c r="G118" s="1186" t="s">
        <v>485</v>
      </c>
      <c r="H118" s="1186">
        <v>2776</v>
      </c>
      <c r="I118" s="1186">
        <v>1</v>
      </c>
      <c r="J118" s="1185" t="s">
        <v>485</v>
      </c>
      <c r="K118" s="1186">
        <v>936</v>
      </c>
      <c r="L118" s="1186">
        <v>1</v>
      </c>
      <c r="M118" s="1229" t="s">
        <v>864</v>
      </c>
      <c r="N118" s="1843"/>
      <c r="O118" s="1634"/>
    </row>
    <row r="119" spans="1:15" ht="18.95" customHeight="1">
      <c r="A119" s="1634"/>
      <c r="B119" s="1841"/>
      <c r="C119" s="1184" t="s">
        <v>1982</v>
      </c>
      <c r="D119" s="1224" t="s">
        <v>485</v>
      </c>
      <c r="E119" s="1228">
        <v>289</v>
      </c>
      <c r="F119" s="1226">
        <v>2</v>
      </c>
      <c r="G119" s="1186" t="s">
        <v>485</v>
      </c>
      <c r="H119" s="1186">
        <v>693</v>
      </c>
      <c r="I119" s="1233">
        <v>3</v>
      </c>
      <c r="J119" s="1185" t="s">
        <v>485</v>
      </c>
      <c r="K119" s="1186" t="s">
        <v>14</v>
      </c>
      <c r="L119" s="1233" t="s">
        <v>14</v>
      </c>
      <c r="M119" s="1229" t="s">
        <v>865</v>
      </c>
      <c r="N119" s="1843"/>
      <c r="O119" s="1634"/>
    </row>
    <row r="120" spans="1:15" ht="18.95" customHeight="1">
      <c r="A120" s="1634"/>
      <c r="B120" s="1841"/>
      <c r="C120" s="1207" t="s">
        <v>1983</v>
      </c>
      <c r="D120" s="1224">
        <v>18</v>
      </c>
      <c r="E120" s="1228">
        <v>21</v>
      </c>
      <c r="F120" s="1226">
        <v>4</v>
      </c>
      <c r="G120" s="1186" t="s">
        <v>485</v>
      </c>
      <c r="H120" s="1186">
        <v>415</v>
      </c>
      <c r="I120" s="1233">
        <v>4</v>
      </c>
      <c r="J120" s="1185" t="s">
        <v>485</v>
      </c>
      <c r="K120" s="1186">
        <v>105</v>
      </c>
      <c r="L120" s="1233">
        <v>4</v>
      </c>
      <c r="M120" s="1229" t="s">
        <v>1018</v>
      </c>
      <c r="N120" s="1843"/>
      <c r="O120" s="1634"/>
    </row>
    <row r="121" spans="1:15" ht="18.95" customHeight="1">
      <c r="A121" s="1460">
        <v>27</v>
      </c>
      <c r="B121" s="1833" t="s">
        <v>328</v>
      </c>
      <c r="C121" s="1166" t="s">
        <v>28</v>
      </c>
      <c r="D121" s="1220">
        <f>D122+D124</f>
        <v>118</v>
      </c>
      <c r="E121" s="1231">
        <f>E122+E123+E124</f>
        <v>1698</v>
      </c>
      <c r="F121" s="1222">
        <f>F122+F124</f>
        <v>6</v>
      </c>
      <c r="G121" s="1197">
        <v>72</v>
      </c>
      <c r="H121" s="1197">
        <f>H122+H123+H124</f>
        <v>1050</v>
      </c>
      <c r="I121" s="1197">
        <f>I122+I123+I124</f>
        <v>5</v>
      </c>
      <c r="J121" s="1196">
        <v>121</v>
      </c>
      <c r="K121" s="1197">
        <f>K122+K123+K124</f>
        <v>4705</v>
      </c>
      <c r="L121" s="1197">
        <f>L122+L123+L124</f>
        <v>12</v>
      </c>
      <c r="M121" s="1219" t="s">
        <v>627</v>
      </c>
      <c r="N121" s="1846" t="s">
        <v>329</v>
      </c>
      <c r="O121" s="1460">
        <v>27</v>
      </c>
    </row>
    <row r="122" spans="1:15" ht="18.95" customHeight="1">
      <c r="A122" s="1460"/>
      <c r="B122" s="1833"/>
      <c r="C122" s="1166" t="s">
        <v>344</v>
      </c>
      <c r="D122" s="1220">
        <v>32</v>
      </c>
      <c r="E122" s="1221">
        <v>1230</v>
      </c>
      <c r="F122" s="1222">
        <v>3</v>
      </c>
      <c r="G122" s="1197" t="s">
        <v>485</v>
      </c>
      <c r="H122" s="1197">
        <v>701</v>
      </c>
      <c r="I122" s="1197">
        <v>3</v>
      </c>
      <c r="J122" s="1196" t="s">
        <v>485</v>
      </c>
      <c r="K122" s="1197">
        <v>3783</v>
      </c>
      <c r="L122" s="1197">
        <v>7</v>
      </c>
      <c r="M122" s="1223" t="s">
        <v>864</v>
      </c>
      <c r="N122" s="1846"/>
      <c r="O122" s="1460"/>
    </row>
    <row r="123" spans="1:15" ht="18.95" customHeight="1">
      <c r="A123" s="1460"/>
      <c r="B123" s="1833"/>
      <c r="C123" s="1166" t="s">
        <v>1982</v>
      </c>
      <c r="D123" s="1220" t="s">
        <v>485</v>
      </c>
      <c r="E123" s="1221">
        <v>260</v>
      </c>
      <c r="F123" s="1222" t="s">
        <v>485</v>
      </c>
      <c r="G123" s="1197" t="s">
        <v>485</v>
      </c>
      <c r="H123" s="1197">
        <v>173</v>
      </c>
      <c r="I123" s="1197"/>
      <c r="J123" s="1196" t="s">
        <v>485</v>
      </c>
      <c r="K123" s="1197">
        <v>675</v>
      </c>
      <c r="L123" s="1197">
        <v>2</v>
      </c>
      <c r="M123" s="1223" t="s">
        <v>865</v>
      </c>
      <c r="N123" s="1846"/>
      <c r="O123" s="1460"/>
    </row>
    <row r="124" spans="1:15" ht="18.95" customHeight="1">
      <c r="A124" s="1460"/>
      <c r="B124" s="1833"/>
      <c r="C124" s="1206" t="s">
        <v>1983</v>
      </c>
      <c r="D124" s="1220">
        <v>86</v>
      </c>
      <c r="E124" s="1221">
        <v>208</v>
      </c>
      <c r="F124" s="1222">
        <v>3</v>
      </c>
      <c r="G124" s="1197" t="s">
        <v>485</v>
      </c>
      <c r="H124" s="1197">
        <v>176</v>
      </c>
      <c r="I124" s="1208">
        <v>2</v>
      </c>
      <c r="J124" s="1196" t="s">
        <v>485</v>
      </c>
      <c r="K124" s="1197">
        <v>247</v>
      </c>
      <c r="L124" s="1208">
        <v>3</v>
      </c>
      <c r="M124" s="1223" t="s">
        <v>1018</v>
      </c>
      <c r="N124" s="1846"/>
      <c r="O124" s="1460"/>
    </row>
    <row r="125" spans="1:15" ht="18.95" customHeight="1">
      <c r="A125" s="1634">
        <v>28</v>
      </c>
      <c r="B125" s="1841" t="s">
        <v>330</v>
      </c>
      <c r="C125" s="1184" t="s">
        <v>28</v>
      </c>
      <c r="D125" s="1224">
        <f>D126+D128</f>
        <v>82</v>
      </c>
      <c r="E125" s="1225">
        <f>E126+E127+E128</f>
        <v>5085</v>
      </c>
      <c r="F125" s="1226">
        <f>F126+F128</f>
        <v>14</v>
      </c>
      <c r="G125" s="1186">
        <v>161</v>
      </c>
      <c r="H125" s="1186">
        <f>H126+H127+H128</f>
        <v>4326</v>
      </c>
      <c r="I125" s="1186">
        <f>I126+I128</f>
        <v>10</v>
      </c>
      <c r="J125" s="1185">
        <v>158</v>
      </c>
      <c r="K125" s="1186">
        <f>K126+K128</f>
        <v>4955</v>
      </c>
      <c r="L125" s="1186">
        <f>L126+L128</f>
        <v>12</v>
      </c>
      <c r="M125" s="1227" t="s">
        <v>627</v>
      </c>
      <c r="N125" s="1843" t="s">
        <v>289</v>
      </c>
      <c r="O125" s="1634">
        <v>28</v>
      </c>
    </row>
    <row r="126" spans="1:15" ht="18.95" customHeight="1">
      <c r="A126" s="1634"/>
      <c r="B126" s="1841"/>
      <c r="C126" s="1184" t="s">
        <v>344</v>
      </c>
      <c r="D126" s="1224">
        <v>32</v>
      </c>
      <c r="E126" s="1228">
        <v>3892</v>
      </c>
      <c r="F126" s="1226">
        <v>10</v>
      </c>
      <c r="G126" s="1186" t="s">
        <v>485</v>
      </c>
      <c r="H126" s="1186">
        <v>3457</v>
      </c>
      <c r="I126" s="1186">
        <v>6</v>
      </c>
      <c r="J126" s="1185" t="s">
        <v>485</v>
      </c>
      <c r="K126" s="1186">
        <v>4711</v>
      </c>
      <c r="L126" s="1186">
        <v>9</v>
      </c>
      <c r="M126" s="1229" t="s">
        <v>864</v>
      </c>
      <c r="N126" s="1843"/>
      <c r="O126" s="1634"/>
    </row>
    <row r="127" spans="1:15" ht="18.95" customHeight="1">
      <c r="A127" s="1634"/>
      <c r="B127" s="1841"/>
      <c r="C127" s="1184" t="s">
        <v>1982</v>
      </c>
      <c r="D127" s="1224" t="s">
        <v>485</v>
      </c>
      <c r="E127" s="1228">
        <v>892</v>
      </c>
      <c r="F127" s="1226" t="s">
        <v>485</v>
      </c>
      <c r="G127" s="1186" t="s">
        <v>485</v>
      </c>
      <c r="H127" s="1186">
        <v>625</v>
      </c>
      <c r="I127" s="1186" t="s">
        <v>485</v>
      </c>
      <c r="J127" s="1185" t="s">
        <v>485</v>
      </c>
      <c r="K127" s="1186" t="s">
        <v>486</v>
      </c>
      <c r="L127" s="1186" t="s">
        <v>485</v>
      </c>
      <c r="M127" s="1229" t="s">
        <v>865</v>
      </c>
      <c r="N127" s="1843"/>
      <c r="O127" s="1634"/>
    </row>
    <row r="128" spans="1:15" ht="18.95" customHeight="1">
      <c r="A128" s="1634"/>
      <c r="B128" s="1841"/>
      <c r="C128" s="1207" t="s">
        <v>1983</v>
      </c>
      <c r="D128" s="1224">
        <v>50</v>
      </c>
      <c r="E128" s="1228">
        <v>301</v>
      </c>
      <c r="F128" s="1226">
        <v>4</v>
      </c>
      <c r="G128" s="1186" t="s">
        <v>485</v>
      </c>
      <c r="H128" s="1186">
        <v>244</v>
      </c>
      <c r="I128" s="1186">
        <v>4</v>
      </c>
      <c r="J128" s="1185" t="s">
        <v>485</v>
      </c>
      <c r="K128" s="1186">
        <v>244</v>
      </c>
      <c r="L128" s="1186">
        <v>3</v>
      </c>
      <c r="M128" s="1229" t="s">
        <v>1018</v>
      </c>
      <c r="N128" s="1843"/>
      <c r="O128" s="1634"/>
    </row>
    <row r="129" spans="1:15" ht="18.95" customHeight="1">
      <c r="A129" s="1460">
        <v>29</v>
      </c>
      <c r="B129" s="1833" t="s">
        <v>119</v>
      </c>
      <c r="C129" s="1166" t="s">
        <v>28</v>
      </c>
      <c r="D129" s="1220">
        <f>D130+D131+D132</f>
        <v>3137</v>
      </c>
      <c r="E129" s="1231">
        <f>E130+E131+E132</f>
        <v>57026</v>
      </c>
      <c r="F129" s="1222">
        <f>F130+F131+F132</f>
        <v>144</v>
      </c>
      <c r="G129" s="1197">
        <v>3015</v>
      </c>
      <c r="H129" s="1197">
        <f>H130+H131+H132</f>
        <v>54260</v>
      </c>
      <c r="I129" s="1197">
        <f>I130+I131+I132</f>
        <v>126</v>
      </c>
      <c r="J129" s="1196">
        <v>2943</v>
      </c>
      <c r="K129" s="1197">
        <f>K130+K131+K132</f>
        <v>49931</v>
      </c>
      <c r="L129" s="1197">
        <f>L130+L131+L132</f>
        <v>125</v>
      </c>
      <c r="M129" s="1219" t="s">
        <v>627</v>
      </c>
      <c r="N129" s="1846" t="s">
        <v>120</v>
      </c>
      <c r="O129" s="1460">
        <v>29</v>
      </c>
    </row>
    <row r="130" spans="1:15" ht="18.95" customHeight="1">
      <c r="A130" s="1460"/>
      <c r="B130" s="1833"/>
      <c r="C130" s="1166" t="s">
        <v>344</v>
      </c>
      <c r="D130" s="1220">
        <v>721</v>
      </c>
      <c r="E130" s="1221">
        <v>38912</v>
      </c>
      <c r="F130" s="1222">
        <v>58</v>
      </c>
      <c r="G130" s="1197" t="s">
        <v>485</v>
      </c>
      <c r="H130" s="1197">
        <v>36366</v>
      </c>
      <c r="I130" s="1197">
        <v>39</v>
      </c>
      <c r="J130" s="1196" t="s">
        <v>485</v>
      </c>
      <c r="K130" s="1197">
        <v>34275</v>
      </c>
      <c r="L130" s="1197">
        <v>35</v>
      </c>
      <c r="M130" s="1223" t="s">
        <v>864</v>
      </c>
      <c r="N130" s="1846"/>
      <c r="O130" s="1460"/>
    </row>
    <row r="131" spans="1:15" ht="18.95" customHeight="1">
      <c r="A131" s="1460"/>
      <c r="B131" s="1833"/>
      <c r="C131" s="1166" t="s">
        <v>1982</v>
      </c>
      <c r="D131" s="1220">
        <v>610</v>
      </c>
      <c r="E131" s="1221">
        <v>10458</v>
      </c>
      <c r="F131" s="1222">
        <v>28</v>
      </c>
      <c r="G131" s="1197" t="s">
        <v>485</v>
      </c>
      <c r="H131" s="1197">
        <v>10192</v>
      </c>
      <c r="I131" s="1197">
        <v>29</v>
      </c>
      <c r="J131" s="1196" t="s">
        <v>485</v>
      </c>
      <c r="K131" s="1197">
        <v>9190</v>
      </c>
      <c r="L131" s="1197">
        <v>31</v>
      </c>
      <c r="M131" s="1223" t="s">
        <v>865</v>
      </c>
      <c r="N131" s="1846"/>
      <c r="O131" s="1460"/>
    </row>
    <row r="132" spans="1:15" ht="18.95" customHeight="1">
      <c r="A132" s="1460"/>
      <c r="B132" s="1833"/>
      <c r="C132" s="1206" t="s">
        <v>1983</v>
      </c>
      <c r="D132" s="1220">
        <v>1806</v>
      </c>
      <c r="E132" s="1221">
        <v>7656</v>
      </c>
      <c r="F132" s="1222">
        <v>58</v>
      </c>
      <c r="G132" s="1197" t="s">
        <v>485</v>
      </c>
      <c r="H132" s="1208">
        <v>7702</v>
      </c>
      <c r="I132" s="1208">
        <v>58</v>
      </c>
      <c r="J132" s="1196" t="s">
        <v>485</v>
      </c>
      <c r="K132" s="1208">
        <v>6466</v>
      </c>
      <c r="L132" s="1208">
        <v>59</v>
      </c>
      <c r="M132" s="1223" t="s">
        <v>1018</v>
      </c>
      <c r="N132" s="1846"/>
      <c r="O132" s="1460"/>
    </row>
    <row r="133" spans="1:15" ht="18.95" customHeight="1">
      <c r="A133" s="1634">
        <v>30</v>
      </c>
      <c r="B133" s="1841" t="s">
        <v>274</v>
      </c>
      <c r="C133" s="1184" t="s">
        <v>28</v>
      </c>
      <c r="D133" s="1224">
        <v>6</v>
      </c>
      <c r="E133" s="1228">
        <f>E134</f>
        <v>194</v>
      </c>
      <c r="F133" s="1226">
        <v>2</v>
      </c>
      <c r="G133" s="1233">
        <v>11</v>
      </c>
      <c r="H133" s="1233">
        <f>H134+H135+H136</f>
        <v>234</v>
      </c>
      <c r="I133" s="1233">
        <f>I134+I135+I136</f>
        <v>1</v>
      </c>
      <c r="J133" s="1236">
        <v>31</v>
      </c>
      <c r="K133" s="1233">
        <f>K134+K135+K136</f>
        <v>1523</v>
      </c>
      <c r="L133" s="1233">
        <f>L134+L135+L136</f>
        <v>7</v>
      </c>
      <c r="M133" s="1227" t="s">
        <v>627</v>
      </c>
      <c r="N133" s="1845" t="s">
        <v>275</v>
      </c>
      <c r="O133" s="1634">
        <v>30</v>
      </c>
    </row>
    <row r="134" spans="1:15" ht="18.95" customHeight="1">
      <c r="A134" s="1634"/>
      <c r="B134" s="1841"/>
      <c r="C134" s="1184" t="s">
        <v>344</v>
      </c>
      <c r="D134" s="1224">
        <v>6</v>
      </c>
      <c r="E134" s="1228">
        <v>194</v>
      </c>
      <c r="F134" s="1226">
        <v>2</v>
      </c>
      <c r="G134" s="1186" t="s">
        <v>485</v>
      </c>
      <c r="H134" s="1233">
        <v>203</v>
      </c>
      <c r="I134" s="1233">
        <v>0</v>
      </c>
      <c r="J134" s="1185" t="s">
        <v>485</v>
      </c>
      <c r="K134" s="1233">
        <v>1196</v>
      </c>
      <c r="L134" s="1233">
        <v>4</v>
      </c>
      <c r="M134" s="1229" t="s">
        <v>864</v>
      </c>
      <c r="N134" s="1845"/>
      <c r="O134" s="1634"/>
    </row>
    <row r="135" spans="1:15" ht="18.95" customHeight="1">
      <c r="A135" s="1634"/>
      <c r="B135" s="1841"/>
      <c r="C135" s="1184" t="s">
        <v>1982</v>
      </c>
      <c r="D135" s="1224" t="s">
        <v>485</v>
      </c>
      <c r="E135" s="1228" t="s">
        <v>485</v>
      </c>
      <c r="F135" s="1226" t="s">
        <v>485</v>
      </c>
      <c r="G135" s="1186" t="s">
        <v>485</v>
      </c>
      <c r="H135" s="1233">
        <v>31</v>
      </c>
      <c r="I135" s="1233">
        <v>0</v>
      </c>
      <c r="J135" s="1185" t="s">
        <v>485</v>
      </c>
      <c r="K135" s="1233">
        <v>239</v>
      </c>
      <c r="L135" s="1233">
        <v>1</v>
      </c>
      <c r="M135" s="1229" t="s">
        <v>865</v>
      </c>
      <c r="N135" s="1845"/>
      <c r="O135" s="1634"/>
    </row>
    <row r="136" spans="1:15" ht="18.95" customHeight="1">
      <c r="A136" s="1634"/>
      <c r="B136" s="1841"/>
      <c r="C136" s="1207" t="s">
        <v>1983</v>
      </c>
      <c r="D136" s="1224" t="s">
        <v>485</v>
      </c>
      <c r="E136" s="1228" t="s">
        <v>485</v>
      </c>
      <c r="F136" s="1226" t="s">
        <v>1849</v>
      </c>
      <c r="G136" s="1186" t="s">
        <v>485</v>
      </c>
      <c r="H136" s="1233">
        <v>0</v>
      </c>
      <c r="I136" s="1233">
        <v>1</v>
      </c>
      <c r="J136" s="1185" t="s">
        <v>485</v>
      </c>
      <c r="K136" s="1233">
        <v>88</v>
      </c>
      <c r="L136" s="1233">
        <v>2</v>
      </c>
      <c r="M136" s="1229" t="s">
        <v>1018</v>
      </c>
      <c r="N136" s="1845"/>
      <c r="O136" s="1634"/>
    </row>
    <row r="137" spans="1:15" ht="18.95" customHeight="1">
      <c r="A137" s="1460">
        <v>31</v>
      </c>
      <c r="B137" s="1833" t="s">
        <v>276</v>
      </c>
      <c r="C137" s="1166" t="s">
        <v>28</v>
      </c>
      <c r="D137" s="1220">
        <f>D138+D139+D140</f>
        <v>43</v>
      </c>
      <c r="E137" s="1231">
        <f>E138+E139+E140</f>
        <v>632</v>
      </c>
      <c r="F137" s="1222">
        <f>F138+F139+F140</f>
        <v>3</v>
      </c>
      <c r="G137" s="1208">
        <v>29</v>
      </c>
      <c r="H137" s="1208">
        <f>H138+H139</f>
        <v>467</v>
      </c>
      <c r="I137" s="1208">
        <f>I138+I139</f>
        <v>3</v>
      </c>
      <c r="J137" s="1237">
        <v>22</v>
      </c>
      <c r="K137" s="1208">
        <f>K138+K139</f>
        <v>384</v>
      </c>
      <c r="L137" s="1208">
        <f>L138+L139</f>
        <v>2</v>
      </c>
      <c r="M137" s="1219" t="s">
        <v>627</v>
      </c>
      <c r="N137" s="1846" t="s">
        <v>277</v>
      </c>
      <c r="O137" s="1460">
        <v>31</v>
      </c>
    </row>
    <row r="138" spans="1:15" ht="18.95" customHeight="1">
      <c r="A138" s="1460"/>
      <c r="B138" s="1833"/>
      <c r="C138" s="1166" t="s">
        <v>344</v>
      </c>
      <c r="D138" s="1220">
        <v>8</v>
      </c>
      <c r="E138" s="1221">
        <v>419</v>
      </c>
      <c r="F138" s="1222">
        <v>1</v>
      </c>
      <c r="G138" s="1197" t="s">
        <v>485</v>
      </c>
      <c r="H138" s="1208">
        <v>332</v>
      </c>
      <c r="I138" s="1208">
        <v>2</v>
      </c>
      <c r="J138" s="1196" t="s">
        <v>485</v>
      </c>
      <c r="K138" s="1208">
        <v>244</v>
      </c>
      <c r="L138" s="1208">
        <v>1</v>
      </c>
      <c r="M138" s="1223" t="s">
        <v>864</v>
      </c>
      <c r="N138" s="1846"/>
      <c r="O138" s="1460"/>
    </row>
    <row r="139" spans="1:15" ht="18.95" customHeight="1">
      <c r="A139" s="1460"/>
      <c r="B139" s="1833"/>
      <c r="C139" s="1166" t="s">
        <v>1982</v>
      </c>
      <c r="D139" s="1220">
        <v>10</v>
      </c>
      <c r="E139" s="1221">
        <v>129</v>
      </c>
      <c r="F139" s="1222">
        <v>1</v>
      </c>
      <c r="G139" s="1197" t="s">
        <v>485</v>
      </c>
      <c r="H139" s="1208">
        <v>135</v>
      </c>
      <c r="I139" s="1208">
        <v>1</v>
      </c>
      <c r="J139" s="1196" t="s">
        <v>485</v>
      </c>
      <c r="K139" s="1208">
        <v>140</v>
      </c>
      <c r="L139" s="1208">
        <v>1</v>
      </c>
      <c r="M139" s="1223" t="s">
        <v>865</v>
      </c>
      <c r="N139" s="1846"/>
      <c r="O139" s="1460"/>
    </row>
    <row r="140" spans="1:15" ht="18.95" customHeight="1">
      <c r="A140" s="1460"/>
      <c r="B140" s="1833"/>
      <c r="C140" s="1206" t="s">
        <v>1983</v>
      </c>
      <c r="D140" s="1220">
        <v>25</v>
      </c>
      <c r="E140" s="1221">
        <v>84</v>
      </c>
      <c r="F140" s="1222">
        <v>1</v>
      </c>
      <c r="G140" s="1197" t="s">
        <v>485</v>
      </c>
      <c r="H140" s="1208" t="s">
        <v>486</v>
      </c>
      <c r="I140" s="1208" t="s">
        <v>485</v>
      </c>
      <c r="J140" s="1196" t="s">
        <v>485</v>
      </c>
      <c r="K140" s="1208" t="s">
        <v>486</v>
      </c>
      <c r="L140" s="1208" t="s">
        <v>485</v>
      </c>
      <c r="M140" s="1223" t="s">
        <v>1018</v>
      </c>
      <c r="N140" s="1846"/>
      <c r="O140" s="1460"/>
    </row>
    <row r="141" spans="1:15" ht="18.95" customHeight="1">
      <c r="A141" s="1634">
        <v>32</v>
      </c>
      <c r="B141" s="1841" t="s">
        <v>292</v>
      </c>
      <c r="C141" s="1184" t="s">
        <v>28</v>
      </c>
      <c r="D141" s="1224">
        <f>D142+D143+D144</f>
        <v>63</v>
      </c>
      <c r="E141" s="1225">
        <f>E142+E143+E144</f>
        <v>4294</v>
      </c>
      <c r="F141" s="1226">
        <f>F142+F143+F144</f>
        <v>13</v>
      </c>
      <c r="G141" s="1186">
        <v>175</v>
      </c>
      <c r="H141" s="1186">
        <f>H142+H143+H144</f>
        <v>3250</v>
      </c>
      <c r="I141" s="1186">
        <f>I142+I143+I144</f>
        <v>12</v>
      </c>
      <c r="J141" s="1185">
        <v>3</v>
      </c>
      <c r="K141" s="1186">
        <f>K142+K143+K144</f>
        <v>3205</v>
      </c>
      <c r="L141" s="1186">
        <f>L142+L143+L144</f>
        <v>10</v>
      </c>
      <c r="M141" s="1227" t="s">
        <v>627</v>
      </c>
      <c r="N141" s="1843" t="s">
        <v>293</v>
      </c>
      <c r="O141" s="1634">
        <v>32</v>
      </c>
    </row>
    <row r="142" spans="1:15" ht="18.95" customHeight="1">
      <c r="A142" s="1634"/>
      <c r="B142" s="1841"/>
      <c r="C142" s="1184" t="s">
        <v>344</v>
      </c>
      <c r="D142" s="1224">
        <v>11</v>
      </c>
      <c r="E142" s="1228">
        <v>2917</v>
      </c>
      <c r="F142" s="1226">
        <v>4</v>
      </c>
      <c r="G142" s="1186" t="s">
        <v>485</v>
      </c>
      <c r="H142" s="1186">
        <v>2158</v>
      </c>
      <c r="I142" s="1186">
        <v>5</v>
      </c>
      <c r="J142" s="1185" t="s">
        <v>485</v>
      </c>
      <c r="K142" s="1186">
        <v>2067</v>
      </c>
      <c r="L142" s="1186">
        <v>4</v>
      </c>
      <c r="M142" s="1229" t="s">
        <v>864</v>
      </c>
      <c r="N142" s="1843"/>
      <c r="O142" s="1634"/>
    </row>
    <row r="143" spans="1:15" ht="18.95" customHeight="1">
      <c r="A143" s="1634"/>
      <c r="B143" s="1841"/>
      <c r="C143" s="1184" t="s">
        <v>1982</v>
      </c>
      <c r="D143" s="1224">
        <v>10</v>
      </c>
      <c r="E143" s="1228">
        <v>772</v>
      </c>
      <c r="F143" s="1226">
        <v>4</v>
      </c>
      <c r="G143" s="1186" t="s">
        <v>485</v>
      </c>
      <c r="H143" s="1186">
        <v>534</v>
      </c>
      <c r="I143" s="1186">
        <v>2</v>
      </c>
      <c r="J143" s="1185" t="s">
        <v>485</v>
      </c>
      <c r="K143" s="1186">
        <v>579</v>
      </c>
      <c r="L143" s="1186">
        <v>1</v>
      </c>
      <c r="M143" s="1229" t="s">
        <v>865</v>
      </c>
      <c r="N143" s="1843"/>
      <c r="O143" s="1634"/>
    </row>
    <row r="144" spans="1:15" ht="18.95" customHeight="1">
      <c r="A144" s="1634"/>
      <c r="B144" s="1841"/>
      <c r="C144" s="1207" t="s">
        <v>1983</v>
      </c>
      <c r="D144" s="1224">
        <v>42</v>
      </c>
      <c r="E144" s="1228">
        <v>605</v>
      </c>
      <c r="F144" s="1226">
        <v>5</v>
      </c>
      <c r="G144" s="1186" t="s">
        <v>485</v>
      </c>
      <c r="H144" s="1233">
        <v>558</v>
      </c>
      <c r="I144" s="1186">
        <v>5</v>
      </c>
      <c r="J144" s="1185" t="s">
        <v>485</v>
      </c>
      <c r="K144" s="1233">
        <v>559</v>
      </c>
      <c r="L144" s="1186">
        <v>5</v>
      </c>
      <c r="M144" s="1229" t="s">
        <v>1018</v>
      </c>
      <c r="N144" s="1843"/>
      <c r="O144" s="1634"/>
    </row>
    <row r="145" spans="1:15" ht="18.95" customHeight="1">
      <c r="A145" s="1460">
        <v>33</v>
      </c>
      <c r="B145" s="1833" t="s">
        <v>331</v>
      </c>
      <c r="C145" s="1166" t="s">
        <v>28</v>
      </c>
      <c r="D145" s="1220">
        <f>D146+D147+D148</f>
        <v>219</v>
      </c>
      <c r="E145" s="1231">
        <f>E146+E147+E148</f>
        <v>4398</v>
      </c>
      <c r="F145" s="1222">
        <f>F146+F147+F148</f>
        <v>13</v>
      </c>
      <c r="G145" s="1197">
        <v>177</v>
      </c>
      <c r="H145" s="1197">
        <f>H146+H147+H148</f>
        <v>3047</v>
      </c>
      <c r="I145" s="1197">
        <f>I146+I147+I148</f>
        <v>14</v>
      </c>
      <c r="J145" s="1196">
        <v>88</v>
      </c>
      <c r="K145" s="1197">
        <f>K146+K147+K148</f>
        <v>5121</v>
      </c>
      <c r="L145" s="1197">
        <f>L146+L147+L148</f>
        <v>8</v>
      </c>
      <c r="M145" s="1219" t="s">
        <v>627</v>
      </c>
      <c r="N145" s="1844" t="s">
        <v>295</v>
      </c>
      <c r="O145" s="1460">
        <v>33</v>
      </c>
    </row>
    <row r="146" spans="1:15" ht="18.95" customHeight="1">
      <c r="A146" s="1460"/>
      <c r="B146" s="1833"/>
      <c r="C146" s="1166" t="s">
        <v>344</v>
      </c>
      <c r="D146" s="1220">
        <v>18</v>
      </c>
      <c r="E146" s="1221">
        <v>3603</v>
      </c>
      <c r="F146" s="1222">
        <v>5</v>
      </c>
      <c r="G146" s="1197" t="s">
        <v>485</v>
      </c>
      <c r="H146" s="1197">
        <v>2453</v>
      </c>
      <c r="I146" s="1197">
        <v>6</v>
      </c>
      <c r="J146" s="1196" t="s">
        <v>485</v>
      </c>
      <c r="K146" s="1197">
        <v>4331</v>
      </c>
      <c r="L146" s="1197">
        <v>5</v>
      </c>
      <c r="M146" s="1223" t="s">
        <v>864</v>
      </c>
      <c r="N146" s="1844"/>
      <c r="O146" s="1460"/>
    </row>
    <row r="147" spans="1:15" ht="18.95" customHeight="1">
      <c r="A147" s="1460"/>
      <c r="B147" s="1833"/>
      <c r="C147" s="1166" t="s">
        <v>1982</v>
      </c>
      <c r="D147" s="1220">
        <v>41</v>
      </c>
      <c r="E147" s="1221">
        <v>570</v>
      </c>
      <c r="F147" s="1222">
        <v>2</v>
      </c>
      <c r="G147" s="1197" t="s">
        <v>486</v>
      </c>
      <c r="H147" s="1197">
        <v>429</v>
      </c>
      <c r="I147" s="1197">
        <v>2</v>
      </c>
      <c r="J147" s="1196" t="s">
        <v>486</v>
      </c>
      <c r="K147" s="1197">
        <v>570</v>
      </c>
      <c r="L147" s="1197">
        <v>1</v>
      </c>
      <c r="M147" s="1223" t="s">
        <v>865</v>
      </c>
      <c r="N147" s="1844"/>
      <c r="O147" s="1460"/>
    </row>
    <row r="148" spans="1:15" ht="18.95" customHeight="1">
      <c r="A148" s="1461"/>
      <c r="B148" s="1850"/>
      <c r="C148" s="1167" t="s">
        <v>1983</v>
      </c>
      <c r="D148" s="1238">
        <v>160</v>
      </c>
      <c r="E148" s="1239">
        <v>225</v>
      </c>
      <c r="F148" s="1240">
        <v>6</v>
      </c>
      <c r="G148" s="1241" t="s">
        <v>485</v>
      </c>
      <c r="H148" s="1241">
        <v>165</v>
      </c>
      <c r="I148" s="1241">
        <v>6</v>
      </c>
      <c r="J148" s="1242" t="s">
        <v>485</v>
      </c>
      <c r="K148" s="1241">
        <v>220</v>
      </c>
      <c r="L148" s="1241">
        <v>2</v>
      </c>
      <c r="M148" s="1243" t="s">
        <v>1018</v>
      </c>
      <c r="N148" s="1851"/>
      <c r="O148" s="1461"/>
    </row>
    <row r="149" spans="1:15" ht="18.95" customHeight="1">
      <c r="A149" s="1848" t="s">
        <v>726</v>
      </c>
      <c r="B149" s="1848"/>
      <c r="C149" s="1848"/>
      <c r="D149" s="1848"/>
      <c r="E149" s="1849" t="s">
        <v>737</v>
      </c>
      <c r="F149" s="1849"/>
      <c r="G149" s="1849"/>
      <c r="H149" s="1849"/>
      <c r="I149" s="1849"/>
      <c r="J149" s="1849"/>
      <c r="K149" s="1849"/>
      <c r="L149" s="1728" t="s">
        <v>118</v>
      </c>
      <c r="M149" s="1728"/>
      <c r="N149" s="1728"/>
      <c r="O149" s="1728"/>
    </row>
  </sheetData>
  <mergeCells count="166">
    <mergeCell ref="A149:D149"/>
    <mergeCell ref="E149:K149"/>
    <mergeCell ref="L149:O149"/>
    <mergeCell ref="A141:A144"/>
    <mergeCell ref="B141:B144"/>
    <mergeCell ref="N141:N144"/>
    <mergeCell ref="O141:O144"/>
    <mergeCell ref="A145:A148"/>
    <mergeCell ref="B145:B148"/>
    <mergeCell ref="N145:N148"/>
    <mergeCell ref="O145:O148"/>
    <mergeCell ref="A133:A136"/>
    <mergeCell ref="B133:B136"/>
    <mergeCell ref="N133:N136"/>
    <mergeCell ref="O133:O136"/>
    <mergeCell ref="A137:A140"/>
    <mergeCell ref="B137:B140"/>
    <mergeCell ref="N137:N140"/>
    <mergeCell ref="O137:O140"/>
    <mergeCell ref="A125:A128"/>
    <mergeCell ref="B125:B128"/>
    <mergeCell ref="N125:N128"/>
    <mergeCell ref="O125:O128"/>
    <mergeCell ref="A129:A132"/>
    <mergeCell ref="B129:B132"/>
    <mergeCell ref="N129:N132"/>
    <mergeCell ref="O129:O132"/>
    <mergeCell ref="A117:A120"/>
    <mergeCell ref="B117:B120"/>
    <mergeCell ref="N117:N120"/>
    <mergeCell ref="O117:O120"/>
    <mergeCell ref="A121:A124"/>
    <mergeCell ref="B121:B124"/>
    <mergeCell ref="N121:N124"/>
    <mergeCell ref="O121:O124"/>
    <mergeCell ref="A109:A112"/>
    <mergeCell ref="B109:B112"/>
    <mergeCell ref="N109:N112"/>
    <mergeCell ref="O109:O112"/>
    <mergeCell ref="A113:A116"/>
    <mergeCell ref="B113:B116"/>
    <mergeCell ref="N113:N116"/>
    <mergeCell ref="O113:O116"/>
    <mergeCell ref="A101:A104"/>
    <mergeCell ref="B101:B104"/>
    <mergeCell ref="N101:N104"/>
    <mergeCell ref="O101:O104"/>
    <mergeCell ref="A105:A108"/>
    <mergeCell ref="B105:B108"/>
    <mergeCell ref="N105:N108"/>
    <mergeCell ref="O105:O108"/>
    <mergeCell ref="A93:A96"/>
    <mergeCell ref="B93:B96"/>
    <mergeCell ref="N93:N96"/>
    <mergeCell ref="O93:O96"/>
    <mergeCell ref="A97:A100"/>
    <mergeCell ref="B97:B100"/>
    <mergeCell ref="N97:N100"/>
    <mergeCell ref="O97:O100"/>
    <mergeCell ref="Q81:Q84"/>
    <mergeCell ref="A85:A88"/>
    <mergeCell ref="B85:B88"/>
    <mergeCell ref="N85:N88"/>
    <mergeCell ref="O85:O88"/>
    <mergeCell ref="A89:A92"/>
    <mergeCell ref="B89:B92"/>
    <mergeCell ref="N89:N92"/>
    <mergeCell ref="O89:O92"/>
    <mergeCell ref="N77:N80"/>
    <mergeCell ref="O77:O80"/>
    <mergeCell ref="M79:M80"/>
    <mergeCell ref="A81:A84"/>
    <mergeCell ref="B81:B84"/>
    <mergeCell ref="N81:N84"/>
    <mergeCell ref="O81:O84"/>
    <mergeCell ref="A76:E76"/>
    <mergeCell ref="F76:J76"/>
    <mergeCell ref="K76:O76"/>
    <mergeCell ref="A77:A80"/>
    <mergeCell ref="B77:B80"/>
    <mergeCell ref="C77:C80"/>
    <mergeCell ref="D77:F77"/>
    <mergeCell ref="G77:I77"/>
    <mergeCell ref="J77:L77"/>
    <mergeCell ref="M77:M78"/>
    <mergeCell ref="A68:A71"/>
    <mergeCell ref="B68:B71"/>
    <mergeCell ref="N68:N71"/>
    <mergeCell ref="O68:O71"/>
    <mergeCell ref="A72:A75"/>
    <mergeCell ref="B72:B75"/>
    <mergeCell ref="N72:N75"/>
    <mergeCell ref="O72:O75"/>
    <mergeCell ref="A60:A63"/>
    <mergeCell ref="B60:B63"/>
    <mergeCell ref="N60:N63"/>
    <mergeCell ref="O60:O63"/>
    <mergeCell ref="A64:A67"/>
    <mergeCell ref="B64:B67"/>
    <mergeCell ref="N64:N67"/>
    <mergeCell ref="O64:O67"/>
    <mergeCell ref="A52:A55"/>
    <mergeCell ref="B52:B55"/>
    <mergeCell ref="N52:N55"/>
    <mergeCell ref="O52:O55"/>
    <mergeCell ref="A56:A59"/>
    <mergeCell ref="B56:B59"/>
    <mergeCell ref="N56:N59"/>
    <mergeCell ref="O56:O59"/>
    <mergeCell ref="A44:A47"/>
    <mergeCell ref="B44:B47"/>
    <mergeCell ref="N44:N47"/>
    <mergeCell ref="O44:O47"/>
    <mergeCell ref="A48:A51"/>
    <mergeCell ref="B48:B51"/>
    <mergeCell ref="N48:N51"/>
    <mergeCell ref="O48:O51"/>
    <mergeCell ref="A36:A39"/>
    <mergeCell ref="B36:B39"/>
    <mergeCell ref="N36:N39"/>
    <mergeCell ref="O36:O39"/>
    <mergeCell ref="A40:A43"/>
    <mergeCell ref="B40:B43"/>
    <mergeCell ref="N40:N43"/>
    <mergeCell ref="O40:O43"/>
    <mergeCell ref="A28:A31"/>
    <mergeCell ref="B28:B31"/>
    <mergeCell ref="N28:N31"/>
    <mergeCell ref="O28:O31"/>
    <mergeCell ref="A32:A35"/>
    <mergeCell ref="B32:B35"/>
    <mergeCell ref="N32:N35"/>
    <mergeCell ref="O32:O35"/>
    <mergeCell ref="A20:A23"/>
    <mergeCell ref="B20:B23"/>
    <mergeCell ref="N20:N23"/>
    <mergeCell ref="O20:O23"/>
    <mergeCell ref="A24:A27"/>
    <mergeCell ref="B24:B27"/>
    <mergeCell ref="N24:N27"/>
    <mergeCell ref="O24:O27"/>
    <mergeCell ref="A12:A15"/>
    <mergeCell ref="B12:B15"/>
    <mergeCell ref="N12:N15"/>
    <mergeCell ref="O12:O15"/>
    <mergeCell ref="A16:A19"/>
    <mergeCell ref="B16:B19"/>
    <mergeCell ref="N16:N19"/>
    <mergeCell ref="O16:O19"/>
    <mergeCell ref="N4:N7"/>
    <mergeCell ref="O4:O7"/>
    <mergeCell ref="M6:M7"/>
    <mergeCell ref="A8:A11"/>
    <mergeCell ref="B8:B11"/>
    <mergeCell ref="N8:N11"/>
    <mergeCell ref="O8:O11"/>
    <mergeCell ref="A1:O1"/>
    <mergeCell ref="A2:O2"/>
    <mergeCell ref="A3:O3"/>
    <mergeCell ref="A4:A7"/>
    <mergeCell ref="B4:B7"/>
    <mergeCell ref="C4:C7"/>
    <mergeCell ref="D4:F4"/>
    <mergeCell ref="G4:I4"/>
    <mergeCell ref="J4:L4"/>
    <mergeCell ref="M4:M5"/>
  </mergeCells>
  <pageMargins left="0.4" right="0.27" top="0.35433070866141703" bottom="0.70866141732283505" header="0.196850393700787" footer="0.511811023622047"/>
  <pageSetup paperSize="9" scale="55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75" max="1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0"/>
  <sheetViews>
    <sheetView view="pageBreakPreview" zoomScale="75" zoomScaleSheetLayoutView="75" workbookViewId="0">
      <selection activeCell="H20" sqref="H20:H21"/>
    </sheetView>
  </sheetViews>
  <sheetFormatPr defaultRowHeight="15"/>
  <cols>
    <col min="1" max="1" width="5.140625" customWidth="1"/>
    <col min="2" max="2" width="25.5703125" customWidth="1"/>
    <col min="3" max="3" width="10.28515625" bestFit="1" customWidth="1"/>
    <col min="4" max="4" width="9.42578125" customWidth="1"/>
    <col min="5" max="6" width="9.42578125" bestFit="1" customWidth="1"/>
    <col min="7" max="7" width="10.42578125" bestFit="1" customWidth="1"/>
    <col min="8" max="8" width="35.85546875" customWidth="1"/>
    <col min="9" max="9" width="6.28515625" customWidth="1"/>
    <col min="13" max="13" width="10.7109375" bestFit="1" customWidth="1"/>
    <col min="18" max="18" width="12.28515625" bestFit="1" customWidth="1"/>
  </cols>
  <sheetData>
    <row r="1" spans="1:19" ht="20.100000000000001" customHeight="1">
      <c r="A1" s="1472" t="s">
        <v>920</v>
      </c>
      <c r="B1" s="1472"/>
      <c r="C1" s="1472"/>
      <c r="D1" s="1472"/>
      <c r="E1" s="1472"/>
      <c r="F1" s="1472"/>
      <c r="G1" s="1472"/>
      <c r="H1" s="1472"/>
      <c r="I1" s="1472"/>
    </row>
    <row r="2" spans="1:19" ht="20.100000000000001" customHeight="1">
      <c r="A2" s="1472" t="s">
        <v>921</v>
      </c>
      <c r="B2" s="1472"/>
      <c r="C2" s="1472"/>
      <c r="D2" s="1472"/>
      <c r="E2" s="1472"/>
      <c r="F2" s="1472"/>
      <c r="G2" s="1472"/>
      <c r="H2" s="1472"/>
      <c r="I2" s="1472"/>
    </row>
    <row r="3" spans="1:19" ht="20.100000000000001" customHeight="1">
      <c r="A3" s="1407" t="s">
        <v>922</v>
      </c>
      <c r="B3" s="1407"/>
      <c r="C3" s="1407"/>
      <c r="D3" s="1407"/>
      <c r="E3" s="1407"/>
      <c r="F3" s="1407"/>
      <c r="G3" s="1407"/>
      <c r="H3" s="1407"/>
      <c r="I3" s="1407"/>
    </row>
    <row r="4" spans="1:19" ht="20.100000000000001" customHeight="1">
      <c r="A4" s="1459" t="s">
        <v>2026</v>
      </c>
      <c r="B4" s="1549" t="s">
        <v>399</v>
      </c>
      <c r="C4" s="1522" t="s">
        <v>95</v>
      </c>
      <c r="D4" s="1174" t="s">
        <v>1309</v>
      </c>
      <c r="E4" s="1174" t="s">
        <v>1309</v>
      </c>
      <c r="F4" s="1174" t="s">
        <v>1159</v>
      </c>
      <c r="G4" s="1078" t="s">
        <v>349</v>
      </c>
      <c r="H4" s="1557" t="s">
        <v>398</v>
      </c>
      <c r="I4" s="1459" t="s">
        <v>2027</v>
      </c>
    </row>
    <row r="5" spans="1:19" ht="20.100000000000001" customHeight="1">
      <c r="A5" s="1460"/>
      <c r="B5" s="1500"/>
      <c r="C5" s="1524"/>
      <c r="D5" s="1175" t="s">
        <v>1305</v>
      </c>
      <c r="E5" s="1175" t="s">
        <v>1305</v>
      </c>
      <c r="F5" s="1175" t="s">
        <v>1156</v>
      </c>
      <c r="G5" s="1080" t="s">
        <v>509</v>
      </c>
      <c r="H5" s="1502"/>
      <c r="I5" s="1460"/>
      <c r="J5">
        <v>184575</v>
      </c>
      <c r="N5" s="1683" t="s">
        <v>996</v>
      </c>
      <c r="O5" s="1683"/>
      <c r="P5" s="1683" t="s">
        <v>225</v>
      </c>
      <c r="Q5" s="1683"/>
    </row>
    <row r="6" spans="1:19" ht="24" customHeight="1">
      <c r="A6" s="1852">
        <v>1</v>
      </c>
      <c r="B6" s="1854" t="s">
        <v>431</v>
      </c>
      <c r="C6" s="1855" t="s">
        <v>99</v>
      </c>
      <c r="D6" s="1552">
        <f>D8+D9</f>
        <v>1003</v>
      </c>
      <c r="E6" s="1533">
        <f>E8+E9</f>
        <v>995</v>
      </c>
      <c r="F6" s="1856">
        <f>F8+F9</f>
        <v>874</v>
      </c>
      <c r="G6" s="1857" t="s">
        <v>100</v>
      </c>
      <c r="H6" s="963" t="s">
        <v>1121</v>
      </c>
      <c r="I6" s="1852">
        <v>1</v>
      </c>
      <c r="J6">
        <v>63292</v>
      </c>
      <c r="N6" t="s">
        <v>0</v>
      </c>
      <c r="O6" t="s">
        <v>1</v>
      </c>
      <c r="P6" t="s">
        <v>0</v>
      </c>
      <c r="Q6" t="s">
        <v>1</v>
      </c>
    </row>
    <row r="7" spans="1:19" ht="24" customHeight="1">
      <c r="A7" s="1853"/>
      <c r="B7" s="1854"/>
      <c r="C7" s="1855"/>
      <c r="D7" s="1552"/>
      <c r="E7" s="1533"/>
      <c r="F7" s="1856"/>
      <c r="G7" s="1857"/>
      <c r="H7" s="963" t="s">
        <v>601</v>
      </c>
      <c r="I7" s="1853"/>
      <c r="J7">
        <f>SUM(J5:J6)</f>
        <v>247867</v>
      </c>
      <c r="M7" s="202">
        <f>N7+O7</f>
        <v>1492</v>
      </c>
      <c r="N7" s="51">
        <v>322</v>
      </c>
      <c r="O7">
        <v>1170</v>
      </c>
      <c r="P7" s="51">
        <v>5570</v>
      </c>
      <c r="Q7">
        <v>29426</v>
      </c>
      <c r="R7" s="204">
        <f>Q7+P7</f>
        <v>34996</v>
      </c>
      <c r="S7" t="s">
        <v>1015</v>
      </c>
    </row>
    <row r="8" spans="1:19" ht="21.95" customHeight="1">
      <c r="A8" s="1858">
        <v>2</v>
      </c>
      <c r="B8" s="1168" t="s">
        <v>350</v>
      </c>
      <c r="C8" s="145" t="s">
        <v>99</v>
      </c>
      <c r="D8" s="1049">
        <f>86+728</f>
        <v>814</v>
      </c>
      <c r="E8" s="936">
        <f>86+719</f>
        <v>805</v>
      </c>
      <c r="F8" s="1051">
        <v>711</v>
      </c>
      <c r="G8" s="119" t="s">
        <v>100</v>
      </c>
      <c r="H8" s="1169" t="s">
        <v>729</v>
      </c>
      <c r="I8" s="1858">
        <v>2</v>
      </c>
      <c r="M8" s="202">
        <f t="shared" ref="M8:M13" si="0">N8+O8</f>
        <v>2483</v>
      </c>
      <c r="N8" s="51">
        <v>305</v>
      </c>
      <c r="O8">
        <v>2178</v>
      </c>
      <c r="P8" s="51">
        <v>33185</v>
      </c>
      <c r="Q8">
        <v>40006</v>
      </c>
      <c r="R8" s="204">
        <f t="shared" ref="R8:R13" si="1">Q8+P8</f>
        <v>73191</v>
      </c>
      <c r="S8" t="s">
        <v>994</v>
      </c>
    </row>
    <row r="9" spans="1:19" ht="21.95" customHeight="1">
      <c r="A9" s="1858"/>
      <c r="B9" s="1168" t="s">
        <v>432</v>
      </c>
      <c r="C9" s="145" t="s">
        <v>99</v>
      </c>
      <c r="D9" s="1049">
        <v>189</v>
      </c>
      <c r="E9" s="936">
        <v>190</v>
      </c>
      <c r="F9" s="1051">
        <v>163</v>
      </c>
      <c r="G9" s="119" t="s">
        <v>100</v>
      </c>
      <c r="H9" s="1169" t="s">
        <v>730</v>
      </c>
      <c r="I9" s="1858"/>
      <c r="M9" s="202">
        <f t="shared" si="0"/>
        <v>1401</v>
      </c>
      <c r="N9" s="51">
        <v>152</v>
      </c>
      <c r="O9">
        <v>1249</v>
      </c>
      <c r="P9" s="51">
        <v>2392</v>
      </c>
      <c r="Q9">
        <v>22856</v>
      </c>
      <c r="R9" s="204">
        <f>Q9+P9</f>
        <v>25248</v>
      </c>
      <c r="S9" t="s">
        <v>990</v>
      </c>
    </row>
    <row r="10" spans="1:19" ht="24" customHeight="1">
      <c r="A10" s="1853">
        <v>3</v>
      </c>
      <c r="B10" s="1854" t="s">
        <v>433</v>
      </c>
      <c r="C10" s="1855" t="s">
        <v>62</v>
      </c>
      <c r="D10" s="1859">
        <f>D12+D14</f>
        <v>329762</v>
      </c>
      <c r="E10" s="1860">
        <f>E12+E14</f>
        <v>321858</v>
      </c>
      <c r="F10" s="1796">
        <f>F12+F14</f>
        <v>308574</v>
      </c>
      <c r="G10" s="1046" t="s">
        <v>351</v>
      </c>
      <c r="H10" s="963" t="s">
        <v>1122</v>
      </c>
      <c r="I10" s="1853">
        <v>3</v>
      </c>
      <c r="K10">
        <v>3884</v>
      </c>
      <c r="M10" s="202">
        <f t="shared" si="0"/>
        <v>199614</v>
      </c>
      <c r="N10" s="51">
        <v>63106</v>
      </c>
      <c r="O10">
        <v>136508</v>
      </c>
      <c r="P10" s="51">
        <v>3278844</v>
      </c>
      <c r="Q10">
        <v>4893477</v>
      </c>
      <c r="R10" s="204">
        <f t="shared" si="1"/>
        <v>8172321</v>
      </c>
      <c r="S10" t="s">
        <v>1014</v>
      </c>
    </row>
    <row r="11" spans="1:19" ht="24" customHeight="1">
      <c r="A11" s="1853"/>
      <c r="B11" s="1854"/>
      <c r="C11" s="1855"/>
      <c r="D11" s="1859"/>
      <c r="E11" s="1860"/>
      <c r="F11" s="1796"/>
      <c r="G11" s="733" t="s">
        <v>603</v>
      </c>
      <c r="H11" s="963" t="s">
        <v>602</v>
      </c>
      <c r="I11" s="1853"/>
      <c r="K11">
        <v>4304</v>
      </c>
      <c r="M11" s="202">
        <f t="shared" si="0"/>
        <v>7396</v>
      </c>
      <c r="N11" s="51">
        <v>479</v>
      </c>
      <c r="O11">
        <v>6917</v>
      </c>
      <c r="P11" s="51">
        <v>939</v>
      </c>
      <c r="Q11">
        <v>18202</v>
      </c>
      <c r="R11" s="204">
        <f t="shared" si="1"/>
        <v>19141</v>
      </c>
      <c r="S11" t="s">
        <v>1013</v>
      </c>
    </row>
    <row r="12" spans="1:19" ht="21.95" customHeight="1">
      <c r="A12" s="1858">
        <v>4</v>
      </c>
      <c r="B12" s="1861" t="s">
        <v>352</v>
      </c>
      <c r="C12" s="1598" t="s">
        <v>62</v>
      </c>
      <c r="D12" s="1862">
        <f>67192+197769</f>
        <v>264961</v>
      </c>
      <c r="E12" s="1421">
        <f>68880+190041</f>
        <v>258921</v>
      </c>
      <c r="F12" s="1863">
        <v>247867</v>
      </c>
      <c r="G12" s="990" t="s">
        <v>351</v>
      </c>
      <c r="H12" s="955" t="s">
        <v>1123</v>
      </c>
      <c r="I12" s="1858">
        <v>4</v>
      </c>
      <c r="K12">
        <f>SUM(K10:K11)</f>
        <v>8188</v>
      </c>
      <c r="M12" s="202">
        <f t="shared" si="0"/>
        <v>0</v>
      </c>
      <c r="N12" s="51">
        <v>0</v>
      </c>
      <c r="O12">
        <v>0</v>
      </c>
      <c r="P12" s="51">
        <v>51478</v>
      </c>
      <c r="Q12">
        <v>203563</v>
      </c>
      <c r="R12" s="204">
        <f t="shared" si="1"/>
        <v>255041</v>
      </c>
      <c r="S12" t="s">
        <v>1012</v>
      </c>
    </row>
    <row r="13" spans="1:19" ht="21.95" customHeight="1">
      <c r="A13" s="1858"/>
      <c r="B13" s="1861"/>
      <c r="C13" s="1598"/>
      <c r="D13" s="1862"/>
      <c r="E13" s="1421"/>
      <c r="F13" s="1863"/>
      <c r="G13" s="951" t="s">
        <v>603</v>
      </c>
      <c r="H13" s="955" t="s">
        <v>731</v>
      </c>
      <c r="I13" s="1858"/>
      <c r="M13" s="202">
        <f t="shared" si="0"/>
        <v>212386</v>
      </c>
      <c r="N13" s="201">
        <f>SUM(N7:N12)</f>
        <v>64364</v>
      </c>
      <c r="O13" s="47">
        <f>SUM(O7:O12)</f>
        <v>148022</v>
      </c>
      <c r="P13" s="201">
        <f>SUM(P7:P12)</f>
        <v>3372408</v>
      </c>
      <c r="Q13" s="47">
        <f>SUM(Q7:Q12)</f>
        <v>5207530</v>
      </c>
      <c r="R13" s="202">
        <f t="shared" si="1"/>
        <v>8579938</v>
      </c>
    </row>
    <row r="14" spans="1:19" ht="24" customHeight="1">
      <c r="A14" s="1853">
        <v>5</v>
      </c>
      <c r="B14" s="1854" t="s">
        <v>434</v>
      </c>
      <c r="C14" s="1855" t="s">
        <v>62</v>
      </c>
      <c r="D14" s="1859">
        <v>64801</v>
      </c>
      <c r="E14" s="1860">
        <v>62937</v>
      </c>
      <c r="F14" s="1796">
        <v>60707</v>
      </c>
      <c r="G14" s="1046" t="s">
        <v>351</v>
      </c>
      <c r="H14" s="1537" t="s">
        <v>1124</v>
      </c>
      <c r="I14" s="1853">
        <v>5</v>
      </c>
    </row>
    <row r="15" spans="1:19" ht="24" customHeight="1">
      <c r="A15" s="1853"/>
      <c r="B15" s="1854"/>
      <c r="C15" s="1855"/>
      <c r="D15" s="1859"/>
      <c r="E15" s="1860"/>
      <c r="F15" s="1796"/>
      <c r="G15" s="733" t="s">
        <v>603</v>
      </c>
      <c r="H15" s="1537"/>
      <c r="I15" s="1853"/>
      <c r="P15" s="49">
        <f>3372408/1000000</f>
        <v>3.3724080000000001</v>
      </c>
      <c r="Q15" s="49">
        <f>5207030/1000000</f>
        <v>5.2070299999999996</v>
      </c>
      <c r="R15" s="203">
        <f>8579938/1000000</f>
        <v>8.5799380000000003</v>
      </c>
    </row>
    <row r="16" spans="1:19" ht="32.1" customHeight="1">
      <c r="A16" s="1858">
        <v>6</v>
      </c>
      <c r="B16" s="1861" t="s">
        <v>435</v>
      </c>
      <c r="C16" s="1598" t="s">
        <v>62</v>
      </c>
      <c r="D16" s="1862">
        <f>D18+D20</f>
        <v>38855</v>
      </c>
      <c r="E16" s="1421">
        <f>E18+E20</f>
        <v>41039</v>
      </c>
      <c r="F16" s="1863">
        <f>F18+F20</f>
        <v>138310</v>
      </c>
      <c r="G16" s="990" t="s">
        <v>351</v>
      </c>
      <c r="H16" s="1170" t="s">
        <v>1125</v>
      </c>
      <c r="I16" s="1858">
        <v>6</v>
      </c>
    </row>
    <row r="17" spans="1:19" ht="32.1" customHeight="1">
      <c r="A17" s="1858"/>
      <c r="B17" s="1861"/>
      <c r="C17" s="1598"/>
      <c r="D17" s="1862"/>
      <c r="E17" s="1421"/>
      <c r="F17" s="1863"/>
      <c r="G17" s="951" t="s">
        <v>603</v>
      </c>
      <c r="H17" s="1169" t="s">
        <v>732</v>
      </c>
      <c r="I17" s="1858"/>
      <c r="M17">
        <v>1394</v>
      </c>
      <c r="N17">
        <v>1393</v>
      </c>
    </row>
    <row r="18" spans="1:19" ht="24" customHeight="1">
      <c r="A18" s="1853">
        <v>7</v>
      </c>
      <c r="B18" s="1854" t="s">
        <v>353</v>
      </c>
      <c r="C18" s="1855" t="s">
        <v>62</v>
      </c>
      <c r="D18" s="1859">
        <f>25486+5159</f>
        <v>30645</v>
      </c>
      <c r="E18" s="1860">
        <f>26100+6456</f>
        <v>32556</v>
      </c>
      <c r="F18" s="1796">
        <v>109624</v>
      </c>
      <c r="G18" s="1046" t="s">
        <v>351</v>
      </c>
      <c r="H18" s="657" t="s">
        <v>1126</v>
      </c>
      <c r="I18" s="1853">
        <v>7</v>
      </c>
      <c r="M18">
        <v>308574</v>
      </c>
      <c r="O18">
        <v>295203</v>
      </c>
    </row>
    <row r="19" spans="1:19" ht="24" customHeight="1">
      <c r="A19" s="1853"/>
      <c r="B19" s="1854"/>
      <c r="C19" s="1855"/>
      <c r="D19" s="1859"/>
      <c r="E19" s="1860"/>
      <c r="F19" s="1796"/>
      <c r="G19" s="733" t="s">
        <v>603</v>
      </c>
      <c r="H19" s="963" t="s">
        <v>733</v>
      </c>
      <c r="I19" s="1853"/>
    </row>
    <row r="20" spans="1:19" ht="21.95" customHeight="1">
      <c r="A20" s="1858">
        <v>8</v>
      </c>
      <c r="B20" s="1861" t="s">
        <v>436</v>
      </c>
      <c r="C20" s="1598" t="s">
        <v>62</v>
      </c>
      <c r="D20" s="1862">
        <v>8210</v>
      </c>
      <c r="E20" s="1421">
        <v>8483</v>
      </c>
      <c r="F20" s="1863">
        <v>28686</v>
      </c>
      <c r="G20" s="990" t="s">
        <v>351</v>
      </c>
      <c r="H20" s="1864" t="s">
        <v>1127</v>
      </c>
      <c r="I20" s="1858">
        <v>8</v>
      </c>
    </row>
    <row r="21" spans="1:19" ht="21.95" customHeight="1">
      <c r="A21" s="1858"/>
      <c r="B21" s="1861"/>
      <c r="C21" s="1598"/>
      <c r="D21" s="1862"/>
      <c r="E21" s="1421"/>
      <c r="F21" s="1863"/>
      <c r="G21" s="951" t="s">
        <v>603</v>
      </c>
      <c r="H21" s="1864"/>
      <c r="I21" s="1858"/>
      <c r="J21">
        <v>7879</v>
      </c>
      <c r="R21" s="1683" t="s">
        <v>998</v>
      </c>
      <c r="S21" s="1683"/>
    </row>
    <row r="22" spans="1:19" ht="24" customHeight="1">
      <c r="A22" s="1853">
        <v>9</v>
      </c>
      <c r="B22" s="1854" t="s">
        <v>437</v>
      </c>
      <c r="C22" s="1855" t="s">
        <v>62</v>
      </c>
      <c r="D22" s="1859">
        <f>D24+D26</f>
        <v>5562</v>
      </c>
      <c r="E22" s="1860">
        <f>E24+E26</f>
        <v>10635</v>
      </c>
      <c r="F22" s="1796">
        <f>F24+F26</f>
        <v>7879</v>
      </c>
      <c r="G22" s="1046" t="s">
        <v>351</v>
      </c>
      <c r="H22" s="657" t="s">
        <v>1128</v>
      </c>
      <c r="I22" s="1853">
        <v>9</v>
      </c>
      <c r="J22">
        <v>9191</v>
      </c>
      <c r="L22" s="39">
        <f>65972/299693*100</f>
        <v>22.013193501349715</v>
      </c>
      <c r="Q22">
        <v>276</v>
      </c>
      <c r="R22">
        <v>22912</v>
      </c>
      <c r="S22">
        <v>20801</v>
      </c>
    </row>
    <row r="23" spans="1:19" ht="24" customHeight="1">
      <c r="A23" s="1853"/>
      <c r="B23" s="1854"/>
      <c r="C23" s="1855"/>
      <c r="D23" s="1859"/>
      <c r="E23" s="1860"/>
      <c r="F23" s="1796"/>
      <c r="G23" s="733" t="s">
        <v>603</v>
      </c>
      <c r="H23" s="657" t="s">
        <v>734</v>
      </c>
      <c r="I23" s="1853"/>
      <c r="J23">
        <f>J21-J22</f>
        <v>-1312</v>
      </c>
      <c r="Q23">
        <v>87</v>
      </c>
      <c r="R23">
        <v>24824</v>
      </c>
      <c r="S23">
        <v>15032</v>
      </c>
    </row>
    <row r="24" spans="1:19" ht="24" customHeight="1">
      <c r="A24" s="1858">
        <v>10</v>
      </c>
      <c r="B24" s="1861" t="s">
        <v>354</v>
      </c>
      <c r="C24" s="1598" t="s">
        <v>62</v>
      </c>
      <c r="D24" s="1862">
        <f>2052+2857</f>
        <v>4909</v>
      </c>
      <c r="E24" s="1421">
        <f>7033+2860</f>
        <v>9893</v>
      </c>
      <c r="F24" s="1863">
        <v>6876</v>
      </c>
      <c r="G24" s="990" t="s">
        <v>351</v>
      </c>
      <c r="H24" s="1509" t="s">
        <v>1129</v>
      </c>
      <c r="I24" s="1858">
        <v>10</v>
      </c>
      <c r="N24" s="39">
        <f>65972/295203*100</f>
        <v>22.348011368448155</v>
      </c>
      <c r="Q24">
        <v>194</v>
      </c>
      <c r="R24">
        <v>72596</v>
      </c>
      <c r="S24">
        <v>28524</v>
      </c>
    </row>
    <row r="25" spans="1:19" ht="24" customHeight="1">
      <c r="A25" s="1858"/>
      <c r="B25" s="1861"/>
      <c r="C25" s="1598"/>
      <c r="D25" s="1862"/>
      <c r="E25" s="1421"/>
      <c r="F25" s="1863"/>
      <c r="G25" s="951" t="s">
        <v>603</v>
      </c>
      <c r="H25" s="1509"/>
      <c r="I25" s="1858"/>
      <c r="J25">
        <f>1312-8188</f>
        <v>-6876</v>
      </c>
      <c r="Q25">
        <f>SUM(Q22:Q24)</f>
        <v>557</v>
      </c>
      <c r="R25">
        <f>SUM(R22:R24)</f>
        <v>120332</v>
      </c>
      <c r="S25">
        <f>SUM(S22:S24)</f>
        <v>64357</v>
      </c>
    </row>
    <row r="26" spans="1:19" ht="24" customHeight="1">
      <c r="A26" s="1853">
        <v>11</v>
      </c>
      <c r="B26" s="1854" t="s">
        <v>438</v>
      </c>
      <c r="C26" s="1855" t="s">
        <v>62</v>
      </c>
      <c r="D26" s="1859">
        <v>653</v>
      </c>
      <c r="E26" s="1860">
        <v>742</v>
      </c>
      <c r="F26" s="1796">
        <v>1003</v>
      </c>
      <c r="G26" s="1046" t="s">
        <v>351</v>
      </c>
      <c r="H26" s="1537" t="s">
        <v>1130</v>
      </c>
      <c r="I26" s="1853">
        <v>11</v>
      </c>
    </row>
    <row r="27" spans="1:19" ht="24" customHeight="1">
      <c r="A27" s="1853"/>
      <c r="B27" s="1854"/>
      <c r="C27" s="1855"/>
      <c r="D27" s="1859"/>
      <c r="E27" s="1860"/>
      <c r="F27" s="1796"/>
      <c r="G27" s="733" t="s">
        <v>603</v>
      </c>
      <c r="H27" s="1537"/>
      <c r="I27" s="1853"/>
    </row>
    <row r="28" spans="1:19" ht="24" customHeight="1">
      <c r="A28" s="1858">
        <v>12</v>
      </c>
      <c r="B28" s="1861" t="s">
        <v>459</v>
      </c>
      <c r="C28" s="1866" t="s">
        <v>107</v>
      </c>
      <c r="D28" s="1567">
        <f>D30+D32</f>
        <v>6605</v>
      </c>
      <c r="E28" s="1548">
        <f>E30+E32</f>
        <v>6691</v>
      </c>
      <c r="F28" s="1867">
        <f>F30+F32</f>
        <v>6990</v>
      </c>
      <c r="G28" s="990" t="s">
        <v>355</v>
      </c>
      <c r="H28" s="943" t="s">
        <v>1131</v>
      </c>
      <c r="I28" s="1858">
        <v>12</v>
      </c>
    </row>
    <row r="29" spans="1:19" ht="24" customHeight="1">
      <c r="A29" s="1858"/>
      <c r="B29" s="1861"/>
      <c r="C29" s="1866"/>
      <c r="D29" s="1567"/>
      <c r="E29" s="1548"/>
      <c r="F29" s="1867"/>
      <c r="G29" s="990" t="s">
        <v>604</v>
      </c>
      <c r="H29" s="1171" t="s">
        <v>735</v>
      </c>
      <c r="I29" s="1858"/>
    </row>
    <row r="30" spans="1:19" ht="24" customHeight="1">
      <c r="A30" s="1853">
        <v>13</v>
      </c>
      <c r="B30" s="1854" t="s">
        <v>350</v>
      </c>
      <c r="C30" s="1855" t="s">
        <v>107</v>
      </c>
      <c r="D30" s="1552">
        <v>6037</v>
      </c>
      <c r="E30" s="1533">
        <v>6123</v>
      </c>
      <c r="F30" s="1856">
        <v>5742</v>
      </c>
      <c r="G30" s="1046" t="s">
        <v>355</v>
      </c>
      <c r="H30" s="1865" t="s">
        <v>1132</v>
      </c>
      <c r="I30" s="1853">
        <v>13</v>
      </c>
      <c r="L30">
        <f>6605-568</f>
        <v>6037</v>
      </c>
    </row>
    <row r="31" spans="1:19" ht="24" customHeight="1">
      <c r="A31" s="1853"/>
      <c r="B31" s="1854"/>
      <c r="C31" s="1855"/>
      <c r="D31" s="1552"/>
      <c r="E31" s="1533"/>
      <c r="F31" s="1856"/>
      <c r="G31" s="1046" t="s">
        <v>604</v>
      </c>
      <c r="H31" s="1865"/>
      <c r="I31" s="1853"/>
    </row>
    <row r="32" spans="1:19" ht="24" customHeight="1">
      <c r="A32" s="1858">
        <v>14</v>
      </c>
      <c r="B32" s="1868" t="s">
        <v>432</v>
      </c>
      <c r="C32" s="1866" t="s">
        <v>107</v>
      </c>
      <c r="D32" s="1567">
        <v>568</v>
      </c>
      <c r="E32" s="1548">
        <v>568</v>
      </c>
      <c r="F32" s="1867">
        <v>1248</v>
      </c>
      <c r="G32" s="990" t="s">
        <v>355</v>
      </c>
      <c r="H32" s="1456" t="s">
        <v>1133</v>
      </c>
      <c r="I32" s="1858">
        <v>14</v>
      </c>
    </row>
    <row r="33" spans="1:15" ht="24" customHeight="1">
      <c r="A33" s="1858"/>
      <c r="B33" s="1868"/>
      <c r="C33" s="1866"/>
      <c r="D33" s="1567"/>
      <c r="E33" s="1548"/>
      <c r="F33" s="1867"/>
      <c r="G33" s="990" t="s">
        <v>604</v>
      </c>
      <c r="H33" s="1456"/>
      <c r="I33" s="1858"/>
    </row>
    <row r="34" spans="1:15" ht="24" customHeight="1">
      <c r="A34" s="1853">
        <v>15</v>
      </c>
      <c r="B34" s="1854" t="s">
        <v>439</v>
      </c>
      <c r="C34" s="1855" t="s">
        <v>356</v>
      </c>
      <c r="D34" s="1552">
        <v>548</v>
      </c>
      <c r="E34" s="1533">
        <v>512</v>
      </c>
      <c r="F34" s="1856">
        <v>512</v>
      </c>
      <c r="G34" s="1857" t="s">
        <v>357</v>
      </c>
      <c r="H34" s="1172" t="s">
        <v>1134</v>
      </c>
      <c r="I34" s="1853">
        <v>15</v>
      </c>
    </row>
    <row r="35" spans="1:15" ht="24" customHeight="1">
      <c r="A35" s="1853"/>
      <c r="B35" s="1854"/>
      <c r="C35" s="1855"/>
      <c r="D35" s="1552"/>
      <c r="E35" s="1533"/>
      <c r="F35" s="1856"/>
      <c r="G35" s="1857"/>
      <c r="H35" s="657" t="s">
        <v>736</v>
      </c>
      <c r="I35" s="1853"/>
    </row>
    <row r="36" spans="1:15" ht="24" customHeight="1">
      <c r="A36" s="1858">
        <v>16</v>
      </c>
      <c r="B36" s="1861" t="s">
        <v>358</v>
      </c>
      <c r="C36" s="1866" t="s">
        <v>356</v>
      </c>
      <c r="D36" s="1567">
        <v>1635</v>
      </c>
      <c r="E36" s="1548">
        <v>1724</v>
      </c>
      <c r="F36" s="1867">
        <v>1724</v>
      </c>
      <c r="G36" s="1869" t="s">
        <v>357</v>
      </c>
      <c r="H36" s="1456" t="s">
        <v>1135</v>
      </c>
      <c r="I36" s="1858">
        <v>16</v>
      </c>
    </row>
    <row r="37" spans="1:15" ht="24" customHeight="1">
      <c r="A37" s="1872"/>
      <c r="B37" s="1876"/>
      <c r="C37" s="1877"/>
      <c r="D37" s="1878"/>
      <c r="E37" s="1594"/>
      <c r="F37" s="1879"/>
      <c r="G37" s="1870"/>
      <c r="H37" s="1871"/>
      <c r="I37" s="1872"/>
    </row>
    <row r="38" spans="1:15" ht="21.95" customHeight="1">
      <c r="A38" s="1873" t="s">
        <v>725</v>
      </c>
      <c r="B38" s="1873"/>
      <c r="C38" s="1873"/>
      <c r="D38" s="1874" t="s">
        <v>737</v>
      </c>
      <c r="E38" s="1874"/>
      <c r="F38" s="1874"/>
      <c r="G38" s="1875"/>
      <c r="H38" s="1515" t="s">
        <v>377</v>
      </c>
      <c r="I38" s="1515"/>
      <c r="M38" s="2" t="s">
        <v>1170</v>
      </c>
      <c r="N38" s="2" t="s">
        <v>1306</v>
      </c>
      <c r="O38" s="2" t="s">
        <v>1780</v>
      </c>
    </row>
    <row r="39" spans="1:15" ht="72.75" customHeight="1">
      <c r="A39" s="1468" t="s">
        <v>1968</v>
      </c>
      <c r="B39" s="1468"/>
      <c r="C39" s="1468"/>
      <c r="D39" s="1468"/>
      <c r="E39" s="1468"/>
      <c r="F39" s="1468"/>
      <c r="G39" s="1468"/>
      <c r="H39" s="1468"/>
      <c r="I39" s="1468"/>
      <c r="M39">
        <v>1394</v>
      </c>
      <c r="N39">
        <v>1395</v>
      </c>
      <c r="O39">
        <v>1396</v>
      </c>
    </row>
    <row r="40" spans="1:15">
      <c r="L40" t="s">
        <v>227</v>
      </c>
      <c r="M40">
        <v>308574</v>
      </c>
      <c r="N40">
        <v>321858</v>
      </c>
      <c r="O40">
        <v>329762</v>
      </c>
    </row>
  </sheetData>
  <mergeCells count="132">
    <mergeCell ref="A39:I39"/>
    <mergeCell ref="G36:G37"/>
    <mergeCell ref="H36:H37"/>
    <mergeCell ref="I36:I37"/>
    <mergeCell ref="A38:C38"/>
    <mergeCell ref="D38:G38"/>
    <mergeCell ref="H38:I38"/>
    <mergeCell ref="A36:A37"/>
    <mergeCell ref="B36:B37"/>
    <mergeCell ref="C36:C37"/>
    <mergeCell ref="D36:D37"/>
    <mergeCell ref="E36:E37"/>
    <mergeCell ref="F36:F37"/>
    <mergeCell ref="H32:H33"/>
    <mergeCell ref="I32:I33"/>
    <mergeCell ref="A34:A35"/>
    <mergeCell ref="B34:B35"/>
    <mergeCell ref="C34:C35"/>
    <mergeCell ref="D34:D35"/>
    <mergeCell ref="E34:E35"/>
    <mergeCell ref="F34:F35"/>
    <mergeCell ref="G34:G35"/>
    <mergeCell ref="I34:I35"/>
    <mergeCell ref="A32:A33"/>
    <mergeCell ref="B32:B33"/>
    <mergeCell ref="C32:C33"/>
    <mergeCell ref="D32:D33"/>
    <mergeCell ref="E32:E33"/>
    <mergeCell ref="F32:F33"/>
    <mergeCell ref="I28:I29"/>
    <mergeCell ref="A30:A31"/>
    <mergeCell ref="B30:B31"/>
    <mergeCell ref="C30:C31"/>
    <mergeCell ref="D30:D31"/>
    <mergeCell ref="E30:E31"/>
    <mergeCell ref="F30:F31"/>
    <mergeCell ref="H30:H31"/>
    <mergeCell ref="I30:I31"/>
    <mergeCell ref="A28:A29"/>
    <mergeCell ref="B28:B29"/>
    <mergeCell ref="C28:C29"/>
    <mergeCell ref="D28:D29"/>
    <mergeCell ref="E28:E29"/>
    <mergeCell ref="F28:F29"/>
    <mergeCell ref="H24:H25"/>
    <mergeCell ref="I24:I25"/>
    <mergeCell ref="A26:A27"/>
    <mergeCell ref="B26:B27"/>
    <mergeCell ref="C26:C27"/>
    <mergeCell ref="D26:D27"/>
    <mergeCell ref="E26:E27"/>
    <mergeCell ref="F26:F27"/>
    <mergeCell ref="H26:H27"/>
    <mergeCell ref="I26:I27"/>
    <mergeCell ref="A24:A25"/>
    <mergeCell ref="B24:B25"/>
    <mergeCell ref="C24:C25"/>
    <mergeCell ref="D24:D25"/>
    <mergeCell ref="E24:E25"/>
    <mergeCell ref="F24:F25"/>
    <mergeCell ref="H20:H21"/>
    <mergeCell ref="I20:I21"/>
    <mergeCell ref="R21:S21"/>
    <mergeCell ref="A22:A23"/>
    <mergeCell ref="B22:B23"/>
    <mergeCell ref="C22:C23"/>
    <mergeCell ref="D22:D23"/>
    <mergeCell ref="E22:E23"/>
    <mergeCell ref="F22:F23"/>
    <mergeCell ref="I22:I23"/>
    <mergeCell ref="A20:A21"/>
    <mergeCell ref="B20:B21"/>
    <mergeCell ref="C20:C21"/>
    <mergeCell ref="D20:D21"/>
    <mergeCell ref="E20:E21"/>
    <mergeCell ref="F20:F21"/>
    <mergeCell ref="I16:I17"/>
    <mergeCell ref="A18:A19"/>
    <mergeCell ref="B18:B19"/>
    <mergeCell ref="C18:C19"/>
    <mergeCell ref="D18:D19"/>
    <mergeCell ref="E18:E19"/>
    <mergeCell ref="F18:F19"/>
    <mergeCell ref="I18:I19"/>
    <mergeCell ref="A16:A17"/>
    <mergeCell ref="B16:B17"/>
    <mergeCell ref="C16:C17"/>
    <mergeCell ref="D16:D17"/>
    <mergeCell ref="E16:E17"/>
    <mergeCell ref="F16:F17"/>
    <mergeCell ref="I12:I13"/>
    <mergeCell ref="A14:A15"/>
    <mergeCell ref="B14:B15"/>
    <mergeCell ref="C14:C15"/>
    <mergeCell ref="D14:D15"/>
    <mergeCell ref="E14:E15"/>
    <mergeCell ref="F14:F15"/>
    <mergeCell ref="H14:H15"/>
    <mergeCell ref="I14:I15"/>
    <mergeCell ref="A12:A13"/>
    <mergeCell ref="B12:B13"/>
    <mergeCell ref="C12:C13"/>
    <mergeCell ref="D12:D13"/>
    <mergeCell ref="E12:E13"/>
    <mergeCell ref="F12:F13"/>
    <mergeCell ref="A8:A9"/>
    <mergeCell ref="I8:I9"/>
    <mergeCell ref="A10:A11"/>
    <mergeCell ref="B10:B11"/>
    <mergeCell ref="C10:C11"/>
    <mergeCell ref="D10:D11"/>
    <mergeCell ref="E10:E11"/>
    <mergeCell ref="F10:F11"/>
    <mergeCell ref="I10:I11"/>
    <mergeCell ref="P5:Q5"/>
    <mergeCell ref="A6:A7"/>
    <mergeCell ref="B6:B7"/>
    <mergeCell ref="C6:C7"/>
    <mergeCell ref="D6:D7"/>
    <mergeCell ref="E6:E7"/>
    <mergeCell ref="F6:F7"/>
    <mergeCell ref="G6:G7"/>
    <mergeCell ref="I6:I7"/>
    <mergeCell ref="A1:I1"/>
    <mergeCell ref="A2:I2"/>
    <mergeCell ref="A3:I3"/>
    <mergeCell ref="A4:A5"/>
    <mergeCell ref="B4:B5"/>
    <mergeCell ref="C4:C5"/>
    <mergeCell ref="H4:H5"/>
    <mergeCell ref="I4:I5"/>
    <mergeCell ref="N5:O5"/>
  </mergeCells>
  <pageMargins left="0.55118110236220497" right="0.55118110236220497" top="0.27559055118110198" bottom="0.55118110236220497" header="0.196850393700787" footer="0.35433070866141703"/>
  <pageSetup paperSize="9" scale="69" orientation="portrait" verticalDpi="300" r:id="rId1"/>
  <headerFooter>
    <oddFooter>&amp;L&amp;"Times New Roman,Bold"Afghanistan Statistical Yearbook 2017-18&amp;R&amp;"Times New Roman,Bold"سالنامۀ احصائیوی / احصا ئيوي کالنی1399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9"/>
  <sheetViews>
    <sheetView view="pageBreakPreview" topLeftCell="A25" zoomScale="70" zoomScaleSheetLayoutView="70" workbookViewId="0">
      <selection activeCell="E26" sqref="E26"/>
    </sheetView>
  </sheetViews>
  <sheetFormatPr defaultRowHeight="15"/>
  <cols>
    <col min="1" max="1" width="5.28515625" customWidth="1"/>
    <col min="2" max="2" width="14.28515625" customWidth="1"/>
    <col min="3" max="3" width="8.85546875" customWidth="1"/>
    <col min="4" max="4" width="9.42578125" customWidth="1"/>
    <col min="5" max="5" width="10.42578125" customWidth="1"/>
    <col min="6" max="6" width="8.42578125" customWidth="1"/>
    <col min="7" max="7" width="9.140625" customWidth="1"/>
    <col min="8" max="8" width="10.7109375" customWidth="1"/>
    <col min="9" max="9" width="8.140625" customWidth="1"/>
    <col min="10" max="10" width="8.85546875" customWidth="1"/>
    <col min="11" max="11" width="10.85546875" customWidth="1"/>
    <col min="12" max="12" width="11.28515625" customWidth="1"/>
    <col min="13" max="13" width="6.140625" customWidth="1"/>
  </cols>
  <sheetData>
    <row r="1" spans="1:25" ht="30" customHeight="1">
      <c r="A1" s="1437" t="s">
        <v>923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30" customHeight="1">
      <c r="A2" s="1437" t="s">
        <v>1984</v>
      </c>
      <c r="B2" s="1437"/>
      <c r="C2" s="1437"/>
      <c r="D2" s="1437"/>
      <c r="E2" s="1437"/>
      <c r="F2" s="1437"/>
      <c r="G2" s="1437"/>
      <c r="H2" s="1437"/>
      <c r="I2" s="1437"/>
      <c r="J2" s="1437"/>
      <c r="K2" s="1437"/>
      <c r="L2" s="1437"/>
      <c r="M2" s="1437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30" customHeight="1">
      <c r="A3" s="1511" t="s">
        <v>924</v>
      </c>
      <c r="B3" s="1511"/>
      <c r="C3" s="1511"/>
      <c r="D3" s="1511"/>
      <c r="E3" s="1511"/>
      <c r="F3" s="1511"/>
      <c r="G3" s="1511"/>
      <c r="H3" s="1511"/>
      <c r="I3" s="1511"/>
      <c r="J3" s="1511"/>
      <c r="K3" s="1511"/>
      <c r="L3" s="1511"/>
      <c r="M3" s="15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30" customHeight="1">
      <c r="A4" s="1459" t="s">
        <v>2026</v>
      </c>
      <c r="B4" s="1517" t="s">
        <v>414</v>
      </c>
      <c r="C4" s="1818" t="s">
        <v>1971</v>
      </c>
      <c r="D4" s="1881"/>
      <c r="E4" s="1882"/>
      <c r="F4" s="1818" t="s">
        <v>1313</v>
      </c>
      <c r="G4" s="1881"/>
      <c r="H4" s="1882"/>
      <c r="I4" s="1883" t="s">
        <v>1160</v>
      </c>
      <c r="J4" s="1884"/>
      <c r="K4" s="1885"/>
      <c r="L4" s="1886" t="s">
        <v>411</v>
      </c>
      <c r="M4" s="1459" t="s">
        <v>2027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30" customHeight="1">
      <c r="A5" s="1460"/>
      <c r="B5" s="1619"/>
      <c r="C5" s="1165" t="s">
        <v>997</v>
      </c>
      <c r="D5" s="1087" t="s">
        <v>225</v>
      </c>
      <c r="E5" s="1060" t="s">
        <v>1016</v>
      </c>
      <c r="F5" s="1165" t="s">
        <v>359</v>
      </c>
      <c r="G5" s="1087" t="s">
        <v>225</v>
      </c>
      <c r="H5" s="1060" t="s">
        <v>1016</v>
      </c>
      <c r="I5" s="1165" t="s">
        <v>997</v>
      </c>
      <c r="J5" s="1087" t="s">
        <v>225</v>
      </c>
      <c r="K5" s="1060" t="s">
        <v>1016</v>
      </c>
      <c r="L5" s="1887"/>
      <c r="M5" s="146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30" customHeight="1">
      <c r="A6" s="1460"/>
      <c r="B6" s="1619"/>
      <c r="C6" s="1166" t="s">
        <v>546</v>
      </c>
      <c r="D6" s="1088" t="s">
        <v>605</v>
      </c>
      <c r="E6" s="1067" t="s">
        <v>1136</v>
      </c>
      <c r="F6" s="1166" t="s">
        <v>546</v>
      </c>
      <c r="G6" s="1088" t="s">
        <v>605</v>
      </c>
      <c r="H6" s="1067" t="s">
        <v>1136</v>
      </c>
      <c r="I6" s="1166" t="s">
        <v>546</v>
      </c>
      <c r="J6" s="1088" t="s">
        <v>605</v>
      </c>
      <c r="K6" s="1067" t="s">
        <v>1136</v>
      </c>
      <c r="L6" s="1887"/>
      <c r="M6" s="1460"/>
      <c r="O6" s="10">
        <v>181</v>
      </c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30" customHeight="1">
      <c r="A7" s="1461"/>
      <c r="B7" s="1500"/>
      <c r="C7" s="1167" t="s">
        <v>73</v>
      </c>
      <c r="D7" s="1091" t="s">
        <v>62</v>
      </c>
      <c r="E7" s="1064" t="s">
        <v>1017</v>
      </c>
      <c r="F7" s="1167" t="s">
        <v>73</v>
      </c>
      <c r="G7" s="1091" t="s">
        <v>62</v>
      </c>
      <c r="H7" s="1064" t="s">
        <v>1017</v>
      </c>
      <c r="I7" s="1167" t="s">
        <v>73</v>
      </c>
      <c r="J7" s="1091" t="s">
        <v>62</v>
      </c>
      <c r="K7" s="1064" t="s">
        <v>1017</v>
      </c>
      <c r="L7" s="1888"/>
      <c r="M7" s="1460"/>
      <c r="O7" s="10">
        <v>676</v>
      </c>
      <c r="P7" s="10"/>
      <c r="Q7" s="10"/>
      <c r="R7" s="10"/>
      <c r="S7" s="10"/>
      <c r="T7" s="139" t="s">
        <v>866</v>
      </c>
      <c r="U7" s="10"/>
      <c r="V7" s="10"/>
      <c r="W7" s="10"/>
      <c r="X7" s="10"/>
      <c r="Y7" s="10"/>
    </row>
    <row r="8" spans="1:25" ht="29.1" customHeight="1">
      <c r="A8" s="1157"/>
      <c r="B8" s="966" t="s">
        <v>28</v>
      </c>
      <c r="C8" s="967">
        <f>C9+C10+C12+C14+C15+C16+C17+C18+C19+C20+C21+C22+C23+C24+C26+C27</f>
        <v>623</v>
      </c>
      <c r="D8" s="963">
        <f>D9+D10+D12+D14+D15+D16+D17+D18+D19+D20+D21+D22+D23+D24+D26+D27</f>
        <v>13354</v>
      </c>
      <c r="E8" s="736">
        <f>E9+E10+E12+E14+E15+E16+E17+E18+E19+E20+E21+E22+E23+E24+E26+E27</f>
        <v>52</v>
      </c>
      <c r="F8" s="963">
        <f>F9+F10+F11+F12+F13+F14+F19+F20+F21+F22+F23+F24+F25</f>
        <v>572</v>
      </c>
      <c r="G8" s="1023">
        <f>G9+G10+G11+G12+G13+G14+G19+G20+G21+G22+G23+G24+G25</f>
        <v>11230</v>
      </c>
      <c r="H8" s="736">
        <f>H9+H10+H11+H12+H13+H14+H19+H20+H21+H22+H23+H24+H25</f>
        <v>47</v>
      </c>
      <c r="I8" s="963">
        <f>I9+I12+I13+I14+I19+I20+I24+I25</f>
        <v>378</v>
      </c>
      <c r="J8" s="1023">
        <f>J9+J12+J13+J14+J19+J20+J21+J24+J25</f>
        <v>7374</v>
      </c>
      <c r="K8" s="736">
        <f>K9+K12+K13+K14+K19+K20+K21+K24+K25</f>
        <v>28</v>
      </c>
      <c r="L8" s="1158" t="s">
        <v>627</v>
      </c>
      <c r="M8" s="1157"/>
      <c r="O8" s="10">
        <v>357</v>
      </c>
      <c r="P8" s="11"/>
      <c r="Q8" s="11"/>
      <c r="R8" s="11"/>
      <c r="S8" s="10"/>
      <c r="T8" s="139" t="s">
        <v>867</v>
      </c>
      <c r="U8" s="10"/>
      <c r="V8" s="10"/>
      <c r="W8" s="10"/>
      <c r="X8" s="10"/>
      <c r="Y8" s="10"/>
    </row>
    <row r="9" spans="1:25" ht="29.1" customHeight="1">
      <c r="A9" s="1159">
        <v>1</v>
      </c>
      <c r="B9" s="956" t="s">
        <v>113</v>
      </c>
      <c r="C9" s="954">
        <f>15+24+63+26+8+1+11+17+15+11+9+10+2+30</f>
        <v>242</v>
      </c>
      <c r="D9" s="955">
        <f>188+128+840+406+459+80+64+61+133+133+277+88+64+12+58+134+285+100</f>
        <v>3510</v>
      </c>
      <c r="E9" s="955">
        <v>18</v>
      </c>
      <c r="F9" s="954">
        <v>262</v>
      </c>
      <c r="G9" s="943">
        <v>4014</v>
      </c>
      <c r="H9" s="944">
        <v>19</v>
      </c>
      <c r="I9" s="955">
        <v>105</v>
      </c>
      <c r="J9" s="943">
        <v>1514</v>
      </c>
      <c r="K9" s="944">
        <v>8</v>
      </c>
      <c r="L9" s="1160" t="s">
        <v>114</v>
      </c>
      <c r="M9" s="1159">
        <v>1</v>
      </c>
      <c r="N9" s="184"/>
      <c r="O9" s="130">
        <v>85</v>
      </c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29.1" customHeight="1">
      <c r="A10" s="1161">
        <v>2</v>
      </c>
      <c r="B10" s="966" t="s">
        <v>240</v>
      </c>
      <c r="C10" s="967">
        <v>6</v>
      </c>
      <c r="D10" s="963">
        <v>98</v>
      </c>
      <c r="E10" s="963">
        <v>1</v>
      </c>
      <c r="F10" s="967">
        <v>6</v>
      </c>
      <c r="G10" s="657">
        <v>61</v>
      </c>
      <c r="H10" s="626">
        <v>1</v>
      </c>
      <c r="I10" s="963" t="s">
        <v>485</v>
      </c>
      <c r="J10" s="657" t="s">
        <v>485</v>
      </c>
      <c r="K10" s="626" t="s">
        <v>485</v>
      </c>
      <c r="L10" s="1158" t="s">
        <v>241</v>
      </c>
      <c r="M10" s="1161">
        <v>2</v>
      </c>
      <c r="N10" s="184"/>
      <c r="O10" s="13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29.1" customHeight="1">
      <c r="A11" s="1159">
        <v>3</v>
      </c>
      <c r="B11" s="956" t="s">
        <v>1107</v>
      </c>
      <c r="C11" s="954" t="s">
        <v>486</v>
      </c>
      <c r="D11" s="955" t="s">
        <v>486</v>
      </c>
      <c r="E11" s="955" t="s">
        <v>486</v>
      </c>
      <c r="F11" s="954">
        <v>4</v>
      </c>
      <c r="G11" s="943">
        <v>107</v>
      </c>
      <c r="H11" s="944">
        <v>1</v>
      </c>
      <c r="I11" s="955" t="s">
        <v>485</v>
      </c>
      <c r="J11" s="943" t="s">
        <v>485</v>
      </c>
      <c r="K11" s="944" t="s">
        <v>485</v>
      </c>
      <c r="L11" s="1160" t="s">
        <v>1106</v>
      </c>
      <c r="M11" s="1159">
        <v>3</v>
      </c>
      <c r="N11" s="184"/>
      <c r="O11" s="13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29.1" customHeight="1">
      <c r="A12" s="1161">
        <v>4</v>
      </c>
      <c r="B12" s="966" t="s">
        <v>115</v>
      </c>
      <c r="C12" s="967">
        <v>45</v>
      </c>
      <c r="D12" s="963">
        <f>151+374+72+90+36</f>
        <v>723</v>
      </c>
      <c r="E12" s="963">
        <v>5</v>
      </c>
      <c r="F12" s="967">
        <v>28</v>
      </c>
      <c r="G12" s="657">
        <v>1079</v>
      </c>
      <c r="H12" s="626">
        <v>4</v>
      </c>
      <c r="I12" s="963">
        <v>29</v>
      </c>
      <c r="J12" s="657">
        <v>465</v>
      </c>
      <c r="K12" s="626">
        <v>2</v>
      </c>
      <c r="L12" s="1158" t="s">
        <v>116</v>
      </c>
      <c r="M12" s="1161">
        <v>4</v>
      </c>
      <c r="N12" s="184"/>
      <c r="O12" s="130">
        <v>500</v>
      </c>
      <c r="X12" s="10"/>
      <c r="Y12" s="10"/>
    </row>
    <row r="13" spans="1:25" ht="29.1" customHeight="1">
      <c r="A13" s="1159">
        <v>5</v>
      </c>
      <c r="B13" s="956" t="s">
        <v>320</v>
      </c>
      <c r="C13" s="954" t="s">
        <v>486</v>
      </c>
      <c r="D13" s="955" t="s">
        <v>486</v>
      </c>
      <c r="E13" s="955" t="s">
        <v>486</v>
      </c>
      <c r="F13" s="954">
        <v>12</v>
      </c>
      <c r="G13" s="943">
        <v>172</v>
      </c>
      <c r="H13" s="944">
        <v>2</v>
      </c>
      <c r="I13" s="955">
        <v>6</v>
      </c>
      <c r="J13" s="943">
        <v>64</v>
      </c>
      <c r="K13" s="944">
        <v>1</v>
      </c>
      <c r="L13" s="1160" t="s">
        <v>321</v>
      </c>
      <c r="M13" s="1159">
        <v>5</v>
      </c>
      <c r="O13" s="130">
        <v>87</v>
      </c>
      <c r="Q13">
        <v>884</v>
      </c>
      <c r="X13" s="10"/>
      <c r="Y13" s="10"/>
    </row>
    <row r="14" spans="1:25" ht="29.1" customHeight="1">
      <c r="A14" s="1161">
        <v>6</v>
      </c>
      <c r="B14" s="966" t="s">
        <v>311</v>
      </c>
      <c r="C14" s="967">
        <v>104</v>
      </c>
      <c r="D14" s="963">
        <f>470+87+134+177+520+125</f>
        <v>1513</v>
      </c>
      <c r="E14" s="963">
        <v>6</v>
      </c>
      <c r="F14" s="967">
        <f>11+2+13+17+23+16</f>
        <v>82</v>
      </c>
      <c r="G14" s="963">
        <v>1676</v>
      </c>
      <c r="H14" s="964">
        <v>7</v>
      </c>
      <c r="I14" s="963">
        <v>65</v>
      </c>
      <c r="J14" s="963">
        <v>1705</v>
      </c>
      <c r="K14" s="964">
        <v>5</v>
      </c>
      <c r="L14" s="1158" t="s">
        <v>245</v>
      </c>
      <c r="M14" s="1161">
        <v>6</v>
      </c>
      <c r="O14" s="130"/>
      <c r="P14" s="10"/>
      <c r="Q14" s="10">
        <v>1257</v>
      </c>
      <c r="R14" s="10"/>
      <c r="S14" s="10"/>
      <c r="T14" s="10"/>
      <c r="U14" s="10"/>
      <c r="V14" s="10">
        <f>4490+295203</f>
        <v>299693</v>
      </c>
      <c r="W14" s="10"/>
      <c r="X14" s="10"/>
      <c r="Y14" s="10"/>
    </row>
    <row r="15" spans="1:25" ht="29.1" customHeight="1">
      <c r="A15" s="1159">
        <v>7</v>
      </c>
      <c r="B15" s="956" t="s">
        <v>936</v>
      </c>
      <c r="C15" s="954">
        <v>6</v>
      </c>
      <c r="D15" s="955">
        <v>42</v>
      </c>
      <c r="E15" s="955">
        <v>1</v>
      </c>
      <c r="F15" s="954" t="s">
        <v>485</v>
      </c>
      <c r="G15" s="955" t="s">
        <v>485</v>
      </c>
      <c r="H15" s="953" t="s">
        <v>485</v>
      </c>
      <c r="I15" s="955" t="s">
        <v>485</v>
      </c>
      <c r="J15" s="955" t="s">
        <v>485</v>
      </c>
      <c r="K15" s="953" t="s">
        <v>485</v>
      </c>
      <c r="L15" s="1160" t="s">
        <v>249</v>
      </c>
      <c r="M15" s="1159">
        <v>7</v>
      </c>
      <c r="O15" s="13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29.1" customHeight="1">
      <c r="A16" s="1161">
        <v>8</v>
      </c>
      <c r="B16" s="966" t="s">
        <v>257</v>
      </c>
      <c r="C16" s="967">
        <v>5</v>
      </c>
      <c r="D16" s="963">
        <v>450</v>
      </c>
      <c r="E16" s="963">
        <v>1</v>
      </c>
      <c r="F16" s="967" t="s">
        <v>485</v>
      </c>
      <c r="G16" s="963" t="s">
        <v>485</v>
      </c>
      <c r="H16" s="964" t="s">
        <v>485</v>
      </c>
      <c r="I16" s="963" t="s">
        <v>485</v>
      </c>
      <c r="J16" s="963" t="s">
        <v>485</v>
      </c>
      <c r="K16" s="964" t="s">
        <v>485</v>
      </c>
      <c r="L16" s="1158" t="s">
        <v>258</v>
      </c>
      <c r="M16" s="1161">
        <v>8</v>
      </c>
      <c r="O16" s="13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7" ht="29.1" customHeight="1">
      <c r="A17" s="1159">
        <v>9</v>
      </c>
      <c r="B17" s="956" t="s">
        <v>259</v>
      </c>
      <c r="C17" s="954">
        <v>14</v>
      </c>
      <c r="D17" s="955">
        <v>840</v>
      </c>
      <c r="E17" s="955">
        <v>1</v>
      </c>
      <c r="F17" s="954" t="s">
        <v>485</v>
      </c>
      <c r="G17" s="955" t="s">
        <v>485</v>
      </c>
      <c r="H17" s="953" t="s">
        <v>485</v>
      </c>
      <c r="I17" s="955" t="s">
        <v>485</v>
      </c>
      <c r="J17" s="955" t="s">
        <v>485</v>
      </c>
      <c r="K17" s="953" t="s">
        <v>485</v>
      </c>
      <c r="L17" s="1160" t="s">
        <v>260</v>
      </c>
      <c r="M17" s="1159">
        <v>9</v>
      </c>
      <c r="O17" s="13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7" ht="29.1" customHeight="1">
      <c r="A18" s="1161">
        <v>10</v>
      </c>
      <c r="B18" s="966" t="s">
        <v>253</v>
      </c>
      <c r="C18" s="967">
        <v>6</v>
      </c>
      <c r="D18" s="963">
        <v>75</v>
      </c>
      <c r="E18" s="963">
        <v>1</v>
      </c>
      <c r="F18" s="967" t="s">
        <v>485</v>
      </c>
      <c r="G18" s="963" t="s">
        <v>485</v>
      </c>
      <c r="H18" s="964" t="s">
        <v>485</v>
      </c>
      <c r="I18" s="963" t="s">
        <v>485</v>
      </c>
      <c r="J18" s="963" t="s">
        <v>485</v>
      </c>
      <c r="K18" s="964" t="s">
        <v>485</v>
      </c>
      <c r="L18" s="1158" t="s">
        <v>314</v>
      </c>
      <c r="M18" s="1161">
        <v>10</v>
      </c>
      <c r="O18" s="130">
        <f>34+24+14+25+14+18</f>
        <v>129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7" ht="29.1" customHeight="1">
      <c r="A19" s="1159">
        <v>11</v>
      </c>
      <c r="B19" s="956" t="s">
        <v>119</v>
      </c>
      <c r="C19" s="954">
        <f>34+38+25+14+4+14</f>
        <v>129</v>
      </c>
      <c r="D19" s="955">
        <f>663+997+382+215+61+143</f>
        <v>2461</v>
      </c>
      <c r="E19" s="955">
        <v>6</v>
      </c>
      <c r="F19" s="954">
        <v>113</v>
      </c>
      <c r="G19" s="955">
        <v>2437</v>
      </c>
      <c r="H19" s="953">
        <v>5</v>
      </c>
      <c r="I19" s="955">
        <v>130</v>
      </c>
      <c r="J19" s="955">
        <v>2374</v>
      </c>
      <c r="K19" s="953">
        <v>7</v>
      </c>
      <c r="L19" s="1160" t="s">
        <v>120</v>
      </c>
      <c r="M19" s="1159">
        <v>11</v>
      </c>
      <c r="O19" s="130"/>
      <c r="P19" s="10"/>
      <c r="Q19" s="10">
        <v>0</v>
      </c>
      <c r="R19" s="10"/>
      <c r="S19" s="10"/>
      <c r="T19" s="10"/>
      <c r="U19" s="10"/>
      <c r="V19" s="10"/>
      <c r="W19" s="10"/>
      <c r="X19" s="10"/>
      <c r="Y19" s="10"/>
    </row>
    <row r="20" spans="1:27" ht="29.1" customHeight="1">
      <c r="A20" s="1161">
        <v>12</v>
      </c>
      <c r="B20" s="966" t="s">
        <v>261</v>
      </c>
      <c r="C20" s="967">
        <v>11</v>
      </c>
      <c r="D20" s="963">
        <f>87+16</f>
        <v>103</v>
      </c>
      <c r="E20" s="963">
        <v>2</v>
      </c>
      <c r="F20" s="967">
        <v>14</v>
      </c>
      <c r="G20" s="963">
        <f>150</f>
        <v>150</v>
      </c>
      <c r="H20" s="964">
        <v>2</v>
      </c>
      <c r="I20" s="963">
        <v>7</v>
      </c>
      <c r="J20" s="963">
        <v>96</v>
      </c>
      <c r="K20" s="964">
        <v>1</v>
      </c>
      <c r="L20" s="963" t="s">
        <v>783</v>
      </c>
      <c r="M20" s="1161">
        <v>12</v>
      </c>
      <c r="O20" s="10"/>
      <c r="P20" s="10"/>
      <c r="Q20" s="10">
        <f>SUM(Q13:Q19)</f>
        <v>2141</v>
      </c>
      <c r="R20" s="10"/>
      <c r="S20" s="10"/>
      <c r="T20" s="10"/>
      <c r="U20" s="10"/>
      <c r="V20" s="10"/>
      <c r="W20" s="10"/>
      <c r="X20" s="10"/>
      <c r="Y20" s="10"/>
    </row>
    <row r="21" spans="1:27" ht="29.1" customHeight="1">
      <c r="A21" s="1159">
        <v>13</v>
      </c>
      <c r="B21" s="956" t="s">
        <v>316</v>
      </c>
      <c r="C21" s="954">
        <v>10</v>
      </c>
      <c r="D21" s="955">
        <f>52+177</f>
        <v>229</v>
      </c>
      <c r="E21" s="955">
        <v>2</v>
      </c>
      <c r="F21" s="954">
        <v>4</v>
      </c>
      <c r="G21" s="955">
        <v>36</v>
      </c>
      <c r="H21" s="953">
        <v>1</v>
      </c>
      <c r="I21" s="955" t="s">
        <v>486</v>
      </c>
      <c r="J21" s="955">
        <v>365</v>
      </c>
      <c r="K21" s="953">
        <v>1</v>
      </c>
      <c r="L21" s="120" t="s">
        <v>317</v>
      </c>
      <c r="M21" s="1159">
        <v>13</v>
      </c>
      <c r="O21" s="10">
        <f>SUM(O7:O20)</f>
        <v>1834</v>
      </c>
      <c r="P21" s="10"/>
      <c r="Q21" s="10"/>
      <c r="R21" s="10"/>
      <c r="S21" s="10"/>
      <c r="T21" s="10"/>
      <c r="U21" s="10"/>
      <c r="V21" s="10"/>
      <c r="W21" s="10">
        <v>202787</v>
      </c>
      <c r="X21" s="10">
        <v>8588903</v>
      </c>
      <c r="Y21" s="10"/>
      <c r="Z21">
        <v>10473</v>
      </c>
      <c r="AA21">
        <v>188017</v>
      </c>
    </row>
    <row r="22" spans="1:27" ht="29.1" customHeight="1">
      <c r="A22" s="1161">
        <v>14</v>
      </c>
      <c r="B22" s="966" t="s">
        <v>333</v>
      </c>
      <c r="C22" s="967">
        <v>10</v>
      </c>
      <c r="D22" s="963">
        <v>306</v>
      </c>
      <c r="E22" s="963">
        <v>1</v>
      </c>
      <c r="F22" s="967">
        <v>13</v>
      </c>
      <c r="G22" s="963">
        <v>541</v>
      </c>
      <c r="H22" s="964">
        <v>2</v>
      </c>
      <c r="I22" s="963" t="s">
        <v>486</v>
      </c>
      <c r="J22" s="963" t="s">
        <v>485</v>
      </c>
      <c r="K22" s="964" t="s">
        <v>485</v>
      </c>
      <c r="L22" s="1077" t="s">
        <v>268</v>
      </c>
      <c r="M22" s="1161">
        <v>14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7" ht="29.1" customHeight="1">
      <c r="A23" s="1159">
        <v>15</v>
      </c>
      <c r="B23" s="956" t="s">
        <v>325</v>
      </c>
      <c r="C23" s="954">
        <v>10</v>
      </c>
      <c r="D23" s="955">
        <f>904+588+700+201</f>
        <v>2393</v>
      </c>
      <c r="E23" s="955">
        <v>4</v>
      </c>
      <c r="F23" s="954">
        <v>10</v>
      </c>
      <c r="G23" s="955">
        <v>370</v>
      </c>
      <c r="H23" s="953">
        <v>1</v>
      </c>
      <c r="I23" s="955" t="s">
        <v>486</v>
      </c>
      <c r="J23" s="955" t="s">
        <v>485</v>
      </c>
      <c r="K23" s="953" t="s">
        <v>485</v>
      </c>
      <c r="L23" s="120" t="s">
        <v>283</v>
      </c>
      <c r="M23" s="1159">
        <v>15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7" ht="29.1" customHeight="1">
      <c r="A24" s="1161">
        <v>16</v>
      </c>
      <c r="B24" s="966" t="s">
        <v>121</v>
      </c>
      <c r="C24" s="967">
        <v>14</v>
      </c>
      <c r="D24" s="963">
        <v>345</v>
      </c>
      <c r="E24" s="963">
        <v>1</v>
      </c>
      <c r="F24" s="967">
        <v>12</v>
      </c>
      <c r="G24" s="963">
        <v>281</v>
      </c>
      <c r="H24" s="964">
        <v>1</v>
      </c>
      <c r="I24" s="963">
        <v>23</v>
      </c>
      <c r="J24" s="963">
        <v>459</v>
      </c>
      <c r="K24" s="964">
        <v>2</v>
      </c>
      <c r="L24" s="1158" t="s">
        <v>935</v>
      </c>
      <c r="M24" s="1161">
        <v>16</v>
      </c>
      <c r="O24" s="10"/>
      <c r="P24" s="10"/>
      <c r="Q24" s="10"/>
      <c r="R24" s="10"/>
      <c r="S24" s="10"/>
      <c r="T24" s="10"/>
      <c r="U24" s="10"/>
      <c r="V24" s="10"/>
      <c r="W24" s="10">
        <v>2399</v>
      </c>
      <c r="X24" s="10">
        <v>211569</v>
      </c>
      <c r="Y24" s="10"/>
      <c r="Z24">
        <v>217</v>
      </c>
      <c r="AA24">
        <v>0</v>
      </c>
    </row>
    <row r="25" spans="1:27" ht="29.1" customHeight="1">
      <c r="A25" s="1159">
        <v>17</v>
      </c>
      <c r="B25" s="956" t="s">
        <v>318</v>
      </c>
      <c r="C25" s="962" t="s">
        <v>486</v>
      </c>
      <c r="D25" s="1092" t="s">
        <v>486</v>
      </c>
      <c r="E25" s="606" t="s">
        <v>486</v>
      </c>
      <c r="F25" s="962">
        <v>12</v>
      </c>
      <c r="G25" s="1092">
        <v>306</v>
      </c>
      <c r="H25" s="607" t="s">
        <v>934</v>
      </c>
      <c r="I25" s="961">
        <v>13</v>
      </c>
      <c r="J25" s="1092">
        <v>332</v>
      </c>
      <c r="K25" s="607" t="s">
        <v>934</v>
      </c>
      <c r="L25" s="1162" t="s">
        <v>319</v>
      </c>
      <c r="M25" s="1159">
        <v>17</v>
      </c>
      <c r="O25" s="10"/>
      <c r="P25" s="10"/>
      <c r="Q25" s="10"/>
      <c r="R25" s="10"/>
      <c r="S25" s="10"/>
      <c r="T25" s="10"/>
      <c r="U25" s="10"/>
      <c r="V25" s="10"/>
      <c r="W25" s="10">
        <v>4490</v>
      </c>
      <c r="X25" s="10">
        <v>46469</v>
      </c>
      <c r="Y25" s="10"/>
      <c r="Z25">
        <v>214</v>
      </c>
      <c r="AA25">
        <v>1635</v>
      </c>
    </row>
    <row r="26" spans="1:27" ht="29.1" customHeight="1">
      <c r="A26" s="1161">
        <v>18</v>
      </c>
      <c r="B26" s="966" t="s">
        <v>274</v>
      </c>
      <c r="C26" s="968">
        <v>10</v>
      </c>
      <c r="D26" s="963">
        <v>246</v>
      </c>
      <c r="E26" s="735" t="s">
        <v>934</v>
      </c>
      <c r="F26" s="968" t="s">
        <v>485</v>
      </c>
      <c r="G26" s="963" t="s">
        <v>485</v>
      </c>
      <c r="H26" s="736" t="s">
        <v>485</v>
      </c>
      <c r="I26" s="969" t="s">
        <v>485</v>
      </c>
      <c r="J26" s="963" t="s">
        <v>485</v>
      </c>
      <c r="K26" s="736" t="s">
        <v>485</v>
      </c>
      <c r="L26" s="1158" t="s">
        <v>275</v>
      </c>
      <c r="M26" s="1161">
        <v>18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7" ht="29.1" customHeight="1">
      <c r="A27" s="1163">
        <v>19</v>
      </c>
      <c r="B27" s="1045" t="s">
        <v>322</v>
      </c>
      <c r="C27" s="998">
        <v>1</v>
      </c>
      <c r="D27" s="359">
        <v>20</v>
      </c>
      <c r="E27" s="608" t="s">
        <v>934</v>
      </c>
      <c r="F27" s="998" t="s">
        <v>485</v>
      </c>
      <c r="G27" s="359" t="s">
        <v>485</v>
      </c>
      <c r="H27" s="609" t="s">
        <v>485</v>
      </c>
      <c r="I27" s="975" t="s">
        <v>485</v>
      </c>
      <c r="J27" s="359" t="s">
        <v>485</v>
      </c>
      <c r="K27" s="609" t="s">
        <v>485</v>
      </c>
      <c r="L27" s="1164" t="s">
        <v>323</v>
      </c>
      <c r="M27" s="1163">
        <v>19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7" ht="27" customHeight="1">
      <c r="A28" s="1873" t="s">
        <v>725</v>
      </c>
      <c r="B28" s="1873"/>
      <c r="C28" s="1873"/>
      <c r="D28" s="1873"/>
      <c r="E28" s="1880" t="s">
        <v>737</v>
      </c>
      <c r="F28" s="1880"/>
      <c r="G28" s="1880"/>
      <c r="H28" s="1880"/>
      <c r="I28" s="1880"/>
      <c r="J28" s="1515" t="s">
        <v>118</v>
      </c>
      <c r="K28" s="1515"/>
      <c r="L28" s="1515"/>
      <c r="M28" s="1515"/>
      <c r="O28" s="10"/>
      <c r="P28" s="10"/>
      <c r="Q28" s="10"/>
      <c r="R28" s="10"/>
      <c r="S28" s="10"/>
      <c r="T28" s="10"/>
      <c r="U28" s="10"/>
      <c r="V28" s="10"/>
      <c r="W28" s="10">
        <f>SUM(W21:W25)</f>
        <v>209676</v>
      </c>
      <c r="X28" s="130">
        <v>73212</v>
      </c>
      <c r="Y28" s="10"/>
      <c r="Z28">
        <f>SUM(Z21:Z25)</f>
        <v>10904</v>
      </c>
      <c r="AA28">
        <v>2603</v>
      </c>
    </row>
    <row r="29" spans="1:27" ht="56.25" customHeight="1">
      <c r="A29" s="1468" t="s">
        <v>1985</v>
      </c>
      <c r="B29" s="1468"/>
      <c r="C29" s="1468"/>
      <c r="D29" s="1468"/>
      <c r="E29" s="1468"/>
      <c r="F29" s="1468"/>
      <c r="G29" s="1468"/>
      <c r="H29" s="1468"/>
      <c r="I29" s="1468"/>
      <c r="J29" s="1468"/>
      <c r="K29" s="1468"/>
      <c r="L29" s="1468"/>
      <c r="M29" s="1468"/>
      <c r="X29" s="130">
        <v>32757</v>
      </c>
      <c r="AA29">
        <v>1437</v>
      </c>
    </row>
    <row r="30" spans="1:27">
      <c r="X30" s="130">
        <v>295203</v>
      </c>
      <c r="AA30">
        <v>7396</v>
      </c>
    </row>
    <row r="31" spans="1:27" ht="15.75">
      <c r="O31" s="73"/>
      <c r="R31" s="2" t="s">
        <v>1156</v>
      </c>
      <c r="S31" s="2" t="s">
        <v>1305</v>
      </c>
      <c r="T31" s="2" t="s">
        <v>1774</v>
      </c>
      <c r="X31">
        <v>19825</v>
      </c>
      <c r="AA31">
        <v>0</v>
      </c>
    </row>
    <row r="32" spans="1:27" ht="15.75">
      <c r="O32" s="73"/>
      <c r="R32" s="2" t="s">
        <v>1159</v>
      </c>
      <c r="S32" s="2" t="s">
        <v>1309</v>
      </c>
      <c r="T32" s="2" t="s">
        <v>1793</v>
      </c>
      <c r="X32">
        <f>SUM(X21:X31)</f>
        <v>9267938</v>
      </c>
      <c r="AA32">
        <f>SUM(AA21:AA31)</f>
        <v>201088</v>
      </c>
    </row>
    <row r="33" spans="17:26">
      <c r="Q33" t="s">
        <v>1093</v>
      </c>
      <c r="R33">
        <v>7374</v>
      </c>
      <c r="S33">
        <v>11230</v>
      </c>
      <c r="T33">
        <v>13354</v>
      </c>
    </row>
    <row r="34" spans="17:26">
      <c r="Q34" t="s">
        <v>1092</v>
      </c>
      <c r="R34">
        <v>378</v>
      </c>
      <c r="S34">
        <v>572</v>
      </c>
      <c r="T34">
        <v>623</v>
      </c>
      <c r="W34">
        <f>X32+W28</f>
        <v>9477614</v>
      </c>
      <c r="Z34">
        <f>Z28+AA32</f>
        <v>211992</v>
      </c>
    </row>
    <row r="47" spans="17:26">
      <c r="Q47" t="s">
        <v>1243</v>
      </c>
    </row>
    <row r="55" spans="12:19">
      <c r="L55" s="1"/>
      <c r="M55" s="1"/>
      <c r="N55" s="66"/>
      <c r="O55" s="66"/>
      <c r="P55" s="10"/>
      <c r="Q55" s="2"/>
      <c r="R55" s="2"/>
      <c r="S55" s="2"/>
    </row>
    <row r="56" spans="12:19">
      <c r="L56" s="1"/>
      <c r="M56" s="1"/>
      <c r="N56" s="66"/>
      <c r="O56" s="66"/>
      <c r="P56" s="10"/>
      <c r="Q56" s="2"/>
      <c r="R56" s="2"/>
      <c r="S56" s="2"/>
    </row>
    <row r="57" spans="12:19" ht="15.75">
      <c r="L57" s="1"/>
      <c r="M57" s="1"/>
      <c r="N57" s="577"/>
      <c r="O57" s="577"/>
      <c r="Q57" s="2"/>
      <c r="R57" s="2"/>
      <c r="S57" s="2"/>
    </row>
    <row r="58" spans="12:19">
      <c r="L58" s="1"/>
      <c r="M58" s="1"/>
      <c r="N58" s="1"/>
      <c r="O58" s="1"/>
      <c r="Q58" s="2"/>
      <c r="R58" s="2"/>
      <c r="S58" s="2"/>
    </row>
    <row r="59" spans="12:19">
      <c r="Q59" s="2"/>
      <c r="R59" s="2"/>
      <c r="S59" s="2"/>
    </row>
  </sheetData>
  <mergeCells count="14">
    <mergeCell ref="A28:D28"/>
    <mergeCell ref="E28:I28"/>
    <mergeCell ref="J28:M28"/>
    <mergeCell ref="A29:M29"/>
    <mergeCell ref="A1:M1"/>
    <mergeCell ref="A2:M2"/>
    <mergeCell ref="A3:M3"/>
    <mergeCell ref="A4:A7"/>
    <mergeCell ref="B4:B7"/>
    <mergeCell ref="C4:E4"/>
    <mergeCell ref="F4:H4"/>
    <mergeCell ref="I4:K4"/>
    <mergeCell ref="L4:L7"/>
    <mergeCell ref="M4:M7"/>
  </mergeCells>
  <pageMargins left="0.55118110236220497" right="0.55118110236220497" top="0.35433070866141703" bottom="0.55118110236220497" header="0.196850393700787" footer="0.35433070866141703"/>
  <pageSetup paperSize="9" scale="69" orientation="portrait" verticalDpi="300" r:id="rId1"/>
  <headerFooter>
    <oddFooter>&amp;L&amp;"Times New Roman,Bold"Afghanistan Statistical Yearbook 2016-17&amp;R&amp;"Times New Roman,Bold"سالنامۀ احصائیوی / احصا ئيوي کالنی 1395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view="pageBreakPreview" topLeftCell="A16" zoomScaleSheetLayoutView="100" workbookViewId="0">
      <selection activeCell="E20" sqref="E20"/>
    </sheetView>
  </sheetViews>
  <sheetFormatPr defaultRowHeight="15"/>
  <cols>
    <col min="1" max="1" width="4" customWidth="1"/>
    <col min="2" max="2" width="15.7109375" customWidth="1"/>
    <col min="3" max="3" width="10.28515625" customWidth="1"/>
    <col min="4" max="4" width="11.7109375" customWidth="1"/>
    <col min="5" max="6" width="11.42578125" customWidth="1"/>
    <col min="7" max="7" width="14.5703125" customWidth="1"/>
    <col min="8" max="8" width="21.28515625" customWidth="1"/>
    <col min="9" max="9" width="4.42578125" customWidth="1"/>
    <col min="13" max="13" width="13" customWidth="1"/>
    <col min="14" max="14" width="10.28515625" customWidth="1"/>
    <col min="15" max="16" width="10.140625" customWidth="1"/>
  </cols>
  <sheetData>
    <row r="1" spans="1:16" ht="26.1" customHeight="1">
      <c r="A1" s="1437" t="s">
        <v>925</v>
      </c>
      <c r="B1" s="1437"/>
      <c r="C1" s="1437"/>
      <c r="D1" s="1437"/>
      <c r="E1" s="1437"/>
      <c r="F1" s="1437"/>
      <c r="G1" s="1437"/>
      <c r="H1" s="1437"/>
      <c r="I1" s="1437"/>
    </row>
    <row r="2" spans="1:16" ht="26.1" customHeight="1">
      <c r="A2" s="1437" t="s">
        <v>926</v>
      </c>
      <c r="B2" s="1437"/>
      <c r="C2" s="1437"/>
      <c r="D2" s="1437"/>
      <c r="E2" s="1437"/>
      <c r="F2" s="1437"/>
      <c r="G2" s="1437"/>
      <c r="H2" s="1437"/>
      <c r="I2" s="1437"/>
    </row>
    <row r="3" spans="1:16" ht="26.1" customHeight="1">
      <c r="A3" s="1511" t="s">
        <v>927</v>
      </c>
      <c r="B3" s="1511"/>
      <c r="C3" s="1511"/>
      <c r="D3" s="1511"/>
      <c r="E3" s="1511"/>
      <c r="F3" s="1511"/>
      <c r="G3" s="1511"/>
      <c r="H3" s="1511"/>
      <c r="I3" s="1511"/>
    </row>
    <row r="4" spans="1:16" ht="26.1" customHeight="1">
      <c r="A4" s="1459" t="s">
        <v>2028</v>
      </c>
      <c r="B4" s="1517" t="s">
        <v>399</v>
      </c>
      <c r="C4" s="1517" t="s">
        <v>95</v>
      </c>
      <c r="D4" s="1085">
        <v>1396</v>
      </c>
      <c r="E4" s="1085">
        <v>1395</v>
      </c>
      <c r="F4" s="1085">
        <v>1394</v>
      </c>
      <c r="G4" s="1078" t="s">
        <v>349</v>
      </c>
      <c r="H4" s="1517" t="s">
        <v>398</v>
      </c>
      <c r="I4" s="1459" t="s">
        <v>2027</v>
      </c>
    </row>
    <row r="5" spans="1:16" ht="26.1" customHeight="1">
      <c r="A5" s="1461"/>
      <c r="B5" s="1524"/>
      <c r="C5" s="1524"/>
      <c r="D5" s="1155" t="s">
        <v>1774</v>
      </c>
      <c r="E5" s="1155" t="s">
        <v>1305</v>
      </c>
      <c r="F5" s="1155" t="s">
        <v>1156</v>
      </c>
      <c r="G5" s="1091" t="s">
        <v>507</v>
      </c>
      <c r="H5" s="1524"/>
      <c r="I5" s="1461"/>
    </row>
    <row r="6" spans="1:16" ht="36" customHeight="1">
      <c r="A6" s="1633">
        <v>1</v>
      </c>
      <c r="B6" s="1553" t="s">
        <v>378</v>
      </c>
      <c r="C6" s="1889" t="s">
        <v>99</v>
      </c>
      <c r="D6" s="1890">
        <f>D8+D9</f>
        <v>22669</v>
      </c>
      <c r="E6" s="1891">
        <f>E8+E9</f>
        <v>18729</v>
      </c>
      <c r="F6" s="1891">
        <f>F8+F9</f>
        <v>17404</v>
      </c>
      <c r="G6" s="1857" t="s">
        <v>100</v>
      </c>
      <c r="H6" s="964" t="s">
        <v>379</v>
      </c>
      <c r="I6" s="1633">
        <v>1</v>
      </c>
    </row>
    <row r="7" spans="1:16" ht="36" customHeight="1">
      <c r="A7" s="1634"/>
      <c r="B7" s="1553"/>
      <c r="C7" s="1889"/>
      <c r="D7" s="1890"/>
      <c r="E7" s="1891"/>
      <c r="F7" s="1891"/>
      <c r="G7" s="1857"/>
      <c r="H7" s="632" t="s">
        <v>606</v>
      </c>
      <c r="I7" s="1634"/>
    </row>
    <row r="8" spans="1:16" ht="36" customHeight="1">
      <c r="A8" s="1082">
        <v>2</v>
      </c>
      <c r="B8" s="111" t="s">
        <v>1754</v>
      </c>
      <c r="C8" s="114" t="s">
        <v>99</v>
      </c>
      <c r="D8" s="26">
        <v>12365</v>
      </c>
      <c r="E8" s="573">
        <v>10001</v>
      </c>
      <c r="F8" s="22">
        <v>9051</v>
      </c>
      <c r="G8" s="113" t="s">
        <v>100</v>
      </c>
      <c r="H8" s="112" t="s">
        <v>1749</v>
      </c>
      <c r="I8" s="1082">
        <v>2</v>
      </c>
      <c r="L8">
        <f>L9+L10</f>
        <v>472055</v>
      </c>
      <c r="M8">
        <f>M9+M10</f>
        <v>100</v>
      </c>
    </row>
    <row r="9" spans="1:16" ht="36" customHeight="1">
      <c r="A9" s="1093">
        <v>3</v>
      </c>
      <c r="B9" s="628" t="s">
        <v>70</v>
      </c>
      <c r="C9" s="704" t="s">
        <v>99</v>
      </c>
      <c r="D9" s="706">
        <v>10304</v>
      </c>
      <c r="E9" s="737">
        <v>8728</v>
      </c>
      <c r="F9" s="708">
        <v>8353</v>
      </c>
      <c r="G9" s="705" t="s">
        <v>100</v>
      </c>
      <c r="H9" s="632" t="s">
        <v>1750</v>
      </c>
      <c r="I9" s="1093">
        <v>3</v>
      </c>
      <c r="L9">
        <f>D11+D17+D20</f>
        <v>201025</v>
      </c>
      <c r="M9" s="49">
        <f>L9/L8*100</f>
        <v>42.585080128374869</v>
      </c>
      <c r="P9">
        <v>10156</v>
      </c>
    </row>
    <row r="10" spans="1:16" ht="36" customHeight="1">
      <c r="A10" s="1082">
        <v>4</v>
      </c>
      <c r="B10" s="111" t="s">
        <v>62</v>
      </c>
      <c r="C10" s="114" t="s">
        <v>99</v>
      </c>
      <c r="D10" s="26">
        <f>D11+D12</f>
        <v>455507</v>
      </c>
      <c r="E10" s="573">
        <f>E11+E12</f>
        <v>417808</v>
      </c>
      <c r="F10" s="22">
        <f>F11+F12</f>
        <v>404437</v>
      </c>
      <c r="G10" s="115" t="s">
        <v>720</v>
      </c>
      <c r="H10" s="112" t="s">
        <v>718</v>
      </c>
      <c r="I10" s="1082">
        <v>4</v>
      </c>
      <c r="J10" s="39">
        <f>F12/F10*100</f>
        <v>53.645437979215551</v>
      </c>
      <c r="L10">
        <f>D12+D18+D21</f>
        <v>271030</v>
      </c>
      <c r="M10" s="49">
        <f>L10/L8*100</f>
        <v>57.414919871625123</v>
      </c>
      <c r="P10">
        <v>16</v>
      </c>
    </row>
    <row r="11" spans="1:16" ht="36" customHeight="1">
      <c r="A11" s="1093">
        <v>5</v>
      </c>
      <c r="B11" s="628" t="s">
        <v>1754</v>
      </c>
      <c r="C11" s="704" t="s">
        <v>99</v>
      </c>
      <c r="D11" s="706">
        <v>193271</v>
      </c>
      <c r="E11" s="737">
        <v>191443</v>
      </c>
      <c r="F11" s="708">
        <v>187475</v>
      </c>
      <c r="G11" s="733" t="s">
        <v>720</v>
      </c>
      <c r="H11" s="632" t="s">
        <v>1751</v>
      </c>
      <c r="I11" s="1093">
        <v>5</v>
      </c>
      <c r="J11" s="39">
        <f>E12/E10*100</f>
        <v>54.179192356297634</v>
      </c>
      <c r="P11">
        <f>SUM(P9:P10)</f>
        <v>10172</v>
      </c>
    </row>
    <row r="12" spans="1:16" ht="36" customHeight="1">
      <c r="A12" s="1082">
        <v>6</v>
      </c>
      <c r="B12" s="111" t="s">
        <v>70</v>
      </c>
      <c r="C12" s="114" t="s">
        <v>99</v>
      </c>
      <c r="D12" s="26">
        <v>262236</v>
      </c>
      <c r="E12" s="573">
        <v>226365</v>
      </c>
      <c r="F12" s="22">
        <v>216962</v>
      </c>
      <c r="G12" s="115" t="s">
        <v>720</v>
      </c>
      <c r="H12" s="112" t="s">
        <v>607</v>
      </c>
      <c r="I12" s="1082">
        <v>6</v>
      </c>
      <c r="J12" s="39">
        <f>F12/F10*100</f>
        <v>53.645437979215551</v>
      </c>
      <c r="K12" s="39">
        <f>F11/F10*100</f>
        <v>46.354562020784449</v>
      </c>
    </row>
    <row r="13" spans="1:16" ht="36" customHeight="1">
      <c r="A13" s="1093">
        <v>7</v>
      </c>
      <c r="B13" s="628" t="s">
        <v>106</v>
      </c>
      <c r="C13" s="704" t="s">
        <v>99</v>
      </c>
      <c r="D13" s="706">
        <f>D14+D15</f>
        <v>157673</v>
      </c>
      <c r="E13" s="737">
        <f>E14+E15</f>
        <v>319877</v>
      </c>
      <c r="F13" s="708">
        <f>F14+F15</f>
        <v>252282</v>
      </c>
      <c r="G13" s="733" t="s">
        <v>720</v>
      </c>
      <c r="H13" s="632" t="s">
        <v>647</v>
      </c>
      <c r="I13" s="1093">
        <v>7</v>
      </c>
      <c r="J13" s="39">
        <f>E12/E10*100</f>
        <v>54.179192356297634</v>
      </c>
    </row>
    <row r="14" spans="1:16" ht="36" customHeight="1">
      <c r="A14" s="1082">
        <v>8</v>
      </c>
      <c r="B14" s="111" t="s">
        <v>1754</v>
      </c>
      <c r="C14" s="114" t="s">
        <v>99</v>
      </c>
      <c r="D14" s="26">
        <v>72682</v>
      </c>
      <c r="E14" s="573">
        <v>144087</v>
      </c>
      <c r="F14" s="22">
        <v>96118</v>
      </c>
      <c r="G14" s="115" t="s">
        <v>720</v>
      </c>
      <c r="H14" s="112" t="s">
        <v>1751</v>
      </c>
      <c r="I14" s="1082">
        <v>8</v>
      </c>
      <c r="J14" s="39">
        <f>D12/D10*100</f>
        <v>57.570136134022086</v>
      </c>
    </row>
    <row r="15" spans="1:16" ht="36" customHeight="1">
      <c r="A15" s="1093">
        <v>9</v>
      </c>
      <c r="B15" s="628" t="s">
        <v>70</v>
      </c>
      <c r="C15" s="704" t="s">
        <v>99</v>
      </c>
      <c r="D15" s="706">
        <v>84991</v>
      </c>
      <c r="E15" s="737">
        <v>175790</v>
      </c>
      <c r="F15" s="708">
        <v>156164</v>
      </c>
      <c r="G15" s="733" t="s">
        <v>720</v>
      </c>
      <c r="H15" s="632" t="s">
        <v>607</v>
      </c>
      <c r="I15" s="1093">
        <v>9</v>
      </c>
    </row>
    <row r="16" spans="1:16" ht="36" customHeight="1">
      <c r="A16" s="1082">
        <v>10</v>
      </c>
      <c r="B16" s="118" t="s">
        <v>73</v>
      </c>
      <c r="C16" s="114" t="s">
        <v>107</v>
      </c>
      <c r="D16" s="26">
        <f>D17+D18</f>
        <v>15578</v>
      </c>
      <c r="E16" s="573">
        <f>E17+E18</f>
        <v>12693</v>
      </c>
      <c r="F16" s="22">
        <f>F17+F18</f>
        <v>10090</v>
      </c>
      <c r="G16" s="116" t="s">
        <v>721</v>
      </c>
      <c r="H16" s="116" t="s">
        <v>719</v>
      </c>
      <c r="I16" s="1082">
        <v>10</v>
      </c>
    </row>
    <row r="17" spans="1:16" ht="36" customHeight="1">
      <c r="A17" s="1093">
        <v>11</v>
      </c>
      <c r="B17" s="628" t="s">
        <v>1754</v>
      </c>
      <c r="C17" s="704" t="s">
        <v>107</v>
      </c>
      <c r="D17" s="706">
        <v>7054</v>
      </c>
      <c r="E17" s="737">
        <v>6678</v>
      </c>
      <c r="F17" s="708">
        <v>5844</v>
      </c>
      <c r="G17" s="642" t="s">
        <v>721</v>
      </c>
      <c r="H17" s="632" t="s">
        <v>1751</v>
      </c>
      <c r="I17" s="1093">
        <v>11</v>
      </c>
    </row>
    <row r="18" spans="1:16" ht="36" customHeight="1">
      <c r="A18" s="1082">
        <v>12</v>
      </c>
      <c r="B18" s="111" t="s">
        <v>70</v>
      </c>
      <c r="C18" s="114" t="s">
        <v>107</v>
      </c>
      <c r="D18" s="26">
        <v>8524</v>
      </c>
      <c r="E18" s="573">
        <v>6015</v>
      </c>
      <c r="F18" s="22">
        <v>4246</v>
      </c>
      <c r="G18" s="116" t="s">
        <v>721</v>
      </c>
      <c r="H18" s="112" t="s">
        <v>607</v>
      </c>
      <c r="I18" s="1082">
        <v>12</v>
      </c>
    </row>
    <row r="19" spans="1:16" ht="36" customHeight="1">
      <c r="A19" s="1093">
        <v>13</v>
      </c>
      <c r="B19" s="738" t="s">
        <v>380</v>
      </c>
      <c r="C19" s="704" t="s">
        <v>381</v>
      </c>
      <c r="D19" s="706">
        <f>D21+D20</f>
        <v>970</v>
      </c>
      <c r="E19" s="737">
        <f>E21+E20</f>
        <v>970</v>
      </c>
      <c r="F19" s="708">
        <f>F21+F20</f>
        <v>970</v>
      </c>
      <c r="G19" s="739" t="s">
        <v>382</v>
      </c>
      <c r="H19" s="632" t="s">
        <v>383</v>
      </c>
      <c r="I19" s="1093">
        <v>13</v>
      </c>
    </row>
    <row r="20" spans="1:16" ht="36" customHeight="1">
      <c r="A20" s="1082">
        <v>14</v>
      </c>
      <c r="B20" s="111" t="s">
        <v>1753</v>
      </c>
      <c r="C20" s="114" t="s">
        <v>381</v>
      </c>
      <c r="D20" s="26">
        <v>700</v>
      </c>
      <c r="E20" s="573">
        <v>700</v>
      </c>
      <c r="F20" s="22">
        <v>700</v>
      </c>
      <c r="G20" s="117" t="s">
        <v>382</v>
      </c>
      <c r="H20" s="112" t="s">
        <v>1751</v>
      </c>
      <c r="I20" s="1082">
        <v>14</v>
      </c>
    </row>
    <row r="21" spans="1:16" ht="36" customHeight="1">
      <c r="A21" s="1094">
        <v>15</v>
      </c>
      <c r="B21" s="678" t="s">
        <v>1752</v>
      </c>
      <c r="C21" s="740" t="s">
        <v>381</v>
      </c>
      <c r="D21" s="709">
        <v>270</v>
      </c>
      <c r="E21" s="741">
        <v>270</v>
      </c>
      <c r="F21" s="711">
        <v>270</v>
      </c>
      <c r="G21" s="742" t="s">
        <v>382</v>
      </c>
      <c r="H21" s="679" t="s">
        <v>607</v>
      </c>
      <c r="I21" s="1094">
        <v>15</v>
      </c>
    </row>
    <row r="22" spans="1:16" ht="17.25" customHeight="1">
      <c r="A22" s="1786" t="s">
        <v>384</v>
      </c>
      <c r="B22" s="1786"/>
      <c r="C22" s="1786"/>
      <c r="D22" s="1520" t="s">
        <v>737</v>
      </c>
      <c r="E22" s="1520"/>
      <c r="F22" s="1520"/>
      <c r="G22" s="1520"/>
      <c r="H22" s="1515" t="s">
        <v>339</v>
      </c>
      <c r="I22" s="1515"/>
    </row>
    <row r="23" spans="1:16" ht="32.1" customHeight="1">
      <c r="A23" s="1468" t="s">
        <v>1969</v>
      </c>
      <c r="B23" s="1468"/>
      <c r="C23" s="1468"/>
      <c r="D23" s="1468"/>
      <c r="E23" s="1468"/>
      <c r="F23" s="1468"/>
      <c r="G23" s="1468"/>
      <c r="H23" s="1468"/>
      <c r="I23" s="1468"/>
    </row>
    <row r="24" spans="1:16" ht="14.25" customHeight="1">
      <c r="A24" s="1468"/>
      <c r="B24" s="1468"/>
      <c r="C24" s="1468"/>
      <c r="D24" s="1468"/>
      <c r="E24" s="1468"/>
      <c r="F24" s="1468"/>
      <c r="G24" s="1468"/>
      <c r="H24" s="1468"/>
      <c r="I24" s="1468"/>
    </row>
    <row r="25" spans="1:16" ht="14.25" customHeight="1">
      <c r="A25" s="1468"/>
      <c r="B25" s="1468"/>
      <c r="C25" s="1468"/>
      <c r="D25" s="1468"/>
      <c r="E25" s="1468"/>
      <c r="F25" s="1468"/>
      <c r="G25" s="1468"/>
      <c r="H25" s="1468"/>
      <c r="I25" s="1468"/>
    </row>
    <row r="30" spans="1:16">
      <c r="N30" s="2" t="s">
        <v>1170</v>
      </c>
      <c r="O30" s="2" t="s">
        <v>1306</v>
      </c>
      <c r="P30" s="2" t="s">
        <v>1780</v>
      </c>
    </row>
    <row r="31" spans="1:16">
      <c r="N31">
        <v>1394</v>
      </c>
      <c r="O31">
        <v>1395</v>
      </c>
      <c r="P31">
        <v>1396</v>
      </c>
    </row>
    <row r="32" spans="1:16">
      <c r="M32" t="s">
        <v>1091</v>
      </c>
      <c r="N32" s="27">
        <v>404437</v>
      </c>
      <c r="O32" s="27">
        <v>417808</v>
      </c>
      <c r="P32" s="27">
        <v>417808</v>
      </c>
    </row>
    <row r="33" spans="13:16">
      <c r="M33" t="s">
        <v>1090</v>
      </c>
      <c r="N33" s="28">
        <v>187475</v>
      </c>
      <c r="O33" s="28">
        <v>191443</v>
      </c>
      <c r="P33" s="28">
        <v>193271</v>
      </c>
    </row>
    <row r="34" spans="13:16">
      <c r="M34" t="s">
        <v>1089</v>
      </c>
      <c r="N34" s="28">
        <v>216962</v>
      </c>
      <c r="O34" s="28">
        <v>226365</v>
      </c>
      <c r="P34" s="28">
        <v>262236</v>
      </c>
    </row>
  </sheetData>
  <mergeCells count="20">
    <mergeCell ref="A6:A7"/>
    <mergeCell ref="H22:I22"/>
    <mergeCell ref="A22:C22"/>
    <mergeCell ref="A23:I25"/>
    <mergeCell ref="I6:I7"/>
    <mergeCell ref="B6:B7"/>
    <mergeCell ref="C6:C7"/>
    <mergeCell ref="D22:G22"/>
    <mergeCell ref="D6:D7"/>
    <mergeCell ref="E6:E7"/>
    <mergeCell ref="F6:F7"/>
    <mergeCell ref="G6:G7"/>
    <mergeCell ref="B4:B5"/>
    <mergeCell ref="C4:C5"/>
    <mergeCell ref="H4:H5"/>
    <mergeCell ref="A1:I1"/>
    <mergeCell ref="A2:I2"/>
    <mergeCell ref="A3:I3"/>
    <mergeCell ref="A4:A5"/>
    <mergeCell ref="I4:I5"/>
  </mergeCells>
  <pageMargins left="0.55118110236220474" right="0.55118110236220474" top="0.35433070866141736" bottom="0.74803149606299213" header="0.19685039370078741" footer="0.35433070866141736"/>
  <pageSetup paperSize="9" scale="80" orientation="portrait" verticalDpi="300" r:id="rId1"/>
  <headerFooter>
    <oddFooter>&amp;L&amp;"Times New Roman,Bold"Afghanistan Statistical Yearbook 2017-18&amp;R&amp;"Times New Roman,Bold"   سالنامۀ احصائیوی / احصا ئيوي کالنی1396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view="pageBreakPreview" zoomScale="80" zoomScaleSheetLayoutView="80" workbookViewId="0">
      <selection activeCell="F9" sqref="F9"/>
    </sheetView>
  </sheetViews>
  <sheetFormatPr defaultRowHeight="15"/>
  <cols>
    <col min="1" max="1" width="5.42578125" customWidth="1"/>
    <col min="2" max="2" width="32.42578125" customWidth="1"/>
    <col min="3" max="4" width="8.42578125" customWidth="1"/>
    <col min="5" max="5" width="8.140625" customWidth="1"/>
    <col min="6" max="6" width="9.42578125" bestFit="1" customWidth="1"/>
    <col min="7" max="7" width="10.140625" customWidth="1"/>
    <col min="8" max="8" width="32.85546875" customWidth="1"/>
    <col min="9" max="9" width="4.85546875" customWidth="1"/>
  </cols>
  <sheetData>
    <row r="1" spans="1:16" ht="26.1" customHeight="1">
      <c r="A1" s="1437" t="s">
        <v>1915</v>
      </c>
      <c r="B1" s="1437"/>
      <c r="C1" s="1437"/>
      <c r="D1" s="1437"/>
      <c r="E1" s="1437"/>
      <c r="F1" s="1437"/>
      <c r="G1" s="1437"/>
      <c r="H1" s="1437"/>
      <c r="I1" s="1437"/>
    </row>
    <row r="2" spans="1:16" ht="26.1" customHeight="1">
      <c r="A2" s="1437" t="s">
        <v>1963</v>
      </c>
      <c r="B2" s="1437"/>
      <c r="C2" s="1437"/>
      <c r="D2" s="1437"/>
      <c r="E2" s="1437"/>
      <c r="F2" s="1437"/>
      <c r="G2" s="1437"/>
      <c r="H2" s="1437"/>
      <c r="I2" s="1437"/>
    </row>
    <row r="3" spans="1:16" ht="26.1" customHeight="1">
      <c r="A3" s="1895" t="s">
        <v>1221</v>
      </c>
      <c r="B3" s="1895"/>
      <c r="C3" s="1895"/>
      <c r="D3" s="1895"/>
      <c r="E3" s="1895"/>
      <c r="F3" s="1895"/>
      <c r="G3" s="1895"/>
      <c r="H3" s="1895"/>
      <c r="I3" s="1895"/>
    </row>
    <row r="4" spans="1:16" ht="26.1" customHeight="1">
      <c r="A4" s="1459" t="s">
        <v>2026</v>
      </c>
      <c r="B4" s="1896" t="s">
        <v>399</v>
      </c>
      <c r="C4" s="1897" t="s">
        <v>95</v>
      </c>
      <c r="D4" s="1147" t="s">
        <v>1309</v>
      </c>
      <c r="E4" s="1147" t="s">
        <v>1309</v>
      </c>
      <c r="F4" s="1147" t="s">
        <v>1159</v>
      </c>
      <c r="G4" s="1078" t="s">
        <v>349</v>
      </c>
      <c r="H4" s="1898" t="s">
        <v>398</v>
      </c>
      <c r="I4" s="1459" t="s">
        <v>2027</v>
      </c>
    </row>
    <row r="5" spans="1:16" ht="26.1" customHeight="1">
      <c r="A5" s="1461"/>
      <c r="B5" s="1896"/>
      <c r="C5" s="1897"/>
      <c r="D5" s="1148" t="s">
        <v>1774</v>
      </c>
      <c r="E5" s="1148" t="s">
        <v>1305</v>
      </c>
      <c r="F5" s="1148" t="s">
        <v>1156</v>
      </c>
      <c r="G5" s="1080" t="s">
        <v>507</v>
      </c>
      <c r="H5" s="1899"/>
      <c r="I5" s="1461"/>
    </row>
    <row r="6" spans="1:16" ht="54" customHeight="1">
      <c r="A6" s="930"/>
      <c r="B6" s="743" t="s">
        <v>385</v>
      </c>
      <c r="C6" s="744" t="s">
        <v>99</v>
      </c>
      <c r="D6" s="1048">
        <f>D8+D7</f>
        <v>369</v>
      </c>
      <c r="E6" s="1047">
        <f>E8+E7</f>
        <v>360</v>
      </c>
      <c r="F6" s="1030">
        <f>F8+F7</f>
        <v>368</v>
      </c>
      <c r="G6" s="1046" t="s">
        <v>100</v>
      </c>
      <c r="H6" s="964" t="s">
        <v>1916</v>
      </c>
      <c r="I6" s="930"/>
    </row>
    <row r="7" spans="1:16" ht="54" customHeight="1">
      <c r="A7" s="836">
        <v>1</v>
      </c>
      <c r="B7" s="422" t="s">
        <v>464</v>
      </c>
      <c r="C7" s="421" t="s">
        <v>99</v>
      </c>
      <c r="D7" s="1049">
        <v>214</v>
      </c>
      <c r="E7" s="936">
        <v>204</v>
      </c>
      <c r="F7" s="1051">
        <v>208</v>
      </c>
      <c r="G7" s="990" t="s">
        <v>100</v>
      </c>
      <c r="H7" s="953" t="s">
        <v>1917</v>
      </c>
      <c r="I7" s="836">
        <v>1</v>
      </c>
      <c r="N7">
        <v>10236</v>
      </c>
      <c r="O7">
        <v>8785</v>
      </c>
      <c r="P7">
        <v>19021</v>
      </c>
    </row>
    <row r="8" spans="1:16" ht="54" customHeight="1">
      <c r="A8" s="1002">
        <v>2</v>
      </c>
      <c r="B8" s="743" t="s">
        <v>463</v>
      </c>
      <c r="C8" s="744" t="s">
        <v>99</v>
      </c>
      <c r="D8" s="1048">
        <v>155</v>
      </c>
      <c r="E8" s="1047">
        <v>156</v>
      </c>
      <c r="F8" s="1030">
        <v>160</v>
      </c>
      <c r="G8" s="1046" t="s">
        <v>100</v>
      </c>
      <c r="H8" s="964" t="s">
        <v>650</v>
      </c>
      <c r="I8" s="1002">
        <v>2</v>
      </c>
      <c r="J8" s="10"/>
      <c r="K8" s="10"/>
      <c r="L8" s="10"/>
      <c r="N8">
        <v>856</v>
      </c>
      <c r="O8">
        <v>1807</v>
      </c>
      <c r="P8">
        <v>2663</v>
      </c>
    </row>
    <row r="9" spans="1:16" ht="54" customHeight="1">
      <c r="A9" s="836">
        <v>3</v>
      </c>
      <c r="B9" s="422" t="s">
        <v>386</v>
      </c>
      <c r="C9" s="421" t="s">
        <v>387</v>
      </c>
      <c r="D9" s="1049">
        <f>D10+D11</f>
        <v>11143</v>
      </c>
      <c r="E9" s="936">
        <f>E10+E11</f>
        <v>9854</v>
      </c>
      <c r="F9" s="1051">
        <f>F10+F11</f>
        <v>16918</v>
      </c>
      <c r="G9" s="990" t="s">
        <v>388</v>
      </c>
      <c r="H9" s="953" t="s">
        <v>1918</v>
      </c>
      <c r="I9" s="836">
        <v>3</v>
      </c>
      <c r="J9" s="10"/>
      <c r="K9" s="955"/>
      <c r="L9" s="10"/>
      <c r="N9">
        <f>SUM(N7:N8)</f>
        <v>11092</v>
      </c>
      <c r="O9">
        <f>SUM(O7:O8)</f>
        <v>10592</v>
      </c>
      <c r="P9">
        <f>SUM(P7:P8)</f>
        <v>21684</v>
      </c>
    </row>
    <row r="10" spans="1:16" ht="54" customHeight="1">
      <c r="A10" s="1002">
        <v>4</v>
      </c>
      <c r="B10" s="743" t="s">
        <v>452</v>
      </c>
      <c r="C10" s="744" t="s">
        <v>387</v>
      </c>
      <c r="D10" s="1048">
        <f>D13+D16</f>
        <v>6382</v>
      </c>
      <c r="E10" s="1047">
        <f>E13+E16</f>
        <v>4918</v>
      </c>
      <c r="F10" s="1030">
        <f t="shared" ref="F10" si="0">F13+F16</f>
        <v>8955</v>
      </c>
      <c r="G10" s="1046" t="s">
        <v>388</v>
      </c>
      <c r="H10" s="964" t="s">
        <v>1006</v>
      </c>
      <c r="I10" s="1002">
        <v>4</v>
      </c>
    </row>
    <row r="11" spans="1:16" ht="54" customHeight="1">
      <c r="A11" s="836">
        <v>5</v>
      </c>
      <c r="B11" s="422" t="s">
        <v>453</v>
      </c>
      <c r="C11" s="421" t="s">
        <v>387</v>
      </c>
      <c r="D11" s="1049">
        <f>D14+D17</f>
        <v>4761</v>
      </c>
      <c r="E11" s="936">
        <f t="shared" ref="E11:F11" si="1">E14+E17</f>
        <v>4936</v>
      </c>
      <c r="F11" s="1051">
        <f t="shared" si="1"/>
        <v>7963</v>
      </c>
      <c r="G11" s="990" t="s">
        <v>388</v>
      </c>
      <c r="H11" s="953" t="s">
        <v>1007</v>
      </c>
      <c r="I11" s="836">
        <v>5</v>
      </c>
    </row>
    <row r="12" spans="1:16" ht="54" customHeight="1">
      <c r="A12" s="1002">
        <v>6</v>
      </c>
      <c r="B12" s="743" t="s">
        <v>389</v>
      </c>
      <c r="C12" s="745" t="s">
        <v>387</v>
      </c>
      <c r="D12" s="1048">
        <f>D13+D14</f>
        <v>7741</v>
      </c>
      <c r="E12" s="1047">
        <f>E13+E14</f>
        <v>6317</v>
      </c>
      <c r="F12" s="1030">
        <f>F13+F14</f>
        <v>11993</v>
      </c>
      <c r="G12" s="1046" t="s">
        <v>388</v>
      </c>
      <c r="H12" s="964" t="s">
        <v>1964</v>
      </c>
      <c r="I12" s="1002">
        <v>6</v>
      </c>
    </row>
    <row r="13" spans="1:16" ht="54" customHeight="1">
      <c r="A13" s="836">
        <v>7</v>
      </c>
      <c r="B13" s="422" t="s">
        <v>452</v>
      </c>
      <c r="C13" s="426" t="s">
        <v>387</v>
      </c>
      <c r="D13" s="1049">
        <v>5024</v>
      </c>
      <c r="E13" s="936">
        <v>3425</v>
      </c>
      <c r="F13" s="1051">
        <v>6511</v>
      </c>
      <c r="G13" s="990" t="s">
        <v>388</v>
      </c>
      <c r="H13" s="953" t="s">
        <v>1006</v>
      </c>
      <c r="I13" s="836">
        <v>7</v>
      </c>
    </row>
    <row r="14" spans="1:16" ht="54" customHeight="1">
      <c r="A14" s="1002">
        <v>8</v>
      </c>
      <c r="B14" s="743" t="s">
        <v>453</v>
      </c>
      <c r="C14" s="745" t="s">
        <v>387</v>
      </c>
      <c r="D14" s="1048">
        <v>2717</v>
      </c>
      <c r="E14" s="1047">
        <v>2892</v>
      </c>
      <c r="F14" s="1030">
        <v>5482</v>
      </c>
      <c r="G14" s="1046" t="s">
        <v>388</v>
      </c>
      <c r="H14" s="964" t="s">
        <v>1007</v>
      </c>
      <c r="I14" s="1002">
        <v>8</v>
      </c>
    </row>
    <row r="15" spans="1:16" ht="54" customHeight="1">
      <c r="A15" s="836">
        <v>9</v>
      </c>
      <c r="B15" s="422" t="s">
        <v>390</v>
      </c>
      <c r="C15" s="426" t="s">
        <v>387</v>
      </c>
      <c r="D15" s="1049">
        <f>D16+D17</f>
        <v>3402</v>
      </c>
      <c r="E15" s="936">
        <f>E16+E17</f>
        <v>3537</v>
      </c>
      <c r="F15" s="1051">
        <f>F16+F17</f>
        <v>4925</v>
      </c>
      <c r="G15" s="990" t="s">
        <v>388</v>
      </c>
      <c r="H15" s="953" t="s">
        <v>1919</v>
      </c>
      <c r="I15" s="836">
        <v>9</v>
      </c>
    </row>
    <row r="16" spans="1:16" ht="54" customHeight="1">
      <c r="A16" s="1002">
        <v>10</v>
      </c>
      <c r="B16" s="743" t="s">
        <v>454</v>
      </c>
      <c r="C16" s="745" t="s">
        <v>387</v>
      </c>
      <c r="D16" s="1048">
        <v>1358</v>
      </c>
      <c r="E16" s="1047">
        <v>1493</v>
      </c>
      <c r="F16" s="1030">
        <v>2444</v>
      </c>
      <c r="G16" s="1046" t="s">
        <v>388</v>
      </c>
      <c r="H16" s="964" t="s">
        <v>1006</v>
      </c>
      <c r="I16" s="1002">
        <v>10</v>
      </c>
    </row>
    <row r="17" spans="1:9" ht="54" customHeight="1">
      <c r="A17" s="836">
        <v>11</v>
      </c>
      <c r="B17" s="422" t="s">
        <v>455</v>
      </c>
      <c r="C17" s="426" t="s">
        <v>387</v>
      </c>
      <c r="D17" s="1049">
        <v>2044</v>
      </c>
      <c r="E17" s="936">
        <v>2044</v>
      </c>
      <c r="F17" s="1051">
        <v>2481</v>
      </c>
      <c r="G17" s="990" t="s">
        <v>388</v>
      </c>
      <c r="H17" s="953" t="s">
        <v>1007</v>
      </c>
      <c r="I17" s="836">
        <v>11</v>
      </c>
    </row>
    <row r="18" spans="1:9" ht="54" customHeight="1">
      <c r="A18" s="1002">
        <v>12</v>
      </c>
      <c r="B18" s="743" t="s">
        <v>391</v>
      </c>
      <c r="C18" s="745" t="s">
        <v>107</v>
      </c>
      <c r="D18" s="1048">
        <f>D19+D20</f>
        <v>2265</v>
      </c>
      <c r="E18" s="1047">
        <f>E19+E20</f>
        <v>2474</v>
      </c>
      <c r="F18" s="1030">
        <f>F19+F20</f>
        <v>2374</v>
      </c>
      <c r="G18" s="1046" t="s">
        <v>355</v>
      </c>
      <c r="H18" s="964" t="s">
        <v>1920</v>
      </c>
      <c r="I18" s="1002">
        <v>12</v>
      </c>
    </row>
    <row r="19" spans="1:9" ht="54" customHeight="1">
      <c r="A19" s="836">
        <v>13</v>
      </c>
      <c r="B19" s="422" t="s">
        <v>1756</v>
      </c>
      <c r="C19" s="426" t="s">
        <v>107</v>
      </c>
      <c r="D19" s="1049">
        <v>1192</v>
      </c>
      <c r="E19" s="936">
        <v>1376</v>
      </c>
      <c r="F19" s="1051">
        <v>1325</v>
      </c>
      <c r="G19" s="990" t="s">
        <v>355</v>
      </c>
      <c r="H19" s="953" t="s">
        <v>1965</v>
      </c>
      <c r="I19" s="836">
        <v>13</v>
      </c>
    </row>
    <row r="20" spans="1:9" ht="54" customHeight="1">
      <c r="A20" s="1002">
        <v>14</v>
      </c>
      <c r="B20" s="743" t="s">
        <v>1755</v>
      </c>
      <c r="C20" s="745" t="s">
        <v>107</v>
      </c>
      <c r="D20" s="1048">
        <v>1073</v>
      </c>
      <c r="E20" s="1047">
        <v>1098</v>
      </c>
      <c r="F20" s="1030">
        <v>1049</v>
      </c>
      <c r="G20" s="1046" t="s">
        <v>355</v>
      </c>
      <c r="H20" s="964" t="s">
        <v>650</v>
      </c>
      <c r="I20" s="1002">
        <v>14</v>
      </c>
    </row>
    <row r="21" spans="1:9" ht="54" customHeight="1">
      <c r="A21" s="836">
        <v>15</v>
      </c>
      <c r="B21" s="422" t="s">
        <v>1923</v>
      </c>
      <c r="C21" s="426" t="s">
        <v>356</v>
      </c>
      <c r="D21" s="1049">
        <f>37+484</f>
        <v>521</v>
      </c>
      <c r="E21" s="936">
        <v>497</v>
      </c>
      <c r="F21" s="1051">
        <v>522</v>
      </c>
      <c r="G21" s="990" t="s">
        <v>357</v>
      </c>
      <c r="H21" s="953" t="s">
        <v>1921</v>
      </c>
      <c r="I21" s="836">
        <v>15</v>
      </c>
    </row>
    <row r="22" spans="1:9" ht="54" customHeight="1">
      <c r="A22" s="1156">
        <v>16</v>
      </c>
      <c r="B22" s="746" t="s">
        <v>1924</v>
      </c>
      <c r="C22" s="747" t="s">
        <v>356</v>
      </c>
      <c r="D22" s="978">
        <v>532</v>
      </c>
      <c r="E22" s="970">
        <v>655</v>
      </c>
      <c r="F22" s="661">
        <v>648</v>
      </c>
      <c r="G22" s="748" t="s">
        <v>357</v>
      </c>
      <c r="H22" s="974" t="s">
        <v>1922</v>
      </c>
      <c r="I22" s="1156">
        <v>16</v>
      </c>
    </row>
    <row r="23" spans="1:9" ht="37.5" customHeight="1">
      <c r="A23" s="1892" t="s">
        <v>392</v>
      </c>
      <c r="B23" s="1892"/>
      <c r="C23" s="1892"/>
      <c r="D23" s="1892"/>
      <c r="E23" s="1892"/>
      <c r="F23" s="1581" t="s">
        <v>651</v>
      </c>
      <c r="G23" s="1581"/>
      <c r="H23" s="1581"/>
      <c r="I23" s="1581"/>
    </row>
    <row r="24" spans="1:9" ht="43.5" customHeight="1">
      <c r="A24" s="1893"/>
      <c r="B24" s="1893"/>
      <c r="C24" s="1893"/>
      <c r="D24" s="1893"/>
      <c r="E24" s="1893"/>
      <c r="F24" s="1894" t="s">
        <v>652</v>
      </c>
      <c r="G24" s="1894"/>
      <c r="H24" s="1894"/>
      <c r="I24" s="1894"/>
    </row>
  </sheetData>
  <mergeCells count="11">
    <mergeCell ref="A23:E24"/>
    <mergeCell ref="F23:I23"/>
    <mergeCell ref="F24:I24"/>
    <mergeCell ref="A1:I1"/>
    <mergeCell ref="A2:I2"/>
    <mergeCell ref="A3:I3"/>
    <mergeCell ref="A4:A5"/>
    <mergeCell ref="B4:B5"/>
    <mergeCell ref="C4:C5"/>
    <mergeCell ref="H4:H5"/>
    <mergeCell ref="I4:I5"/>
  </mergeCells>
  <pageMargins left="0.55118110236220497" right="0.55118110236220497" top="0.35433070866141703" bottom="0.74803149606299202" header="0.196850393700787" footer="0.39370078740157499"/>
  <pageSetup paperSize="9" scale="70" orientation="portrait" verticalDpi="300" r:id="rId1"/>
  <headerFooter>
    <oddFooter>&amp;L&amp;"Times New Roman,Bold"Afghanistan Statistical Yearbook  2017-18&amp;R&amp;"Times New Roman,Bold"    سالنامۀ احصائیوی / احصا ئيوي کالنی  1396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5"/>
  <sheetViews>
    <sheetView view="pageBreakPreview" topLeftCell="A10" zoomScale="80" zoomScaleSheetLayoutView="80" workbookViewId="0">
      <selection activeCell="L17" sqref="L17"/>
    </sheetView>
  </sheetViews>
  <sheetFormatPr defaultRowHeight="15"/>
  <cols>
    <col min="1" max="1" width="4.85546875" customWidth="1"/>
    <col min="2" max="2" width="24.42578125" customWidth="1"/>
    <col min="3" max="3" width="12.5703125" customWidth="1"/>
    <col min="4" max="5" width="12.42578125" customWidth="1"/>
    <col min="6" max="6" width="27.7109375" customWidth="1"/>
    <col min="7" max="7" width="4.85546875" customWidth="1"/>
    <col min="8" max="8" width="16.85546875" bestFit="1" customWidth="1"/>
    <col min="10" max="10" width="14" bestFit="1" customWidth="1"/>
    <col min="11" max="11" width="15.7109375" customWidth="1"/>
    <col min="12" max="12" width="13.140625" bestFit="1" customWidth="1"/>
    <col min="13" max="13" width="12.42578125" bestFit="1" customWidth="1"/>
  </cols>
  <sheetData>
    <row r="1" spans="1:13" ht="30" customHeight="1">
      <c r="A1" s="1729" t="s">
        <v>928</v>
      </c>
      <c r="B1" s="1729"/>
      <c r="C1" s="1729"/>
      <c r="D1" s="1729"/>
      <c r="E1" s="1729"/>
      <c r="F1" s="1729"/>
      <c r="G1" s="1729"/>
    </row>
    <row r="2" spans="1:13" ht="30" customHeight="1">
      <c r="A2" s="1510" t="s">
        <v>929</v>
      </c>
      <c r="B2" s="1510"/>
      <c r="C2" s="1510"/>
      <c r="D2" s="1510"/>
      <c r="E2" s="1510"/>
      <c r="F2" s="1510"/>
      <c r="G2" s="1510"/>
    </row>
    <row r="3" spans="1:13" ht="30" customHeight="1">
      <c r="A3" s="1729" t="s">
        <v>1009</v>
      </c>
      <c r="B3" s="1729"/>
      <c r="C3" s="1729"/>
      <c r="D3" s="1729"/>
      <c r="E3" s="1729"/>
      <c r="F3" s="1729"/>
      <c r="G3" s="1729"/>
    </row>
    <row r="4" spans="1:13" ht="30" customHeight="1">
      <c r="A4" s="1900" t="s">
        <v>491</v>
      </c>
      <c r="B4" s="1900"/>
      <c r="C4" s="86"/>
      <c r="D4" s="1901" t="s">
        <v>1008</v>
      </c>
      <c r="E4" s="1901"/>
      <c r="F4" s="1901"/>
      <c r="G4" s="1901"/>
      <c r="L4">
        <v>991669</v>
      </c>
      <c r="M4">
        <v>4138982</v>
      </c>
    </row>
    <row r="5" spans="1:13" ht="30" customHeight="1">
      <c r="A5" s="1459" t="s">
        <v>2028</v>
      </c>
      <c r="B5" s="1522" t="s">
        <v>393</v>
      </c>
      <c r="C5" s="1147" t="s">
        <v>1793</v>
      </c>
      <c r="D5" s="1147" t="s">
        <v>1309</v>
      </c>
      <c r="E5" s="1147" t="s">
        <v>1159</v>
      </c>
      <c r="F5" s="1087" t="s">
        <v>487</v>
      </c>
      <c r="G5" s="1459" t="s">
        <v>2027</v>
      </c>
      <c r="I5" s="49">
        <f>57606051/1000000</f>
        <v>57.606051000000001</v>
      </c>
      <c r="J5" s="330">
        <v>16.8</v>
      </c>
      <c r="L5">
        <v>158169139</v>
      </c>
      <c r="M5" s="39">
        <v>27838931</v>
      </c>
    </row>
    <row r="6" spans="1:13" ht="30" customHeight="1">
      <c r="A6" s="1461"/>
      <c r="B6" s="1524"/>
      <c r="C6" s="1148" t="s">
        <v>1774</v>
      </c>
      <c r="D6" s="1148" t="s">
        <v>1305</v>
      </c>
      <c r="E6" s="1148" t="s">
        <v>1156</v>
      </c>
      <c r="F6" s="1091" t="s">
        <v>1926</v>
      </c>
      <c r="G6" s="1461"/>
      <c r="I6" s="49">
        <f>51000000/1000000</f>
        <v>51</v>
      </c>
      <c r="J6" s="330">
        <v>50.25</v>
      </c>
      <c r="L6">
        <f>SUM(L4:L5)</f>
        <v>159160808</v>
      </c>
      <c r="M6">
        <f>SUM(M4:M5)</f>
        <v>31977913</v>
      </c>
    </row>
    <row r="7" spans="1:13" ht="50.1" customHeight="1">
      <c r="A7" s="1152"/>
      <c r="B7" s="749" t="s">
        <v>1010</v>
      </c>
      <c r="C7" s="750">
        <f>C8+C9</f>
        <v>191.138721</v>
      </c>
      <c r="D7" s="751">
        <f>D8+D9</f>
        <v>1309.600682</v>
      </c>
      <c r="E7" s="752">
        <f>E8+E9</f>
        <v>108.6</v>
      </c>
      <c r="F7" s="728" t="s">
        <v>1925</v>
      </c>
      <c r="G7" s="1149"/>
      <c r="I7" s="49">
        <v>66</v>
      </c>
    </row>
    <row r="8" spans="1:13" ht="50.1" customHeight="1">
      <c r="A8" s="941">
        <v>1</v>
      </c>
      <c r="B8" s="418" t="s">
        <v>1011</v>
      </c>
      <c r="C8" s="538">
        <f>31977913/1000000</f>
        <v>31.977913000000001</v>
      </c>
      <c r="D8" s="539">
        <f>17000682/1000000</f>
        <v>17.000682000000001</v>
      </c>
      <c r="E8" s="540">
        <v>57.6</v>
      </c>
      <c r="F8" s="617" t="s">
        <v>1929</v>
      </c>
      <c r="G8" s="945">
        <v>1</v>
      </c>
      <c r="I8" s="49">
        <f>SUM(I5:I7)</f>
        <v>174.60605100000001</v>
      </c>
      <c r="K8">
        <v>270000000</v>
      </c>
    </row>
    <row r="9" spans="1:13" ht="50.1" customHeight="1">
      <c r="A9" s="1153">
        <v>2</v>
      </c>
      <c r="B9" s="729" t="s">
        <v>1927</v>
      </c>
      <c r="C9" s="753">
        <f>159160808/1000000</f>
        <v>159.160808</v>
      </c>
      <c r="D9" s="754">
        <v>1292.5999999999999</v>
      </c>
      <c r="E9" s="755">
        <v>51</v>
      </c>
      <c r="F9" s="711" t="s">
        <v>1928</v>
      </c>
      <c r="G9" s="1150">
        <v>2</v>
      </c>
      <c r="K9">
        <v>1022633886</v>
      </c>
    </row>
    <row r="10" spans="1:13" ht="50.1" customHeight="1">
      <c r="A10" s="1786" t="s">
        <v>656</v>
      </c>
      <c r="B10" s="1786"/>
      <c r="C10" s="1520" t="s">
        <v>784</v>
      </c>
      <c r="D10" s="1520"/>
      <c r="E10" s="1520"/>
      <c r="F10" s="1515" t="s">
        <v>657</v>
      </c>
      <c r="G10" s="1515"/>
      <c r="K10" s="49">
        <f>SUM(K8:K9)/1000000</f>
        <v>1292.6338860000001</v>
      </c>
    </row>
    <row r="11" spans="1:13" ht="30" customHeight="1">
      <c r="A11" s="1730" t="s">
        <v>1930</v>
      </c>
      <c r="B11" s="1730"/>
      <c r="C11" s="1730"/>
      <c r="D11" s="1730"/>
      <c r="E11" s="1730"/>
      <c r="F11" s="1730"/>
      <c r="G11" s="1730"/>
    </row>
    <row r="12" spans="1:13" ht="30" customHeight="1">
      <c r="A12" s="1903" t="s">
        <v>1932</v>
      </c>
      <c r="B12" s="1903"/>
      <c r="C12" s="1903"/>
      <c r="D12" s="1903"/>
      <c r="E12" s="1903"/>
      <c r="F12" s="1903"/>
      <c r="G12" s="1903"/>
    </row>
    <row r="13" spans="1:13" ht="30" customHeight="1">
      <c r="A13" s="1729" t="s">
        <v>1931</v>
      </c>
      <c r="B13" s="1729"/>
      <c r="C13" s="1729"/>
      <c r="D13" s="1729"/>
      <c r="E13" s="1729"/>
      <c r="F13" s="1729"/>
      <c r="G13" s="1729"/>
    </row>
    <row r="14" spans="1:13" ht="30" customHeight="1">
      <c r="A14" s="1900" t="s">
        <v>491</v>
      </c>
      <c r="B14" s="1900"/>
      <c r="C14" s="1900"/>
      <c r="D14" s="1901" t="s">
        <v>1008</v>
      </c>
      <c r="E14" s="1901"/>
      <c r="F14" s="1901"/>
      <c r="G14" s="1901"/>
    </row>
    <row r="15" spans="1:13" ht="30" customHeight="1">
      <c r="A15" s="1459" t="s">
        <v>2028</v>
      </c>
      <c r="B15" s="1522" t="s">
        <v>393</v>
      </c>
      <c r="C15" s="1147" t="s">
        <v>1793</v>
      </c>
      <c r="D15" s="1147" t="s">
        <v>1309</v>
      </c>
      <c r="E15" s="1147" t="s">
        <v>1159</v>
      </c>
      <c r="F15" s="1087" t="s">
        <v>487</v>
      </c>
      <c r="G15" s="1459" t="s">
        <v>2027</v>
      </c>
      <c r="J15">
        <v>0</v>
      </c>
    </row>
    <row r="16" spans="1:13" ht="30" customHeight="1">
      <c r="A16" s="1461"/>
      <c r="B16" s="1524"/>
      <c r="C16" s="1148" t="s">
        <v>1774</v>
      </c>
      <c r="D16" s="1148" t="s">
        <v>1305</v>
      </c>
      <c r="E16" s="1148" t="s">
        <v>1156</v>
      </c>
      <c r="F16" s="1091" t="s">
        <v>1926</v>
      </c>
      <c r="G16" s="1461"/>
    </row>
    <row r="17" spans="1:12" ht="50.1" customHeight="1">
      <c r="A17" s="915"/>
      <c r="B17" s="749" t="s">
        <v>1010</v>
      </c>
      <c r="C17" s="756">
        <f>C18+C19</f>
        <v>237.87224099999997</v>
      </c>
      <c r="D17" s="757">
        <f>D19</f>
        <v>249.7</v>
      </c>
      <c r="E17" s="758">
        <f>E18+E19</f>
        <v>212.57917900000001</v>
      </c>
      <c r="F17" s="728" t="s">
        <v>1925</v>
      </c>
      <c r="G17" s="915"/>
      <c r="I17">
        <f>4.12*1000</f>
        <v>4120</v>
      </c>
      <c r="L17">
        <f>2463246000/1000000</f>
        <v>2463.2460000000001</v>
      </c>
    </row>
    <row r="18" spans="1:12" ht="50.1" customHeight="1">
      <c r="A18" s="938">
        <v>1</v>
      </c>
      <c r="B18" s="188" t="s">
        <v>394</v>
      </c>
      <c r="C18" s="233">
        <f>17235000/1000000</f>
        <v>17.234999999999999</v>
      </c>
      <c r="D18" s="234" t="s">
        <v>485</v>
      </c>
      <c r="E18" s="310">
        <f>16835610/1000000</f>
        <v>16.835609999999999</v>
      </c>
      <c r="F18" s="23" t="s">
        <v>653</v>
      </c>
      <c r="G18" s="938">
        <v>1</v>
      </c>
      <c r="H18" s="60"/>
      <c r="J18">
        <v>18921</v>
      </c>
    </row>
    <row r="19" spans="1:12" ht="50.1" customHeight="1">
      <c r="A19" s="916">
        <v>2</v>
      </c>
      <c r="B19" s="729" t="s">
        <v>111</v>
      </c>
      <c r="C19" s="759">
        <f>220637241/1000000</f>
        <v>220.63724099999999</v>
      </c>
      <c r="D19" s="760">
        <v>249.7</v>
      </c>
      <c r="E19" s="761">
        <f>195743569/1000000</f>
        <v>195.74356900000001</v>
      </c>
      <c r="F19" s="730" t="s">
        <v>654</v>
      </c>
      <c r="G19" s="916">
        <v>2</v>
      </c>
      <c r="H19" s="60"/>
      <c r="J19">
        <v>60211</v>
      </c>
    </row>
    <row r="20" spans="1:12" ht="50.1" customHeight="1">
      <c r="A20" s="1902" t="s">
        <v>1934</v>
      </c>
      <c r="B20" s="1902"/>
      <c r="C20" s="1902"/>
      <c r="D20" s="1515" t="s">
        <v>1933</v>
      </c>
      <c r="E20" s="1515"/>
      <c r="F20" s="1515"/>
      <c r="G20" s="1515"/>
      <c r="H20" s="60" t="s">
        <v>930</v>
      </c>
      <c r="J20">
        <v>86326</v>
      </c>
      <c r="L20">
        <f>24632460/1000</f>
        <v>24632.46</v>
      </c>
    </row>
    <row r="21" spans="1:12" ht="42.95" customHeight="1">
      <c r="B21" s="1154"/>
      <c r="H21" s="39"/>
      <c r="J21">
        <v>8377387</v>
      </c>
    </row>
    <row r="22" spans="1:12" ht="42.95" customHeight="1">
      <c r="J22">
        <v>3664924</v>
      </c>
      <c r="L22" s="324" t="s">
        <v>1244</v>
      </c>
    </row>
    <row r="23" spans="1:12" ht="33" customHeight="1">
      <c r="H23" s="49"/>
      <c r="J23">
        <v>70515</v>
      </c>
    </row>
    <row r="24" spans="1:12" ht="33" customHeight="1">
      <c r="H24" s="49"/>
      <c r="J24">
        <v>1822</v>
      </c>
    </row>
    <row r="25" spans="1:12" ht="33" customHeight="1">
      <c r="J25" s="49">
        <v>16450</v>
      </c>
    </row>
    <row r="26" spans="1:12" ht="32.1" customHeight="1">
      <c r="J26">
        <v>37867</v>
      </c>
    </row>
    <row r="27" spans="1:12" ht="44.1" customHeight="1">
      <c r="J27">
        <v>16505</v>
      </c>
    </row>
    <row r="28" spans="1:12" ht="44.1" customHeight="1">
      <c r="J28">
        <v>784</v>
      </c>
    </row>
    <row r="29" spans="1:12" ht="44.1" customHeight="1">
      <c r="J29" s="49">
        <v>29639</v>
      </c>
    </row>
    <row r="30" spans="1:12" ht="44.1" customHeight="1">
      <c r="I30">
        <v>3.1</v>
      </c>
      <c r="J30">
        <f>SUM(J18:J29)</f>
        <v>12381351</v>
      </c>
      <c r="L30">
        <v>24632460</v>
      </c>
    </row>
    <row r="31" spans="1:12" ht="44.1" customHeight="1">
      <c r="I31">
        <v>107.2</v>
      </c>
      <c r="L31">
        <f>SUM(J18:J30)</f>
        <v>24762702</v>
      </c>
    </row>
    <row r="32" spans="1:12" ht="44.1" customHeight="1">
      <c r="I32">
        <f>SUM(I30:I31)</f>
        <v>110.3</v>
      </c>
    </row>
    <row r="39" spans="9:10">
      <c r="I39">
        <f>4.12+0.07+0.97+8.1+3.34+0.42+2.05+0.2+63.05+1.03+6.7+8.86+0.64+6.18+9.4+1.57+9.8+9.95+15.39+7.04+5.25+42.72+0.14+19+1.96+15.34+0.09+2.97*1000</f>
        <v>3213.38</v>
      </c>
    </row>
    <row r="45" spans="9:10">
      <c r="J45" s="49">
        <f>32133800/1000000</f>
        <v>32.133800000000001</v>
      </c>
    </row>
  </sheetData>
  <mergeCells count="21">
    <mergeCell ref="D20:G20"/>
    <mergeCell ref="A20:C20"/>
    <mergeCell ref="A12:G12"/>
    <mergeCell ref="A13:G13"/>
    <mergeCell ref="D14:G14"/>
    <mergeCell ref="A14:C14"/>
    <mergeCell ref="A15:A16"/>
    <mergeCell ref="G15:G16"/>
    <mergeCell ref="B15:B16"/>
    <mergeCell ref="A5:A6"/>
    <mergeCell ref="G5:G6"/>
    <mergeCell ref="F10:G10"/>
    <mergeCell ref="A10:B10"/>
    <mergeCell ref="A11:G11"/>
    <mergeCell ref="C10:E10"/>
    <mergeCell ref="B5:B6"/>
    <mergeCell ref="A1:G1"/>
    <mergeCell ref="A2:G2"/>
    <mergeCell ref="A3:G3"/>
    <mergeCell ref="A4:B4"/>
    <mergeCell ref="D4:G4"/>
  </mergeCells>
  <pageMargins left="0.55118110236220474" right="0.51181102362204722" top="0.35433070866141736" bottom="0.70866141732283472" header="0.19685039370078741" footer="0.51181102362204722"/>
  <pageSetup paperSize="9" scale="85" orientation="portrait" verticalDpi="300" r:id="rId1"/>
  <headerFooter>
    <oddFooter>&amp;L&amp;"Times New Roman,Bold"&amp;10A&amp;11fghanistan Statistical Yearbook 2017-18&amp;R&amp;"Times New Roman,Bold"سالنامۀ احصائیوی / احصا ئيوي کالنی  1396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F140" sqref="F140"/>
    </sheetView>
  </sheetViews>
  <sheetFormatPr defaultRowHeight="15"/>
  <cols>
    <col min="1" max="1" width="14.7109375" customWidth="1"/>
    <col min="2" max="2" width="13.140625" customWidth="1"/>
    <col min="3" max="3" width="10.28515625" customWidth="1"/>
    <col min="4" max="5" width="10.85546875" customWidth="1"/>
    <col min="6" max="6" width="12.7109375" customWidth="1"/>
    <col min="8" max="8" width="11.85546875" customWidth="1"/>
    <col min="9" max="9" width="11.28515625" customWidth="1"/>
    <col min="11" max="11" width="10.7109375" customWidth="1"/>
  </cols>
  <sheetData>
    <row r="1" spans="1:9">
      <c r="B1" s="1683" t="s">
        <v>1142</v>
      </c>
      <c r="C1" s="1683"/>
      <c r="D1" s="1683"/>
      <c r="E1" s="1683"/>
      <c r="F1" s="1683"/>
      <c r="G1" s="1683"/>
      <c r="H1" s="1683"/>
      <c r="I1" s="1683"/>
    </row>
    <row r="2" spans="1:9">
      <c r="A2" s="245"/>
      <c r="B2" s="264" t="s">
        <v>881</v>
      </c>
      <c r="C2" s="265" t="s">
        <v>1</v>
      </c>
      <c r="D2" s="266" t="s">
        <v>0</v>
      </c>
      <c r="E2" s="267" t="s">
        <v>997</v>
      </c>
      <c r="F2" s="265" t="s">
        <v>1</v>
      </c>
      <c r="G2" s="267" t="s">
        <v>0</v>
      </c>
      <c r="H2" s="265" t="s">
        <v>986</v>
      </c>
      <c r="I2" s="266" t="s">
        <v>987</v>
      </c>
    </row>
    <row r="3" spans="1:9">
      <c r="A3" s="258" t="s">
        <v>1137</v>
      </c>
      <c r="B3" s="253">
        <f>C3+D3</f>
        <v>124741</v>
      </c>
      <c r="C3" s="254">
        <v>100726</v>
      </c>
      <c r="D3" s="255">
        <v>24015</v>
      </c>
      <c r="E3" s="253">
        <f>F3+G3</f>
        <v>4496</v>
      </c>
      <c r="F3" s="254">
        <v>3854</v>
      </c>
      <c r="G3" s="255">
        <v>642</v>
      </c>
      <c r="H3" s="254">
        <v>31</v>
      </c>
      <c r="I3" s="255">
        <v>187</v>
      </c>
    </row>
    <row r="4" spans="1:9">
      <c r="A4" s="256" t="s">
        <v>1138</v>
      </c>
      <c r="B4" s="251">
        <f>C4+D4</f>
        <v>80134</v>
      </c>
      <c r="C4" s="52">
        <v>65660</v>
      </c>
      <c r="D4" s="252">
        <v>14474</v>
      </c>
      <c r="E4" s="251">
        <f>F4+G4</f>
        <v>4549</v>
      </c>
      <c r="F4" s="52">
        <v>4153</v>
      </c>
      <c r="G4" s="252">
        <v>396</v>
      </c>
      <c r="H4" s="52">
        <v>79</v>
      </c>
      <c r="I4" s="252">
        <v>244</v>
      </c>
    </row>
    <row r="5" spans="1:9">
      <c r="A5" s="256" t="s">
        <v>985</v>
      </c>
      <c r="B5" s="251">
        <f>C5+D5</f>
        <v>2124</v>
      </c>
      <c r="C5" s="52">
        <v>1204</v>
      </c>
      <c r="D5" s="252">
        <v>920</v>
      </c>
      <c r="E5" s="251">
        <f>F5+G5</f>
        <v>287</v>
      </c>
      <c r="F5" s="52">
        <v>179</v>
      </c>
      <c r="G5" s="252">
        <v>108</v>
      </c>
      <c r="H5" s="52">
        <v>9</v>
      </c>
      <c r="I5" s="252">
        <v>0</v>
      </c>
    </row>
    <row r="6" spans="1:9">
      <c r="A6" s="257" t="s">
        <v>1140</v>
      </c>
      <c r="B6" s="242">
        <f>C6+D6</f>
        <v>206999</v>
      </c>
      <c r="C6" s="243">
        <f t="shared" ref="C6:I6" si="0">SUM(C3:C5)</f>
        <v>167590</v>
      </c>
      <c r="D6" s="244">
        <f t="shared" si="0"/>
        <v>39409</v>
      </c>
      <c r="E6" s="242">
        <f t="shared" si="0"/>
        <v>9332</v>
      </c>
      <c r="F6" s="243">
        <f t="shared" si="0"/>
        <v>8186</v>
      </c>
      <c r="G6" s="244">
        <f t="shared" si="0"/>
        <v>1146</v>
      </c>
      <c r="H6" s="243">
        <f t="shared" si="0"/>
        <v>119</v>
      </c>
      <c r="I6" s="244">
        <f t="shared" si="0"/>
        <v>431</v>
      </c>
    </row>
    <row r="7" spans="1:9">
      <c r="B7" s="180"/>
      <c r="C7" s="180"/>
      <c r="D7" s="180"/>
      <c r="E7" s="180"/>
      <c r="F7" s="180"/>
      <c r="G7" s="180"/>
      <c r="H7" s="180"/>
      <c r="I7" s="180"/>
    </row>
    <row r="8" spans="1:9">
      <c r="B8" s="180"/>
      <c r="C8" s="180"/>
      <c r="D8" s="180"/>
      <c r="E8" s="180"/>
      <c r="F8" s="180"/>
      <c r="G8" s="180"/>
      <c r="H8" s="180"/>
      <c r="I8" s="180"/>
    </row>
    <row r="9" spans="1:9">
      <c r="B9" s="1683" t="s">
        <v>1143</v>
      </c>
      <c r="C9" s="1683"/>
      <c r="D9" s="1683"/>
      <c r="E9" s="1683"/>
      <c r="F9" s="1683"/>
      <c r="G9" s="1683"/>
      <c r="H9" s="1683"/>
      <c r="I9" s="1683"/>
    </row>
    <row r="10" spans="1:9">
      <c r="A10" s="227"/>
      <c r="B10" s="264" t="s">
        <v>881</v>
      </c>
      <c r="C10" s="265" t="s">
        <v>1</v>
      </c>
      <c r="D10" s="266" t="s">
        <v>0</v>
      </c>
      <c r="E10" s="267" t="s">
        <v>997</v>
      </c>
      <c r="F10" s="265" t="s">
        <v>1</v>
      </c>
      <c r="G10" s="267" t="s">
        <v>0</v>
      </c>
      <c r="H10" s="265" t="s">
        <v>986</v>
      </c>
      <c r="I10" s="266" t="s">
        <v>987</v>
      </c>
    </row>
    <row r="11" spans="1:9">
      <c r="A11" s="259" t="s">
        <v>1137</v>
      </c>
      <c r="B11" s="263">
        <f>C11+D11</f>
        <v>147788</v>
      </c>
      <c r="C11" s="260">
        <v>118119</v>
      </c>
      <c r="D11" s="261">
        <v>29669</v>
      </c>
      <c r="E11" s="260">
        <f>F11+G11</f>
        <v>5090</v>
      </c>
      <c r="F11" s="260">
        <v>4364</v>
      </c>
      <c r="G11" s="260">
        <v>726</v>
      </c>
      <c r="H11" s="263">
        <v>31</v>
      </c>
      <c r="I11" s="261">
        <v>203</v>
      </c>
    </row>
    <row r="12" spans="1:9">
      <c r="A12" s="259" t="s">
        <v>1138</v>
      </c>
      <c r="B12" s="263">
        <f>C12+D12</f>
        <v>105373</v>
      </c>
      <c r="C12" s="260">
        <v>83063</v>
      </c>
      <c r="D12" s="261">
        <v>22310</v>
      </c>
      <c r="E12" s="260">
        <f>F12+G12</f>
        <v>5859</v>
      </c>
      <c r="F12" s="260">
        <v>5371</v>
      </c>
      <c r="G12" s="260">
        <v>488</v>
      </c>
      <c r="H12" s="263">
        <v>95</v>
      </c>
      <c r="I12" s="261">
        <v>334</v>
      </c>
    </row>
    <row r="13" spans="1:9">
      <c r="A13" s="259" t="s">
        <v>985</v>
      </c>
      <c r="B13" s="263">
        <f>C13+D13</f>
        <v>2979</v>
      </c>
      <c r="C13" s="260">
        <v>2126</v>
      </c>
      <c r="D13" s="261">
        <v>853</v>
      </c>
      <c r="E13" s="260">
        <f>F13+G13</f>
        <v>432</v>
      </c>
      <c r="F13" s="260">
        <v>277</v>
      </c>
      <c r="G13" s="260">
        <v>155</v>
      </c>
      <c r="H13" s="263">
        <v>9</v>
      </c>
      <c r="I13" s="261">
        <v>0</v>
      </c>
    </row>
    <row r="14" spans="1:9">
      <c r="A14" s="262" t="s">
        <v>1141</v>
      </c>
      <c r="B14" s="242">
        <f>C14+D14</f>
        <v>256140</v>
      </c>
      <c r="C14" s="243">
        <f>SUM(C11:C13)</f>
        <v>203308</v>
      </c>
      <c r="D14" s="244">
        <f>SUM(D11:D13)</f>
        <v>52832</v>
      </c>
      <c r="E14" s="243">
        <f>SUM(E11:E13)</f>
        <v>11381</v>
      </c>
      <c r="F14" s="243">
        <f>SUM(F11:F13)</f>
        <v>10012</v>
      </c>
      <c r="G14" s="243">
        <f>SUM(G11:G13)</f>
        <v>1369</v>
      </c>
      <c r="H14" s="242">
        <f>H12+H11</f>
        <v>126</v>
      </c>
      <c r="I14" s="244">
        <f>SUM(I11:I13)</f>
        <v>537</v>
      </c>
    </row>
    <row r="15" spans="1:9">
      <c r="A15" s="51"/>
      <c r="B15" s="195"/>
      <c r="C15" s="195"/>
      <c r="D15" s="195"/>
      <c r="E15" s="195"/>
      <c r="F15" s="195"/>
      <c r="G15" s="195"/>
      <c r="H15" s="195"/>
      <c r="I15" s="195"/>
    </row>
    <row r="16" spans="1:9" ht="18.75">
      <c r="A16" s="1910" t="s">
        <v>1144</v>
      </c>
      <c r="B16" s="1910"/>
      <c r="C16" s="1910"/>
      <c r="D16" s="268">
        <f>D14/D6*100-100</f>
        <v>34.060747544977033</v>
      </c>
      <c r="E16" s="275" t="s">
        <v>0</v>
      </c>
      <c r="G16" s="195"/>
      <c r="H16" s="195"/>
      <c r="I16" s="195"/>
    </row>
    <row r="17" spans="1:9">
      <c r="A17" s="51"/>
      <c r="B17" s="195"/>
      <c r="C17" s="195"/>
      <c r="D17" s="195"/>
      <c r="E17" s="195"/>
      <c r="F17" s="195"/>
      <c r="G17" s="195"/>
      <c r="H17" s="195"/>
      <c r="I17" s="195"/>
    </row>
    <row r="18" spans="1:9">
      <c r="A18" s="51"/>
      <c r="B18" s="195"/>
      <c r="C18" s="195"/>
      <c r="D18" s="195"/>
      <c r="E18" s="195"/>
      <c r="F18" s="195"/>
      <c r="G18" s="195"/>
      <c r="H18" s="195"/>
      <c r="I18" s="195"/>
    </row>
    <row r="23" spans="1:9">
      <c r="B23" s="1904" t="s">
        <v>1145</v>
      </c>
      <c r="C23" s="1904"/>
      <c r="D23" s="1904"/>
      <c r="E23" s="1904"/>
      <c r="F23" s="1904"/>
      <c r="G23" s="1904"/>
      <c r="H23" s="1904"/>
    </row>
    <row r="24" spans="1:9">
      <c r="A24" s="269"/>
      <c r="B24" s="227" t="s">
        <v>225</v>
      </c>
      <c r="C24" s="248" t="s">
        <v>1</v>
      </c>
      <c r="D24" s="249" t="s">
        <v>0</v>
      </c>
      <c r="E24" s="248" t="s">
        <v>996</v>
      </c>
      <c r="F24" s="250" t="s">
        <v>1</v>
      </c>
      <c r="G24" s="249" t="s">
        <v>0</v>
      </c>
      <c r="H24" s="227" t="s">
        <v>995</v>
      </c>
    </row>
    <row r="25" spans="1:9">
      <c r="A25" s="270" t="s">
        <v>1152</v>
      </c>
      <c r="B25" s="246">
        <v>8588903</v>
      </c>
      <c r="C25" s="239">
        <v>5157979</v>
      </c>
      <c r="D25" s="241">
        <v>3430924</v>
      </c>
      <c r="E25" s="239">
        <f>F25+G25</f>
        <v>188017</v>
      </c>
      <c r="F25" s="240">
        <v>125931</v>
      </c>
      <c r="G25" s="241">
        <v>62086</v>
      </c>
      <c r="H25" s="246">
        <v>14302</v>
      </c>
    </row>
    <row r="26" spans="1:9">
      <c r="A26" s="270" t="s">
        <v>990</v>
      </c>
      <c r="B26" s="246">
        <v>32757</v>
      </c>
      <c r="C26" s="239">
        <v>28470</v>
      </c>
      <c r="D26" s="241">
        <v>4287</v>
      </c>
      <c r="E26" s="239">
        <f>F26+G26</f>
        <v>1437</v>
      </c>
      <c r="F26" s="240">
        <v>1284</v>
      </c>
      <c r="G26" s="241">
        <v>153</v>
      </c>
      <c r="H26" s="246">
        <v>168</v>
      </c>
    </row>
    <row r="27" spans="1:9">
      <c r="A27" s="270" t="s">
        <v>991</v>
      </c>
      <c r="B27" s="246">
        <v>46469</v>
      </c>
      <c r="C27" s="239">
        <v>38600</v>
      </c>
      <c r="D27" s="241">
        <v>7869</v>
      </c>
      <c r="E27" s="239">
        <f>F27+G27</f>
        <v>1635</v>
      </c>
      <c r="F27" s="240">
        <v>1291</v>
      </c>
      <c r="G27" s="241">
        <v>344</v>
      </c>
      <c r="H27" s="246">
        <v>70</v>
      </c>
    </row>
    <row r="28" spans="1:9">
      <c r="A28" s="270" t="s">
        <v>992</v>
      </c>
      <c r="B28" s="246">
        <v>19825</v>
      </c>
      <c r="C28" s="239">
        <v>16295</v>
      </c>
      <c r="D28" s="241">
        <v>3530</v>
      </c>
      <c r="E28" s="239">
        <v>0</v>
      </c>
      <c r="F28" s="240">
        <v>0</v>
      </c>
      <c r="G28" s="241">
        <v>0</v>
      </c>
      <c r="H28" s="246">
        <v>27</v>
      </c>
      <c r="I28" s="235"/>
    </row>
    <row r="29" spans="1:9">
      <c r="A29" s="270" t="s">
        <v>993</v>
      </c>
      <c r="B29" s="246">
        <v>295203</v>
      </c>
      <c r="C29" s="239">
        <v>230548</v>
      </c>
      <c r="D29" s="241">
        <v>64655</v>
      </c>
      <c r="E29" s="239">
        <f>F29+G29</f>
        <v>7396</v>
      </c>
      <c r="F29" s="240">
        <v>6917</v>
      </c>
      <c r="G29" s="241">
        <v>479</v>
      </c>
      <c r="H29" s="246">
        <v>837</v>
      </c>
      <c r="I29" s="235"/>
    </row>
    <row r="30" spans="1:9">
      <c r="A30" s="270" t="s">
        <v>994</v>
      </c>
      <c r="B30" s="246">
        <v>73212</v>
      </c>
      <c r="C30" s="239">
        <v>32171</v>
      </c>
      <c r="D30" s="241">
        <v>41041</v>
      </c>
      <c r="E30" s="239">
        <f>F30+G30</f>
        <v>2603</v>
      </c>
      <c r="F30" s="240">
        <v>2249</v>
      </c>
      <c r="G30" s="241">
        <v>354</v>
      </c>
      <c r="H30" s="246">
        <v>75</v>
      </c>
    </row>
    <row r="31" spans="1:9">
      <c r="A31" s="257" t="s">
        <v>1139</v>
      </c>
      <c r="B31" s="247">
        <f t="shared" ref="B31:H31" si="1">SUM(B25:B30)</f>
        <v>9056369</v>
      </c>
      <c r="C31" s="242">
        <f t="shared" si="1"/>
        <v>5504063</v>
      </c>
      <c r="D31" s="244">
        <f t="shared" si="1"/>
        <v>3552306</v>
      </c>
      <c r="E31" s="242">
        <f t="shared" si="1"/>
        <v>201088</v>
      </c>
      <c r="F31" s="243">
        <f t="shared" si="1"/>
        <v>137672</v>
      </c>
      <c r="G31" s="244">
        <f t="shared" si="1"/>
        <v>63416</v>
      </c>
      <c r="H31" s="247">
        <f t="shared" si="1"/>
        <v>15479</v>
      </c>
    </row>
    <row r="33" spans="1:8">
      <c r="B33" s="1904" t="s">
        <v>1146</v>
      </c>
      <c r="C33" s="1904"/>
      <c r="D33" s="1904"/>
      <c r="E33" s="1904"/>
      <c r="F33" s="1904"/>
      <c r="G33" s="1904"/>
      <c r="H33" s="1904"/>
    </row>
    <row r="34" spans="1:8">
      <c r="A34" s="271"/>
      <c r="B34" s="245" t="s">
        <v>225</v>
      </c>
      <c r="C34" s="236" t="s">
        <v>1</v>
      </c>
      <c r="D34" s="238" t="s">
        <v>0</v>
      </c>
      <c r="E34" s="237" t="s">
        <v>996</v>
      </c>
      <c r="F34" s="237" t="s">
        <v>1</v>
      </c>
      <c r="G34" s="238" t="s">
        <v>0</v>
      </c>
      <c r="H34" s="245" t="s">
        <v>995</v>
      </c>
    </row>
    <row r="35" spans="1:8">
      <c r="A35" s="272" t="s">
        <v>1151</v>
      </c>
      <c r="B35" s="273">
        <f t="shared" ref="B35:B40" si="2">C35+D35</f>
        <v>8172321</v>
      </c>
      <c r="C35" s="263">
        <v>4893477</v>
      </c>
      <c r="D35" s="261">
        <v>3278844</v>
      </c>
      <c r="E35" s="260">
        <f>F35+G35</f>
        <v>186895</v>
      </c>
      <c r="F35" s="260">
        <v>125391</v>
      </c>
      <c r="G35" s="261">
        <v>61504</v>
      </c>
      <c r="H35" s="273">
        <v>13912</v>
      </c>
    </row>
    <row r="36" spans="1:8">
      <c r="A36" s="272" t="s">
        <v>990</v>
      </c>
      <c r="B36" s="273">
        <f t="shared" si="2"/>
        <v>25248</v>
      </c>
      <c r="C36" s="263">
        <v>22856</v>
      </c>
      <c r="D36" s="261">
        <v>2392</v>
      </c>
      <c r="E36" s="260">
        <f>F36+G36</f>
        <v>1401</v>
      </c>
      <c r="F36" s="260">
        <v>1249</v>
      </c>
      <c r="G36" s="261">
        <v>152</v>
      </c>
      <c r="H36" s="273">
        <v>153</v>
      </c>
    </row>
    <row r="37" spans="1:8">
      <c r="A37" s="272" t="s">
        <v>991</v>
      </c>
      <c r="B37" s="273">
        <f t="shared" si="2"/>
        <v>35014</v>
      </c>
      <c r="C37" s="263">
        <v>29444</v>
      </c>
      <c r="D37" s="261">
        <v>5570</v>
      </c>
      <c r="E37" s="260">
        <f>F37+G37</f>
        <v>1492</v>
      </c>
      <c r="F37" s="260">
        <v>1170</v>
      </c>
      <c r="G37" s="261">
        <v>322</v>
      </c>
      <c r="H37" s="273">
        <v>58</v>
      </c>
    </row>
    <row r="38" spans="1:8">
      <c r="A38" s="272" t="s">
        <v>992</v>
      </c>
      <c r="B38" s="273">
        <f t="shared" si="2"/>
        <v>19141</v>
      </c>
      <c r="C38" s="263">
        <v>18202</v>
      </c>
      <c r="D38" s="261">
        <v>939</v>
      </c>
      <c r="E38" s="260">
        <v>0</v>
      </c>
      <c r="F38" s="260">
        <v>0</v>
      </c>
      <c r="G38" s="261">
        <v>0</v>
      </c>
      <c r="H38" s="273">
        <v>21</v>
      </c>
    </row>
    <row r="39" spans="1:8">
      <c r="A39" s="272" t="s">
        <v>993</v>
      </c>
      <c r="B39" s="273">
        <f t="shared" si="2"/>
        <v>255041</v>
      </c>
      <c r="C39" s="263">
        <v>203563</v>
      </c>
      <c r="D39" s="261">
        <v>51478</v>
      </c>
      <c r="E39" s="260">
        <f>F39+G39</f>
        <v>7396</v>
      </c>
      <c r="F39" s="260">
        <v>6917</v>
      </c>
      <c r="G39" s="261">
        <v>479</v>
      </c>
      <c r="H39" s="273">
        <v>779</v>
      </c>
    </row>
    <row r="40" spans="1:8">
      <c r="A40" s="272" t="s">
        <v>994</v>
      </c>
      <c r="B40" s="273">
        <f t="shared" si="2"/>
        <v>73191</v>
      </c>
      <c r="C40" s="263">
        <v>40006</v>
      </c>
      <c r="D40" s="261">
        <v>33185</v>
      </c>
      <c r="E40" s="260">
        <f>F40+G40</f>
        <v>2483</v>
      </c>
      <c r="F40" s="260">
        <v>2178</v>
      </c>
      <c r="G40" s="261">
        <v>305</v>
      </c>
      <c r="H40" s="273">
        <v>46</v>
      </c>
    </row>
    <row r="41" spans="1:8">
      <c r="A41" s="262" t="s">
        <v>999</v>
      </c>
      <c r="B41" s="247">
        <f>SUM(B35:B40)</f>
        <v>8579956</v>
      </c>
      <c r="C41" s="242">
        <f t="shared" ref="C41:H41" si="3">SUM(C35:C40)</f>
        <v>5207548</v>
      </c>
      <c r="D41" s="244">
        <f t="shared" si="3"/>
        <v>3372408</v>
      </c>
      <c r="E41" s="243">
        <f t="shared" si="3"/>
        <v>199667</v>
      </c>
      <c r="F41" s="243">
        <f t="shared" si="3"/>
        <v>136905</v>
      </c>
      <c r="G41" s="244">
        <f t="shared" si="3"/>
        <v>62762</v>
      </c>
      <c r="H41" s="247">
        <f t="shared" si="3"/>
        <v>14969</v>
      </c>
    </row>
    <row r="42" spans="1:8">
      <c r="B42" s="47"/>
      <c r="C42" s="47"/>
      <c r="D42" s="47"/>
      <c r="F42" s="47"/>
      <c r="G42" s="47"/>
      <c r="H42" s="47"/>
    </row>
    <row r="43" spans="1:8" ht="18.75">
      <c r="A43" s="1909" t="s">
        <v>1144</v>
      </c>
      <c r="B43" s="1909"/>
      <c r="C43" s="1909"/>
      <c r="D43" s="274">
        <f>D31/D41*100-100</f>
        <v>5.3344079364062651</v>
      </c>
      <c r="E43" s="275" t="s">
        <v>0</v>
      </c>
    </row>
    <row r="45" spans="1:8">
      <c r="B45" s="1441" t="s">
        <v>1153</v>
      </c>
      <c r="C45" s="1904"/>
      <c r="D45" s="1904"/>
      <c r="E45" s="1904"/>
    </row>
    <row r="46" spans="1:8">
      <c r="A46" s="1905" t="s">
        <v>1147</v>
      </c>
      <c r="B46" s="1906"/>
      <c r="C46" s="267" t="s">
        <v>341</v>
      </c>
      <c r="D46" s="265" t="s">
        <v>1012</v>
      </c>
      <c r="E46" s="266" t="s">
        <v>409</v>
      </c>
    </row>
    <row r="47" spans="1:8">
      <c r="A47" s="1907"/>
      <c r="B47" s="1908"/>
      <c r="C47" s="180">
        <v>202787</v>
      </c>
      <c r="D47" s="270">
        <v>4490</v>
      </c>
      <c r="E47" s="276">
        <v>2399</v>
      </c>
    </row>
    <row r="48" spans="1:8">
      <c r="A48" s="272"/>
      <c r="B48" s="276" t="s">
        <v>1148</v>
      </c>
      <c r="C48" s="180">
        <v>211569</v>
      </c>
      <c r="D48" s="270"/>
      <c r="E48" s="276"/>
    </row>
    <row r="49" spans="1:8">
      <c r="A49" s="272"/>
      <c r="B49" s="276" t="s">
        <v>1149</v>
      </c>
      <c r="C49" s="180">
        <v>9056369</v>
      </c>
      <c r="D49" s="270"/>
      <c r="E49" s="276"/>
    </row>
    <row r="50" spans="1:8">
      <c r="A50" s="262"/>
      <c r="B50" s="278" t="s">
        <v>1150</v>
      </c>
      <c r="C50" s="277">
        <f>SUM(C47:C49)</f>
        <v>9470725</v>
      </c>
      <c r="D50" s="257">
        <v>4490</v>
      </c>
      <c r="E50" s="278">
        <v>2399</v>
      </c>
    </row>
    <row r="51" spans="1:8" ht="15.75">
      <c r="B51" t="s">
        <v>1139</v>
      </c>
      <c r="C51" s="280">
        <f>E50+D50+C50</f>
        <v>9477614</v>
      </c>
    </row>
    <row r="53" spans="1:8">
      <c r="B53" s="1441" t="s">
        <v>1154</v>
      </c>
      <c r="C53" s="1904"/>
      <c r="D53" s="1904"/>
      <c r="E53" s="1904"/>
    </row>
    <row r="54" spans="1:8">
      <c r="A54" s="1905" t="s">
        <v>1147</v>
      </c>
      <c r="B54" s="1906"/>
      <c r="C54" s="267" t="s">
        <v>341</v>
      </c>
      <c r="D54" s="265" t="s">
        <v>1012</v>
      </c>
      <c r="E54" s="266" t="s">
        <v>409</v>
      </c>
    </row>
    <row r="55" spans="1:8">
      <c r="A55" s="1907"/>
      <c r="B55" s="1908"/>
      <c r="C55" s="180">
        <v>219287</v>
      </c>
      <c r="D55" s="270">
        <v>5476</v>
      </c>
      <c r="E55" s="276">
        <v>1575</v>
      </c>
    </row>
    <row r="56" spans="1:8">
      <c r="A56" s="272"/>
      <c r="B56" s="276" t="s">
        <v>1148</v>
      </c>
      <c r="C56" s="180">
        <v>184689</v>
      </c>
      <c r="D56" s="270"/>
      <c r="E56" s="276"/>
    </row>
    <row r="57" spans="1:8">
      <c r="A57" s="272"/>
      <c r="B57" s="276" t="s">
        <v>1149</v>
      </c>
      <c r="C57" s="180">
        <v>8579956</v>
      </c>
      <c r="D57" s="270"/>
      <c r="E57" s="276"/>
    </row>
    <row r="58" spans="1:8">
      <c r="A58" s="262"/>
      <c r="B58" s="278" t="s">
        <v>1150</v>
      </c>
      <c r="C58" s="277">
        <f>SUM(C55:C57)</f>
        <v>8983932</v>
      </c>
      <c r="D58" s="257">
        <v>5476</v>
      </c>
      <c r="E58" s="278">
        <v>1575</v>
      </c>
    </row>
    <row r="59" spans="1:8" ht="15.75">
      <c r="B59" t="s">
        <v>1139</v>
      </c>
      <c r="C59" s="280">
        <f>E58+D58+C58</f>
        <v>8990983</v>
      </c>
    </row>
    <row r="61" spans="1:8" ht="26.25">
      <c r="A61" s="279" t="s">
        <v>1155</v>
      </c>
    </row>
    <row r="63" spans="1:8">
      <c r="E63" t="s">
        <v>988</v>
      </c>
    </row>
    <row r="64" spans="1:8">
      <c r="A64" s="227"/>
      <c r="B64" s="227" t="s">
        <v>225</v>
      </c>
      <c r="C64" s="227" t="s">
        <v>995</v>
      </c>
      <c r="D64" s="227" t="s">
        <v>1</v>
      </c>
      <c r="E64" s="227" t="s">
        <v>0</v>
      </c>
      <c r="F64" s="227" t="s">
        <v>996</v>
      </c>
      <c r="G64" s="227" t="s">
        <v>1</v>
      </c>
      <c r="H64" s="227" t="s">
        <v>0</v>
      </c>
    </row>
    <row r="65" spans="1:10">
      <c r="A65" s="227" t="s">
        <v>989</v>
      </c>
      <c r="B65" s="455">
        <f>D65+E65</f>
        <v>8395836</v>
      </c>
      <c r="C65" s="454">
        <v>14658</v>
      </c>
      <c r="D65" s="454">
        <v>5099147</v>
      </c>
      <c r="E65" s="454">
        <v>3296689</v>
      </c>
      <c r="F65" s="455">
        <f t="shared" ref="F65:F73" si="4">G65+H65</f>
        <v>184541</v>
      </c>
      <c r="G65" s="455">
        <v>121850</v>
      </c>
      <c r="H65" s="455">
        <v>62691</v>
      </c>
    </row>
    <row r="66" spans="1:10">
      <c r="A66" s="227" t="s">
        <v>1764</v>
      </c>
      <c r="B66" s="455">
        <f t="shared" ref="B66:B74" si="5">D66+E66</f>
        <v>337178</v>
      </c>
      <c r="C66" s="454">
        <v>1051</v>
      </c>
      <c r="D66" s="454">
        <v>242187</v>
      </c>
      <c r="E66" s="454">
        <v>94991</v>
      </c>
      <c r="F66" s="455">
        <f t="shared" si="4"/>
        <v>18774</v>
      </c>
      <c r="G66" s="455">
        <v>8580</v>
      </c>
      <c r="H66" s="455">
        <v>10194</v>
      </c>
    </row>
    <row r="67" spans="1:10">
      <c r="A67" s="227" t="s">
        <v>990</v>
      </c>
      <c r="B67" s="455">
        <f t="shared" si="5"/>
        <v>13818</v>
      </c>
      <c r="C67" s="454">
        <v>157</v>
      </c>
      <c r="D67" s="454">
        <v>11242</v>
      </c>
      <c r="E67" s="454">
        <v>2576</v>
      </c>
      <c r="F67" s="455">
        <f t="shared" si="4"/>
        <v>687</v>
      </c>
      <c r="G67" s="455">
        <v>488</v>
      </c>
      <c r="H67" s="455">
        <v>199</v>
      </c>
    </row>
    <row r="68" spans="1:10">
      <c r="A68" s="227" t="s">
        <v>991</v>
      </c>
      <c r="B68" s="455">
        <f t="shared" si="5"/>
        <v>59216</v>
      </c>
      <c r="C68" s="454">
        <v>127</v>
      </c>
      <c r="D68" s="454">
        <v>48938</v>
      </c>
      <c r="E68" s="454">
        <v>10278</v>
      </c>
      <c r="F68" s="455">
        <f t="shared" si="4"/>
        <v>2830</v>
      </c>
      <c r="G68" s="455">
        <v>2358</v>
      </c>
      <c r="H68" s="455">
        <v>472</v>
      </c>
    </row>
    <row r="69" spans="1:10">
      <c r="A69" s="227" t="s">
        <v>1763</v>
      </c>
      <c r="B69" s="455">
        <f t="shared" si="5"/>
        <v>1550</v>
      </c>
      <c r="C69" s="454">
        <v>15</v>
      </c>
      <c r="D69" s="454">
        <v>1344</v>
      </c>
      <c r="E69" s="454">
        <v>206</v>
      </c>
      <c r="F69" s="455">
        <f t="shared" si="4"/>
        <v>145</v>
      </c>
      <c r="G69" s="455">
        <v>133</v>
      </c>
      <c r="H69" s="455">
        <v>12</v>
      </c>
    </row>
    <row r="70" spans="1:10">
      <c r="A70" s="227" t="s">
        <v>992</v>
      </c>
      <c r="B70" s="455">
        <f t="shared" si="5"/>
        <v>22934</v>
      </c>
      <c r="C70" s="454">
        <v>32</v>
      </c>
      <c r="D70" s="454">
        <v>21854</v>
      </c>
      <c r="E70" s="454">
        <v>1080</v>
      </c>
      <c r="F70" s="455">
        <f t="shared" si="4"/>
        <v>0</v>
      </c>
      <c r="G70" s="455">
        <v>0</v>
      </c>
      <c r="H70" s="455">
        <v>0</v>
      </c>
    </row>
    <row r="71" spans="1:10">
      <c r="A71" s="227" t="s">
        <v>993</v>
      </c>
      <c r="B71" s="455">
        <f t="shared" si="5"/>
        <v>321858</v>
      </c>
      <c r="C71" s="454">
        <v>995</v>
      </c>
      <c r="D71" s="454">
        <v>243961</v>
      </c>
      <c r="E71" s="454">
        <v>77897</v>
      </c>
      <c r="F71" s="455">
        <f t="shared" si="4"/>
        <v>6691</v>
      </c>
      <c r="G71" s="455">
        <v>6123</v>
      </c>
      <c r="H71" s="455">
        <v>568</v>
      </c>
    </row>
    <row r="72" spans="1:10">
      <c r="A72" s="227" t="s">
        <v>1762</v>
      </c>
      <c r="B72" s="455">
        <f t="shared" si="5"/>
        <v>11230</v>
      </c>
      <c r="C72" s="454">
        <v>47</v>
      </c>
      <c r="D72" s="454">
        <v>6909</v>
      </c>
      <c r="E72" s="454">
        <v>4321</v>
      </c>
      <c r="F72" s="455">
        <f t="shared" si="4"/>
        <v>572</v>
      </c>
      <c r="G72" s="455">
        <v>398</v>
      </c>
      <c r="H72" s="455">
        <v>174</v>
      </c>
    </row>
    <row r="73" spans="1:10">
      <c r="A73" s="227" t="s">
        <v>994</v>
      </c>
      <c r="B73" s="455">
        <f t="shared" si="5"/>
        <v>54460</v>
      </c>
      <c r="C73" s="454">
        <v>80</v>
      </c>
      <c r="D73" s="454">
        <v>24103</v>
      </c>
      <c r="E73" s="454">
        <v>30357</v>
      </c>
      <c r="F73" s="455">
        <f t="shared" si="4"/>
        <v>2411</v>
      </c>
      <c r="G73" s="455">
        <v>2070</v>
      </c>
      <c r="H73" s="455">
        <v>341</v>
      </c>
    </row>
    <row r="74" spans="1:10">
      <c r="A74" s="227" t="s">
        <v>1765</v>
      </c>
      <c r="B74" s="455">
        <f t="shared" si="5"/>
        <v>205213</v>
      </c>
      <c r="C74" s="454">
        <v>0</v>
      </c>
      <c r="D74" s="454">
        <v>146916</v>
      </c>
      <c r="E74" s="454">
        <f>31206+5281+21054+363+393</f>
        <v>58297</v>
      </c>
      <c r="F74" s="455">
        <v>0</v>
      </c>
      <c r="G74" s="455">
        <v>0</v>
      </c>
      <c r="H74" s="455">
        <v>0</v>
      </c>
    </row>
    <row r="75" spans="1:10">
      <c r="A75" s="227" t="s">
        <v>1757</v>
      </c>
      <c r="B75" s="345">
        <f>SUM(B65:B74)</f>
        <v>9423293</v>
      </c>
      <c r="C75" s="345">
        <f t="shared" ref="C75:H75" si="6">SUM(C65:C74)</f>
        <v>17162</v>
      </c>
      <c r="D75" s="345">
        <f t="shared" si="6"/>
        <v>5846601</v>
      </c>
      <c r="E75" s="345">
        <f t="shared" si="6"/>
        <v>3576692</v>
      </c>
      <c r="F75" s="345">
        <f t="shared" si="6"/>
        <v>216651</v>
      </c>
      <c r="G75" s="345">
        <f t="shared" si="6"/>
        <v>142000</v>
      </c>
      <c r="H75" s="345">
        <f t="shared" si="6"/>
        <v>74651</v>
      </c>
      <c r="J75" s="441">
        <f>58297-205213</f>
        <v>-146916</v>
      </c>
    </row>
    <row r="76" spans="1:10">
      <c r="A76" s="227"/>
      <c r="B76" s="456">
        <f>B65+B66+B67+B68+B69+B70+B71+B72+B73+B74</f>
        <v>9423293</v>
      </c>
      <c r="C76" s="227"/>
      <c r="D76" s="227"/>
      <c r="E76" s="227"/>
      <c r="F76" s="227"/>
      <c r="G76" s="227"/>
      <c r="H76" s="227"/>
    </row>
    <row r="77" spans="1:10">
      <c r="A77" s="227"/>
      <c r="B77" s="227">
        <f>B65+B67+B68+B70+B71+B73+B74</f>
        <v>9073335</v>
      </c>
      <c r="C77" s="227"/>
      <c r="D77" s="227"/>
      <c r="E77" s="227"/>
      <c r="F77" s="227">
        <f>F65+F67+F68+F71+F73</f>
        <v>197160</v>
      </c>
      <c r="G77" s="227"/>
      <c r="H77" s="227"/>
    </row>
    <row r="78" spans="1:10">
      <c r="A78" s="227"/>
      <c r="B78" s="227">
        <f>B66+B69+B72</f>
        <v>349958</v>
      </c>
      <c r="C78" s="227"/>
      <c r="D78" s="227"/>
      <c r="E78" s="227"/>
      <c r="F78" s="227">
        <f>F66+F69+F72</f>
        <v>19491</v>
      </c>
      <c r="G78" s="227"/>
      <c r="H78" s="227"/>
    </row>
    <row r="79" spans="1:10">
      <c r="A79" s="227"/>
      <c r="B79" s="453">
        <f>B76/9653926*100-100</f>
        <v>-2.3890073323536996</v>
      </c>
      <c r="C79" s="227"/>
      <c r="D79" s="227"/>
      <c r="E79" s="227"/>
      <c r="F79" s="227"/>
      <c r="G79" s="227"/>
      <c r="H79" s="227"/>
    </row>
    <row r="81" spans="1:10">
      <c r="B81" s="227" t="s">
        <v>225</v>
      </c>
      <c r="C81" s="227" t="s">
        <v>995</v>
      </c>
      <c r="D81" s="248" t="s">
        <v>1</v>
      </c>
      <c r="E81" s="249" t="s">
        <v>0</v>
      </c>
      <c r="F81" s="248" t="s">
        <v>996</v>
      </c>
      <c r="G81" s="250" t="s">
        <v>1</v>
      </c>
      <c r="H81" s="249" t="s">
        <v>0</v>
      </c>
    </row>
    <row r="82" spans="1:10">
      <c r="A82" t="s">
        <v>989</v>
      </c>
      <c r="B82" s="246">
        <f t="shared" ref="B82:B87" si="7">D82+E82</f>
        <v>8726387</v>
      </c>
      <c r="C82" s="246">
        <v>14479</v>
      </c>
      <c r="D82" s="435">
        <v>5223475</v>
      </c>
      <c r="E82" s="436">
        <v>3502912</v>
      </c>
      <c r="F82" s="239">
        <f t="shared" ref="F82:F87" si="8">G82+H82</f>
        <v>188037</v>
      </c>
      <c r="G82" s="240">
        <v>125241</v>
      </c>
      <c r="H82" s="241">
        <v>62796</v>
      </c>
    </row>
    <row r="83" spans="1:10">
      <c r="A83" t="s">
        <v>990</v>
      </c>
      <c r="B83" s="246">
        <f t="shared" si="7"/>
        <v>21565</v>
      </c>
      <c r="C83" s="246">
        <v>141</v>
      </c>
      <c r="D83" s="435">
        <v>19924</v>
      </c>
      <c r="E83" s="436">
        <v>1641</v>
      </c>
      <c r="F83" s="239">
        <f t="shared" si="8"/>
        <v>974</v>
      </c>
      <c r="G83" s="240">
        <v>942</v>
      </c>
      <c r="H83" s="241">
        <v>32</v>
      </c>
    </row>
    <row r="84" spans="1:10">
      <c r="A84" t="s">
        <v>991</v>
      </c>
      <c r="B84" s="246">
        <f t="shared" si="7"/>
        <v>25889</v>
      </c>
      <c r="C84" s="434">
        <v>70</v>
      </c>
      <c r="D84" s="435">
        <v>22541</v>
      </c>
      <c r="E84" s="436">
        <v>3348</v>
      </c>
      <c r="F84" s="239">
        <f t="shared" si="8"/>
        <v>849</v>
      </c>
      <c r="G84" s="240">
        <v>730</v>
      </c>
      <c r="H84" s="241">
        <v>119</v>
      </c>
    </row>
    <row r="85" spans="1:10">
      <c r="A85" t="s">
        <v>992</v>
      </c>
      <c r="B85" s="246">
        <f>D85+E85</f>
        <v>18592</v>
      </c>
      <c r="C85" s="246">
        <v>14</v>
      </c>
      <c r="D85" s="251">
        <v>17596</v>
      </c>
      <c r="E85" s="252">
        <v>996</v>
      </c>
      <c r="F85" s="239">
        <f t="shared" si="8"/>
        <v>0</v>
      </c>
      <c r="G85" s="240">
        <v>0</v>
      </c>
      <c r="H85" s="241">
        <v>0</v>
      </c>
    </row>
    <row r="86" spans="1:10">
      <c r="A86" t="s">
        <v>993</v>
      </c>
      <c r="B86" s="246">
        <f t="shared" si="7"/>
        <v>308574</v>
      </c>
      <c r="C86" s="246">
        <v>874</v>
      </c>
      <c r="D86" s="435">
        <v>237124</v>
      </c>
      <c r="E86" s="436">
        <v>71450</v>
      </c>
      <c r="F86" s="239">
        <f t="shared" si="8"/>
        <v>6990</v>
      </c>
      <c r="G86" s="240">
        <v>6380</v>
      </c>
      <c r="H86" s="241">
        <v>610</v>
      </c>
    </row>
    <row r="87" spans="1:10">
      <c r="A87" t="s">
        <v>994</v>
      </c>
      <c r="B87" s="246">
        <f t="shared" si="7"/>
        <v>80487</v>
      </c>
      <c r="C87" s="246">
        <v>70</v>
      </c>
      <c r="D87" s="435">
        <v>31628</v>
      </c>
      <c r="E87" s="436">
        <v>48859</v>
      </c>
      <c r="F87" s="239">
        <f t="shared" si="8"/>
        <v>2660</v>
      </c>
      <c r="G87" s="133">
        <v>2305</v>
      </c>
      <c r="H87" s="436">
        <v>355</v>
      </c>
    </row>
    <row r="88" spans="1:10">
      <c r="A88" t="s">
        <v>1296</v>
      </c>
      <c r="B88" s="247">
        <f t="shared" ref="B88:H88" si="9">SUM(B82:B87)</f>
        <v>9181494</v>
      </c>
      <c r="C88" s="247">
        <f>SUM(C82:C87)</f>
        <v>15648</v>
      </c>
      <c r="D88" s="242">
        <f t="shared" si="9"/>
        <v>5552288</v>
      </c>
      <c r="E88" s="244">
        <f t="shared" si="9"/>
        <v>3629206</v>
      </c>
      <c r="F88" s="242">
        <f t="shared" si="9"/>
        <v>199510</v>
      </c>
      <c r="G88" s="243">
        <f t="shared" si="9"/>
        <v>135598</v>
      </c>
      <c r="H88" s="244">
        <f t="shared" si="9"/>
        <v>63912</v>
      </c>
    </row>
    <row r="89" spans="1:10">
      <c r="B89" s="180"/>
      <c r="C89" s="180"/>
      <c r="D89" s="180"/>
      <c r="E89" s="180"/>
      <c r="F89" s="180"/>
      <c r="G89" s="180"/>
      <c r="H89" s="180"/>
    </row>
    <row r="90" spans="1:10">
      <c r="B90" s="180"/>
      <c r="C90" s="180"/>
      <c r="D90" s="180"/>
      <c r="E90" s="180"/>
      <c r="F90" s="180"/>
      <c r="G90" s="180"/>
      <c r="H90" s="180"/>
    </row>
    <row r="91" spans="1:10">
      <c r="E91" t="s">
        <v>988</v>
      </c>
    </row>
    <row r="92" spans="1:10">
      <c r="B92" s="227" t="s">
        <v>225</v>
      </c>
      <c r="C92" s="227" t="s">
        <v>995</v>
      </c>
      <c r="D92" s="248" t="s">
        <v>1</v>
      </c>
      <c r="E92" s="249" t="s">
        <v>0</v>
      </c>
      <c r="F92" s="248" t="s">
        <v>996</v>
      </c>
      <c r="G92" s="250" t="s">
        <v>1</v>
      </c>
      <c r="H92" s="249" t="s">
        <v>0</v>
      </c>
      <c r="J92">
        <f>D99/E99*100</f>
        <v>159.38698584359719</v>
      </c>
    </row>
    <row r="93" spans="1:10">
      <c r="A93" t="s">
        <v>989</v>
      </c>
      <c r="B93" s="434">
        <f>D93+E93</f>
        <v>8395836</v>
      </c>
      <c r="C93" s="437">
        <v>14658</v>
      </c>
      <c r="D93" s="438">
        <v>5099147</v>
      </c>
      <c r="E93" s="439">
        <v>3296689</v>
      </c>
      <c r="F93" s="435">
        <f t="shared" ref="F93:F98" si="10">G93+H93</f>
        <v>184541</v>
      </c>
      <c r="G93" s="133">
        <v>121850</v>
      </c>
      <c r="H93" s="436">
        <v>62691</v>
      </c>
    </row>
    <row r="94" spans="1:10">
      <c r="A94" t="s">
        <v>990</v>
      </c>
      <c r="B94" s="434">
        <f t="shared" ref="B94:B98" si="11">D94+E94</f>
        <v>13818</v>
      </c>
      <c r="C94" s="437">
        <v>157</v>
      </c>
      <c r="D94" s="438">
        <v>11242</v>
      </c>
      <c r="E94" s="439">
        <v>2576</v>
      </c>
      <c r="F94" s="435">
        <f t="shared" si="10"/>
        <v>687</v>
      </c>
      <c r="G94" s="133">
        <v>488</v>
      </c>
      <c r="H94" s="436">
        <v>199</v>
      </c>
    </row>
    <row r="95" spans="1:10">
      <c r="A95" t="s">
        <v>991</v>
      </c>
      <c r="B95" s="434">
        <f t="shared" si="11"/>
        <v>59216</v>
      </c>
      <c r="C95" s="437">
        <v>127</v>
      </c>
      <c r="D95" s="438">
        <v>48938</v>
      </c>
      <c r="E95" s="439">
        <v>10278</v>
      </c>
      <c r="F95" s="435">
        <f t="shared" si="10"/>
        <v>2830</v>
      </c>
      <c r="G95" s="133">
        <v>2358</v>
      </c>
      <c r="H95" s="436">
        <v>472</v>
      </c>
    </row>
    <row r="96" spans="1:10">
      <c r="A96" t="s">
        <v>992</v>
      </c>
      <c r="B96" s="434">
        <f t="shared" si="11"/>
        <v>22934</v>
      </c>
      <c r="C96" s="437">
        <v>32</v>
      </c>
      <c r="D96" s="438">
        <v>21854</v>
      </c>
      <c r="E96" s="439">
        <v>1080</v>
      </c>
      <c r="F96" s="435">
        <f t="shared" si="10"/>
        <v>0</v>
      </c>
      <c r="G96" s="133">
        <v>0</v>
      </c>
      <c r="H96" s="436">
        <v>0</v>
      </c>
    </row>
    <row r="97" spans="1:11">
      <c r="A97" t="s">
        <v>993</v>
      </c>
      <c r="B97" s="434">
        <f t="shared" si="11"/>
        <v>321858</v>
      </c>
      <c r="C97" s="437">
        <v>995</v>
      </c>
      <c r="D97" s="438">
        <v>243961</v>
      </c>
      <c r="E97" s="439">
        <v>77897</v>
      </c>
      <c r="F97" s="435">
        <f t="shared" si="10"/>
        <v>6691</v>
      </c>
      <c r="G97" s="133">
        <v>6123</v>
      </c>
      <c r="H97" s="436">
        <v>568</v>
      </c>
      <c r="K97">
        <f>B93+B94+B96+B97+B98</f>
        <v>8808906</v>
      </c>
    </row>
    <row r="98" spans="1:11">
      <c r="A98" t="s">
        <v>994</v>
      </c>
      <c r="B98" s="434">
        <f t="shared" si="11"/>
        <v>54460</v>
      </c>
      <c r="C98" s="437">
        <v>80</v>
      </c>
      <c r="D98" s="438">
        <v>24103</v>
      </c>
      <c r="E98" s="439">
        <v>30357</v>
      </c>
      <c r="F98" s="435">
        <f t="shared" si="10"/>
        <v>2411</v>
      </c>
      <c r="G98" s="133">
        <v>2070</v>
      </c>
      <c r="H98" s="436">
        <v>341</v>
      </c>
    </row>
    <row r="99" spans="1:11">
      <c r="A99" t="s">
        <v>1757</v>
      </c>
      <c r="B99" s="247">
        <f>SUM(B93:B98)</f>
        <v>8868122</v>
      </c>
      <c r="C99" s="247">
        <f>SUM(C93:C98)</f>
        <v>16049</v>
      </c>
      <c r="D99" s="242">
        <f t="shared" ref="D99:H99" si="12">SUM(D93:D98)</f>
        <v>5449245</v>
      </c>
      <c r="E99" s="244">
        <f t="shared" si="12"/>
        <v>3418877</v>
      </c>
      <c r="F99" s="242">
        <f>SUM(F93:F98)</f>
        <v>197160</v>
      </c>
      <c r="G99" s="243">
        <f t="shared" si="12"/>
        <v>132889</v>
      </c>
      <c r="H99" s="244">
        <f t="shared" si="12"/>
        <v>64271</v>
      </c>
    </row>
    <row r="100" spans="1:11">
      <c r="D100">
        <f>D98+D97+D96+D94+D93</f>
        <v>5400307</v>
      </c>
      <c r="E100">
        <f>E98+E97+E96+E94+E93</f>
        <v>3408599</v>
      </c>
    </row>
    <row r="101" spans="1:11">
      <c r="E101" s="49">
        <f>E99/E88*100-100</f>
        <v>-5.7954549838173932</v>
      </c>
    </row>
    <row r="104" spans="1:11">
      <c r="E104" t="s">
        <v>988</v>
      </c>
    </row>
    <row r="105" spans="1:11">
      <c r="B105" s="227" t="s">
        <v>225</v>
      </c>
      <c r="C105" s="227" t="s">
        <v>995</v>
      </c>
      <c r="D105" s="248" t="s">
        <v>1</v>
      </c>
      <c r="E105" s="249" t="s">
        <v>0</v>
      </c>
      <c r="F105" s="248" t="s">
        <v>996</v>
      </c>
      <c r="G105" s="250" t="s">
        <v>1</v>
      </c>
      <c r="H105" s="249" t="s">
        <v>0</v>
      </c>
    </row>
    <row r="106" spans="1:11">
      <c r="A106" t="s">
        <v>989</v>
      </c>
      <c r="B106" s="434">
        <f>D106+E106</f>
        <v>8533303</v>
      </c>
      <c r="C106" s="434">
        <v>14740</v>
      </c>
      <c r="D106" s="435">
        <v>5205392</v>
      </c>
      <c r="E106" s="436">
        <v>3327911</v>
      </c>
      <c r="F106" s="435">
        <f t="shared" ref="F106:F111" si="13">G106+H106</f>
        <v>183053</v>
      </c>
      <c r="G106" s="133">
        <v>118401</v>
      </c>
      <c r="H106" s="436">
        <v>64652</v>
      </c>
    </row>
    <row r="107" spans="1:11">
      <c r="A107" t="s">
        <v>990</v>
      </c>
      <c r="B107" s="434">
        <f t="shared" ref="B107:B111" si="14">D107+E107</f>
        <v>13479</v>
      </c>
      <c r="C107" s="434">
        <v>157</v>
      </c>
      <c r="D107" s="435">
        <v>10975</v>
      </c>
      <c r="E107" s="436">
        <v>2504</v>
      </c>
      <c r="F107" s="435">
        <f t="shared" si="13"/>
        <v>758</v>
      </c>
      <c r="G107" s="133">
        <v>592</v>
      </c>
      <c r="H107" s="436">
        <v>166</v>
      </c>
    </row>
    <row r="108" spans="1:11">
      <c r="A108" t="s">
        <v>991</v>
      </c>
      <c r="B108" s="434">
        <f t="shared" si="14"/>
        <v>51044</v>
      </c>
      <c r="C108" s="434">
        <v>128</v>
      </c>
      <c r="D108" s="435">
        <v>41088</v>
      </c>
      <c r="E108" s="436">
        <v>9956</v>
      </c>
      <c r="F108" s="435">
        <f t="shared" si="13"/>
        <v>2994</v>
      </c>
      <c r="G108" s="133">
        <v>2500</v>
      </c>
      <c r="H108" s="436">
        <v>494</v>
      </c>
    </row>
    <row r="109" spans="1:11">
      <c r="A109" t="s">
        <v>992</v>
      </c>
      <c r="B109" s="434">
        <f>D109+E109</f>
        <v>0</v>
      </c>
      <c r="C109" s="434">
        <v>0</v>
      </c>
      <c r="D109" s="435">
        <v>0</v>
      </c>
      <c r="E109" s="436">
        <v>0</v>
      </c>
      <c r="F109" s="435">
        <f t="shared" si="13"/>
        <v>0</v>
      </c>
      <c r="G109" s="133">
        <v>0</v>
      </c>
      <c r="H109" s="436">
        <v>0</v>
      </c>
    </row>
    <row r="110" spans="1:11">
      <c r="A110" t="s">
        <v>993</v>
      </c>
      <c r="B110" s="434">
        <f t="shared" si="14"/>
        <v>329762</v>
      </c>
      <c r="C110" s="434">
        <v>1003</v>
      </c>
      <c r="D110" s="263">
        <f>5000+243961</f>
        <v>248961</v>
      </c>
      <c r="E110" s="261">
        <f>2904+77897</f>
        <v>80801</v>
      </c>
      <c r="F110" s="435">
        <f t="shared" si="13"/>
        <v>6605</v>
      </c>
      <c r="G110" s="133">
        <v>6055</v>
      </c>
      <c r="H110" s="436">
        <v>550</v>
      </c>
    </row>
    <row r="111" spans="1:11">
      <c r="A111" t="s">
        <v>994</v>
      </c>
      <c r="B111" s="434">
        <f t="shared" si="14"/>
        <v>43430</v>
      </c>
      <c r="C111" s="434">
        <v>80</v>
      </c>
      <c r="D111" s="435">
        <v>18826</v>
      </c>
      <c r="E111" s="436">
        <v>24604</v>
      </c>
      <c r="F111" s="435">
        <f t="shared" si="13"/>
        <v>2519</v>
      </c>
      <c r="G111" s="133">
        <v>2204</v>
      </c>
      <c r="H111" s="436">
        <v>315</v>
      </c>
    </row>
    <row r="112" spans="1:11">
      <c r="A112" t="s">
        <v>1863</v>
      </c>
      <c r="B112" s="247">
        <f>SUM(B106:B111)</f>
        <v>8971018</v>
      </c>
      <c r="C112" s="247">
        <f>SUM(C106:C111)</f>
        <v>16108</v>
      </c>
      <c r="D112" s="242">
        <f>SUM(D106:D111)</f>
        <v>5525242</v>
      </c>
      <c r="E112" s="244">
        <f t="shared" ref="E112:H112" si="15">SUM(E106:E111)</f>
        <v>3445776</v>
      </c>
      <c r="F112" s="242">
        <f>SUM(F106:F111)</f>
        <v>195929</v>
      </c>
      <c r="G112" s="243">
        <f t="shared" si="15"/>
        <v>129752</v>
      </c>
      <c r="H112" s="244">
        <f t="shared" si="15"/>
        <v>66177</v>
      </c>
    </row>
    <row r="114" spans="1:11">
      <c r="C114">
        <f>C106+C107+C108+C110+C111</f>
        <v>16108</v>
      </c>
      <c r="E114" s="49">
        <f>E112/E99*100-100</f>
        <v>0.7867788165529106</v>
      </c>
    </row>
    <row r="115" spans="1:11">
      <c r="C115">
        <f>B110-329762</f>
        <v>0</v>
      </c>
    </row>
    <row r="117" spans="1:11">
      <c r="A117" s="227"/>
      <c r="B117" s="227" t="s">
        <v>881</v>
      </c>
      <c r="C117" s="227" t="s">
        <v>986</v>
      </c>
      <c r="D117" s="227" t="s">
        <v>987</v>
      </c>
      <c r="E117" s="227" t="s">
        <v>1</v>
      </c>
      <c r="F117" s="227" t="s">
        <v>0</v>
      </c>
      <c r="G117" s="227" t="s">
        <v>997</v>
      </c>
      <c r="H117" s="227" t="s">
        <v>1</v>
      </c>
      <c r="I117" s="227" t="s">
        <v>0</v>
      </c>
      <c r="J117" s="227"/>
      <c r="K117" s="227" t="s">
        <v>1862</v>
      </c>
    </row>
    <row r="118" spans="1:11">
      <c r="A118" s="596" t="s">
        <v>1137</v>
      </c>
      <c r="B118" s="597">
        <f>E118+F118</f>
        <v>182344</v>
      </c>
      <c r="C118" s="597">
        <v>36</v>
      </c>
      <c r="D118" s="597">
        <v>234</v>
      </c>
      <c r="E118" s="597">
        <v>141303</v>
      </c>
      <c r="F118" s="454">
        <v>41041</v>
      </c>
      <c r="G118" s="597">
        <f>H118+I118</f>
        <v>5474</v>
      </c>
      <c r="H118" s="597">
        <v>4700</v>
      </c>
      <c r="I118" s="597">
        <v>774</v>
      </c>
      <c r="J118" s="227"/>
      <c r="K118" s="598">
        <v>11934</v>
      </c>
    </row>
    <row r="119" spans="1:11">
      <c r="A119" s="596" t="s">
        <v>1138</v>
      </c>
      <c r="B119" s="597">
        <f>E119+F119</f>
        <v>158929</v>
      </c>
      <c r="C119" s="597">
        <v>121</v>
      </c>
      <c r="D119" s="597">
        <v>388</v>
      </c>
      <c r="E119" s="597">
        <v>122372</v>
      </c>
      <c r="F119" s="454">
        <v>36557</v>
      </c>
      <c r="G119" s="597">
        <f>H119+I119</f>
        <v>9187</v>
      </c>
      <c r="H119" s="597">
        <v>8229</v>
      </c>
      <c r="I119" s="597">
        <v>958</v>
      </c>
      <c r="J119" s="227"/>
      <c r="K119" s="598">
        <v>10189</v>
      </c>
    </row>
    <row r="120" spans="1:11">
      <c r="A120" s="596" t="s">
        <v>1860</v>
      </c>
      <c r="B120" s="597">
        <f>E120+F120</f>
        <v>770</v>
      </c>
      <c r="C120" s="597">
        <v>9</v>
      </c>
      <c r="D120" s="597">
        <v>0</v>
      </c>
      <c r="E120" s="597">
        <v>459</v>
      </c>
      <c r="F120" s="454">
        <v>311</v>
      </c>
      <c r="G120" s="597">
        <f>H120+I120</f>
        <v>115</v>
      </c>
      <c r="H120" s="597">
        <v>53</v>
      </c>
      <c r="I120" s="597">
        <v>62</v>
      </c>
      <c r="J120" s="227"/>
      <c r="K120" s="597">
        <v>415</v>
      </c>
    </row>
    <row r="121" spans="1:11">
      <c r="A121" s="227"/>
      <c r="B121" s="227">
        <f>SUM(B118:B120)</f>
        <v>342043</v>
      </c>
      <c r="C121" s="227">
        <f>C118+C119</f>
        <v>157</v>
      </c>
      <c r="D121" s="227">
        <f>D118+D119</f>
        <v>622</v>
      </c>
      <c r="E121" s="227">
        <f>SUM(E118:E120)</f>
        <v>264134</v>
      </c>
      <c r="F121" s="227">
        <f>SUM(F118:F120)</f>
        <v>77909</v>
      </c>
      <c r="G121" s="227">
        <f>SUM(G118:G120)</f>
        <v>14776</v>
      </c>
      <c r="H121" s="227">
        <f>SUM(H118:H120)</f>
        <v>12982</v>
      </c>
      <c r="I121" s="227">
        <f>SUM(I118:I120)</f>
        <v>1794</v>
      </c>
      <c r="J121" s="227"/>
      <c r="K121" s="227">
        <f>SUM(K118:K120)</f>
        <v>22538</v>
      </c>
    </row>
    <row r="122" spans="1:11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</row>
    <row r="123" spans="1:11">
      <c r="A123" s="227"/>
      <c r="B123" s="227">
        <f>B118+B119</f>
        <v>341273</v>
      </c>
      <c r="C123" s="227"/>
      <c r="D123" s="227"/>
      <c r="E123" s="227">
        <f>E118+E119</f>
        <v>263675</v>
      </c>
      <c r="F123" s="227">
        <f>F118+F119</f>
        <v>77598</v>
      </c>
      <c r="G123" s="227">
        <f>G118+G119</f>
        <v>14661</v>
      </c>
      <c r="H123" s="227">
        <f t="shared" ref="H123:I123" si="16">H118+H119</f>
        <v>12929</v>
      </c>
      <c r="I123" s="227">
        <f t="shared" si="16"/>
        <v>1732</v>
      </c>
      <c r="J123" s="227"/>
      <c r="K123" s="227"/>
    </row>
    <row r="124" spans="1:11">
      <c r="A124" s="227"/>
      <c r="B124" s="453">
        <f>B121/B111*100-100</f>
        <v>687.57310614782409</v>
      </c>
      <c r="C124" s="227"/>
      <c r="D124" s="227"/>
      <c r="E124" s="227"/>
      <c r="F124" s="453"/>
      <c r="G124" s="227"/>
      <c r="H124" s="453"/>
      <c r="I124" s="227"/>
      <c r="J124" s="227"/>
      <c r="K124" s="453"/>
    </row>
    <row r="125" spans="1:11">
      <c r="A125" s="227"/>
      <c r="B125" s="227"/>
      <c r="C125" s="227"/>
      <c r="D125" s="227"/>
      <c r="E125" s="227"/>
      <c r="F125" s="453"/>
      <c r="G125" s="453"/>
      <c r="H125" s="227"/>
      <c r="I125" s="227"/>
      <c r="J125" s="227"/>
      <c r="K125" s="227"/>
    </row>
    <row r="129" spans="1:11">
      <c r="A129" s="227"/>
      <c r="B129" s="227" t="s">
        <v>881</v>
      </c>
      <c r="C129" s="227" t="s">
        <v>986</v>
      </c>
      <c r="D129" s="227" t="s">
        <v>987</v>
      </c>
      <c r="E129" s="227" t="s">
        <v>1</v>
      </c>
      <c r="F129" s="227" t="s">
        <v>0</v>
      </c>
      <c r="G129" s="227" t="s">
        <v>997</v>
      </c>
      <c r="H129" s="227" t="s">
        <v>1</v>
      </c>
      <c r="I129" s="227" t="s">
        <v>0</v>
      </c>
      <c r="J129" s="227"/>
      <c r="K129" s="227" t="s">
        <v>1862</v>
      </c>
    </row>
    <row r="130" spans="1:11">
      <c r="A130" s="596" t="s">
        <v>1137</v>
      </c>
      <c r="B130" s="455">
        <f>E130+F130</f>
        <v>184729</v>
      </c>
      <c r="C130" s="455">
        <v>38</v>
      </c>
      <c r="D130" s="455">
        <v>236</v>
      </c>
      <c r="E130" s="455">
        <v>140008</v>
      </c>
      <c r="F130" s="455">
        <v>44721</v>
      </c>
      <c r="G130" s="455">
        <f>H130+I130</f>
        <v>5720</v>
      </c>
      <c r="H130" s="455">
        <v>4935</v>
      </c>
      <c r="I130" s="455">
        <v>785</v>
      </c>
      <c r="J130" s="227"/>
      <c r="K130" s="598">
        <v>14371</v>
      </c>
    </row>
    <row r="131" spans="1:11">
      <c r="A131" s="596" t="s">
        <v>1138</v>
      </c>
      <c r="B131" s="455">
        <f>E131+F131</f>
        <v>181253</v>
      </c>
      <c r="C131" s="455">
        <v>122</v>
      </c>
      <c r="D131" s="455">
        <v>415</v>
      </c>
      <c r="E131" s="455">
        <v>135501</v>
      </c>
      <c r="F131" s="455">
        <v>45752</v>
      </c>
      <c r="G131" s="455">
        <f>H131+I131</f>
        <v>11495</v>
      </c>
      <c r="H131" s="455">
        <v>10010</v>
      </c>
      <c r="I131" s="455">
        <v>1485</v>
      </c>
      <c r="J131" s="227"/>
      <c r="K131" s="598">
        <v>10207</v>
      </c>
    </row>
    <row r="132" spans="1:11">
      <c r="A132" s="596" t="s">
        <v>1861</v>
      </c>
      <c r="B132" s="455">
        <f>E132+F132</f>
        <v>3335</v>
      </c>
      <c r="C132" s="455">
        <v>9</v>
      </c>
      <c r="D132" s="455">
        <v>0</v>
      </c>
      <c r="E132" s="455">
        <v>1982</v>
      </c>
      <c r="F132" s="455">
        <v>1353</v>
      </c>
      <c r="G132" s="455">
        <f>H132+I132</f>
        <v>300</v>
      </c>
      <c r="H132" s="455">
        <v>193</v>
      </c>
      <c r="I132" s="455">
        <v>107</v>
      </c>
      <c r="J132" s="227"/>
      <c r="K132" s="597">
        <v>800</v>
      </c>
    </row>
    <row r="133" spans="1:11">
      <c r="A133" s="227" t="s">
        <v>2</v>
      </c>
      <c r="B133" s="345">
        <f>SUM(B130:B132)</f>
        <v>369317</v>
      </c>
      <c r="C133" s="345">
        <f>C130+C131</f>
        <v>160</v>
      </c>
      <c r="D133" s="345">
        <f>D130+D131</f>
        <v>651</v>
      </c>
      <c r="E133" s="345">
        <f>SUM(E130:E132)</f>
        <v>277491</v>
      </c>
      <c r="F133" s="345">
        <f>SUM(F130:F132)</f>
        <v>91826</v>
      </c>
      <c r="G133" s="345">
        <f>SUM(G130:G132)</f>
        <v>17515</v>
      </c>
      <c r="H133" s="345">
        <f>SUM(H130:H132)</f>
        <v>15138</v>
      </c>
      <c r="I133" s="345">
        <f>SUM(I130:I132)</f>
        <v>2377</v>
      </c>
      <c r="J133" s="345"/>
      <c r="K133" s="345">
        <f>SUM(K130:K132)</f>
        <v>25378</v>
      </c>
    </row>
    <row r="134" spans="1:11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</row>
    <row r="135" spans="1:11">
      <c r="A135" s="227"/>
      <c r="B135" s="227">
        <f>B130+B131</f>
        <v>365982</v>
      </c>
      <c r="C135" s="227"/>
      <c r="D135" s="227"/>
      <c r="E135" s="227">
        <f>E130+E131</f>
        <v>275509</v>
      </c>
      <c r="F135" s="227">
        <f>F130+F131</f>
        <v>90473</v>
      </c>
      <c r="G135" s="227">
        <f>G130+G131</f>
        <v>17215</v>
      </c>
      <c r="H135" s="227">
        <f t="shared" ref="H135:I135" si="17">H130+H131</f>
        <v>14945</v>
      </c>
      <c r="I135" s="227">
        <f t="shared" si="17"/>
        <v>2270</v>
      </c>
      <c r="J135" s="227"/>
      <c r="K135" s="227"/>
    </row>
    <row r="136" spans="1:11">
      <c r="A136" s="227"/>
      <c r="B136" s="453">
        <f>B133/B123*100-100</f>
        <v>8.2174681266903491</v>
      </c>
      <c r="C136" s="227"/>
      <c r="D136" s="227"/>
      <c r="E136" s="227"/>
      <c r="F136" s="453"/>
      <c r="G136" s="227"/>
      <c r="H136" s="453"/>
      <c r="I136" s="227"/>
      <c r="J136" s="227"/>
      <c r="K136" s="453"/>
    </row>
    <row r="137" spans="1:11">
      <c r="A137" s="227"/>
      <c r="B137" s="227"/>
      <c r="C137" s="227"/>
      <c r="D137" s="227"/>
      <c r="E137" s="227"/>
      <c r="F137" s="453"/>
      <c r="G137" s="453"/>
      <c r="H137" s="227"/>
      <c r="I137" s="227"/>
      <c r="J137" s="227"/>
      <c r="K137" s="227"/>
    </row>
    <row r="139" spans="1:11">
      <c r="F139" s="49"/>
      <c r="K139" s="49">
        <f>K133/K121*100-100</f>
        <v>12.600940633596608</v>
      </c>
    </row>
  </sheetData>
  <mergeCells count="10">
    <mergeCell ref="B1:I1"/>
    <mergeCell ref="B9:I9"/>
    <mergeCell ref="A16:C16"/>
    <mergeCell ref="B23:H23"/>
    <mergeCell ref="B33:H33"/>
    <mergeCell ref="B53:E53"/>
    <mergeCell ref="A54:B55"/>
    <mergeCell ref="A43:C43"/>
    <mergeCell ref="B45:E45"/>
    <mergeCell ref="A46:B47"/>
  </mergeCells>
  <pageMargins left="0.45" right="0.45" top="0.34" bottom="0.4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S66"/>
  <sheetViews>
    <sheetView view="pageBreakPreview" topLeftCell="A40" zoomScale="70" zoomScaleNormal="70" zoomScaleSheetLayoutView="70" workbookViewId="0">
      <selection activeCell="H43" sqref="H43"/>
    </sheetView>
  </sheetViews>
  <sheetFormatPr defaultRowHeight="15"/>
  <cols>
    <col min="1" max="1" width="5.28515625" customWidth="1"/>
    <col min="2" max="2" width="22.7109375" customWidth="1"/>
    <col min="3" max="3" width="8.7109375" customWidth="1"/>
    <col min="4" max="4" width="9.28515625" customWidth="1"/>
    <col min="5" max="5" width="9.42578125" customWidth="1"/>
    <col min="6" max="6" width="9" customWidth="1"/>
    <col min="7" max="7" width="9.140625" customWidth="1"/>
    <col min="8" max="8" width="9.42578125" customWidth="1"/>
    <col min="9" max="9" width="8.85546875" customWidth="1"/>
    <col min="10" max="10" width="9.42578125" customWidth="1"/>
    <col min="11" max="11" width="9.7109375" customWidth="1"/>
    <col min="12" max="12" width="22.42578125" customWidth="1"/>
    <col min="13" max="13" width="5.140625" customWidth="1"/>
    <col min="17" max="17" width="5.42578125" customWidth="1"/>
    <col min="18" max="18" width="6.7109375" customWidth="1"/>
    <col min="19" max="19" width="7" customWidth="1"/>
    <col min="20" max="20" width="6.5703125" customWidth="1"/>
    <col min="21" max="22" width="6.42578125" customWidth="1"/>
    <col min="23" max="23" width="6.5703125" customWidth="1"/>
    <col min="24" max="24" width="7.28515625" customWidth="1"/>
    <col min="25" max="25" width="7.7109375" customWidth="1"/>
    <col min="27" max="27" width="7" customWidth="1"/>
    <col min="28" max="28" width="7.28515625" customWidth="1"/>
    <col min="29" max="31" width="6.5703125" customWidth="1"/>
    <col min="32" max="32" width="7.42578125" customWidth="1"/>
    <col min="33" max="33" width="6.42578125" customWidth="1"/>
    <col min="34" max="34" width="6.5703125" customWidth="1"/>
    <col min="35" max="35" width="7.42578125" customWidth="1"/>
  </cols>
  <sheetData>
    <row r="1" spans="1:45" ht="24.95" customHeight="1">
      <c r="A1" s="1462" t="s">
        <v>1184</v>
      </c>
      <c r="B1" s="1462"/>
      <c r="C1" s="1462"/>
      <c r="D1" s="1462"/>
      <c r="E1" s="1462"/>
      <c r="F1" s="1462"/>
      <c r="G1" s="1462"/>
      <c r="H1" s="1462"/>
      <c r="I1" s="1462"/>
      <c r="J1" s="1462"/>
      <c r="K1" s="1462"/>
      <c r="L1" s="1462"/>
      <c r="M1" s="1462"/>
      <c r="AA1" s="10"/>
      <c r="AB1" s="10"/>
      <c r="AC1" s="10"/>
      <c r="AD1" s="10"/>
      <c r="AE1" s="10"/>
      <c r="AF1" s="10"/>
      <c r="AG1" s="10"/>
      <c r="AH1" s="10"/>
      <c r="AI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24.95" customHeight="1">
      <c r="A2" s="1463" t="s">
        <v>1180</v>
      </c>
      <c r="B2" s="1463"/>
      <c r="C2" s="1463"/>
      <c r="D2" s="1463"/>
      <c r="E2" s="1463"/>
      <c r="F2" s="1463"/>
      <c r="G2" s="1463"/>
      <c r="H2" s="1463"/>
      <c r="I2" s="1463"/>
      <c r="J2" s="1463"/>
      <c r="K2" s="1463"/>
      <c r="L2" s="1463"/>
      <c r="M2" s="1463"/>
      <c r="AA2" s="1441"/>
      <c r="AB2" s="1441"/>
      <c r="AC2" s="1441"/>
      <c r="AD2" s="1442"/>
      <c r="AE2" s="1442"/>
      <c r="AF2" s="1442"/>
      <c r="AG2" s="1441"/>
      <c r="AH2" s="1441"/>
      <c r="AI2" s="1441"/>
      <c r="AK2" s="1441"/>
      <c r="AL2" s="1441"/>
      <c r="AM2" s="1441"/>
      <c r="AN2" s="1442"/>
      <c r="AO2" s="1442"/>
      <c r="AP2" s="1442"/>
      <c r="AQ2" s="1441"/>
      <c r="AR2" s="1441"/>
      <c r="AS2" s="1441"/>
    </row>
    <row r="3" spans="1:45" ht="24.95" customHeight="1">
      <c r="A3" s="1464" t="s">
        <v>443</v>
      </c>
      <c r="B3" s="1464"/>
      <c r="C3" s="1464"/>
      <c r="D3" s="1464"/>
      <c r="E3" s="1464"/>
      <c r="F3" s="1464"/>
      <c r="G3" s="1464"/>
      <c r="H3" s="1464"/>
      <c r="I3" s="1464"/>
      <c r="J3" s="1464"/>
      <c r="K3" s="1464"/>
      <c r="L3" s="1464"/>
      <c r="M3" s="1464"/>
      <c r="O3">
        <f>41041-41077</f>
        <v>-36</v>
      </c>
      <c r="P3">
        <f>141303-141403</f>
        <v>-100</v>
      </c>
      <c r="R3">
        <f>141303-140803</f>
        <v>500</v>
      </c>
      <c r="AA3" s="396"/>
      <c r="AB3" s="396"/>
      <c r="AC3" s="396"/>
      <c r="AD3" s="396"/>
      <c r="AE3" s="396"/>
      <c r="AF3" s="396"/>
      <c r="AG3" s="396"/>
      <c r="AH3" s="396"/>
      <c r="AI3" s="396"/>
      <c r="AK3" s="400"/>
      <c r="AL3" s="400"/>
      <c r="AM3" s="400"/>
      <c r="AN3" s="400"/>
      <c r="AO3" s="400"/>
      <c r="AP3" s="400"/>
      <c r="AQ3" s="400"/>
      <c r="AR3" s="400"/>
      <c r="AS3" s="400"/>
    </row>
    <row r="4" spans="1:45" ht="24.95" customHeight="1">
      <c r="A4" s="1459" t="s">
        <v>2028</v>
      </c>
      <c r="B4" s="1443" t="s">
        <v>402</v>
      </c>
      <c r="C4" s="1443">
        <v>1396</v>
      </c>
      <c r="D4" s="1445"/>
      <c r="E4" s="1445"/>
      <c r="F4" s="1443">
        <v>1395</v>
      </c>
      <c r="G4" s="1445"/>
      <c r="H4" s="1445"/>
      <c r="I4" s="1443">
        <v>1394</v>
      </c>
      <c r="J4" s="1445"/>
      <c r="K4" s="1451"/>
      <c r="L4" s="1451" t="s">
        <v>424</v>
      </c>
      <c r="M4" s="1459" t="s">
        <v>2027</v>
      </c>
      <c r="AA4" s="10"/>
      <c r="AB4" s="52"/>
      <c r="AC4" s="178"/>
      <c r="AD4" s="10"/>
      <c r="AE4" s="52"/>
      <c r="AF4" s="402"/>
      <c r="AG4" s="10"/>
      <c r="AH4" s="52"/>
      <c r="AI4" s="402"/>
      <c r="AK4" s="10"/>
      <c r="AL4" s="52"/>
      <c r="AM4" s="178"/>
      <c r="AN4" s="10"/>
      <c r="AO4" s="52"/>
      <c r="AP4" s="402"/>
      <c r="AQ4" s="10"/>
      <c r="AR4" s="52"/>
      <c r="AS4" s="402"/>
    </row>
    <row r="5" spans="1:45" ht="24.95" customHeight="1">
      <c r="A5" s="1460"/>
      <c r="B5" s="1444"/>
      <c r="C5" s="1446" t="s">
        <v>1773</v>
      </c>
      <c r="D5" s="1447"/>
      <c r="E5" s="1447"/>
      <c r="F5" s="1448" t="s">
        <v>1772</v>
      </c>
      <c r="G5" s="1449"/>
      <c r="H5" s="1450"/>
      <c r="I5" s="1448" t="s">
        <v>1771</v>
      </c>
      <c r="J5" s="1449"/>
      <c r="K5" s="1450"/>
      <c r="L5" s="1452"/>
      <c r="M5" s="1460"/>
      <c r="AA5" s="10"/>
      <c r="AB5" s="52"/>
      <c r="AC5" s="178"/>
      <c r="AD5" s="10"/>
      <c r="AE5" s="52"/>
      <c r="AF5" s="402"/>
      <c r="AG5" s="10"/>
      <c r="AH5" s="52"/>
      <c r="AI5" s="402"/>
      <c r="AK5" s="10"/>
      <c r="AL5" s="52"/>
      <c r="AM5" s="178"/>
      <c r="AN5" s="10"/>
      <c r="AO5" s="52"/>
      <c r="AP5" s="402"/>
      <c r="AQ5" s="10"/>
      <c r="AR5" s="52"/>
      <c r="AS5" s="402"/>
    </row>
    <row r="6" spans="1:45" ht="24.95" customHeight="1">
      <c r="A6" s="1460"/>
      <c r="B6" s="1444"/>
      <c r="C6" s="890" t="s">
        <v>0</v>
      </c>
      <c r="D6" s="891" t="s">
        <v>1</v>
      </c>
      <c r="E6" s="892" t="s">
        <v>2</v>
      </c>
      <c r="F6" s="890" t="s">
        <v>0</v>
      </c>
      <c r="G6" s="891" t="s">
        <v>1</v>
      </c>
      <c r="H6" s="892" t="s">
        <v>2</v>
      </c>
      <c r="I6" s="890" t="s">
        <v>0</v>
      </c>
      <c r="J6" s="891" t="s">
        <v>1</v>
      </c>
      <c r="K6" s="893" t="s">
        <v>2</v>
      </c>
      <c r="L6" s="1452"/>
      <c r="M6" s="1460"/>
      <c r="AA6" s="10"/>
      <c r="AB6" s="52"/>
      <c r="AC6" s="178"/>
      <c r="AD6" s="10"/>
      <c r="AE6" s="52"/>
      <c r="AF6" s="402"/>
      <c r="AG6" s="10"/>
      <c r="AH6" s="52"/>
      <c r="AI6" s="402"/>
      <c r="AK6" s="10"/>
      <c r="AL6" s="52"/>
      <c r="AM6" s="178"/>
      <c r="AN6" s="10"/>
      <c r="AO6" s="52"/>
      <c r="AP6" s="402"/>
      <c r="AQ6" s="10"/>
      <c r="AR6" s="52"/>
      <c r="AS6" s="402"/>
    </row>
    <row r="7" spans="1:45" ht="24.95" customHeight="1">
      <c r="A7" s="1460"/>
      <c r="B7" s="1444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6" t="s">
        <v>502</v>
      </c>
      <c r="I7" s="894" t="s">
        <v>500</v>
      </c>
      <c r="J7" s="895" t="s">
        <v>501</v>
      </c>
      <c r="K7" s="897" t="s">
        <v>502</v>
      </c>
      <c r="L7" s="1452"/>
      <c r="M7" s="1460"/>
      <c r="Q7" s="10"/>
      <c r="R7" s="10">
        <f>44721-C9</f>
        <v>0</v>
      </c>
      <c r="S7" s="10">
        <f>140008-D9</f>
        <v>0</v>
      </c>
      <c r="T7" s="10"/>
      <c r="U7" s="10"/>
      <c r="V7" s="10"/>
      <c r="W7" s="10"/>
      <c r="X7" s="10"/>
      <c r="Y7" s="10"/>
      <c r="AA7" s="10"/>
      <c r="AB7" s="52"/>
      <c r="AC7" s="178"/>
      <c r="AD7" s="10"/>
      <c r="AE7" s="52"/>
      <c r="AF7" s="402"/>
      <c r="AG7" s="10"/>
      <c r="AH7" s="52"/>
      <c r="AI7" s="402"/>
      <c r="AK7" s="10"/>
      <c r="AL7" s="52"/>
      <c r="AM7" s="178"/>
      <c r="AN7" s="10"/>
      <c r="AO7" s="52"/>
      <c r="AP7" s="402"/>
      <c r="AQ7" s="10"/>
      <c r="AR7" s="52"/>
      <c r="AS7" s="402"/>
    </row>
    <row r="8" spans="1:45" ht="24.95" customHeight="1">
      <c r="A8" s="1460"/>
      <c r="B8" s="1444"/>
      <c r="C8" s="912" t="s">
        <v>3</v>
      </c>
      <c r="D8" s="910" t="s">
        <v>4</v>
      </c>
      <c r="E8" s="909" t="s">
        <v>5</v>
      </c>
      <c r="F8" s="912" t="s">
        <v>3</v>
      </c>
      <c r="G8" s="910" t="s">
        <v>4</v>
      </c>
      <c r="H8" s="909" t="s">
        <v>5</v>
      </c>
      <c r="I8" s="912" t="s">
        <v>3</v>
      </c>
      <c r="J8" s="910" t="s">
        <v>4</v>
      </c>
      <c r="K8" s="905" t="s">
        <v>5</v>
      </c>
      <c r="L8" s="1452"/>
      <c r="M8" s="1460"/>
      <c r="Q8" s="1441"/>
      <c r="R8" s="1441"/>
      <c r="S8" s="1441"/>
      <c r="T8" s="506"/>
      <c r="U8" s="506"/>
      <c r="V8" s="506"/>
      <c r="W8" s="547"/>
      <c r="X8" s="547"/>
      <c r="Y8" s="547"/>
      <c r="AA8" s="10"/>
      <c r="AB8" s="52"/>
      <c r="AC8" s="178"/>
      <c r="AD8" s="10"/>
      <c r="AE8" s="52"/>
      <c r="AF8" s="402"/>
      <c r="AG8" s="10"/>
      <c r="AH8" s="52"/>
      <c r="AI8" s="402"/>
      <c r="AK8" s="10"/>
      <c r="AL8" s="52"/>
      <c r="AM8" s="178"/>
      <c r="AN8" s="10"/>
      <c r="AO8" s="52"/>
      <c r="AP8" s="402"/>
      <c r="AQ8" s="10"/>
      <c r="AR8" s="52"/>
      <c r="AS8" s="402"/>
    </row>
    <row r="9" spans="1:45" ht="63" customHeight="1">
      <c r="A9" s="906"/>
      <c r="B9" s="913" t="s">
        <v>28</v>
      </c>
      <c r="C9" s="822">
        <f>C10+C11+C12+C13+C14+C15+C16+C17+C18+C19+C20+C21+C22+C23+C24+C31+C32+C33+C34+C35+C36+C37+C38+C39+C40+C41+C42+C43+C44+C46+C47</f>
        <v>44721</v>
      </c>
      <c r="D9" s="822">
        <f>D10+D11+D12+D13+D14+D15+D16+D17+D18+D19+D20+D21+D22+D23+D24+D31+D32+D33+D34+D35+D36+D37+D38+D39+D40+D41+D42+D43+D44+D46+D47</f>
        <v>140008</v>
      </c>
      <c r="E9" s="823">
        <f>E10+E11+E12+E13+E14+E15+E16+E17+E18+E19+E20+E21+E22+E23+E24+E31+E32+E33+E34+E35+E36+E37+E38+E39+E40+E41+E42+E43+E44+E46+E47</f>
        <v>184729</v>
      </c>
      <c r="F9" s="822">
        <f t="shared" ref="F9:K9" si="0">F10+F11+F12+F13+F14+F15+F16+F17+F18+F19+F20+F21+F22+F23+F24+F31+F32+F33+F34+F35+F36+F37+F38+F39+F40+F41+F42+F43+F44+F46+F47</f>
        <v>41041</v>
      </c>
      <c r="G9" s="822">
        <f t="shared" si="0"/>
        <v>141303</v>
      </c>
      <c r="H9" s="823">
        <f t="shared" si="0"/>
        <v>182344</v>
      </c>
      <c r="I9" s="822">
        <f t="shared" si="0"/>
        <v>36362</v>
      </c>
      <c r="J9" s="822">
        <f t="shared" si="0"/>
        <v>135247</v>
      </c>
      <c r="K9" s="823">
        <f t="shared" si="0"/>
        <v>171609</v>
      </c>
      <c r="L9" s="676" t="s">
        <v>627</v>
      </c>
      <c r="M9" s="911"/>
      <c r="Q9" s="396"/>
      <c r="R9" s="396"/>
      <c r="S9" s="396"/>
      <c r="T9" s="396"/>
      <c r="U9" s="396"/>
      <c r="V9" s="396"/>
      <c r="W9" s="396"/>
      <c r="X9" s="396"/>
      <c r="Y9" s="396"/>
      <c r="AA9" s="10"/>
      <c r="AB9" s="52"/>
      <c r="AC9" s="178"/>
      <c r="AD9" s="10"/>
      <c r="AE9" s="52"/>
      <c r="AF9" s="402"/>
      <c r="AG9" s="10"/>
      <c r="AH9" s="52"/>
      <c r="AI9" s="402"/>
      <c r="AK9" s="10"/>
      <c r="AL9" s="52"/>
      <c r="AM9" s="178"/>
      <c r="AN9" s="10"/>
      <c r="AO9" s="52"/>
      <c r="AP9" s="402"/>
      <c r="AQ9" s="10"/>
      <c r="AR9" s="52"/>
      <c r="AS9" s="402"/>
    </row>
    <row r="10" spans="1:45" ht="63" customHeight="1">
      <c r="A10" s="910">
        <v>1</v>
      </c>
      <c r="B10" s="825" t="s">
        <v>29</v>
      </c>
      <c r="C10" s="812">
        <f>2085+7</f>
        <v>2092</v>
      </c>
      <c r="D10" s="813">
        <f>164+7120+94</f>
        <v>7378</v>
      </c>
      <c r="E10" s="813">
        <f>D10+C10</f>
        <v>9470</v>
      </c>
      <c r="F10" s="812">
        <v>1856</v>
      </c>
      <c r="G10" s="813">
        <v>7679</v>
      </c>
      <c r="H10" s="813">
        <f>G10+F10</f>
        <v>9535</v>
      </c>
      <c r="I10" s="812">
        <f>321+34+209+54+9+60+52+16+11+301+107+7+31+7+53+112+233+3+2+3</f>
        <v>1625</v>
      </c>
      <c r="J10" s="813">
        <f>980+522+310+336+283+292+538+483+235+353+552+132+297+114+377+348+301+538+175+400</f>
        <v>7566</v>
      </c>
      <c r="K10" s="811">
        <f>J10+I10</f>
        <v>9191</v>
      </c>
      <c r="L10" s="809" t="s">
        <v>628</v>
      </c>
      <c r="M10" s="910">
        <v>1</v>
      </c>
      <c r="Q10" s="10"/>
      <c r="R10" s="52"/>
      <c r="S10" s="178"/>
      <c r="T10" s="10"/>
      <c r="U10" s="52"/>
      <c r="V10" s="402"/>
      <c r="W10" s="547"/>
      <c r="X10" s="52"/>
      <c r="Y10" s="402"/>
      <c r="AA10" s="10"/>
      <c r="AB10" s="52"/>
      <c r="AC10" s="178"/>
      <c r="AD10" s="10"/>
      <c r="AE10" s="52"/>
      <c r="AF10" s="402"/>
      <c r="AG10" s="10"/>
      <c r="AH10" s="52"/>
      <c r="AI10" s="402"/>
      <c r="AK10" s="10"/>
      <c r="AL10" s="52"/>
      <c r="AM10" s="178"/>
      <c r="AN10" s="10"/>
      <c r="AO10" s="52"/>
      <c r="AP10" s="402"/>
      <c r="AQ10" s="10"/>
      <c r="AR10" s="52"/>
      <c r="AS10" s="402"/>
    </row>
    <row r="11" spans="1:45" ht="63" customHeight="1">
      <c r="A11" s="914">
        <v>2</v>
      </c>
      <c r="B11" s="839" t="s">
        <v>30</v>
      </c>
      <c r="C11" s="819">
        <f>30+2960+182+57</f>
        <v>3229</v>
      </c>
      <c r="D11" s="817">
        <f>148+3772+510+118</f>
        <v>4548</v>
      </c>
      <c r="E11" s="817">
        <f t="shared" ref="E11:E23" si="1">D11+C11</f>
        <v>7777</v>
      </c>
      <c r="F11" s="819">
        <f>811+1817+400-4</f>
        <v>3024</v>
      </c>
      <c r="G11" s="817">
        <f>825+3874+338+400</f>
        <v>5437</v>
      </c>
      <c r="H11" s="817">
        <f t="shared" ref="H11:H20" si="2">G11+F11</f>
        <v>8461</v>
      </c>
      <c r="I11" s="819">
        <f>757+682+87+574+52+58+1+293+191+71</f>
        <v>2766</v>
      </c>
      <c r="J11" s="817">
        <f>930+799+447+825+67+1003+94+254+761+236</f>
        <v>5416</v>
      </c>
      <c r="K11" s="818">
        <f t="shared" ref="K11:K20" si="3">J11+I11</f>
        <v>8182</v>
      </c>
      <c r="L11" s="656" t="s">
        <v>629</v>
      </c>
      <c r="M11" s="914">
        <v>2</v>
      </c>
      <c r="Q11" s="10"/>
      <c r="R11" s="52"/>
      <c r="S11" s="178"/>
      <c r="T11" s="10"/>
      <c r="U11" s="52"/>
      <c r="V11" s="402"/>
      <c r="W11" s="547"/>
      <c r="X11" s="52"/>
      <c r="Y11" s="402"/>
      <c r="AA11" s="10"/>
      <c r="AB11" s="52"/>
      <c r="AC11" s="178"/>
      <c r="AD11" s="10"/>
      <c r="AE11" s="52"/>
      <c r="AF11" s="402"/>
      <c r="AG11" s="10"/>
      <c r="AH11" s="52"/>
      <c r="AI11" s="402"/>
      <c r="AK11" s="10"/>
      <c r="AL11" s="52"/>
      <c r="AM11" s="178"/>
      <c r="AN11" s="10"/>
      <c r="AO11" s="52"/>
      <c r="AP11" s="402"/>
      <c r="AQ11" s="10"/>
      <c r="AR11" s="52"/>
      <c r="AS11" s="402"/>
    </row>
    <row r="12" spans="1:45" ht="63" customHeight="1">
      <c r="A12" s="910">
        <v>3</v>
      </c>
      <c r="B12" s="825" t="s">
        <v>31</v>
      </c>
      <c r="C12" s="812">
        <f>25+6978+14</f>
        <v>7017</v>
      </c>
      <c r="D12" s="813">
        <f>923+14018+1071</f>
        <v>16012</v>
      </c>
      <c r="E12" s="813">
        <f t="shared" si="1"/>
        <v>23029</v>
      </c>
      <c r="F12" s="812">
        <v>6017</v>
      </c>
      <c r="G12" s="813">
        <f>868+15476+831-237</f>
        <v>16938</v>
      </c>
      <c r="H12" s="813">
        <f t="shared" si="2"/>
        <v>22955</v>
      </c>
      <c r="I12" s="812">
        <f>940+902+127+68+444+50+158+7+299+2+127+1+3+1039+145+18+205+7+141+14+787+24+2+166+37+163+28+13</f>
        <v>5917</v>
      </c>
      <c r="J12" s="813">
        <f>1861+818+1023+742+366+154+521+108+605+118+1298+104+163+681+698+773+908+151+526+279+967+844+255+908+181+611+232+798+150</f>
        <v>16843</v>
      </c>
      <c r="K12" s="811">
        <f t="shared" si="3"/>
        <v>22760</v>
      </c>
      <c r="L12" s="809" t="s">
        <v>1880</v>
      </c>
      <c r="M12" s="910">
        <v>3</v>
      </c>
      <c r="Q12" s="10"/>
      <c r="R12" s="52"/>
      <c r="T12" t="s">
        <v>1053</v>
      </c>
      <c r="U12" s="52"/>
      <c r="V12" s="402"/>
      <c r="W12" s="547"/>
      <c r="X12" s="52"/>
      <c r="Y12" s="402"/>
      <c r="AA12" s="10"/>
      <c r="AB12" s="52"/>
      <c r="AC12" s="178"/>
      <c r="AD12" s="10"/>
      <c r="AE12" s="52"/>
      <c r="AF12" s="402"/>
      <c r="AG12" s="10"/>
      <c r="AH12" s="52"/>
      <c r="AI12" s="402"/>
      <c r="AK12" s="10"/>
      <c r="AL12" s="52"/>
      <c r="AM12" s="178"/>
      <c r="AN12" s="10"/>
      <c r="AO12" s="52"/>
      <c r="AP12" s="402"/>
      <c r="AQ12" s="10"/>
      <c r="AR12" s="52"/>
      <c r="AS12" s="402"/>
    </row>
    <row r="13" spans="1:45" ht="63" customHeight="1">
      <c r="A13" s="914">
        <v>4</v>
      </c>
      <c r="B13" s="839" t="s">
        <v>32</v>
      </c>
      <c r="C13" s="819">
        <f>51+41+853</f>
        <v>945</v>
      </c>
      <c r="D13" s="817">
        <f>297+7760+344+405</f>
        <v>8806</v>
      </c>
      <c r="E13" s="817">
        <f t="shared" si="1"/>
        <v>9751</v>
      </c>
      <c r="F13" s="819">
        <f>47+602+27</f>
        <v>676</v>
      </c>
      <c r="G13" s="817">
        <f>455+8157+293</f>
        <v>8905</v>
      </c>
      <c r="H13" s="817">
        <f t="shared" si="2"/>
        <v>9581</v>
      </c>
      <c r="I13" s="819">
        <f>56+7+12+95+10+12+9+130+102+7+11</f>
        <v>451</v>
      </c>
      <c r="J13" s="817">
        <f>978+204+364+676+569+402+674+365+986+226+352+603+404+519+321+254</f>
        <v>7897</v>
      </c>
      <c r="K13" s="818">
        <f t="shared" si="3"/>
        <v>8348</v>
      </c>
      <c r="L13" s="656" t="s">
        <v>658</v>
      </c>
      <c r="M13" s="914">
        <v>4</v>
      </c>
      <c r="Q13" s="10"/>
      <c r="R13" s="52"/>
      <c r="S13" s="178"/>
      <c r="T13" s="10"/>
      <c r="U13" s="52"/>
      <c r="V13" s="402"/>
      <c r="W13" s="547"/>
      <c r="X13" s="52"/>
      <c r="Y13" s="402"/>
      <c r="AA13" s="10"/>
      <c r="AB13" s="52"/>
      <c r="AC13" s="178"/>
      <c r="AD13" s="10"/>
      <c r="AE13" s="52"/>
      <c r="AF13" s="402"/>
      <c r="AG13" s="10"/>
      <c r="AH13" s="52"/>
      <c r="AI13" s="402"/>
      <c r="AK13" s="10"/>
      <c r="AL13" s="52"/>
      <c r="AM13" s="178"/>
      <c r="AN13" s="10"/>
      <c r="AO13" s="52"/>
      <c r="AP13" s="402"/>
      <c r="AQ13" s="10"/>
      <c r="AR13" s="52"/>
      <c r="AS13" s="402"/>
    </row>
    <row r="14" spans="1:45" ht="63" customHeight="1">
      <c r="A14" s="910">
        <v>5</v>
      </c>
      <c r="B14" s="825" t="s">
        <v>1970</v>
      </c>
      <c r="C14" s="812">
        <f>418+786</f>
        <v>1204</v>
      </c>
      <c r="D14" s="813">
        <f>143+646</f>
        <v>789</v>
      </c>
      <c r="E14" s="813">
        <f t="shared" si="1"/>
        <v>1993</v>
      </c>
      <c r="F14" s="812">
        <v>1033</v>
      </c>
      <c r="G14" s="813">
        <v>1098</v>
      </c>
      <c r="H14" s="813">
        <f t="shared" si="2"/>
        <v>2131</v>
      </c>
      <c r="I14" s="812">
        <f>428+188+71</f>
        <v>687</v>
      </c>
      <c r="J14" s="813">
        <f>456+107+413</f>
        <v>976</v>
      </c>
      <c r="K14" s="811">
        <f t="shared" si="3"/>
        <v>1663</v>
      </c>
      <c r="L14" s="809" t="s">
        <v>662</v>
      </c>
      <c r="M14" s="910">
        <v>5</v>
      </c>
      <c r="Q14" s="10"/>
      <c r="R14" s="52"/>
      <c r="S14" s="178"/>
      <c r="T14" s="10"/>
      <c r="U14" s="52"/>
      <c r="V14" s="402"/>
      <c r="W14" s="547"/>
      <c r="X14" s="52"/>
      <c r="Y14" s="402"/>
      <c r="AA14" s="10"/>
      <c r="AB14" s="52"/>
      <c r="AC14" s="178"/>
      <c r="AD14" s="10"/>
      <c r="AE14" s="52"/>
      <c r="AF14" s="402"/>
      <c r="AG14" s="10"/>
      <c r="AH14" s="52"/>
      <c r="AI14" s="402"/>
      <c r="AK14" s="10"/>
      <c r="AL14" s="52"/>
      <c r="AM14" s="178"/>
      <c r="AN14" s="10"/>
      <c r="AO14" s="52"/>
      <c r="AP14" s="402"/>
      <c r="AQ14" s="10"/>
      <c r="AR14" s="52"/>
      <c r="AS14" s="402"/>
    </row>
    <row r="15" spans="1:45" ht="63" customHeight="1">
      <c r="A15" s="914">
        <v>6</v>
      </c>
      <c r="B15" s="839" t="s">
        <v>33</v>
      </c>
      <c r="C15" s="819">
        <v>1730</v>
      </c>
      <c r="D15" s="817">
        <v>17381</v>
      </c>
      <c r="E15" s="817">
        <f t="shared" si="1"/>
        <v>19111</v>
      </c>
      <c r="F15" s="819">
        <v>2147</v>
      </c>
      <c r="G15" s="817">
        <f>200+16508</f>
        <v>16708</v>
      </c>
      <c r="H15" s="817">
        <f t="shared" si="2"/>
        <v>18855</v>
      </c>
      <c r="I15" s="819">
        <f>147+8+62+11+93+7+1+172+2+82+83+19+214+51+79+3+9+70+7+5+27+10</f>
        <v>1162</v>
      </c>
      <c r="J15" s="817">
        <f>1084+280+648+496+752+948+461+309+783+532+754+379+738+842+883+838+892+875+461+1059+658+532+246+181+290+587+50+20</f>
        <v>16578</v>
      </c>
      <c r="K15" s="818">
        <f t="shared" si="3"/>
        <v>17740</v>
      </c>
      <c r="L15" s="656" t="s">
        <v>630</v>
      </c>
      <c r="M15" s="914">
        <v>6</v>
      </c>
      <c r="Q15" s="10"/>
      <c r="R15" s="52"/>
      <c r="S15" s="178"/>
      <c r="T15" s="10"/>
      <c r="U15" s="52"/>
      <c r="V15" s="402"/>
      <c r="W15" s="547"/>
      <c r="X15" s="52"/>
      <c r="Y15" s="402"/>
      <c r="AA15" s="10"/>
      <c r="AB15" s="52"/>
      <c r="AC15" s="178"/>
      <c r="AD15" s="10"/>
      <c r="AE15" s="52"/>
      <c r="AF15" s="402"/>
      <c r="AG15" s="10"/>
      <c r="AH15" s="52"/>
      <c r="AI15" s="402"/>
      <c r="AK15" s="10"/>
      <c r="AL15" s="52"/>
      <c r="AM15" s="178"/>
      <c r="AN15" s="10"/>
      <c r="AO15" s="52"/>
      <c r="AP15" s="402"/>
      <c r="AQ15" s="10"/>
      <c r="AR15" s="52"/>
      <c r="AS15" s="402"/>
    </row>
    <row r="16" spans="1:45" ht="63" customHeight="1">
      <c r="A16" s="910">
        <v>7</v>
      </c>
      <c r="B16" s="825" t="s">
        <v>34</v>
      </c>
      <c r="C16" s="812">
        <v>2393</v>
      </c>
      <c r="D16" s="813">
        <v>13408</v>
      </c>
      <c r="E16" s="813">
        <f t="shared" si="1"/>
        <v>15801</v>
      </c>
      <c r="F16" s="812">
        <v>1953</v>
      </c>
      <c r="G16" s="813">
        <v>11789</v>
      </c>
      <c r="H16" s="813">
        <f t="shared" si="2"/>
        <v>13742</v>
      </c>
      <c r="I16" s="812">
        <f>368+19+211+20+57+8+1+8+1+466+41+24+39+39+77+299+1+34+50+2+37+29+4</f>
        <v>1835</v>
      </c>
      <c r="J16" s="813">
        <f>1349+570+519+262+382+791+387+390+110+831+583+227+190+425+512+449+401+563+167+342+464+251+303+231+543+611</f>
        <v>11853</v>
      </c>
      <c r="K16" s="811">
        <f t="shared" si="3"/>
        <v>13688</v>
      </c>
      <c r="L16" s="809" t="s">
        <v>631</v>
      </c>
      <c r="M16" s="910">
        <v>7</v>
      </c>
      <c r="Q16" s="10"/>
      <c r="R16" s="52"/>
      <c r="S16" s="178"/>
      <c r="T16" s="10"/>
      <c r="U16" s="52"/>
      <c r="V16" s="402"/>
      <c r="W16" s="547"/>
      <c r="X16" s="52"/>
      <c r="Y16" s="402"/>
      <c r="AA16" s="10"/>
      <c r="AB16" s="52"/>
      <c r="AC16" s="178"/>
      <c r="AD16" s="10"/>
      <c r="AE16" s="52"/>
      <c r="AF16" s="402"/>
      <c r="AG16" s="10"/>
      <c r="AH16" s="52"/>
      <c r="AI16" s="402"/>
      <c r="AK16" s="10"/>
      <c r="AL16" s="52"/>
      <c r="AM16" s="178"/>
      <c r="AN16" s="10"/>
      <c r="AO16" s="52"/>
      <c r="AP16" s="402"/>
      <c r="AQ16" s="133"/>
      <c r="AR16" s="133"/>
      <c r="AS16" s="402"/>
    </row>
    <row r="17" spans="1:45" ht="63" customHeight="1">
      <c r="A17" s="914">
        <v>8</v>
      </c>
      <c r="B17" s="839" t="s">
        <v>35</v>
      </c>
      <c r="C17" s="819">
        <f>238+185</f>
        <v>423</v>
      </c>
      <c r="D17" s="817">
        <f>283+371</f>
        <v>654</v>
      </c>
      <c r="E17" s="817">
        <f t="shared" si="1"/>
        <v>1077</v>
      </c>
      <c r="F17" s="819">
        <f>181+195</f>
        <v>376</v>
      </c>
      <c r="G17" s="817">
        <f>372+242</f>
        <v>614</v>
      </c>
      <c r="H17" s="817">
        <f t="shared" si="2"/>
        <v>990</v>
      </c>
      <c r="I17" s="819">
        <f>157+144</f>
        <v>301</v>
      </c>
      <c r="J17" s="817">
        <f>375+188</f>
        <v>563</v>
      </c>
      <c r="K17" s="818">
        <f t="shared" si="3"/>
        <v>864</v>
      </c>
      <c r="L17" s="656" t="s">
        <v>661</v>
      </c>
      <c r="M17" s="914">
        <v>8</v>
      </c>
      <c r="Q17" s="10"/>
      <c r="R17" s="52"/>
      <c r="S17" s="178"/>
      <c r="T17" s="10"/>
      <c r="U17" s="52"/>
      <c r="V17" s="402"/>
      <c r="W17" s="547"/>
      <c r="X17" s="52"/>
      <c r="Y17" s="402"/>
      <c r="AA17" s="10"/>
      <c r="AB17" s="52"/>
      <c r="AC17" s="178"/>
      <c r="AD17" s="10"/>
      <c r="AE17" s="52"/>
      <c r="AF17" s="402"/>
      <c r="AG17" s="10"/>
      <c r="AH17" s="52"/>
      <c r="AI17" s="402"/>
      <c r="AK17" s="10"/>
      <c r="AL17" s="52"/>
      <c r="AM17" s="178"/>
      <c r="AN17" s="10"/>
      <c r="AO17" s="52"/>
      <c r="AP17" s="402"/>
      <c r="AQ17" s="10"/>
      <c r="AR17" s="52"/>
      <c r="AS17" s="402"/>
    </row>
    <row r="18" spans="1:45" ht="63" customHeight="1">
      <c r="A18" s="910">
        <v>9</v>
      </c>
      <c r="B18" s="825" t="s">
        <v>36</v>
      </c>
      <c r="C18" s="812">
        <v>219</v>
      </c>
      <c r="D18" s="813">
        <v>2159</v>
      </c>
      <c r="E18" s="813">
        <f t="shared" si="1"/>
        <v>2378</v>
      </c>
      <c r="F18" s="812">
        <v>217</v>
      </c>
      <c r="G18" s="813">
        <v>1718</v>
      </c>
      <c r="H18" s="813">
        <f t="shared" si="2"/>
        <v>1935</v>
      </c>
      <c r="I18" s="812">
        <f>30+65+36+96+10+1+10</f>
        <v>248</v>
      </c>
      <c r="J18" s="813">
        <f>267+166+244+281+147+170+180+8</f>
        <v>1463</v>
      </c>
      <c r="K18" s="811">
        <f t="shared" si="3"/>
        <v>1711</v>
      </c>
      <c r="L18" s="809" t="s">
        <v>660</v>
      </c>
      <c r="M18" s="910">
        <v>9</v>
      </c>
      <c r="Q18" s="10"/>
      <c r="R18" s="52"/>
      <c r="S18" s="178"/>
      <c r="T18" s="10"/>
      <c r="U18" s="52"/>
      <c r="V18" s="402"/>
      <c r="W18" s="547"/>
      <c r="X18" s="52"/>
      <c r="Y18" s="402"/>
      <c r="AA18" s="10"/>
      <c r="AB18" s="52"/>
      <c r="AC18" s="178"/>
      <c r="AD18" s="10"/>
      <c r="AE18" s="52"/>
      <c r="AF18" s="402"/>
      <c r="AG18" s="10"/>
      <c r="AH18" s="52"/>
      <c r="AI18" s="402"/>
      <c r="AK18" s="10"/>
      <c r="AL18" s="52"/>
      <c r="AM18" s="178"/>
      <c r="AN18" s="10"/>
      <c r="AO18" s="52"/>
      <c r="AP18" s="402"/>
      <c r="AQ18" s="10"/>
      <c r="AR18" s="52"/>
      <c r="AS18" s="402"/>
    </row>
    <row r="19" spans="1:45" ht="63" customHeight="1">
      <c r="A19" s="914">
        <v>10</v>
      </c>
      <c r="B19" s="839" t="s">
        <v>37</v>
      </c>
      <c r="C19" s="819">
        <v>325</v>
      </c>
      <c r="D19" s="817">
        <v>1278</v>
      </c>
      <c r="E19" s="817">
        <f t="shared" si="1"/>
        <v>1603</v>
      </c>
      <c r="F19" s="819">
        <v>220</v>
      </c>
      <c r="G19" s="817">
        <v>1327</v>
      </c>
      <c r="H19" s="817">
        <f t="shared" si="2"/>
        <v>1547</v>
      </c>
      <c r="I19" s="819">
        <f>87+10+24</f>
        <v>121</v>
      </c>
      <c r="J19" s="817">
        <f>448+279+661</f>
        <v>1388</v>
      </c>
      <c r="K19" s="818">
        <f t="shared" si="3"/>
        <v>1509</v>
      </c>
      <c r="L19" s="656" t="s">
        <v>632</v>
      </c>
      <c r="M19" s="914">
        <v>10</v>
      </c>
      <c r="Q19" s="10"/>
      <c r="R19" s="52"/>
      <c r="S19" s="178"/>
      <c r="T19" s="10"/>
      <c r="U19" s="52"/>
      <c r="V19" s="402"/>
      <c r="W19" s="547"/>
      <c r="X19" s="52"/>
      <c r="Y19" s="402"/>
      <c r="AA19" s="10"/>
      <c r="AB19" s="52"/>
      <c r="AC19" s="178"/>
      <c r="AD19" s="10"/>
      <c r="AE19" s="52"/>
      <c r="AF19" s="402"/>
      <c r="AG19" s="10"/>
      <c r="AH19" s="52"/>
      <c r="AI19" s="402"/>
      <c r="AK19" s="10"/>
      <c r="AL19" s="52"/>
      <c r="AM19" s="178"/>
      <c r="AN19" s="10"/>
      <c r="AO19" s="52"/>
      <c r="AP19" s="402"/>
      <c r="AQ19" s="10"/>
      <c r="AR19" s="52"/>
      <c r="AS19" s="402"/>
    </row>
    <row r="20" spans="1:45" ht="63" customHeight="1">
      <c r="A20" s="910">
        <v>11</v>
      </c>
      <c r="B20" s="825" t="s">
        <v>38</v>
      </c>
      <c r="C20" s="812">
        <v>647</v>
      </c>
      <c r="D20" s="813">
        <v>1059</v>
      </c>
      <c r="E20" s="813">
        <f t="shared" si="1"/>
        <v>1706</v>
      </c>
      <c r="F20" s="812">
        <v>488</v>
      </c>
      <c r="G20" s="813">
        <v>1141</v>
      </c>
      <c r="H20" s="813">
        <f t="shared" si="2"/>
        <v>1629</v>
      </c>
      <c r="I20" s="812">
        <f>240+30+180</f>
        <v>450</v>
      </c>
      <c r="J20" s="813">
        <f>693+245+126</f>
        <v>1064</v>
      </c>
      <c r="K20" s="811">
        <f t="shared" si="3"/>
        <v>1514</v>
      </c>
      <c r="L20" s="809" t="s">
        <v>685</v>
      </c>
      <c r="M20" s="910">
        <v>11</v>
      </c>
      <c r="Q20" s="10"/>
      <c r="R20" s="52"/>
      <c r="S20" s="178"/>
      <c r="T20" s="10"/>
      <c r="U20" s="52"/>
      <c r="V20" s="402"/>
      <c r="W20" s="547"/>
      <c r="X20" s="52"/>
      <c r="Y20" s="402"/>
      <c r="AA20" s="10"/>
      <c r="AB20" s="52"/>
      <c r="AC20" s="178"/>
      <c r="AD20" s="10"/>
      <c r="AE20" s="52"/>
      <c r="AF20" s="402"/>
      <c r="AG20" s="10"/>
      <c r="AH20" s="52"/>
      <c r="AI20" s="402"/>
      <c r="AK20" s="10"/>
      <c r="AL20" s="52"/>
      <c r="AM20" s="178"/>
      <c r="AN20" s="10"/>
      <c r="AO20" s="52"/>
      <c r="AP20" s="402"/>
      <c r="AQ20" s="10"/>
      <c r="AR20" s="52"/>
      <c r="AS20" s="402"/>
    </row>
    <row r="21" spans="1:45" ht="63" customHeight="1">
      <c r="A21" s="914">
        <v>12</v>
      </c>
      <c r="B21" s="839" t="s">
        <v>39</v>
      </c>
      <c r="C21" s="819">
        <v>1057</v>
      </c>
      <c r="D21" s="817">
        <v>5025</v>
      </c>
      <c r="E21" s="817">
        <f t="shared" si="1"/>
        <v>6082</v>
      </c>
      <c r="F21" s="819">
        <v>689</v>
      </c>
      <c r="G21" s="817">
        <f>76+4166</f>
        <v>4242</v>
      </c>
      <c r="H21" s="817">
        <f>G21+F21</f>
        <v>4931</v>
      </c>
      <c r="I21" s="819">
        <f>207+18+68+53+12+8+189+28+41</f>
        <v>624</v>
      </c>
      <c r="J21" s="817">
        <f>518+316+417+362+565+238+366+316+549+352</f>
        <v>3999</v>
      </c>
      <c r="K21" s="818">
        <f>J21+I21</f>
        <v>4623</v>
      </c>
      <c r="L21" s="656" t="s">
        <v>633</v>
      </c>
      <c r="M21" s="914">
        <v>12</v>
      </c>
      <c r="Q21" s="10"/>
      <c r="R21" s="52"/>
      <c r="S21" s="178"/>
      <c r="T21" s="10"/>
      <c r="U21" s="52"/>
      <c r="V21" s="402"/>
      <c r="W21" s="547"/>
      <c r="X21" s="52"/>
      <c r="Y21" s="402"/>
      <c r="AA21" s="10"/>
      <c r="AB21" s="52"/>
      <c r="AC21" s="178"/>
      <c r="AD21" s="10"/>
      <c r="AE21" s="52"/>
      <c r="AF21" s="402"/>
      <c r="AG21" s="10"/>
      <c r="AH21" s="52"/>
      <c r="AI21" s="402"/>
      <c r="AK21" s="10"/>
      <c r="AL21" s="52"/>
      <c r="AM21" s="178"/>
      <c r="AN21" s="10"/>
      <c r="AO21" s="52"/>
      <c r="AP21" s="402"/>
      <c r="AQ21" s="10"/>
      <c r="AR21" s="52"/>
      <c r="AS21" s="402"/>
    </row>
    <row r="22" spans="1:45" ht="63" customHeight="1">
      <c r="A22" s="910">
        <v>13</v>
      </c>
      <c r="B22" s="825" t="s">
        <v>40</v>
      </c>
      <c r="C22" s="812">
        <f>8+3051</f>
        <v>3059</v>
      </c>
      <c r="D22" s="813">
        <f>175+4488</f>
        <v>4663</v>
      </c>
      <c r="E22" s="813">
        <f t="shared" si="1"/>
        <v>7722</v>
      </c>
      <c r="F22" s="812">
        <v>2799</v>
      </c>
      <c r="G22" s="813">
        <f>200+5384</f>
        <v>5584</v>
      </c>
      <c r="H22" s="813">
        <f t="shared" ref="H22:H23" si="4">G22+F22</f>
        <v>8383</v>
      </c>
      <c r="I22" s="812">
        <f>286+555+105+49+418+388+30+135+106+19+283+8+255+28</f>
        <v>2665</v>
      </c>
      <c r="J22" s="813">
        <f>525+355+476+404+238+277+188+402+411+561+405+836+208</f>
        <v>5286</v>
      </c>
      <c r="K22" s="811">
        <f>J22+I22</f>
        <v>7951</v>
      </c>
      <c r="L22" s="809" t="s">
        <v>686</v>
      </c>
      <c r="M22" s="910">
        <v>13</v>
      </c>
      <c r="Q22" s="10"/>
      <c r="R22" s="52"/>
      <c r="S22" s="178"/>
      <c r="T22" s="10"/>
      <c r="U22" s="52"/>
      <c r="V22" s="402"/>
      <c r="W22" s="547"/>
      <c r="X22" s="52"/>
      <c r="Y22" s="402"/>
      <c r="AA22" s="10"/>
      <c r="AB22" s="52"/>
      <c r="AC22" s="178"/>
      <c r="AD22" s="10"/>
      <c r="AE22" s="52"/>
      <c r="AF22" s="402"/>
      <c r="AG22" s="10"/>
      <c r="AH22" s="52"/>
      <c r="AI22" s="402"/>
      <c r="AK22" s="10"/>
      <c r="AL22" s="52"/>
      <c r="AM22" s="178"/>
      <c r="AN22" s="10"/>
      <c r="AO22" s="52"/>
      <c r="AP22" s="402"/>
      <c r="AQ22" s="10"/>
      <c r="AR22" s="52"/>
      <c r="AS22" s="402"/>
    </row>
    <row r="23" spans="1:45" ht="63" customHeight="1">
      <c r="A23" s="914">
        <v>14</v>
      </c>
      <c r="B23" s="839" t="s">
        <v>41</v>
      </c>
      <c r="C23" s="819">
        <v>3005</v>
      </c>
      <c r="D23" s="817">
        <v>8593</v>
      </c>
      <c r="E23" s="817">
        <f t="shared" si="1"/>
        <v>11598</v>
      </c>
      <c r="F23" s="819">
        <v>2792</v>
      </c>
      <c r="G23" s="817">
        <v>8965</v>
      </c>
      <c r="H23" s="817">
        <f t="shared" si="4"/>
        <v>11757</v>
      </c>
      <c r="I23" s="819">
        <f>417+301+172+428+87+200+15+222+25+160+3+16+386+39+7+85+9+34+40+49</f>
        <v>2695</v>
      </c>
      <c r="J23" s="817">
        <f>539+325+231+136+775+335+731+416+99+924+141+386+128+590+288+6+308+258+497+223+430</f>
        <v>7766</v>
      </c>
      <c r="K23" s="818">
        <f>J23+I23</f>
        <v>10461</v>
      </c>
      <c r="L23" s="656" t="s">
        <v>687</v>
      </c>
      <c r="M23" s="914">
        <v>14</v>
      </c>
      <c r="O23" s="10"/>
      <c r="P23" s="10"/>
      <c r="Q23" s="10"/>
      <c r="R23" s="52"/>
      <c r="S23" s="178"/>
      <c r="T23" s="10"/>
      <c r="U23" s="52"/>
      <c r="V23" s="402"/>
      <c r="W23" s="547"/>
      <c r="X23" s="52"/>
      <c r="Y23" s="402"/>
      <c r="AA23" s="10"/>
      <c r="AB23" s="52"/>
      <c r="AC23" s="178"/>
      <c r="AD23" s="10"/>
      <c r="AE23" s="52"/>
      <c r="AF23" s="402"/>
      <c r="AG23" s="10"/>
      <c r="AH23" s="52"/>
      <c r="AI23" s="402"/>
      <c r="AK23" s="10"/>
      <c r="AL23" s="52"/>
      <c r="AM23" s="178"/>
      <c r="AN23" s="10"/>
      <c r="AO23" s="52"/>
      <c r="AP23" s="402"/>
      <c r="AQ23" s="10"/>
      <c r="AR23" s="52"/>
      <c r="AS23" s="402"/>
    </row>
    <row r="24" spans="1:45" ht="63" customHeight="1">
      <c r="A24" s="899">
        <v>15</v>
      </c>
      <c r="B24" s="907" t="s">
        <v>42</v>
      </c>
      <c r="C24" s="824">
        <f>69+10800</f>
        <v>10869</v>
      </c>
      <c r="D24" s="815">
        <f>272+28693</f>
        <v>28965</v>
      </c>
      <c r="E24" s="815">
        <f>D24+C24</f>
        <v>39834</v>
      </c>
      <c r="F24" s="824">
        <v>10630</v>
      </c>
      <c r="G24" s="815">
        <v>29683</v>
      </c>
      <c r="H24" s="815">
        <f>G24+F24</f>
        <v>40313</v>
      </c>
      <c r="I24" s="824">
        <f>6230+569+146+657+78+20+5+325+54+320+78+16+13+337+390+69+60+130+63+4+186+23+29+76</f>
        <v>9878</v>
      </c>
      <c r="J24" s="815">
        <f>15233+961+196+750+259+872+259+990+322+726+360+1499+128+118+709+941+201+769+381+488+795+50+490+503+12+462+76+71+64+300</f>
        <v>28985</v>
      </c>
      <c r="K24" s="816">
        <f>J24+I24</f>
        <v>38863</v>
      </c>
      <c r="L24" s="353" t="s">
        <v>634</v>
      </c>
      <c r="M24" s="899">
        <v>15</v>
      </c>
      <c r="O24" s="394"/>
      <c r="P24" s="394"/>
      <c r="Q24" s="10"/>
      <c r="R24" s="52"/>
      <c r="S24" s="178"/>
      <c r="T24" s="10"/>
      <c r="U24" s="52"/>
      <c r="V24" s="402"/>
      <c r="W24" s="547"/>
      <c r="X24" s="52"/>
      <c r="Y24" s="402"/>
      <c r="AA24" s="10"/>
      <c r="AB24" s="52"/>
      <c r="AC24" s="178"/>
      <c r="AD24" s="10"/>
      <c r="AE24" s="52"/>
      <c r="AF24" s="402"/>
      <c r="AG24" s="10"/>
      <c r="AH24" s="52"/>
      <c r="AI24" s="402"/>
      <c r="AK24" s="10"/>
      <c r="AL24" s="52"/>
      <c r="AM24" s="178"/>
      <c r="AN24" s="10"/>
      <c r="AO24" s="52"/>
      <c r="AP24" s="402"/>
      <c r="AQ24" s="10"/>
      <c r="AR24" s="52"/>
      <c r="AS24" s="402"/>
    </row>
    <row r="25" spans="1:45" ht="27.95" customHeight="1">
      <c r="A25" s="1466" t="s">
        <v>511</v>
      </c>
      <c r="B25" s="1466"/>
      <c r="C25" s="1466"/>
      <c r="D25" s="1466"/>
      <c r="E25" s="1466"/>
      <c r="F25" s="1465" t="s">
        <v>512</v>
      </c>
      <c r="G25" s="1465"/>
      <c r="H25" s="1465"/>
      <c r="I25" s="1465"/>
      <c r="J25" s="1427" t="s">
        <v>510</v>
      </c>
      <c r="K25" s="1427"/>
      <c r="L25" s="1427"/>
      <c r="M25" s="1427"/>
      <c r="Q25" s="10"/>
      <c r="R25" s="52"/>
      <c r="S25" s="178"/>
      <c r="T25" s="10"/>
      <c r="U25" s="52">
        <v>69</v>
      </c>
      <c r="V25" s="402">
        <v>496</v>
      </c>
      <c r="W25" s="547"/>
      <c r="X25" s="52"/>
      <c r="Y25" s="402"/>
      <c r="AA25" s="10"/>
      <c r="AB25" s="10"/>
      <c r="AC25" s="178"/>
      <c r="AD25" s="10"/>
      <c r="AE25" s="10"/>
      <c r="AF25" s="402"/>
      <c r="AG25" s="10"/>
      <c r="AH25" s="10"/>
      <c r="AI25" s="402"/>
      <c r="AK25" s="10"/>
      <c r="AL25" s="52"/>
      <c r="AM25" s="178"/>
      <c r="AN25" s="52"/>
      <c r="AO25" s="402"/>
      <c r="AP25" s="402"/>
      <c r="AQ25" s="10"/>
      <c r="AR25" s="52"/>
      <c r="AS25" s="402"/>
    </row>
    <row r="26" spans="1:45" ht="27.95" customHeight="1">
      <c r="A26" s="1459" t="s">
        <v>2028</v>
      </c>
      <c r="B26" s="1443" t="s">
        <v>402</v>
      </c>
      <c r="C26" s="1443">
        <v>1396</v>
      </c>
      <c r="D26" s="1445"/>
      <c r="E26" s="1445"/>
      <c r="F26" s="1443">
        <v>1395</v>
      </c>
      <c r="G26" s="1445"/>
      <c r="H26" s="1445"/>
      <c r="I26" s="1443">
        <v>1394</v>
      </c>
      <c r="J26" s="1445"/>
      <c r="K26" s="1451"/>
      <c r="L26" s="1451" t="s">
        <v>424</v>
      </c>
      <c r="M26" s="1459" t="s">
        <v>2027</v>
      </c>
      <c r="Q26" s="10"/>
      <c r="R26" s="52"/>
      <c r="S26" s="178"/>
      <c r="T26" s="10"/>
      <c r="U26" s="52">
        <v>104</v>
      </c>
      <c r="V26" s="402">
        <v>390</v>
      </c>
      <c r="W26" s="547"/>
      <c r="X26" s="52"/>
      <c r="Y26" s="402"/>
      <c r="AA26" s="10"/>
      <c r="AB26" s="10"/>
      <c r="AC26" s="178"/>
      <c r="AD26" s="10"/>
      <c r="AE26" s="52"/>
      <c r="AF26" s="402"/>
      <c r="AG26" s="10"/>
      <c r="AH26" s="10"/>
      <c r="AI26" s="402"/>
      <c r="AK26" s="10"/>
      <c r="AL26" s="52"/>
      <c r="AM26" s="178"/>
      <c r="AN26" s="52"/>
      <c r="AO26" s="10"/>
      <c r="AP26" s="402"/>
      <c r="AQ26" s="10"/>
      <c r="AR26" s="52"/>
      <c r="AS26" s="402"/>
    </row>
    <row r="27" spans="1:45" ht="27.95" customHeight="1">
      <c r="A27" s="1460"/>
      <c r="B27" s="1444"/>
      <c r="C27" s="1446" t="s">
        <v>1773</v>
      </c>
      <c r="D27" s="1447"/>
      <c r="E27" s="1447"/>
      <c r="F27" s="1448" t="s">
        <v>1772</v>
      </c>
      <c r="G27" s="1449"/>
      <c r="H27" s="1450"/>
      <c r="I27" s="1448" t="s">
        <v>1771</v>
      </c>
      <c r="J27" s="1449"/>
      <c r="K27" s="1450"/>
      <c r="L27" s="1452"/>
      <c r="M27" s="1460"/>
      <c r="Q27" s="10"/>
      <c r="R27" s="52"/>
      <c r="S27" s="178"/>
      <c r="T27" s="10"/>
      <c r="U27" s="52">
        <v>760</v>
      </c>
      <c r="V27" s="402">
        <v>769</v>
      </c>
      <c r="W27" s="547"/>
      <c r="X27" s="52"/>
      <c r="Y27" s="402"/>
      <c r="AA27" s="10"/>
      <c r="AB27" s="52"/>
      <c r="AC27" s="178"/>
      <c r="AD27" s="10"/>
      <c r="AE27" s="52"/>
      <c r="AF27" s="402"/>
      <c r="AG27" s="10"/>
      <c r="AH27" s="52"/>
      <c r="AI27" s="402"/>
      <c r="AK27" s="10"/>
      <c r="AL27" s="52"/>
      <c r="AM27" s="178"/>
      <c r="AN27" s="10"/>
      <c r="AO27" s="52"/>
      <c r="AP27" s="402"/>
      <c r="AQ27" s="10"/>
      <c r="AR27" s="52"/>
      <c r="AS27" s="402"/>
    </row>
    <row r="28" spans="1:45" ht="27.95" customHeight="1">
      <c r="A28" s="1460"/>
      <c r="B28" s="1444"/>
      <c r="C28" s="890" t="s">
        <v>0</v>
      </c>
      <c r="D28" s="891" t="s">
        <v>1</v>
      </c>
      <c r="E28" s="892" t="s">
        <v>2</v>
      </c>
      <c r="F28" s="890" t="s">
        <v>0</v>
      </c>
      <c r="G28" s="891" t="s">
        <v>1</v>
      </c>
      <c r="H28" s="892" t="s">
        <v>2</v>
      </c>
      <c r="I28" s="890" t="s">
        <v>0</v>
      </c>
      <c r="J28" s="891" t="s">
        <v>1</v>
      </c>
      <c r="K28" s="893" t="s">
        <v>2</v>
      </c>
      <c r="L28" s="1452"/>
      <c r="M28" s="1460"/>
      <c r="Q28" s="10"/>
      <c r="R28" s="52"/>
      <c r="S28" s="178"/>
      <c r="T28" s="10"/>
      <c r="U28" s="52">
        <v>194</v>
      </c>
      <c r="V28" s="402">
        <v>791</v>
      </c>
      <c r="W28" s="547"/>
      <c r="X28" s="52"/>
      <c r="Y28" s="402"/>
      <c r="AA28" s="10"/>
      <c r="AB28" s="52"/>
      <c r="AC28" s="178"/>
      <c r="AD28" s="10"/>
      <c r="AE28" s="52"/>
      <c r="AF28" s="402"/>
      <c r="AG28" s="10"/>
      <c r="AH28" s="52"/>
      <c r="AI28" s="402"/>
      <c r="AK28" s="10"/>
      <c r="AL28" s="52"/>
      <c r="AM28" s="178"/>
      <c r="AN28" s="10"/>
      <c r="AO28" s="52"/>
      <c r="AP28" s="402"/>
      <c r="AQ28" s="10"/>
      <c r="AR28" s="52"/>
      <c r="AS28" s="402"/>
    </row>
    <row r="29" spans="1:45" ht="27.95" customHeight="1">
      <c r="A29" s="1460"/>
      <c r="B29" s="1444"/>
      <c r="C29" s="894" t="s">
        <v>500</v>
      </c>
      <c r="D29" s="895" t="s">
        <v>501</v>
      </c>
      <c r="E29" s="896" t="s">
        <v>502</v>
      </c>
      <c r="F29" s="894" t="s">
        <v>500</v>
      </c>
      <c r="G29" s="895" t="s">
        <v>501</v>
      </c>
      <c r="H29" s="896" t="s">
        <v>502</v>
      </c>
      <c r="I29" s="894" t="s">
        <v>500</v>
      </c>
      <c r="J29" s="895" t="s">
        <v>501</v>
      </c>
      <c r="K29" s="897" t="s">
        <v>502</v>
      </c>
      <c r="L29" s="1452"/>
      <c r="M29" s="1460"/>
      <c r="Q29" s="10"/>
      <c r="R29" s="52"/>
      <c r="S29" s="178"/>
      <c r="T29" s="10"/>
      <c r="U29" s="52">
        <v>485</v>
      </c>
      <c r="V29" s="402">
        <v>612</v>
      </c>
      <c r="W29" s="547"/>
      <c r="X29" s="52"/>
      <c r="Y29" s="402"/>
      <c r="AA29" s="10"/>
      <c r="AB29" s="52"/>
      <c r="AC29" s="178"/>
      <c r="AD29" s="10"/>
      <c r="AE29" s="52"/>
      <c r="AF29" s="402"/>
      <c r="AG29" s="10"/>
      <c r="AH29" s="52"/>
      <c r="AI29" s="402"/>
      <c r="AK29" s="10"/>
      <c r="AL29" s="10"/>
      <c r="AM29" s="178"/>
      <c r="AN29" s="10"/>
      <c r="AO29" s="10"/>
      <c r="AP29" s="402"/>
      <c r="AQ29" s="10"/>
      <c r="AR29" s="10"/>
      <c r="AS29" s="402"/>
    </row>
    <row r="30" spans="1:45" ht="27.95" customHeight="1">
      <c r="A30" s="1460"/>
      <c r="B30" s="1467"/>
      <c r="C30" s="898" t="s">
        <v>3</v>
      </c>
      <c r="D30" s="899" t="s">
        <v>4</v>
      </c>
      <c r="E30" s="900" t="s">
        <v>5</v>
      </c>
      <c r="F30" s="898" t="s">
        <v>3</v>
      </c>
      <c r="G30" s="899" t="s">
        <v>4</v>
      </c>
      <c r="H30" s="900" t="s">
        <v>5</v>
      </c>
      <c r="I30" s="898" t="s">
        <v>3</v>
      </c>
      <c r="J30" s="899" t="s">
        <v>4</v>
      </c>
      <c r="K30" s="901" t="s">
        <v>5</v>
      </c>
      <c r="L30" s="1455"/>
      <c r="M30" s="1461"/>
      <c r="Q30" s="10"/>
      <c r="R30" s="52"/>
      <c r="S30" s="178"/>
      <c r="T30" s="10"/>
      <c r="U30" s="52">
        <v>291</v>
      </c>
      <c r="V30" s="402">
        <v>246</v>
      </c>
      <c r="W30" s="547"/>
      <c r="X30" s="52"/>
      <c r="Y30" s="402"/>
      <c r="AA30" s="10"/>
      <c r="AB30" s="10"/>
      <c r="AC30" s="178"/>
      <c r="AD30" s="10"/>
      <c r="AE30" s="52"/>
      <c r="AF30" s="402"/>
      <c r="AG30" s="10"/>
      <c r="AH30" s="10"/>
      <c r="AI30" s="402"/>
    </row>
    <row r="31" spans="1:45" ht="59.1" customHeight="1">
      <c r="A31" s="915">
        <v>16</v>
      </c>
      <c r="B31" s="839" t="s">
        <v>43</v>
      </c>
      <c r="C31" s="819">
        <f>167+26</f>
        <v>193</v>
      </c>
      <c r="D31" s="817">
        <f>701+448</f>
        <v>1149</v>
      </c>
      <c r="E31" s="817">
        <f>D31+C31</f>
        <v>1342</v>
      </c>
      <c r="F31" s="819">
        <f>18+108</f>
        <v>126</v>
      </c>
      <c r="G31" s="817">
        <f>388+689</f>
        <v>1077</v>
      </c>
      <c r="H31" s="817">
        <f>G31+F31</f>
        <v>1203</v>
      </c>
      <c r="I31" s="819">
        <f>49+17</f>
        <v>66</v>
      </c>
      <c r="J31" s="817">
        <f>831+379</f>
        <v>1210</v>
      </c>
      <c r="K31" s="818">
        <f>J31+I31</f>
        <v>1276</v>
      </c>
      <c r="L31" s="626" t="s">
        <v>635</v>
      </c>
      <c r="M31" s="915">
        <v>16</v>
      </c>
      <c r="Q31" s="10"/>
      <c r="R31" s="10"/>
      <c r="S31" s="178"/>
      <c r="T31" s="10"/>
      <c r="U31" s="405">
        <v>102</v>
      </c>
      <c r="V31" s="402">
        <v>539</v>
      </c>
      <c r="W31" s="547"/>
      <c r="X31" s="405"/>
      <c r="Y31" s="402"/>
      <c r="AA31" s="10"/>
      <c r="AB31" s="52"/>
      <c r="AC31" s="178"/>
      <c r="AD31" s="10"/>
      <c r="AE31" s="52"/>
      <c r="AF31" s="402"/>
      <c r="AG31" s="10"/>
      <c r="AH31" s="52"/>
      <c r="AI31" s="402"/>
    </row>
    <row r="32" spans="1:45" ht="59.1" customHeight="1">
      <c r="A32" s="910">
        <v>17</v>
      </c>
      <c r="B32" s="825" t="s">
        <v>44</v>
      </c>
      <c r="C32" s="544">
        <v>52</v>
      </c>
      <c r="D32" s="545">
        <v>327</v>
      </c>
      <c r="E32" s="545">
        <f>D32+C32</f>
        <v>379</v>
      </c>
      <c r="F32" s="544">
        <v>39</v>
      </c>
      <c r="G32" s="545">
        <v>437</v>
      </c>
      <c r="H32" s="545">
        <f>G32+F32</f>
        <v>476</v>
      </c>
      <c r="I32" s="544">
        <f>8</f>
        <v>8</v>
      </c>
      <c r="J32" s="545">
        <f>346</f>
        <v>346</v>
      </c>
      <c r="K32" s="546">
        <f>J32+I32</f>
        <v>354</v>
      </c>
      <c r="L32" s="306" t="s">
        <v>1176</v>
      </c>
      <c r="M32" s="910">
        <v>17</v>
      </c>
      <c r="Q32" s="10"/>
      <c r="R32" s="10"/>
      <c r="S32" s="10"/>
      <c r="T32" s="10"/>
      <c r="U32" s="405">
        <v>16</v>
      </c>
      <c r="V32" s="406">
        <v>74</v>
      </c>
      <c r="W32" s="547"/>
      <c r="X32" s="405"/>
      <c r="Y32" s="10"/>
      <c r="AA32" s="10"/>
      <c r="AB32" s="10"/>
      <c r="AC32" s="178"/>
      <c r="AD32" s="10"/>
      <c r="AE32" s="10"/>
      <c r="AF32" s="402"/>
      <c r="AG32" s="10"/>
      <c r="AH32" s="10"/>
      <c r="AI32" s="402"/>
    </row>
    <row r="33" spans="1:35" ht="59.1" customHeight="1">
      <c r="A33" s="914">
        <v>18</v>
      </c>
      <c r="B33" s="839" t="s">
        <v>1592</v>
      </c>
      <c r="C33" s="654">
        <v>125</v>
      </c>
      <c r="D33" s="655">
        <v>355</v>
      </c>
      <c r="E33" s="655">
        <f t="shared" ref="E33:E43" si="5">D33+C33</f>
        <v>480</v>
      </c>
      <c r="F33" s="654">
        <v>117</v>
      </c>
      <c r="G33" s="655">
        <v>337</v>
      </c>
      <c r="H33" s="655">
        <f t="shared" ref="H33:H42" si="6">G33+F33</f>
        <v>454</v>
      </c>
      <c r="I33" s="654">
        <v>63</v>
      </c>
      <c r="J33" s="655">
        <v>317</v>
      </c>
      <c r="K33" s="632">
        <f t="shared" ref="K33:K41" si="7">J33+I33</f>
        <v>380</v>
      </c>
      <c r="L33" s="626" t="s">
        <v>636</v>
      </c>
      <c r="M33" s="914">
        <v>18</v>
      </c>
      <c r="Q33" s="1441"/>
      <c r="R33" s="1441"/>
      <c r="S33" s="1441"/>
      <c r="T33" s="506"/>
      <c r="U33" s="506">
        <v>31</v>
      </c>
      <c r="V33" s="506">
        <v>597</v>
      </c>
      <c r="W33" s="547"/>
      <c r="X33" s="407"/>
      <c r="Y33" s="148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59.1" customHeight="1">
      <c r="A34" s="910">
        <v>19</v>
      </c>
      <c r="B34" s="825" t="s">
        <v>1940</v>
      </c>
      <c r="C34" s="544">
        <v>2087</v>
      </c>
      <c r="D34" s="545">
        <v>4728</v>
      </c>
      <c r="E34" s="548">
        <f t="shared" si="5"/>
        <v>6815</v>
      </c>
      <c r="F34" s="544">
        <v>1862</v>
      </c>
      <c r="G34" s="545">
        <v>4220</v>
      </c>
      <c r="H34" s="545">
        <f t="shared" si="6"/>
        <v>6082</v>
      </c>
      <c r="I34" s="544">
        <f>635+129+149+45+602+53+44+74</f>
        <v>1731</v>
      </c>
      <c r="J34" s="545">
        <f>708+352+839+383+760+176+436+543+50</f>
        <v>4247</v>
      </c>
      <c r="K34" s="546">
        <f t="shared" si="7"/>
        <v>5978</v>
      </c>
      <c r="L34" s="306" t="s">
        <v>1884</v>
      </c>
      <c r="M34" s="910">
        <v>19</v>
      </c>
      <c r="Q34" s="396"/>
      <c r="R34" s="396"/>
      <c r="S34" s="396"/>
      <c r="T34" s="396"/>
      <c r="U34" s="396">
        <v>35</v>
      </c>
      <c r="V34" s="396">
        <v>214</v>
      </c>
      <c r="W34" s="396"/>
      <c r="X34" s="396"/>
      <c r="Y34" s="396"/>
      <c r="AA34" s="1441"/>
      <c r="AB34" s="1441"/>
      <c r="AC34" s="1441"/>
      <c r="AD34" s="1442"/>
      <c r="AE34" s="1442"/>
      <c r="AF34" s="1442"/>
      <c r="AG34" s="1441"/>
      <c r="AH34" s="1441"/>
      <c r="AI34" s="1441"/>
    </row>
    <row r="35" spans="1:35" ht="59.1" customHeight="1">
      <c r="A35" s="914">
        <v>20</v>
      </c>
      <c r="B35" s="839" t="s">
        <v>1218</v>
      </c>
      <c r="C35" s="640">
        <v>132</v>
      </c>
      <c r="D35" s="641">
        <v>210</v>
      </c>
      <c r="E35" s="655">
        <f t="shared" si="5"/>
        <v>342</v>
      </c>
      <c r="F35" s="640">
        <v>124</v>
      </c>
      <c r="G35" s="641">
        <v>210</v>
      </c>
      <c r="H35" s="655">
        <f t="shared" si="6"/>
        <v>334</v>
      </c>
      <c r="I35" s="640">
        <v>111</v>
      </c>
      <c r="J35" s="641">
        <v>203</v>
      </c>
      <c r="K35" s="632">
        <f t="shared" si="7"/>
        <v>314</v>
      </c>
      <c r="L35" s="626" t="s">
        <v>1217</v>
      </c>
      <c r="M35" s="914">
        <v>20</v>
      </c>
      <c r="Q35" s="10"/>
      <c r="R35" s="52"/>
      <c r="S35" s="402"/>
      <c r="T35" s="10"/>
      <c r="U35" s="52">
        <f>SUM(U25:U34)</f>
        <v>2087</v>
      </c>
      <c r="V35" s="402">
        <f>SUM(V25:V34)</f>
        <v>4728</v>
      </c>
      <c r="W35" s="547"/>
      <c r="X35" s="52"/>
      <c r="Y35" s="402"/>
      <c r="AA35" s="400"/>
      <c r="AB35" s="400"/>
      <c r="AC35" s="400"/>
      <c r="AD35" s="400"/>
      <c r="AE35" s="400"/>
      <c r="AF35" s="400"/>
      <c r="AG35" s="400"/>
      <c r="AH35" s="400"/>
      <c r="AI35" s="400"/>
    </row>
    <row r="36" spans="1:35" ht="59.1" customHeight="1">
      <c r="A36" s="910">
        <v>21</v>
      </c>
      <c r="B36" s="825" t="s">
        <v>1220</v>
      </c>
      <c r="C36" s="544">
        <v>365</v>
      </c>
      <c r="D36" s="545">
        <v>865</v>
      </c>
      <c r="E36" s="548">
        <f t="shared" si="5"/>
        <v>1230</v>
      </c>
      <c r="F36" s="544">
        <f>365</f>
        <v>365</v>
      </c>
      <c r="G36" s="545">
        <f>846</f>
        <v>846</v>
      </c>
      <c r="H36" s="545">
        <f t="shared" si="6"/>
        <v>1211</v>
      </c>
      <c r="I36" s="544">
        <v>354</v>
      </c>
      <c r="J36" s="545">
        <v>853</v>
      </c>
      <c r="K36" s="546">
        <f t="shared" si="7"/>
        <v>1207</v>
      </c>
      <c r="L36" s="306" t="s">
        <v>688</v>
      </c>
      <c r="M36" s="910">
        <v>21</v>
      </c>
      <c r="Q36" s="10"/>
      <c r="R36" s="52"/>
      <c r="S36" s="402"/>
      <c r="T36" s="10"/>
      <c r="U36" s="52"/>
      <c r="V36" s="402"/>
      <c r="W36" s="547"/>
      <c r="X36" s="52"/>
      <c r="Y36" s="402"/>
      <c r="AA36" s="10"/>
      <c r="AB36" s="52"/>
      <c r="AC36" s="178"/>
      <c r="AD36" s="10"/>
      <c r="AE36" s="52"/>
      <c r="AF36" s="402"/>
      <c r="AG36" s="10"/>
      <c r="AH36" s="52"/>
      <c r="AI36" s="402"/>
    </row>
    <row r="37" spans="1:35" ht="59.1" customHeight="1">
      <c r="A37" s="914">
        <v>22</v>
      </c>
      <c r="B37" s="839" t="s">
        <v>1551</v>
      </c>
      <c r="C37" s="654">
        <v>371</v>
      </c>
      <c r="D37" s="655">
        <v>337</v>
      </c>
      <c r="E37" s="655">
        <f t="shared" si="5"/>
        <v>708</v>
      </c>
      <c r="F37" s="654">
        <f>321+246+16+44</f>
        <v>627</v>
      </c>
      <c r="G37" s="655">
        <f>336+199+74+225</f>
        <v>834</v>
      </c>
      <c r="H37" s="655">
        <f t="shared" si="6"/>
        <v>1461</v>
      </c>
      <c r="I37" s="654">
        <v>330</v>
      </c>
      <c r="J37" s="655">
        <v>282</v>
      </c>
      <c r="K37" s="632">
        <f t="shared" si="7"/>
        <v>612</v>
      </c>
      <c r="L37" s="626" t="s">
        <v>1549</v>
      </c>
      <c r="M37" s="914">
        <v>22</v>
      </c>
      <c r="Q37" s="10"/>
      <c r="R37" s="52"/>
      <c r="S37" s="402"/>
      <c r="T37" s="10"/>
      <c r="U37" s="52"/>
      <c r="V37" s="402"/>
      <c r="W37" s="547"/>
      <c r="X37" s="52"/>
      <c r="Y37" s="402"/>
      <c r="AA37" s="10"/>
      <c r="AB37" s="52"/>
      <c r="AC37" s="178"/>
      <c r="AD37" s="10"/>
      <c r="AE37" s="52"/>
      <c r="AF37" s="402"/>
      <c r="AG37" s="10"/>
      <c r="AH37" s="52"/>
      <c r="AI37" s="402"/>
    </row>
    <row r="38" spans="1:35" ht="59.1" customHeight="1">
      <c r="A38" s="910">
        <v>23</v>
      </c>
      <c r="B38" s="825" t="s">
        <v>1941</v>
      </c>
      <c r="C38" s="544">
        <v>258</v>
      </c>
      <c r="D38" s="545">
        <v>137</v>
      </c>
      <c r="E38" s="548">
        <f t="shared" si="5"/>
        <v>395</v>
      </c>
      <c r="F38" s="544">
        <v>241</v>
      </c>
      <c r="G38" s="545">
        <v>171</v>
      </c>
      <c r="H38" s="545">
        <f t="shared" si="6"/>
        <v>412</v>
      </c>
      <c r="I38" s="544">
        <v>172</v>
      </c>
      <c r="J38" s="545">
        <v>128</v>
      </c>
      <c r="K38" s="546">
        <f t="shared" si="7"/>
        <v>300</v>
      </c>
      <c r="L38" s="306" t="s">
        <v>1182</v>
      </c>
      <c r="M38" s="910">
        <v>23</v>
      </c>
      <c r="Q38" s="10"/>
      <c r="R38" s="52"/>
      <c r="S38" s="402"/>
      <c r="T38" s="10"/>
      <c r="U38" s="52"/>
      <c r="V38" s="402"/>
      <c r="W38" s="547"/>
      <c r="X38" s="52"/>
      <c r="Y38" s="402"/>
      <c r="AA38" s="10"/>
      <c r="AB38" s="52"/>
      <c r="AC38" s="178"/>
      <c r="AD38" s="10"/>
      <c r="AE38" s="52"/>
      <c r="AF38" s="402"/>
      <c r="AG38" s="10"/>
      <c r="AH38" s="52"/>
      <c r="AI38" s="402"/>
    </row>
    <row r="39" spans="1:35" ht="59.1" customHeight="1">
      <c r="A39" s="914">
        <v>24</v>
      </c>
      <c r="B39" s="839" t="s">
        <v>1172</v>
      </c>
      <c r="C39" s="640">
        <v>165</v>
      </c>
      <c r="D39" s="641">
        <v>251</v>
      </c>
      <c r="E39" s="655">
        <f t="shared" si="5"/>
        <v>416</v>
      </c>
      <c r="F39" s="640">
        <v>111</v>
      </c>
      <c r="G39" s="641">
        <v>217</v>
      </c>
      <c r="H39" s="655">
        <f t="shared" si="6"/>
        <v>328</v>
      </c>
      <c r="I39" s="640">
        <v>61</v>
      </c>
      <c r="J39" s="641">
        <v>153</v>
      </c>
      <c r="K39" s="632">
        <f t="shared" si="7"/>
        <v>214</v>
      </c>
      <c r="L39" s="626" t="s">
        <v>933</v>
      </c>
      <c r="M39" s="914">
        <v>24</v>
      </c>
      <c r="Q39" s="10"/>
      <c r="R39" s="52"/>
      <c r="S39" s="402"/>
      <c r="T39" s="10"/>
      <c r="U39" s="52"/>
      <c r="V39" s="402"/>
      <c r="W39" s="547"/>
      <c r="X39" s="52"/>
      <c r="Y39" s="402"/>
      <c r="AA39" s="10"/>
      <c r="AB39" s="52"/>
      <c r="AC39" s="178"/>
      <c r="AD39" s="10"/>
      <c r="AE39" s="52"/>
      <c r="AF39" s="402"/>
      <c r="AG39" s="10"/>
      <c r="AH39" s="52"/>
      <c r="AI39" s="402"/>
    </row>
    <row r="40" spans="1:35" ht="59.1" customHeight="1">
      <c r="A40" s="910">
        <v>25</v>
      </c>
      <c r="B40" s="825" t="s">
        <v>46</v>
      </c>
      <c r="C40" s="544">
        <v>402</v>
      </c>
      <c r="D40" s="545">
        <v>3433</v>
      </c>
      <c r="E40" s="548">
        <f t="shared" si="5"/>
        <v>3835</v>
      </c>
      <c r="F40" s="544">
        <f>78+13+53+150</f>
        <v>294</v>
      </c>
      <c r="G40" s="545">
        <f>419+919+739+155+787</f>
        <v>3019</v>
      </c>
      <c r="H40" s="545">
        <f t="shared" si="6"/>
        <v>3313</v>
      </c>
      <c r="I40" s="544">
        <f>28+63+85+19</f>
        <v>195</v>
      </c>
      <c r="J40" s="545">
        <f>662+677+720+116+175</f>
        <v>2350</v>
      </c>
      <c r="K40" s="546">
        <f t="shared" si="7"/>
        <v>2545</v>
      </c>
      <c r="L40" s="306" t="s">
        <v>665</v>
      </c>
      <c r="M40" s="910">
        <v>25</v>
      </c>
      <c r="Q40" s="10"/>
      <c r="R40" s="52"/>
      <c r="S40" s="402"/>
      <c r="T40" s="10"/>
      <c r="U40" s="52"/>
      <c r="V40" s="402"/>
      <c r="W40" s="547"/>
      <c r="X40" s="52"/>
      <c r="Y40" s="402"/>
      <c r="AA40" s="10"/>
      <c r="AB40" s="52"/>
      <c r="AC40" s="178"/>
      <c r="AD40" s="10"/>
      <c r="AE40" s="52"/>
      <c r="AF40" s="402"/>
      <c r="AG40" s="10"/>
      <c r="AH40" s="52"/>
      <c r="AI40" s="402"/>
    </row>
    <row r="41" spans="1:35" ht="59.1" customHeight="1">
      <c r="A41" s="914">
        <v>26</v>
      </c>
      <c r="B41" s="839" t="s">
        <v>47</v>
      </c>
      <c r="C41" s="654">
        <v>547</v>
      </c>
      <c r="D41" s="655">
        <v>974</v>
      </c>
      <c r="E41" s="655">
        <f t="shared" si="5"/>
        <v>1521</v>
      </c>
      <c r="F41" s="654">
        <f>182+337</f>
        <v>519</v>
      </c>
      <c r="G41" s="655">
        <f>416+622</f>
        <v>1038</v>
      </c>
      <c r="H41" s="655">
        <f t="shared" si="6"/>
        <v>1557</v>
      </c>
      <c r="I41" s="654">
        <f>140+287</f>
        <v>427</v>
      </c>
      <c r="J41" s="655">
        <f>329+616</f>
        <v>945</v>
      </c>
      <c r="K41" s="632">
        <f t="shared" si="7"/>
        <v>1372</v>
      </c>
      <c r="L41" s="626" t="s">
        <v>1183</v>
      </c>
      <c r="M41" s="914">
        <v>26</v>
      </c>
      <c r="Q41" s="10"/>
      <c r="R41" s="52"/>
      <c r="S41" s="402"/>
      <c r="T41" s="10"/>
      <c r="U41" s="52"/>
      <c r="V41" s="402"/>
      <c r="W41" s="547"/>
      <c r="X41" s="52"/>
      <c r="Y41" s="402"/>
      <c r="AA41" s="10"/>
      <c r="AB41" s="52"/>
      <c r="AC41" s="178"/>
      <c r="AD41" s="10"/>
      <c r="AE41" s="52"/>
      <c r="AF41" s="402"/>
      <c r="AG41" s="10"/>
      <c r="AH41" s="52"/>
      <c r="AI41" s="402"/>
    </row>
    <row r="42" spans="1:35" ht="59.1" customHeight="1">
      <c r="A42" s="910">
        <v>27</v>
      </c>
      <c r="B42" s="229" t="s">
        <v>49</v>
      </c>
      <c r="C42" s="543">
        <f>194+805</f>
        <v>999</v>
      </c>
      <c r="D42" s="542">
        <f>464+4031</f>
        <v>4495</v>
      </c>
      <c r="E42" s="548">
        <f t="shared" si="5"/>
        <v>5494</v>
      </c>
      <c r="F42" s="543">
        <v>860</v>
      </c>
      <c r="G42" s="542">
        <v>4332</v>
      </c>
      <c r="H42" s="545">
        <f t="shared" si="6"/>
        <v>5192</v>
      </c>
      <c r="I42" s="543">
        <f>85+54+151+143+3+1+189+1+47+21+42+2</f>
        <v>739</v>
      </c>
      <c r="J42" s="542">
        <f>447+179+652+405+464+91+155+452+152+220+327+439</f>
        <v>3983</v>
      </c>
      <c r="K42" s="546">
        <f>J42+I42</f>
        <v>4722</v>
      </c>
      <c r="L42" s="306" t="s">
        <v>1175</v>
      </c>
      <c r="M42" s="910">
        <v>27</v>
      </c>
      <c r="Q42" s="10"/>
      <c r="R42" s="52"/>
      <c r="S42" s="402"/>
      <c r="T42" s="10"/>
      <c r="U42" s="52"/>
      <c r="V42" s="402"/>
      <c r="W42" s="547"/>
      <c r="X42" s="52"/>
      <c r="Y42" s="402"/>
      <c r="AA42" s="10"/>
      <c r="AB42" s="52"/>
      <c r="AC42" s="178"/>
      <c r="AD42" s="10"/>
      <c r="AE42" s="52"/>
      <c r="AF42" s="402"/>
      <c r="AG42" s="10"/>
      <c r="AH42" s="52"/>
      <c r="AI42" s="402"/>
    </row>
    <row r="43" spans="1:35" ht="59.1" customHeight="1">
      <c r="A43" s="914">
        <v>28</v>
      </c>
      <c r="B43" s="838" t="s">
        <v>423</v>
      </c>
      <c r="C43" s="656">
        <v>211</v>
      </c>
      <c r="D43" s="657">
        <v>142</v>
      </c>
      <c r="E43" s="655">
        <f t="shared" si="5"/>
        <v>353</v>
      </c>
      <c r="F43" s="656">
        <v>155</v>
      </c>
      <c r="G43" s="657">
        <v>305</v>
      </c>
      <c r="H43" s="657">
        <f>G43+F43</f>
        <v>460</v>
      </c>
      <c r="I43" s="656">
        <v>134</v>
      </c>
      <c r="J43" s="657">
        <v>170</v>
      </c>
      <c r="K43" s="626">
        <f>J43+I43</f>
        <v>304</v>
      </c>
      <c r="L43" s="626" t="s">
        <v>1174</v>
      </c>
      <c r="M43" s="914">
        <v>28</v>
      </c>
      <c r="Q43" s="1454" t="s">
        <v>449</v>
      </c>
      <c r="R43" s="174" t="s">
        <v>448</v>
      </c>
      <c r="S43" s="10"/>
      <c r="T43" s="10"/>
      <c r="U43" s="10"/>
      <c r="V43" s="10"/>
      <c r="W43" s="547"/>
      <c r="X43" s="405"/>
      <c r="Y43" s="10"/>
      <c r="AA43" s="10"/>
      <c r="AB43" s="52"/>
      <c r="AC43" s="178"/>
      <c r="AD43" s="10"/>
      <c r="AE43" s="52"/>
      <c r="AF43" s="402"/>
      <c r="AG43" s="10"/>
      <c r="AH43" s="52"/>
      <c r="AI43" s="402"/>
    </row>
    <row r="44" spans="1:35" ht="59.1" customHeight="1">
      <c r="A44" s="1460">
        <v>29</v>
      </c>
      <c r="B44" s="1453" t="s">
        <v>50</v>
      </c>
      <c r="C44" s="1456">
        <v>47</v>
      </c>
      <c r="D44" s="1457">
        <v>191</v>
      </c>
      <c r="E44" s="1457">
        <f>D44+C44</f>
        <v>238</v>
      </c>
      <c r="F44" s="1456">
        <v>3</v>
      </c>
      <c r="G44" s="1457">
        <v>210</v>
      </c>
      <c r="H44" s="1457">
        <f>G44+F44</f>
        <v>213</v>
      </c>
      <c r="I44" s="1456">
        <v>6</v>
      </c>
      <c r="J44" s="1457">
        <v>238</v>
      </c>
      <c r="K44" s="1458">
        <f>J44+I44</f>
        <v>244</v>
      </c>
      <c r="L44" s="306" t="s">
        <v>1885</v>
      </c>
      <c r="M44" s="1460">
        <v>29</v>
      </c>
      <c r="Q44" s="1454"/>
      <c r="R44" s="4" t="s">
        <v>666</v>
      </c>
      <c r="W44" s="547"/>
      <c r="X44" s="405"/>
      <c r="AA44" s="10"/>
      <c r="AB44" s="52"/>
      <c r="AC44" s="178"/>
      <c r="AD44" s="10"/>
      <c r="AE44" s="52"/>
      <c r="AF44" s="402"/>
      <c r="AG44" s="10"/>
      <c r="AH44" s="52"/>
      <c r="AI44" s="402"/>
    </row>
    <row r="45" spans="1:35" ht="59.1" customHeight="1">
      <c r="A45" s="1460"/>
      <c r="B45" s="1453"/>
      <c r="C45" s="1456"/>
      <c r="D45" s="1457"/>
      <c r="E45" s="1457"/>
      <c r="F45" s="1456"/>
      <c r="G45" s="1457"/>
      <c r="H45" s="1457"/>
      <c r="I45" s="1456"/>
      <c r="J45" s="1457"/>
      <c r="K45" s="1458"/>
      <c r="L45" s="4" t="s">
        <v>691</v>
      </c>
      <c r="M45" s="1460"/>
      <c r="Q45" s="10"/>
      <c r="R45" s="10"/>
      <c r="S45" s="10"/>
      <c r="T45" s="10"/>
      <c r="U45" s="10"/>
      <c r="V45" s="10"/>
      <c r="W45" s="547"/>
      <c r="X45" s="405"/>
      <c r="Y45" s="10"/>
      <c r="AA45" s="10"/>
      <c r="AB45" s="52"/>
      <c r="AC45" s="178"/>
      <c r="AD45" s="10"/>
      <c r="AE45" s="52"/>
      <c r="AF45" s="402"/>
      <c r="AG45" s="10"/>
      <c r="AH45" s="52"/>
      <c r="AI45" s="402"/>
    </row>
    <row r="46" spans="1:35" ht="59.1" customHeight="1">
      <c r="A46" s="914">
        <v>30</v>
      </c>
      <c r="B46" s="838" t="s">
        <v>722</v>
      </c>
      <c r="C46" s="656">
        <v>425</v>
      </c>
      <c r="D46" s="657">
        <v>1331</v>
      </c>
      <c r="E46" s="657">
        <f>D46+C46</f>
        <v>1756</v>
      </c>
      <c r="F46" s="656">
        <f>186+116+1+18+6+223</f>
        <v>550</v>
      </c>
      <c r="G46" s="657">
        <f>266+137+353+400+291+366</f>
        <v>1813</v>
      </c>
      <c r="H46" s="657">
        <f>G46+F46</f>
        <v>2363</v>
      </c>
      <c r="I46" s="656">
        <f>67+1+210+6+3+171</f>
        <v>458</v>
      </c>
      <c r="J46" s="657">
        <f>288+173+445+294+192+369</f>
        <v>1761</v>
      </c>
      <c r="K46" s="626">
        <f>J46+I46</f>
        <v>2219</v>
      </c>
      <c r="L46" s="626" t="s">
        <v>690</v>
      </c>
      <c r="M46" s="914">
        <v>30</v>
      </c>
      <c r="Q46" s="1441"/>
      <c r="R46" s="1441"/>
      <c r="S46" s="1441"/>
      <c r="T46" s="1442"/>
      <c r="U46" s="1442"/>
      <c r="V46" s="1442"/>
      <c r="W46" s="547"/>
      <c r="X46" s="407"/>
      <c r="Y46" s="148"/>
      <c r="AA46" s="10"/>
      <c r="AB46" s="52"/>
      <c r="AC46" s="178"/>
      <c r="AD46" s="10"/>
      <c r="AE46" s="52"/>
      <c r="AF46" s="402"/>
      <c r="AG46" s="10"/>
      <c r="AH46" s="52"/>
      <c r="AI46" s="402"/>
    </row>
    <row r="47" spans="1:35" ht="59.1" customHeight="1">
      <c r="A47" s="921">
        <v>31</v>
      </c>
      <c r="B47" s="923" t="s">
        <v>932</v>
      </c>
      <c r="C47" s="917">
        <v>128</v>
      </c>
      <c r="D47" s="918">
        <v>365</v>
      </c>
      <c r="E47" s="919">
        <f>D47+C47</f>
        <v>493</v>
      </c>
      <c r="F47" s="917">
        <f>131</f>
        <v>131</v>
      </c>
      <c r="G47" s="918">
        <f>409</f>
        <v>409</v>
      </c>
      <c r="H47" s="919">
        <f>G47+F47</f>
        <v>540</v>
      </c>
      <c r="I47" s="917">
        <v>82</v>
      </c>
      <c r="J47" s="918">
        <v>418</v>
      </c>
      <c r="K47" s="920">
        <f>J47+I47</f>
        <v>500</v>
      </c>
      <c r="L47" s="337" t="s">
        <v>931</v>
      </c>
      <c r="M47" s="921">
        <v>31</v>
      </c>
      <c r="Q47" s="396"/>
      <c r="R47" s="396"/>
      <c r="S47" s="396"/>
      <c r="T47" s="396"/>
      <c r="U47" s="396"/>
      <c r="V47" s="396"/>
      <c r="W47" s="396"/>
      <c r="X47" s="396"/>
      <c r="Y47" s="396"/>
      <c r="AA47" s="10"/>
      <c r="AB47" s="52"/>
      <c r="AC47" s="178"/>
      <c r="AD47" s="10"/>
      <c r="AE47" s="52"/>
      <c r="AF47" s="402"/>
      <c r="AG47" s="10"/>
      <c r="AH47" s="52"/>
      <c r="AI47" s="402"/>
    </row>
    <row r="48" spans="1:35" ht="42" customHeight="1">
      <c r="B48" s="87" t="s">
        <v>27</v>
      </c>
      <c r="C48" s="87"/>
      <c r="D48" s="87"/>
      <c r="E48" s="1422" t="s">
        <v>637</v>
      </c>
      <c r="F48" s="1422"/>
      <c r="G48" s="1422"/>
      <c r="H48" s="1422"/>
      <c r="I48" s="1422"/>
      <c r="J48" s="87"/>
      <c r="K48" s="1415" t="s">
        <v>24</v>
      </c>
      <c r="L48" s="1415"/>
      <c r="Q48" s="10"/>
      <c r="R48" s="52"/>
      <c r="S48" s="402"/>
      <c r="T48" s="10"/>
      <c r="U48" s="52"/>
      <c r="V48" s="402"/>
      <c r="W48" s="10"/>
      <c r="X48" s="52"/>
      <c r="Y48" s="402"/>
      <c r="AA48" s="10"/>
      <c r="AB48" s="52"/>
      <c r="AC48" s="178"/>
      <c r="AD48" s="10"/>
      <c r="AE48" s="52"/>
      <c r="AF48" s="402"/>
      <c r="AG48" s="10"/>
      <c r="AH48" s="52"/>
      <c r="AI48" s="402"/>
    </row>
    <row r="49" spans="17:35">
      <c r="Q49" s="10"/>
      <c r="R49" s="52"/>
      <c r="S49" s="402"/>
      <c r="T49" s="10"/>
      <c r="U49" s="52"/>
      <c r="V49" s="402"/>
      <c r="W49" s="10"/>
      <c r="X49" s="52"/>
      <c r="Y49" s="402"/>
      <c r="AA49" s="10"/>
      <c r="AB49" s="52"/>
      <c r="AC49" s="178"/>
      <c r="AD49" s="10"/>
      <c r="AE49" s="52"/>
      <c r="AF49" s="402"/>
      <c r="AG49" s="10"/>
      <c r="AH49" s="52"/>
      <c r="AI49" s="402"/>
    </row>
    <row r="50" spans="17:35">
      <c r="Q50" s="10"/>
      <c r="R50" s="52"/>
      <c r="S50" s="402"/>
      <c r="T50" s="10"/>
      <c r="U50" s="52"/>
      <c r="V50" s="402"/>
      <c r="W50" s="10"/>
      <c r="X50" s="52"/>
      <c r="Y50" s="402"/>
      <c r="AA50" s="10"/>
      <c r="AB50" s="52"/>
      <c r="AC50" s="178"/>
      <c r="AD50" s="10"/>
      <c r="AE50" s="52"/>
      <c r="AF50" s="402"/>
      <c r="AG50" s="10"/>
      <c r="AH50" s="52"/>
      <c r="AI50" s="402"/>
    </row>
    <row r="51" spans="17:35">
      <c r="Q51" s="10"/>
      <c r="R51" s="52"/>
      <c r="S51" s="402"/>
      <c r="T51" s="10"/>
      <c r="U51" s="52"/>
      <c r="V51" s="402"/>
      <c r="W51" s="10"/>
      <c r="X51" s="52"/>
      <c r="Y51" s="402"/>
      <c r="AA51" s="10"/>
      <c r="AB51" s="52"/>
      <c r="AC51" s="178"/>
      <c r="AD51" s="10"/>
      <c r="AE51" s="52"/>
      <c r="AF51" s="402"/>
      <c r="AG51" s="10"/>
      <c r="AH51" s="52"/>
      <c r="AI51" s="402"/>
    </row>
    <row r="52" spans="17:35">
      <c r="Q52" s="10"/>
      <c r="R52" s="52"/>
      <c r="S52" s="402"/>
      <c r="T52" s="10"/>
      <c r="U52" s="52"/>
      <c r="V52" s="402"/>
      <c r="W52" s="10"/>
      <c r="X52" s="52"/>
      <c r="Y52" s="402"/>
      <c r="AA52" s="10"/>
      <c r="AB52" s="52"/>
      <c r="AC52" s="178"/>
      <c r="AD52" s="10"/>
      <c r="AE52" s="52"/>
      <c r="AF52" s="402"/>
      <c r="AG52" s="10"/>
      <c r="AH52" s="52"/>
      <c r="AI52" s="402"/>
    </row>
    <row r="53" spans="17:35">
      <c r="Q53" s="10"/>
      <c r="R53" s="52"/>
      <c r="S53" s="402"/>
      <c r="T53" s="10"/>
      <c r="U53" s="52"/>
      <c r="V53" s="402"/>
      <c r="W53" s="10"/>
      <c r="X53" s="52"/>
      <c r="Y53" s="402"/>
      <c r="AA53" s="10"/>
      <c r="AB53" s="52"/>
      <c r="AC53" s="178"/>
      <c r="AD53" s="10"/>
      <c r="AE53" s="52"/>
      <c r="AF53" s="402"/>
      <c r="AG53" s="10"/>
      <c r="AH53" s="52"/>
      <c r="AI53" s="402"/>
    </row>
    <row r="54" spans="17:35">
      <c r="Q54" s="10"/>
      <c r="R54" s="52"/>
      <c r="S54" s="402"/>
      <c r="T54" s="10"/>
      <c r="U54" s="52"/>
      <c r="V54" s="402"/>
      <c r="W54" s="10"/>
      <c r="X54" s="52"/>
      <c r="Y54" s="402"/>
      <c r="AA54" s="10"/>
      <c r="AB54" s="52"/>
      <c r="AC54" s="178"/>
      <c r="AD54" s="10"/>
      <c r="AE54" s="52"/>
      <c r="AF54" s="402"/>
      <c r="AG54" s="10"/>
      <c r="AH54" s="52"/>
      <c r="AI54" s="402"/>
    </row>
    <row r="55" spans="17:35">
      <c r="Q55" s="10"/>
      <c r="R55" s="52"/>
      <c r="S55" s="402"/>
      <c r="T55" s="10"/>
      <c r="U55" s="52"/>
      <c r="V55" s="402"/>
      <c r="W55" s="10"/>
      <c r="X55" s="52"/>
      <c r="Y55" s="402"/>
      <c r="AA55" s="402"/>
      <c r="AB55" s="402"/>
      <c r="AC55" s="402"/>
      <c r="AD55" s="402"/>
      <c r="AE55" s="402"/>
      <c r="AF55" s="402"/>
      <c r="AG55" s="402"/>
      <c r="AH55" s="402"/>
      <c r="AI55" s="402"/>
    </row>
    <row r="56" spans="17:35">
      <c r="Q56" s="10"/>
      <c r="R56" s="52"/>
      <c r="S56" s="402"/>
      <c r="T56" s="10"/>
      <c r="U56" s="52"/>
      <c r="V56" s="402"/>
      <c r="W56" s="10"/>
      <c r="X56" s="52"/>
      <c r="Y56" s="402"/>
      <c r="AA56" s="402"/>
      <c r="AB56" s="402"/>
      <c r="AC56" s="402"/>
      <c r="AD56" s="402"/>
      <c r="AE56" s="402"/>
      <c r="AF56" s="402"/>
      <c r="AG56" s="402"/>
      <c r="AH56" s="402"/>
      <c r="AI56" s="402"/>
    </row>
    <row r="57" spans="17:35">
      <c r="Q57" s="10"/>
      <c r="R57" s="52"/>
      <c r="S57" s="402"/>
      <c r="T57" s="10"/>
      <c r="U57" s="52"/>
      <c r="V57" s="402"/>
      <c r="W57" s="10"/>
      <c r="X57" s="52"/>
      <c r="Y57" s="402"/>
      <c r="AA57" s="402"/>
      <c r="AB57" s="402"/>
      <c r="AC57" s="402"/>
      <c r="AD57" s="402"/>
      <c r="AE57" s="402"/>
      <c r="AF57" s="402"/>
      <c r="AG57" s="402"/>
      <c r="AH57" s="402"/>
      <c r="AI57" s="402"/>
    </row>
    <row r="58" spans="17:35">
      <c r="Q58" s="10"/>
      <c r="R58" s="52"/>
      <c r="S58" s="402"/>
      <c r="T58" s="10"/>
      <c r="U58" s="52"/>
      <c r="V58" s="402"/>
      <c r="W58" s="10"/>
      <c r="X58" s="52"/>
      <c r="Y58" s="402"/>
      <c r="AA58" s="402"/>
      <c r="AB58" s="402"/>
      <c r="AC58" s="402"/>
      <c r="AD58" s="402"/>
      <c r="AE58" s="402"/>
      <c r="AF58" s="402"/>
      <c r="AG58" s="402"/>
      <c r="AH58" s="402"/>
      <c r="AI58" s="402"/>
    </row>
    <row r="59" spans="17:35">
      <c r="Q59" s="10"/>
      <c r="R59" s="52"/>
      <c r="S59" s="402"/>
      <c r="T59" s="10"/>
      <c r="U59" s="52"/>
      <c r="V59" s="402"/>
      <c r="W59" s="10"/>
      <c r="X59" s="52"/>
      <c r="Y59" s="402"/>
      <c r="AA59" s="402"/>
      <c r="AB59" s="402"/>
      <c r="AC59" s="402"/>
      <c r="AD59" s="402"/>
      <c r="AE59" s="402"/>
      <c r="AF59" s="402"/>
      <c r="AG59" s="402"/>
      <c r="AH59" s="402"/>
      <c r="AI59" s="402"/>
    </row>
    <row r="60" spans="17:35">
      <c r="Q60" s="10"/>
      <c r="R60" s="52"/>
      <c r="S60" s="402"/>
      <c r="T60" s="10"/>
      <c r="U60" s="52"/>
      <c r="V60" s="402"/>
      <c r="W60" s="10"/>
      <c r="X60" s="52"/>
      <c r="Y60" s="402"/>
      <c r="AA60" s="402"/>
      <c r="AB60" s="402"/>
      <c r="AC60" s="402"/>
      <c r="AD60" s="402"/>
      <c r="AE60" s="402"/>
      <c r="AF60" s="402"/>
      <c r="AG60" s="402"/>
      <c r="AH60" s="402"/>
      <c r="AI60" s="402"/>
    </row>
    <row r="61" spans="17:35">
      <c r="Q61" s="10"/>
      <c r="R61" s="52"/>
      <c r="S61" s="402"/>
      <c r="T61" s="10"/>
      <c r="U61" s="52"/>
      <c r="V61" s="402"/>
      <c r="W61" s="10"/>
      <c r="X61" s="52"/>
      <c r="Y61" s="402"/>
      <c r="AA61" s="402"/>
      <c r="AB61" s="402"/>
      <c r="AC61" s="402"/>
      <c r="AD61" s="402"/>
      <c r="AE61" s="402"/>
      <c r="AF61" s="402"/>
      <c r="AG61" s="402"/>
      <c r="AH61" s="402"/>
      <c r="AI61" s="402"/>
    </row>
    <row r="62" spans="17:35">
      <c r="R62" s="51"/>
      <c r="S62" s="195"/>
      <c r="U62" s="51"/>
      <c r="V62" s="195"/>
      <c r="X62" s="51"/>
      <c r="Y62" s="195"/>
      <c r="AA62" s="402"/>
      <c r="AB62" s="402"/>
      <c r="AC62" s="402"/>
      <c r="AD62" s="402"/>
      <c r="AE62" s="402"/>
      <c r="AF62" s="402"/>
      <c r="AG62" s="402"/>
      <c r="AH62" s="402"/>
      <c r="AI62" s="402"/>
    </row>
    <row r="63" spans="17:35">
      <c r="AA63" s="402"/>
      <c r="AB63" s="402"/>
      <c r="AC63" s="402"/>
      <c r="AD63" s="402"/>
      <c r="AE63" s="402"/>
      <c r="AF63" s="402"/>
      <c r="AG63" s="402"/>
      <c r="AH63" s="402"/>
      <c r="AI63" s="402"/>
    </row>
    <row r="64" spans="17:35">
      <c r="AA64" s="402"/>
      <c r="AB64" s="402"/>
      <c r="AC64" s="402"/>
      <c r="AD64" s="402"/>
      <c r="AE64" s="402"/>
      <c r="AF64" s="402"/>
      <c r="AG64" s="402"/>
      <c r="AH64" s="402"/>
      <c r="AI64" s="402"/>
    </row>
    <row r="65" spans="27:35">
      <c r="AA65" s="195"/>
      <c r="AB65" s="195"/>
      <c r="AC65" s="195"/>
      <c r="AD65" s="195"/>
      <c r="AE65" s="195"/>
      <c r="AF65" s="195"/>
      <c r="AG65" s="195"/>
      <c r="AH65" s="195"/>
      <c r="AI65" s="195"/>
    </row>
    <row r="66" spans="27:35">
      <c r="AA66" s="195"/>
      <c r="AB66" s="195"/>
      <c r="AC66" s="195"/>
      <c r="AD66" s="195"/>
      <c r="AE66" s="195"/>
      <c r="AF66" s="195"/>
      <c r="AG66" s="195"/>
      <c r="AH66" s="195"/>
      <c r="AI66" s="195"/>
    </row>
  </sheetData>
  <mergeCells count="54">
    <mergeCell ref="A26:A30"/>
    <mergeCell ref="M26:M30"/>
    <mergeCell ref="M44:M45"/>
    <mergeCell ref="A44:A45"/>
    <mergeCell ref="A1:M1"/>
    <mergeCell ref="A2:M2"/>
    <mergeCell ref="A3:M3"/>
    <mergeCell ref="A4:A8"/>
    <mergeCell ref="M4:M8"/>
    <mergeCell ref="F25:I25"/>
    <mergeCell ref="A25:E25"/>
    <mergeCell ref="J25:M25"/>
    <mergeCell ref="B26:B30"/>
    <mergeCell ref="C26:E26"/>
    <mergeCell ref="F26:H26"/>
    <mergeCell ref="I26:K26"/>
    <mergeCell ref="L26:L30"/>
    <mergeCell ref="C44:C45"/>
    <mergeCell ref="D44:D45"/>
    <mergeCell ref="E44:E45"/>
    <mergeCell ref="H44:H45"/>
    <mergeCell ref="G44:G45"/>
    <mergeCell ref="F44:F45"/>
    <mergeCell ref="C27:E27"/>
    <mergeCell ref="F27:H27"/>
    <mergeCell ref="I27:K27"/>
    <mergeCell ref="I44:I45"/>
    <mergeCell ref="J44:J45"/>
    <mergeCell ref="K44:K45"/>
    <mergeCell ref="AQ2:AS2"/>
    <mergeCell ref="K48:L48"/>
    <mergeCell ref="B4:B8"/>
    <mergeCell ref="C4:E4"/>
    <mergeCell ref="C5:E5"/>
    <mergeCell ref="F4:H4"/>
    <mergeCell ref="F5:H5"/>
    <mergeCell ref="I4:K4"/>
    <mergeCell ref="I5:K5"/>
    <mergeCell ref="L4:L8"/>
    <mergeCell ref="E48:I48"/>
    <mergeCell ref="B44:B45"/>
    <mergeCell ref="Q43:Q44"/>
    <mergeCell ref="Q46:S46"/>
    <mergeCell ref="T46:V46"/>
    <mergeCell ref="AK2:AM2"/>
    <mergeCell ref="AA34:AC34"/>
    <mergeCell ref="AD34:AF34"/>
    <mergeCell ref="AG34:AI34"/>
    <mergeCell ref="Q33:S33"/>
    <mergeCell ref="AN2:AP2"/>
    <mergeCell ref="Q8:S8"/>
    <mergeCell ref="AA2:AC2"/>
    <mergeCell ref="AD2:AF2"/>
    <mergeCell ref="AG2:AI2"/>
  </mergeCells>
  <pageMargins left="0.31496062992126" right="0.27559055118110198" top="0.43307086614173201" bottom="0.70866141732283505" header="0.27559055118110198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61"/>
  <sheetViews>
    <sheetView view="pageBreakPreview" topLeftCell="A49" zoomScale="85" zoomScaleSheetLayoutView="85" workbookViewId="0">
      <selection activeCell="G51" sqref="G51"/>
    </sheetView>
  </sheetViews>
  <sheetFormatPr defaultRowHeight="15"/>
  <cols>
    <col min="1" max="1" width="4.5703125" customWidth="1"/>
    <col min="2" max="2" width="21.7109375" customWidth="1"/>
    <col min="3" max="3" width="8.28515625" style="132" customWidth="1"/>
    <col min="4" max="4" width="8.140625" style="132" customWidth="1"/>
    <col min="5" max="5" width="8.42578125" customWidth="1"/>
    <col min="6" max="8" width="8.140625" customWidth="1"/>
    <col min="9" max="10" width="8.42578125" customWidth="1"/>
    <col min="11" max="11" width="8.140625" customWidth="1"/>
    <col min="12" max="12" width="23.85546875" customWidth="1"/>
    <col min="13" max="13" width="5" customWidth="1"/>
    <col min="16" max="16" width="11.28515625" bestFit="1" customWidth="1"/>
    <col min="17" max="19" width="10.42578125" bestFit="1" customWidth="1"/>
  </cols>
  <sheetData>
    <row r="1" spans="1:18" ht="23.1" customHeight="1">
      <c r="A1" s="1437" t="s">
        <v>1593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</row>
    <row r="2" spans="1:18" ht="23.1" customHeight="1">
      <c r="A2" s="1407" t="s">
        <v>1881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407"/>
      <c r="M2" s="1407"/>
    </row>
    <row r="3" spans="1:18" ht="23.1" customHeight="1">
      <c r="A3" s="1472" t="s">
        <v>1594</v>
      </c>
      <c r="B3" s="1472"/>
      <c r="C3" s="1472"/>
      <c r="D3" s="1472"/>
      <c r="E3" s="1472"/>
      <c r="F3" s="1472"/>
      <c r="G3" s="1472"/>
      <c r="H3" s="1472"/>
      <c r="I3" s="1472"/>
      <c r="J3" s="1472"/>
      <c r="K3" s="1472"/>
      <c r="L3" s="1472"/>
      <c r="M3" s="1472"/>
    </row>
    <row r="4" spans="1:18" ht="23.1" customHeight="1">
      <c r="A4" s="1459" t="s">
        <v>2028</v>
      </c>
      <c r="B4" s="1469" t="s">
        <v>1565</v>
      </c>
      <c r="C4" s="1443">
        <v>1396</v>
      </c>
      <c r="D4" s="1445"/>
      <c r="E4" s="1445"/>
      <c r="F4" s="1443">
        <v>1395</v>
      </c>
      <c r="G4" s="1445"/>
      <c r="H4" s="1445"/>
      <c r="I4" s="1443">
        <v>1394</v>
      </c>
      <c r="J4" s="1445"/>
      <c r="K4" s="1451"/>
      <c r="L4" s="1470" t="s">
        <v>1564</v>
      </c>
      <c r="M4" s="1459" t="s">
        <v>2027</v>
      </c>
    </row>
    <row r="5" spans="1:18" ht="23.1" customHeight="1">
      <c r="A5" s="1460"/>
      <c r="B5" s="1469"/>
      <c r="C5" s="1446" t="s">
        <v>1773</v>
      </c>
      <c r="D5" s="1447"/>
      <c r="E5" s="1447"/>
      <c r="F5" s="1448" t="s">
        <v>1772</v>
      </c>
      <c r="G5" s="1449"/>
      <c r="H5" s="1450"/>
      <c r="I5" s="1448" t="s">
        <v>1771</v>
      </c>
      <c r="J5" s="1449"/>
      <c r="K5" s="1450"/>
      <c r="L5" s="1470"/>
      <c r="M5" s="1460"/>
    </row>
    <row r="6" spans="1:18" ht="23.1" customHeight="1">
      <c r="A6" s="1460"/>
      <c r="B6" s="1469"/>
      <c r="C6" s="924" t="s">
        <v>0</v>
      </c>
      <c r="D6" s="925" t="s">
        <v>1</v>
      </c>
      <c r="E6" s="892" t="s">
        <v>2</v>
      </c>
      <c r="F6" s="890" t="s">
        <v>0</v>
      </c>
      <c r="G6" s="891" t="s">
        <v>1</v>
      </c>
      <c r="H6" s="892" t="s">
        <v>2</v>
      </c>
      <c r="I6" s="890" t="s">
        <v>0</v>
      </c>
      <c r="J6" s="891" t="s">
        <v>1</v>
      </c>
      <c r="K6" s="893" t="s">
        <v>2</v>
      </c>
      <c r="L6" s="1470"/>
      <c r="M6" s="1460"/>
      <c r="O6" s="49"/>
    </row>
    <row r="7" spans="1:18" ht="23.1" customHeight="1">
      <c r="A7" s="1460"/>
      <c r="B7" s="1443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6" t="s">
        <v>502</v>
      </c>
      <c r="I7" s="894" t="s">
        <v>500</v>
      </c>
      <c r="J7" s="895" t="s">
        <v>501</v>
      </c>
      <c r="K7" s="897" t="s">
        <v>502</v>
      </c>
      <c r="L7" s="1470"/>
      <c r="M7" s="1460"/>
      <c r="Q7" s="49">
        <f>Q9/R9*100-100</f>
        <v>31.775147928994073</v>
      </c>
    </row>
    <row r="8" spans="1:18" ht="23.1" customHeight="1">
      <c r="A8" s="1460"/>
      <c r="B8" s="1469"/>
      <c r="C8" s="926" t="s">
        <v>3</v>
      </c>
      <c r="D8" s="927" t="s">
        <v>4</v>
      </c>
      <c r="E8" s="900" t="s">
        <v>5</v>
      </c>
      <c r="F8" s="898" t="s">
        <v>3</v>
      </c>
      <c r="G8" s="899" t="s">
        <v>4</v>
      </c>
      <c r="H8" s="900" t="s">
        <v>5</v>
      </c>
      <c r="I8" s="898" t="s">
        <v>3</v>
      </c>
      <c r="J8" s="899" t="s">
        <v>4</v>
      </c>
      <c r="K8" s="901" t="s">
        <v>5</v>
      </c>
      <c r="L8" s="1470"/>
      <c r="M8" s="1460"/>
    </row>
    <row r="9" spans="1:18" ht="48" customHeight="1">
      <c r="A9" s="906"/>
      <c r="B9" s="838" t="s">
        <v>6</v>
      </c>
      <c r="C9" s="820">
        <f>C10+C11+C12+C13+C14+C15+C16+C17+C18+C19+C20+C21+C22+C23+C24+C25+C26+C27+C28+C29+C36+C37+C38+C39+C40+C41+C44+C45+C46+C47+C49+C50+C51+C52</f>
        <v>14371</v>
      </c>
      <c r="D9" s="821">
        <f>D10+D11+D12+D13+D14+D15+D16+D17+D18+D19+D20+D21+D22+D23+D24+D25+D26+D27+D28+D29+D36+D37+D38+D39+D40+D41+D42+D43+D44+D45+D46+D47+D48+D49+D50+D51+D52</f>
        <v>40428</v>
      </c>
      <c r="E9" s="829">
        <f>E10+E11+E12+E13+E14+E15+E16+E17+E18+E19+E20+E21+E22+E23+E24+E25+E26+E27+E28+E29+E36+E37+E38+E39+E40+E41+E42+E43+E44+E45+E46+E47+E48+E49+E50+E51+E52</f>
        <v>54799</v>
      </c>
      <c r="F9" s="830">
        <f>F10+F11+F12+F13+F14+F15+F16+F17+F18+F19+F20+F21+F22+F23+F24+F25+F26+F27+F28+F29+F36+F37+F38+F39+F40+F41+F44+F45+F46+F47+F48+F49+F50</f>
        <v>11934</v>
      </c>
      <c r="G9" s="829">
        <f>G10+G11+G12+G13+G14+G15+G16+G17+G18+G19+G20+G21+G22+G23+G24+G25+G26+G27+G28+G29+G36+G37+G38+G39+G40+G41+G42+G43+G44+G45+G46+G47+G48+G49+G50</f>
        <v>40048</v>
      </c>
      <c r="H9" s="828">
        <f>H10+H11+H12+H13+H14+H15+H16+H17+H18+H19+H20+H21+H22+H23+H24+H25+H26+H27+H28+H29+H36+H37+H38+H39+H40+H41+H42+H43+H44+H45+H46+H47+H48+H49+H50</f>
        <v>51982</v>
      </c>
      <c r="I9" s="829">
        <f>I10+I11+I12+I13+I14+I15+I16+I17+I18+I19+I20+I21+I22+I23+I24+I25+I26+I27+I28+I29+I36+I37+I38+I39+I40+I41+I44+I45+I46+I47+I49+20+I50</f>
        <v>11853</v>
      </c>
      <c r="J9" s="829">
        <f>J10+J11+J12+J13+J14+J15+J16+J17+J18+J19+J20+J21+J22+J23+J24+J25+J26+J27+J28+J29+J36+J37+J38+J39+J40+J41+J42+J43+J44+J45+J46+J47+J48+J49+28+J50</f>
        <v>41532</v>
      </c>
      <c r="K9" s="828">
        <f>K10+K11+K12+K13+K14+K15+K16+K17+K18+K19+K20+K21+K22+K23+K24+K25+K26+K27+K28+K29+K36+K37+K38+K39+K40+K41+K42+K43+K44+K45+K46+K47+K48+K49+48+K50</f>
        <v>53385</v>
      </c>
      <c r="L9" s="657" t="s">
        <v>638</v>
      </c>
      <c r="M9" s="906"/>
      <c r="P9">
        <v>11853</v>
      </c>
      <c r="Q9">
        <v>11135</v>
      </c>
      <c r="R9">
        <v>8450</v>
      </c>
    </row>
    <row r="10" spans="1:18" ht="48" customHeight="1">
      <c r="A10" s="910">
        <v>1</v>
      </c>
      <c r="B10" s="229" t="s">
        <v>7</v>
      </c>
      <c r="C10" s="496">
        <v>2569</v>
      </c>
      <c r="D10" s="492">
        <v>4327</v>
      </c>
      <c r="E10" s="492">
        <f>D10+C10</f>
        <v>6896</v>
      </c>
      <c r="F10" s="496">
        <v>2031</v>
      </c>
      <c r="G10" s="492">
        <v>4447</v>
      </c>
      <c r="H10" s="500">
        <f>G10+F10</f>
        <v>6478</v>
      </c>
      <c r="I10" s="492">
        <v>1652</v>
      </c>
      <c r="J10" s="492">
        <v>5581</v>
      </c>
      <c r="K10" s="500">
        <f>J10+I10</f>
        <v>7233</v>
      </c>
      <c r="L10" s="810" t="s">
        <v>611</v>
      </c>
      <c r="M10" s="910">
        <v>1</v>
      </c>
      <c r="P10">
        <v>853</v>
      </c>
      <c r="Q10">
        <v>707</v>
      </c>
      <c r="R10">
        <v>583</v>
      </c>
    </row>
    <row r="11" spans="1:18" ht="48" customHeight="1">
      <c r="A11" s="914">
        <v>2</v>
      </c>
      <c r="B11" s="838" t="s">
        <v>8</v>
      </c>
      <c r="C11" s="640">
        <v>411</v>
      </c>
      <c r="D11" s="641">
        <v>1099</v>
      </c>
      <c r="E11" s="641">
        <f t="shared" ref="E11:E27" si="0">D11+C11</f>
        <v>1510</v>
      </c>
      <c r="F11" s="640">
        <v>324</v>
      </c>
      <c r="G11" s="641">
        <v>1099</v>
      </c>
      <c r="H11" s="642">
        <f t="shared" ref="H11:H27" si="1">G11+F11</f>
        <v>1423</v>
      </c>
      <c r="I11" s="641">
        <v>107</v>
      </c>
      <c r="J11" s="641">
        <v>1146</v>
      </c>
      <c r="K11" s="642">
        <f t="shared" ref="K11:K27" si="2">J11+I11</f>
        <v>1253</v>
      </c>
      <c r="L11" s="657" t="s">
        <v>1935</v>
      </c>
      <c r="M11" s="914">
        <v>2</v>
      </c>
      <c r="P11">
        <f>SUM(P9:P10)</f>
        <v>12706</v>
      </c>
      <c r="Q11">
        <f>SUM(Q9:Q10)</f>
        <v>11842</v>
      </c>
      <c r="R11">
        <f>SUM(R9:R10)</f>
        <v>9033</v>
      </c>
    </row>
    <row r="12" spans="1:18" ht="72.75" customHeight="1">
      <c r="A12" s="910">
        <v>3</v>
      </c>
      <c r="B12" s="229" t="s">
        <v>2007</v>
      </c>
      <c r="C12" s="496">
        <v>1302</v>
      </c>
      <c r="D12" s="492">
        <v>695</v>
      </c>
      <c r="E12" s="492">
        <f t="shared" si="0"/>
        <v>1997</v>
      </c>
      <c r="F12" s="496">
        <v>954</v>
      </c>
      <c r="G12" s="492">
        <v>1512</v>
      </c>
      <c r="H12" s="500">
        <f t="shared" si="1"/>
        <v>2466</v>
      </c>
      <c r="I12" s="492">
        <v>787</v>
      </c>
      <c r="J12" s="492">
        <v>1274</v>
      </c>
      <c r="K12" s="500">
        <f t="shared" si="2"/>
        <v>2061</v>
      </c>
      <c r="L12" s="810" t="s">
        <v>2006</v>
      </c>
      <c r="M12" s="910">
        <v>3</v>
      </c>
      <c r="Q12" s="49">
        <f>Q11/R11*100-100</f>
        <v>31.097088453448464</v>
      </c>
    </row>
    <row r="13" spans="1:18" ht="48" customHeight="1">
      <c r="A13" s="914">
        <v>4</v>
      </c>
      <c r="B13" s="839" t="s">
        <v>1996</v>
      </c>
      <c r="C13" s="775">
        <v>390</v>
      </c>
      <c r="D13" s="773">
        <v>408</v>
      </c>
      <c r="E13" s="773">
        <f t="shared" si="0"/>
        <v>798</v>
      </c>
      <c r="F13" s="775">
        <v>312</v>
      </c>
      <c r="G13" s="773">
        <v>374</v>
      </c>
      <c r="H13" s="793">
        <f t="shared" si="1"/>
        <v>686</v>
      </c>
      <c r="I13" s="773">
        <v>227</v>
      </c>
      <c r="J13" s="773">
        <v>335</v>
      </c>
      <c r="K13" s="793">
        <f t="shared" si="2"/>
        <v>562</v>
      </c>
      <c r="L13" s="817" t="s">
        <v>1997</v>
      </c>
      <c r="M13" s="914">
        <v>4</v>
      </c>
    </row>
    <row r="14" spans="1:18" ht="48" customHeight="1">
      <c r="A14" s="910">
        <v>5</v>
      </c>
      <c r="B14" s="229" t="s">
        <v>9</v>
      </c>
      <c r="C14" s="496">
        <v>1956</v>
      </c>
      <c r="D14" s="492">
        <v>2205</v>
      </c>
      <c r="E14" s="492">
        <f t="shared" si="0"/>
        <v>4161</v>
      </c>
      <c r="F14" s="496">
        <v>1930</v>
      </c>
      <c r="G14" s="492">
        <v>2329</v>
      </c>
      <c r="H14" s="500">
        <f t="shared" si="1"/>
        <v>4259</v>
      </c>
      <c r="I14" s="492">
        <v>1494</v>
      </c>
      <c r="J14" s="492">
        <v>2233</v>
      </c>
      <c r="K14" s="500">
        <f t="shared" si="2"/>
        <v>3727</v>
      </c>
      <c r="L14" s="810" t="s">
        <v>612</v>
      </c>
      <c r="M14" s="910">
        <v>5</v>
      </c>
      <c r="N14" s="797"/>
    </row>
    <row r="15" spans="1:18" ht="48" customHeight="1">
      <c r="A15" s="914">
        <v>6</v>
      </c>
      <c r="B15" s="839" t="s">
        <v>1989</v>
      </c>
      <c r="C15" s="775">
        <v>361</v>
      </c>
      <c r="D15" s="773">
        <v>1407</v>
      </c>
      <c r="E15" s="773">
        <f t="shared" si="0"/>
        <v>1768</v>
      </c>
      <c r="F15" s="775">
        <v>336</v>
      </c>
      <c r="G15" s="773">
        <v>1236</v>
      </c>
      <c r="H15" s="793">
        <f t="shared" si="1"/>
        <v>1572</v>
      </c>
      <c r="I15" s="773">
        <v>382</v>
      </c>
      <c r="J15" s="773">
        <v>1576</v>
      </c>
      <c r="K15" s="793">
        <f t="shared" si="2"/>
        <v>1958</v>
      </c>
      <c r="L15" s="817" t="s">
        <v>1988</v>
      </c>
      <c r="M15" s="914">
        <v>6</v>
      </c>
      <c r="N15" s="644"/>
    </row>
    <row r="16" spans="1:18" ht="48" customHeight="1">
      <c r="A16" s="910">
        <v>7</v>
      </c>
      <c r="B16" s="825" t="s">
        <v>2001</v>
      </c>
      <c r="C16" s="782">
        <v>460</v>
      </c>
      <c r="D16" s="771">
        <v>1233</v>
      </c>
      <c r="E16" s="771">
        <f t="shared" si="0"/>
        <v>1693</v>
      </c>
      <c r="F16" s="782">
        <v>397</v>
      </c>
      <c r="G16" s="771">
        <v>978</v>
      </c>
      <c r="H16" s="794">
        <f t="shared" si="1"/>
        <v>1375</v>
      </c>
      <c r="I16" s="771">
        <v>586</v>
      </c>
      <c r="J16" s="771">
        <v>1026</v>
      </c>
      <c r="K16" s="794">
        <f t="shared" si="2"/>
        <v>1612</v>
      </c>
      <c r="L16" s="813" t="s">
        <v>2000</v>
      </c>
      <c r="M16" s="910">
        <v>7</v>
      </c>
      <c r="N16" s="797"/>
    </row>
    <row r="17" spans="1:13" ht="48" customHeight="1">
      <c r="A17" s="914">
        <v>8</v>
      </c>
      <c r="B17" s="839" t="s">
        <v>10</v>
      </c>
      <c r="C17" s="775">
        <v>481</v>
      </c>
      <c r="D17" s="773">
        <v>3333</v>
      </c>
      <c r="E17" s="773">
        <f t="shared" si="0"/>
        <v>3814</v>
      </c>
      <c r="F17" s="775">
        <v>267</v>
      </c>
      <c r="G17" s="773">
        <v>3224</v>
      </c>
      <c r="H17" s="793">
        <f t="shared" si="1"/>
        <v>3491</v>
      </c>
      <c r="I17" s="773">
        <v>284</v>
      </c>
      <c r="J17" s="773">
        <v>3726</v>
      </c>
      <c r="K17" s="793">
        <f t="shared" si="2"/>
        <v>4010</v>
      </c>
      <c r="L17" s="817" t="s">
        <v>613</v>
      </c>
      <c r="M17" s="914">
        <v>8</v>
      </c>
    </row>
    <row r="18" spans="1:13" ht="48" customHeight="1">
      <c r="A18" s="910">
        <v>9</v>
      </c>
      <c r="B18" s="825" t="s">
        <v>11</v>
      </c>
      <c r="C18" s="782">
        <v>232</v>
      </c>
      <c r="D18" s="771">
        <v>2635</v>
      </c>
      <c r="E18" s="771">
        <f t="shared" si="0"/>
        <v>2867</v>
      </c>
      <c r="F18" s="782">
        <v>115</v>
      </c>
      <c r="G18" s="771">
        <v>2760</v>
      </c>
      <c r="H18" s="794">
        <f t="shared" si="1"/>
        <v>2875</v>
      </c>
      <c r="I18" s="771">
        <v>57</v>
      </c>
      <c r="J18" s="771">
        <v>2102</v>
      </c>
      <c r="K18" s="794">
        <f t="shared" si="2"/>
        <v>2159</v>
      </c>
      <c r="L18" s="813" t="s">
        <v>614</v>
      </c>
      <c r="M18" s="910">
        <v>9</v>
      </c>
    </row>
    <row r="19" spans="1:13" ht="48" customHeight="1">
      <c r="A19" s="914">
        <v>10</v>
      </c>
      <c r="B19" s="838" t="s">
        <v>12</v>
      </c>
      <c r="C19" s="640">
        <v>1721</v>
      </c>
      <c r="D19" s="641">
        <v>2802</v>
      </c>
      <c r="E19" s="641">
        <f t="shared" si="0"/>
        <v>4523</v>
      </c>
      <c r="F19" s="640">
        <v>1996</v>
      </c>
      <c r="G19" s="641">
        <v>2845</v>
      </c>
      <c r="H19" s="642">
        <f t="shared" si="1"/>
        <v>4841</v>
      </c>
      <c r="I19" s="641">
        <v>2667</v>
      </c>
      <c r="J19" s="641">
        <v>3703</v>
      </c>
      <c r="K19" s="642">
        <f t="shared" si="2"/>
        <v>6370</v>
      </c>
      <c r="L19" s="657" t="s">
        <v>615</v>
      </c>
      <c r="M19" s="914">
        <v>10</v>
      </c>
    </row>
    <row r="20" spans="1:13" ht="48" customHeight="1">
      <c r="A20" s="910">
        <v>11</v>
      </c>
      <c r="B20" s="229" t="s">
        <v>13</v>
      </c>
      <c r="C20" s="496">
        <v>541</v>
      </c>
      <c r="D20" s="492">
        <v>1010</v>
      </c>
      <c r="E20" s="492">
        <f t="shared" si="0"/>
        <v>1551</v>
      </c>
      <c r="F20" s="496">
        <v>424</v>
      </c>
      <c r="G20" s="492">
        <v>1009</v>
      </c>
      <c r="H20" s="500">
        <f t="shared" si="1"/>
        <v>1433</v>
      </c>
      <c r="I20" s="492">
        <v>235</v>
      </c>
      <c r="J20" s="492">
        <v>997</v>
      </c>
      <c r="K20" s="500">
        <f t="shared" si="2"/>
        <v>1232</v>
      </c>
      <c r="L20" s="810" t="s">
        <v>616</v>
      </c>
      <c r="M20" s="910">
        <v>11</v>
      </c>
    </row>
    <row r="21" spans="1:13" ht="48" customHeight="1">
      <c r="A21" s="914">
        <v>12</v>
      </c>
      <c r="B21" s="838" t="s">
        <v>15</v>
      </c>
      <c r="C21" s="640">
        <v>350</v>
      </c>
      <c r="D21" s="641">
        <v>1457</v>
      </c>
      <c r="E21" s="641">
        <f t="shared" si="0"/>
        <v>1807</v>
      </c>
      <c r="F21" s="640">
        <v>282</v>
      </c>
      <c r="G21" s="641">
        <v>890</v>
      </c>
      <c r="H21" s="642">
        <f t="shared" si="1"/>
        <v>1172</v>
      </c>
      <c r="I21" s="641">
        <v>465</v>
      </c>
      <c r="J21" s="641">
        <v>1276</v>
      </c>
      <c r="K21" s="642">
        <f t="shared" si="2"/>
        <v>1741</v>
      </c>
      <c r="L21" s="657" t="s">
        <v>617</v>
      </c>
      <c r="M21" s="914">
        <v>12</v>
      </c>
    </row>
    <row r="22" spans="1:13" ht="48" customHeight="1">
      <c r="A22" s="910">
        <v>13</v>
      </c>
      <c r="B22" s="229" t="s">
        <v>16</v>
      </c>
      <c r="C22" s="496">
        <v>120</v>
      </c>
      <c r="D22" s="206">
        <v>1345</v>
      </c>
      <c r="E22" s="492">
        <f t="shared" si="0"/>
        <v>1465</v>
      </c>
      <c r="F22" s="496">
        <v>190</v>
      </c>
      <c r="G22" s="206">
        <v>1392</v>
      </c>
      <c r="H22" s="500">
        <f t="shared" si="1"/>
        <v>1582</v>
      </c>
      <c r="I22" s="492">
        <v>121</v>
      </c>
      <c r="J22" s="206">
        <v>1121</v>
      </c>
      <c r="K22" s="500">
        <f t="shared" si="2"/>
        <v>1242</v>
      </c>
      <c r="L22" s="810" t="s">
        <v>618</v>
      </c>
      <c r="M22" s="910">
        <v>13</v>
      </c>
    </row>
    <row r="23" spans="1:13" ht="48" customHeight="1">
      <c r="A23" s="914">
        <v>14</v>
      </c>
      <c r="B23" s="838" t="s">
        <v>17</v>
      </c>
      <c r="C23" s="640">
        <v>550</v>
      </c>
      <c r="D23" s="641">
        <v>1483</v>
      </c>
      <c r="E23" s="641">
        <f t="shared" si="0"/>
        <v>2033</v>
      </c>
      <c r="F23" s="640">
        <v>529</v>
      </c>
      <c r="G23" s="641">
        <v>1270</v>
      </c>
      <c r="H23" s="642">
        <f t="shared" si="1"/>
        <v>1799</v>
      </c>
      <c r="I23" s="641">
        <v>605</v>
      </c>
      <c r="J23" s="641">
        <v>1163</v>
      </c>
      <c r="K23" s="642">
        <f t="shared" si="2"/>
        <v>1768</v>
      </c>
      <c r="L23" s="657" t="s">
        <v>619</v>
      </c>
      <c r="M23" s="914">
        <v>14</v>
      </c>
    </row>
    <row r="24" spans="1:13" ht="48" customHeight="1">
      <c r="A24" s="910">
        <v>15</v>
      </c>
      <c r="B24" s="229" t="s">
        <v>18</v>
      </c>
      <c r="C24" s="496">
        <v>535</v>
      </c>
      <c r="D24" s="492">
        <v>1128</v>
      </c>
      <c r="E24" s="492">
        <f t="shared" si="0"/>
        <v>1663</v>
      </c>
      <c r="F24" s="496">
        <v>285</v>
      </c>
      <c r="G24" s="492">
        <v>1331</v>
      </c>
      <c r="H24" s="500">
        <f t="shared" si="1"/>
        <v>1616</v>
      </c>
      <c r="I24" s="492">
        <v>718</v>
      </c>
      <c r="J24" s="492">
        <v>1131</v>
      </c>
      <c r="K24" s="500">
        <f t="shared" si="2"/>
        <v>1849</v>
      </c>
      <c r="L24" s="810" t="s">
        <v>620</v>
      </c>
      <c r="M24" s="910">
        <v>15</v>
      </c>
    </row>
    <row r="25" spans="1:13" ht="48" customHeight="1">
      <c r="A25" s="914">
        <v>16</v>
      </c>
      <c r="B25" s="839" t="s">
        <v>1987</v>
      </c>
      <c r="C25" s="775">
        <v>128</v>
      </c>
      <c r="D25" s="773">
        <v>2085</v>
      </c>
      <c r="E25" s="773">
        <f t="shared" si="0"/>
        <v>2213</v>
      </c>
      <c r="F25" s="775">
        <v>79</v>
      </c>
      <c r="G25" s="773">
        <v>1853</v>
      </c>
      <c r="H25" s="793">
        <f t="shared" si="1"/>
        <v>1932</v>
      </c>
      <c r="I25" s="773">
        <v>54</v>
      </c>
      <c r="J25" s="773">
        <v>1632</v>
      </c>
      <c r="K25" s="793">
        <f t="shared" si="2"/>
        <v>1686</v>
      </c>
      <c r="L25" s="817" t="s">
        <v>1995</v>
      </c>
      <c r="M25" s="914">
        <v>16</v>
      </c>
    </row>
    <row r="26" spans="1:13" ht="48" customHeight="1">
      <c r="A26" s="910">
        <v>17</v>
      </c>
      <c r="B26" s="229" t="s">
        <v>19</v>
      </c>
      <c r="C26" s="496">
        <v>347</v>
      </c>
      <c r="D26" s="492">
        <v>1297</v>
      </c>
      <c r="E26" s="492">
        <f t="shared" si="0"/>
        <v>1644</v>
      </c>
      <c r="F26" s="496">
        <v>269</v>
      </c>
      <c r="G26" s="492">
        <v>1277</v>
      </c>
      <c r="H26" s="500">
        <f t="shared" si="1"/>
        <v>1546</v>
      </c>
      <c r="I26" s="492">
        <v>280</v>
      </c>
      <c r="J26" s="492">
        <v>1512</v>
      </c>
      <c r="K26" s="500">
        <f t="shared" si="2"/>
        <v>1792</v>
      </c>
      <c r="L26" s="810" t="s">
        <v>621</v>
      </c>
      <c r="M26" s="910">
        <v>17</v>
      </c>
    </row>
    <row r="27" spans="1:13" ht="48" customHeight="1">
      <c r="A27" s="914">
        <v>18</v>
      </c>
      <c r="B27" s="838" t="s">
        <v>20</v>
      </c>
      <c r="C27" s="640">
        <v>595</v>
      </c>
      <c r="D27" s="641">
        <v>1216</v>
      </c>
      <c r="E27" s="641">
        <f t="shared" si="0"/>
        <v>1811</v>
      </c>
      <c r="F27" s="640">
        <v>388</v>
      </c>
      <c r="G27" s="641">
        <v>1174</v>
      </c>
      <c r="H27" s="642">
        <f t="shared" si="1"/>
        <v>1562</v>
      </c>
      <c r="I27" s="641">
        <v>346</v>
      </c>
      <c r="J27" s="641">
        <v>1507</v>
      </c>
      <c r="K27" s="642">
        <f t="shared" si="2"/>
        <v>1853</v>
      </c>
      <c r="L27" s="657" t="s">
        <v>622</v>
      </c>
      <c r="M27" s="914">
        <v>18</v>
      </c>
    </row>
    <row r="28" spans="1:13" ht="48" customHeight="1">
      <c r="A28" s="910">
        <v>19</v>
      </c>
      <c r="B28" s="229" t="s">
        <v>21</v>
      </c>
      <c r="C28" s="496">
        <v>29</v>
      </c>
      <c r="D28" s="492">
        <v>2063</v>
      </c>
      <c r="E28" s="492">
        <f>D28+C28</f>
        <v>2092</v>
      </c>
      <c r="F28" s="496">
        <v>25</v>
      </c>
      <c r="G28" s="492">
        <v>1754</v>
      </c>
      <c r="H28" s="500">
        <f>G28+F28</f>
        <v>1779</v>
      </c>
      <c r="I28" s="492">
        <v>71</v>
      </c>
      <c r="J28" s="492">
        <v>1831</v>
      </c>
      <c r="K28" s="500">
        <f>J28+I28</f>
        <v>1902</v>
      </c>
      <c r="L28" s="810" t="s">
        <v>623</v>
      </c>
      <c r="M28" s="910">
        <v>19</v>
      </c>
    </row>
    <row r="29" spans="1:13" ht="48" customHeight="1">
      <c r="A29" s="916">
        <v>20</v>
      </c>
      <c r="B29" s="928" t="s">
        <v>22</v>
      </c>
      <c r="C29" s="659">
        <v>361</v>
      </c>
      <c r="D29" s="660">
        <v>881</v>
      </c>
      <c r="E29" s="660">
        <f>D29+C29</f>
        <v>1242</v>
      </c>
      <c r="F29" s="659">
        <v>210</v>
      </c>
      <c r="G29" s="660">
        <v>848</v>
      </c>
      <c r="H29" s="661">
        <f>G29+F29</f>
        <v>1058</v>
      </c>
      <c r="I29" s="660">
        <v>277</v>
      </c>
      <c r="J29" s="660">
        <v>1203</v>
      </c>
      <c r="K29" s="661">
        <f>J29+I29</f>
        <v>1480</v>
      </c>
      <c r="L29" s="673" t="s">
        <v>624</v>
      </c>
      <c r="M29" s="916">
        <v>20</v>
      </c>
    </row>
    <row r="30" spans="1:13" ht="17.100000000000001" customHeight="1">
      <c r="B30" s="1426" t="s">
        <v>513</v>
      </c>
      <c r="C30" s="1426"/>
      <c r="D30" s="1426"/>
      <c r="E30" s="1471" t="s">
        <v>515</v>
      </c>
      <c r="F30" s="1471"/>
      <c r="G30" s="1471"/>
      <c r="H30" s="1471"/>
      <c r="I30" s="1471"/>
      <c r="J30" s="1427" t="s">
        <v>514</v>
      </c>
      <c r="K30" s="1427"/>
      <c r="L30" s="1427"/>
    </row>
    <row r="31" spans="1:13" ht="17.100000000000001" customHeight="1">
      <c r="A31" s="1459" t="s">
        <v>2028</v>
      </c>
      <c r="B31" s="1469" t="s">
        <v>1565</v>
      </c>
      <c r="C31" s="1443">
        <v>1396</v>
      </c>
      <c r="D31" s="1445"/>
      <c r="E31" s="1445"/>
      <c r="F31" s="1443">
        <v>1395</v>
      </c>
      <c r="G31" s="1445"/>
      <c r="H31" s="1445"/>
      <c r="I31" s="1443">
        <v>1394</v>
      </c>
      <c r="J31" s="1445"/>
      <c r="K31" s="1451"/>
      <c r="L31" s="1470" t="s">
        <v>1564</v>
      </c>
      <c r="M31" s="1459" t="s">
        <v>2027</v>
      </c>
    </row>
    <row r="32" spans="1:13" ht="17.100000000000001" customHeight="1">
      <c r="A32" s="1460"/>
      <c r="B32" s="1469"/>
      <c r="C32" s="1446" t="s">
        <v>1773</v>
      </c>
      <c r="D32" s="1447"/>
      <c r="E32" s="1447"/>
      <c r="F32" s="1448" t="s">
        <v>1772</v>
      </c>
      <c r="G32" s="1449"/>
      <c r="H32" s="1450"/>
      <c r="I32" s="1448" t="s">
        <v>1771</v>
      </c>
      <c r="J32" s="1449"/>
      <c r="K32" s="1450"/>
      <c r="L32" s="1470"/>
      <c r="M32" s="1460"/>
    </row>
    <row r="33" spans="1:25" ht="17.100000000000001" customHeight="1">
      <c r="A33" s="1460"/>
      <c r="B33" s="1469"/>
      <c r="C33" s="924" t="s">
        <v>0</v>
      </c>
      <c r="D33" s="925" t="s">
        <v>1</v>
      </c>
      <c r="E33" s="892" t="s">
        <v>2</v>
      </c>
      <c r="F33" s="890" t="s">
        <v>0</v>
      </c>
      <c r="G33" s="891" t="s">
        <v>1</v>
      </c>
      <c r="H33" s="892" t="s">
        <v>2</v>
      </c>
      <c r="I33" s="890" t="s">
        <v>0</v>
      </c>
      <c r="J33" s="891" t="s">
        <v>1</v>
      </c>
      <c r="K33" s="893" t="s">
        <v>2</v>
      </c>
      <c r="L33" s="1470"/>
      <c r="M33" s="1460"/>
    </row>
    <row r="34" spans="1:25" ht="17.100000000000001" customHeight="1">
      <c r="A34" s="1460"/>
      <c r="B34" s="1443"/>
      <c r="C34" s="894" t="s">
        <v>500</v>
      </c>
      <c r="D34" s="895" t="s">
        <v>501</v>
      </c>
      <c r="E34" s="896" t="s">
        <v>502</v>
      </c>
      <c r="F34" s="894" t="s">
        <v>500</v>
      </c>
      <c r="G34" s="895" t="s">
        <v>501</v>
      </c>
      <c r="H34" s="896" t="s">
        <v>502</v>
      </c>
      <c r="I34" s="894" t="s">
        <v>500</v>
      </c>
      <c r="J34" s="895" t="s">
        <v>501</v>
      </c>
      <c r="K34" s="897" t="s">
        <v>502</v>
      </c>
      <c r="L34" s="1470"/>
      <c r="M34" s="1460"/>
    </row>
    <row r="35" spans="1:25" ht="17.100000000000001" customHeight="1">
      <c r="A35" s="1461"/>
      <c r="B35" s="1469"/>
      <c r="C35" s="926" t="s">
        <v>3</v>
      </c>
      <c r="D35" s="927" t="s">
        <v>4</v>
      </c>
      <c r="E35" s="900" t="s">
        <v>5</v>
      </c>
      <c r="F35" s="898" t="s">
        <v>3</v>
      </c>
      <c r="G35" s="899" t="s">
        <v>4</v>
      </c>
      <c r="H35" s="900" t="s">
        <v>5</v>
      </c>
      <c r="I35" s="898" t="s">
        <v>3</v>
      </c>
      <c r="J35" s="899" t="s">
        <v>4</v>
      </c>
      <c r="K35" s="901" t="s">
        <v>5</v>
      </c>
      <c r="L35" s="1470"/>
      <c r="M35" s="1461"/>
    </row>
    <row r="36" spans="1:25" ht="50.1" customHeight="1">
      <c r="A36" s="915">
        <v>21</v>
      </c>
      <c r="B36" s="622" t="s">
        <v>1567</v>
      </c>
      <c r="C36" s="640">
        <v>198</v>
      </c>
      <c r="D36" s="641">
        <v>613</v>
      </c>
      <c r="E36" s="641">
        <f>D36+C36</f>
        <v>811</v>
      </c>
      <c r="F36" s="640">
        <v>160</v>
      </c>
      <c r="G36" s="641">
        <v>567</v>
      </c>
      <c r="H36" s="641">
        <f>G36+F36</f>
        <v>727</v>
      </c>
      <c r="I36" s="640">
        <v>153</v>
      </c>
      <c r="J36" s="641">
        <v>594</v>
      </c>
      <c r="K36" s="642">
        <f t="shared" ref="K36:K41" si="3">J36+I36</f>
        <v>747</v>
      </c>
      <c r="L36" s="626" t="s">
        <v>1579</v>
      </c>
      <c r="M36" s="915">
        <v>21</v>
      </c>
    </row>
    <row r="37" spans="1:25" ht="50.1" customHeight="1">
      <c r="A37" s="910">
        <v>22</v>
      </c>
      <c r="B37" s="314" t="s">
        <v>1568</v>
      </c>
      <c r="C37" s="496">
        <v>28</v>
      </c>
      <c r="D37" s="492">
        <v>522</v>
      </c>
      <c r="E37" s="492">
        <f t="shared" ref="E37:E41" si="4">D37+C37</f>
        <v>550</v>
      </c>
      <c r="F37" s="503">
        <v>3</v>
      </c>
      <c r="G37" s="484">
        <v>515</v>
      </c>
      <c r="H37" s="492">
        <f t="shared" ref="H37:H41" si="5">G37+F37</f>
        <v>518</v>
      </c>
      <c r="I37" s="503">
        <v>6</v>
      </c>
      <c r="J37" s="484">
        <v>570</v>
      </c>
      <c r="K37" s="500">
        <f t="shared" si="3"/>
        <v>576</v>
      </c>
      <c r="L37" s="315" t="s">
        <v>1580</v>
      </c>
      <c r="M37" s="910">
        <v>22</v>
      </c>
    </row>
    <row r="38" spans="1:25" ht="50.1" customHeight="1">
      <c r="A38" s="914">
        <v>23</v>
      </c>
      <c r="B38" s="622" t="s">
        <v>2002</v>
      </c>
      <c r="C38" s="775">
        <v>14</v>
      </c>
      <c r="D38" s="773">
        <v>1113</v>
      </c>
      <c r="E38" s="773">
        <f t="shared" si="4"/>
        <v>1127</v>
      </c>
      <c r="F38" s="775">
        <v>6</v>
      </c>
      <c r="G38" s="773">
        <v>913</v>
      </c>
      <c r="H38" s="773">
        <f t="shared" si="5"/>
        <v>919</v>
      </c>
      <c r="I38" s="775">
        <v>15</v>
      </c>
      <c r="J38" s="773">
        <v>847</v>
      </c>
      <c r="K38" s="793">
        <f t="shared" si="3"/>
        <v>862</v>
      </c>
      <c r="L38" s="768" t="s">
        <v>2003</v>
      </c>
      <c r="M38" s="914">
        <v>23</v>
      </c>
    </row>
    <row r="39" spans="1:25" ht="50.1" customHeight="1">
      <c r="A39" s="910">
        <v>24</v>
      </c>
      <c r="B39" s="314" t="s">
        <v>1569</v>
      </c>
      <c r="C39" s="496">
        <v>47</v>
      </c>
      <c r="D39" s="492">
        <v>228</v>
      </c>
      <c r="E39" s="492">
        <f t="shared" si="4"/>
        <v>275</v>
      </c>
      <c r="F39" s="496">
        <v>41</v>
      </c>
      <c r="G39" s="492">
        <v>256</v>
      </c>
      <c r="H39" s="492">
        <f t="shared" si="5"/>
        <v>297</v>
      </c>
      <c r="I39" s="496">
        <v>14</v>
      </c>
      <c r="J39" s="492">
        <v>289</v>
      </c>
      <c r="K39" s="500">
        <f t="shared" si="3"/>
        <v>303</v>
      </c>
      <c r="L39" s="315" t="s">
        <v>1581</v>
      </c>
      <c r="M39" s="910">
        <v>24</v>
      </c>
    </row>
    <row r="40" spans="1:25" ht="50.1" customHeight="1">
      <c r="A40" s="914">
        <v>25</v>
      </c>
      <c r="B40" s="622" t="s">
        <v>461</v>
      </c>
      <c r="C40" s="640">
        <v>8</v>
      </c>
      <c r="D40" s="641">
        <v>823</v>
      </c>
      <c r="E40" s="641">
        <f t="shared" si="4"/>
        <v>831</v>
      </c>
      <c r="F40" s="640">
        <v>4</v>
      </c>
      <c r="G40" s="641">
        <v>1138</v>
      </c>
      <c r="H40" s="641">
        <f t="shared" si="5"/>
        <v>1142</v>
      </c>
      <c r="I40" s="640">
        <v>7</v>
      </c>
      <c r="J40" s="641">
        <v>703</v>
      </c>
      <c r="K40" s="642">
        <f t="shared" si="3"/>
        <v>710</v>
      </c>
      <c r="L40" s="626" t="s">
        <v>625</v>
      </c>
      <c r="M40" s="914">
        <v>25</v>
      </c>
    </row>
    <row r="41" spans="1:25" ht="50.1" customHeight="1">
      <c r="A41" s="910">
        <v>26</v>
      </c>
      <c r="B41" s="314" t="s">
        <v>1570</v>
      </c>
      <c r="C41" s="496">
        <v>106</v>
      </c>
      <c r="D41" s="492">
        <v>439</v>
      </c>
      <c r="E41" s="492">
        <f t="shared" si="4"/>
        <v>545</v>
      </c>
      <c r="F41" s="496">
        <v>64</v>
      </c>
      <c r="G41" s="492">
        <v>391</v>
      </c>
      <c r="H41" s="492">
        <f t="shared" si="5"/>
        <v>455</v>
      </c>
      <c r="I41" s="496">
        <v>57</v>
      </c>
      <c r="J41" s="492">
        <v>362</v>
      </c>
      <c r="K41" s="500">
        <f t="shared" si="3"/>
        <v>419</v>
      </c>
      <c r="L41" s="315" t="s">
        <v>1582</v>
      </c>
      <c r="M41" s="910">
        <v>26</v>
      </c>
    </row>
    <row r="42" spans="1:25" ht="50.1" customHeight="1">
      <c r="A42" s="914">
        <v>27</v>
      </c>
      <c r="B42" s="622" t="s">
        <v>1571</v>
      </c>
      <c r="C42" s="640" t="s">
        <v>14</v>
      </c>
      <c r="D42" s="641">
        <v>488</v>
      </c>
      <c r="E42" s="641">
        <f>D42</f>
        <v>488</v>
      </c>
      <c r="F42" s="640" t="s">
        <v>14</v>
      </c>
      <c r="G42" s="641">
        <v>588</v>
      </c>
      <c r="H42" s="641">
        <f>G42</f>
        <v>588</v>
      </c>
      <c r="I42" s="640" t="s">
        <v>14</v>
      </c>
      <c r="J42" s="641">
        <v>424</v>
      </c>
      <c r="K42" s="642">
        <f>J42</f>
        <v>424</v>
      </c>
      <c r="L42" s="626" t="s">
        <v>1583</v>
      </c>
      <c r="M42" s="914">
        <v>27</v>
      </c>
    </row>
    <row r="43" spans="1:25" ht="50.1" customHeight="1">
      <c r="A43" s="910">
        <v>28</v>
      </c>
      <c r="B43" s="314" t="s">
        <v>1572</v>
      </c>
      <c r="C43" s="496" t="s">
        <v>14</v>
      </c>
      <c r="D43" s="492">
        <v>338</v>
      </c>
      <c r="E43" s="492">
        <f>D43</f>
        <v>338</v>
      </c>
      <c r="F43" s="503" t="s">
        <v>14</v>
      </c>
      <c r="G43" s="484">
        <v>386</v>
      </c>
      <c r="H43" s="492">
        <f>G43</f>
        <v>386</v>
      </c>
      <c r="I43" s="503" t="s">
        <v>14</v>
      </c>
      <c r="J43" s="484">
        <v>218</v>
      </c>
      <c r="K43" s="500">
        <f>J43</f>
        <v>218</v>
      </c>
      <c r="L43" s="315" t="s">
        <v>1584</v>
      </c>
      <c r="M43" s="910">
        <v>28</v>
      </c>
    </row>
    <row r="44" spans="1:25" ht="50.1" customHeight="1">
      <c r="A44" s="914">
        <v>29</v>
      </c>
      <c r="B44" s="622" t="s">
        <v>1573</v>
      </c>
      <c r="C44" s="640">
        <v>85</v>
      </c>
      <c r="D44" s="641">
        <v>397</v>
      </c>
      <c r="E44" s="641">
        <f>D44+C44</f>
        <v>482</v>
      </c>
      <c r="F44" s="648">
        <v>36</v>
      </c>
      <c r="G44" s="649">
        <v>442</v>
      </c>
      <c r="H44" s="641">
        <f t="shared" ref="H44" si="6">G44+F44</f>
        <v>478</v>
      </c>
      <c r="I44" s="648">
        <v>31</v>
      </c>
      <c r="J44" s="649">
        <v>613</v>
      </c>
      <c r="K44" s="642">
        <f>J44+I44</f>
        <v>644</v>
      </c>
      <c r="L44" s="626" t="s">
        <v>1936</v>
      </c>
      <c r="M44" s="914">
        <v>29</v>
      </c>
    </row>
    <row r="45" spans="1:25" ht="50.1" customHeight="1">
      <c r="A45" s="910">
        <v>30</v>
      </c>
      <c r="B45" s="314" t="s">
        <v>1574</v>
      </c>
      <c r="C45" s="496">
        <v>93</v>
      </c>
      <c r="D45" s="492">
        <v>276</v>
      </c>
      <c r="E45" s="492">
        <f t="shared" ref="E45:E47" si="7">D45+C45</f>
        <v>369</v>
      </c>
      <c r="F45" s="503">
        <v>99</v>
      </c>
      <c r="G45" s="484">
        <v>403</v>
      </c>
      <c r="H45" s="492">
        <f>G45+F45</f>
        <v>502</v>
      </c>
      <c r="I45" s="503">
        <v>20</v>
      </c>
      <c r="J45" s="484">
        <v>143</v>
      </c>
      <c r="K45" s="500">
        <f>J45+I45</f>
        <v>163</v>
      </c>
      <c r="L45" s="315" t="s">
        <v>1942</v>
      </c>
      <c r="M45" s="910">
        <v>30</v>
      </c>
    </row>
    <row r="46" spans="1:25" ht="50.1" customHeight="1">
      <c r="A46" s="914">
        <v>31</v>
      </c>
      <c r="B46" s="622" t="s">
        <v>1575</v>
      </c>
      <c r="C46" s="640">
        <v>114</v>
      </c>
      <c r="D46" s="641">
        <v>228</v>
      </c>
      <c r="E46" s="641">
        <f t="shared" si="7"/>
        <v>342</v>
      </c>
      <c r="F46" s="648">
        <v>87</v>
      </c>
      <c r="G46" s="649">
        <v>243</v>
      </c>
      <c r="H46" s="641">
        <f t="shared" ref="H46" si="8">G46+F46</f>
        <v>330</v>
      </c>
      <c r="I46" s="648">
        <v>40</v>
      </c>
      <c r="J46" s="649">
        <v>241</v>
      </c>
      <c r="K46" s="642">
        <f>J46+I46</f>
        <v>281</v>
      </c>
      <c r="L46" s="626" t="s">
        <v>1587</v>
      </c>
      <c r="M46" s="914">
        <v>31</v>
      </c>
    </row>
    <row r="47" spans="1:25" ht="50.1" customHeight="1">
      <c r="A47" s="910">
        <v>32</v>
      </c>
      <c r="B47" s="314" t="s">
        <v>1576</v>
      </c>
      <c r="C47" s="496">
        <v>38</v>
      </c>
      <c r="D47" s="492">
        <v>192</v>
      </c>
      <c r="E47" s="492">
        <f t="shared" si="7"/>
        <v>230</v>
      </c>
      <c r="F47" s="496">
        <v>12</v>
      </c>
      <c r="G47" s="492">
        <v>134</v>
      </c>
      <c r="H47" s="492">
        <f>G47+F47</f>
        <v>146</v>
      </c>
      <c r="I47" s="496">
        <v>11</v>
      </c>
      <c r="J47" s="492">
        <v>59</v>
      </c>
      <c r="K47" s="500">
        <f>J47+I47</f>
        <v>70</v>
      </c>
      <c r="L47" s="315" t="s">
        <v>1943</v>
      </c>
      <c r="M47" s="910">
        <v>32</v>
      </c>
      <c r="O47" s="411" t="s">
        <v>1165</v>
      </c>
      <c r="P47" s="415">
        <v>0</v>
      </c>
      <c r="Q47" s="414">
        <v>0</v>
      </c>
      <c r="R47" s="414">
        <f>Q47+P47</f>
        <v>0</v>
      </c>
      <c r="S47" s="415">
        <v>20</v>
      </c>
      <c r="T47" s="414">
        <v>28</v>
      </c>
      <c r="U47" s="414">
        <f>T47+S47</f>
        <v>48</v>
      </c>
      <c r="V47" s="415" t="s">
        <v>14</v>
      </c>
      <c r="W47" s="414" t="s">
        <v>14</v>
      </c>
      <c r="X47" s="417" t="s">
        <v>14</v>
      </c>
      <c r="Y47" s="412" t="s">
        <v>1197</v>
      </c>
    </row>
    <row r="48" spans="1:25" ht="50.1" customHeight="1">
      <c r="A48" s="914">
        <v>33</v>
      </c>
      <c r="B48" s="622" t="s">
        <v>1577</v>
      </c>
      <c r="C48" s="640" t="s">
        <v>14</v>
      </c>
      <c r="D48" s="641">
        <v>121</v>
      </c>
      <c r="E48" s="641">
        <f>D48</f>
        <v>121</v>
      </c>
      <c r="F48" s="640">
        <v>1</v>
      </c>
      <c r="G48" s="641">
        <v>123</v>
      </c>
      <c r="H48" s="641">
        <f>G48+F48</f>
        <v>124</v>
      </c>
      <c r="I48" s="640" t="s">
        <v>14</v>
      </c>
      <c r="J48" s="641">
        <v>71</v>
      </c>
      <c r="K48" s="642">
        <f>J48</f>
        <v>71</v>
      </c>
      <c r="L48" s="626" t="s">
        <v>1589</v>
      </c>
      <c r="M48" s="914">
        <v>33</v>
      </c>
    </row>
    <row r="49" spans="1:24" ht="50.1" customHeight="1">
      <c r="A49" s="910">
        <v>34</v>
      </c>
      <c r="B49" s="314" t="s">
        <v>1578</v>
      </c>
      <c r="C49" s="496">
        <v>153</v>
      </c>
      <c r="D49" s="492">
        <v>168</v>
      </c>
      <c r="E49" s="492">
        <f>D49+C49</f>
        <v>321</v>
      </c>
      <c r="F49" s="496">
        <v>71</v>
      </c>
      <c r="G49" s="492">
        <v>147</v>
      </c>
      <c r="H49" s="492">
        <f>G49+F49</f>
        <v>218</v>
      </c>
      <c r="I49" s="496">
        <v>56</v>
      </c>
      <c r="J49" s="492">
        <v>114</v>
      </c>
      <c r="K49" s="500">
        <f>J49+I49</f>
        <v>170</v>
      </c>
      <c r="L49" s="315" t="s">
        <v>1590</v>
      </c>
      <c r="M49" s="910">
        <v>34</v>
      </c>
    </row>
    <row r="50" spans="1:24" ht="50.1" customHeight="1">
      <c r="A50" s="914">
        <v>35</v>
      </c>
      <c r="B50" s="622" t="s">
        <v>2004</v>
      </c>
      <c r="C50" s="640">
        <v>3</v>
      </c>
      <c r="D50" s="641">
        <v>191</v>
      </c>
      <c r="E50" s="641">
        <f t="shared" ref="E50:E51" si="9">D50+C50</f>
        <v>194</v>
      </c>
      <c r="F50" s="640">
        <v>7</v>
      </c>
      <c r="G50" s="641">
        <v>200</v>
      </c>
      <c r="H50" s="641">
        <f>G50+F50</f>
        <v>207</v>
      </c>
      <c r="I50" s="640">
        <v>8</v>
      </c>
      <c r="J50" s="641">
        <v>181</v>
      </c>
      <c r="K50" s="642">
        <f>J50+I50</f>
        <v>189</v>
      </c>
      <c r="L50" s="768" t="s">
        <v>2005</v>
      </c>
      <c r="M50" s="914">
        <v>35</v>
      </c>
    </row>
    <row r="51" spans="1:24" ht="50.1" customHeight="1">
      <c r="A51" s="910">
        <v>36</v>
      </c>
      <c r="B51" s="474" t="s">
        <v>1777</v>
      </c>
      <c r="C51" s="496">
        <v>38</v>
      </c>
      <c r="D51" s="492">
        <v>66</v>
      </c>
      <c r="E51" s="492">
        <f t="shared" si="9"/>
        <v>104</v>
      </c>
      <c r="F51" s="496" t="s">
        <v>14</v>
      </c>
      <c r="G51" s="492" t="s">
        <v>14</v>
      </c>
      <c r="H51" s="500" t="s">
        <v>14</v>
      </c>
      <c r="I51" s="492" t="s">
        <v>14</v>
      </c>
      <c r="J51" s="492" t="s">
        <v>14</v>
      </c>
      <c r="K51" s="500" t="s">
        <v>14</v>
      </c>
      <c r="L51" s="487" t="s">
        <v>1776</v>
      </c>
      <c r="M51" s="910">
        <v>36</v>
      </c>
    </row>
    <row r="52" spans="1:24" ht="50.1" customHeight="1">
      <c r="A52" s="916">
        <v>37</v>
      </c>
      <c r="B52" s="658" t="s">
        <v>1779</v>
      </c>
      <c r="C52" s="659">
        <v>7</v>
      </c>
      <c r="D52" s="660">
        <v>116</v>
      </c>
      <c r="E52" s="660">
        <f>D52+C52</f>
        <v>123</v>
      </c>
      <c r="F52" s="659" t="s">
        <v>14</v>
      </c>
      <c r="G52" s="660" t="s">
        <v>14</v>
      </c>
      <c r="H52" s="661" t="s">
        <v>14</v>
      </c>
      <c r="I52" s="660" t="s">
        <v>14</v>
      </c>
      <c r="J52" s="660" t="s">
        <v>14</v>
      </c>
      <c r="K52" s="661" t="s">
        <v>14</v>
      </c>
      <c r="L52" s="662" t="s">
        <v>1944</v>
      </c>
      <c r="M52" s="916">
        <v>37</v>
      </c>
    </row>
    <row r="53" spans="1:24" ht="30" customHeight="1">
      <c r="B53" s="1417" t="s">
        <v>23</v>
      </c>
      <c r="C53" s="1417"/>
      <c r="D53" s="1417"/>
      <c r="E53" s="1414" t="s">
        <v>626</v>
      </c>
      <c r="F53" s="1414"/>
      <c r="G53" s="1414"/>
      <c r="H53" s="1414"/>
      <c r="I53" s="1414"/>
      <c r="J53" s="1414" t="s">
        <v>24</v>
      </c>
      <c r="K53" s="1414"/>
      <c r="L53" s="1414"/>
      <c r="M53" s="1414"/>
      <c r="Q53" s="2" t="s">
        <v>1170</v>
      </c>
      <c r="R53" s="2" t="s">
        <v>1306</v>
      </c>
      <c r="S53" s="2" t="s">
        <v>1780</v>
      </c>
      <c r="V53" s="76"/>
      <c r="W53" s="46"/>
      <c r="X53" s="46"/>
    </row>
    <row r="54" spans="1:24" ht="27.95" customHeight="1">
      <c r="B54" s="1468" t="s">
        <v>1882</v>
      </c>
      <c r="C54" s="1468"/>
      <c r="D54" s="1468"/>
      <c r="E54" s="1468"/>
      <c r="F54" s="1468"/>
      <c r="G54" s="1468"/>
      <c r="H54" s="1468"/>
      <c r="I54" s="1468"/>
      <c r="J54" s="1468"/>
      <c r="K54" s="1468"/>
      <c r="L54" s="1468"/>
      <c r="Q54">
        <v>1394</v>
      </c>
      <c r="R54">
        <v>1395</v>
      </c>
      <c r="S54">
        <v>1396</v>
      </c>
    </row>
    <row r="55" spans="1:24" ht="27.95" customHeight="1">
      <c r="P55" s="1" t="s">
        <v>1105</v>
      </c>
      <c r="Q55" s="1">
        <v>53385</v>
      </c>
      <c r="R55" s="1">
        <v>51982</v>
      </c>
      <c r="S55" s="1">
        <v>54799</v>
      </c>
    </row>
    <row r="56" spans="1:24" ht="27.95" customHeight="1">
      <c r="P56" s="1" t="s">
        <v>1104</v>
      </c>
      <c r="Q56">
        <v>41532</v>
      </c>
      <c r="R56">
        <v>40048</v>
      </c>
      <c r="S56">
        <v>40428</v>
      </c>
    </row>
    <row r="57" spans="1:24" ht="27.95" customHeight="1">
      <c r="P57" s="1" t="s">
        <v>1103</v>
      </c>
      <c r="Q57">
        <v>11853</v>
      </c>
      <c r="R57">
        <v>11934</v>
      </c>
      <c r="S57">
        <v>14371</v>
      </c>
    </row>
    <row r="58" spans="1:24" ht="24.95" customHeight="1"/>
    <row r="59" spans="1:24" ht="27.75" customHeight="1"/>
    <row r="60" spans="1:24" ht="24.95" customHeight="1"/>
    <row r="61" spans="1:24" ht="24.95" customHeight="1"/>
  </sheetData>
  <mergeCells count="30">
    <mergeCell ref="A31:A35"/>
    <mergeCell ref="J53:M53"/>
    <mergeCell ref="B53:D53"/>
    <mergeCell ref="M31:M35"/>
    <mergeCell ref="A1:M1"/>
    <mergeCell ref="A2:M2"/>
    <mergeCell ref="A3:M3"/>
    <mergeCell ref="A4:A8"/>
    <mergeCell ref="M4:M8"/>
    <mergeCell ref="I31:K31"/>
    <mergeCell ref="L31:L35"/>
    <mergeCell ref="C32:E32"/>
    <mergeCell ref="F32:H32"/>
    <mergeCell ref="I32:K32"/>
    <mergeCell ref="B54:L54"/>
    <mergeCell ref="B4:B8"/>
    <mergeCell ref="L4:L8"/>
    <mergeCell ref="C4:E4"/>
    <mergeCell ref="C5:E5"/>
    <mergeCell ref="F4:H4"/>
    <mergeCell ref="F5:H5"/>
    <mergeCell ref="I4:K4"/>
    <mergeCell ref="I5:K5"/>
    <mergeCell ref="E53:I53"/>
    <mergeCell ref="B31:B35"/>
    <mergeCell ref="B30:D30"/>
    <mergeCell ref="E30:I30"/>
    <mergeCell ref="J30:L30"/>
    <mergeCell ref="C31:E31"/>
    <mergeCell ref="F31:H31"/>
  </mergeCells>
  <pageMargins left="0.55118110236220497" right="0.55118110236220497" top="0.35433070866141703" bottom="0.66929133858267698" header="0.196850393700787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00"/>
  <sheetViews>
    <sheetView view="pageBreakPreview" topLeftCell="A25" zoomScale="80" zoomScaleNormal="70" zoomScaleSheetLayoutView="80" workbookViewId="0">
      <selection activeCell="D31" sqref="D31"/>
    </sheetView>
  </sheetViews>
  <sheetFormatPr defaultRowHeight="15"/>
  <cols>
    <col min="1" max="1" width="4.28515625" customWidth="1"/>
    <col min="2" max="2" width="23.85546875" customWidth="1"/>
    <col min="3" max="6" width="8.140625" customWidth="1"/>
    <col min="7" max="7" width="8.28515625" customWidth="1"/>
    <col min="8" max="10" width="8.140625" customWidth="1"/>
    <col min="11" max="11" width="8.28515625" customWidth="1"/>
    <col min="12" max="12" width="26.85546875" customWidth="1"/>
    <col min="13" max="13" width="4.85546875" customWidth="1"/>
  </cols>
  <sheetData>
    <row r="1" spans="1:31" ht="27" customHeight="1">
      <c r="A1" s="1437" t="s">
        <v>639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N1">
        <f>11934-14549</f>
        <v>-2615</v>
      </c>
      <c r="O1">
        <f>40048-39380</f>
        <v>668</v>
      </c>
      <c r="R1" s="51"/>
      <c r="AD1" s="51"/>
    </row>
    <row r="2" spans="1:31" ht="27" customHeight="1">
      <c r="A2" s="1407" t="s">
        <v>692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407"/>
      <c r="M2" s="1407"/>
      <c r="AD2" s="51"/>
    </row>
    <row r="3" spans="1:31" ht="27" customHeight="1">
      <c r="A3" s="1472" t="s">
        <v>444</v>
      </c>
      <c r="B3" s="1472"/>
      <c r="C3" s="1472"/>
      <c r="D3" s="1472"/>
      <c r="E3" s="1472"/>
      <c r="F3" s="1472"/>
      <c r="G3" s="1472"/>
      <c r="H3" s="1472"/>
      <c r="I3" s="1472"/>
      <c r="J3" s="1472"/>
      <c r="K3" s="1472"/>
      <c r="L3" s="1472"/>
      <c r="M3" s="1472"/>
      <c r="N3" s="10"/>
      <c r="O3" s="10"/>
      <c r="P3" s="10"/>
      <c r="AD3" s="51"/>
    </row>
    <row r="4" spans="1:31" ht="27" customHeight="1">
      <c r="A4" s="1459" t="s">
        <v>2028</v>
      </c>
      <c r="B4" s="1443" t="s">
        <v>402</v>
      </c>
      <c r="C4" s="1443">
        <v>1396</v>
      </c>
      <c r="D4" s="1445"/>
      <c r="E4" s="1445"/>
      <c r="F4" s="1443">
        <v>1395</v>
      </c>
      <c r="G4" s="1445"/>
      <c r="H4" s="1445"/>
      <c r="I4" s="1443">
        <v>1394</v>
      </c>
      <c r="J4" s="1445"/>
      <c r="K4" s="1451"/>
      <c r="L4" s="1451" t="s">
        <v>401</v>
      </c>
      <c r="M4" s="1459" t="s">
        <v>2027</v>
      </c>
      <c r="N4" s="1441"/>
      <c r="O4" s="1441"/>
      <c r="P4" s="1441"/>
      <c r="AD4" s="51"/>
    </row>
    <row r="5" spans="1:31" ht="27" customHeight="1">
      <c r="A5" s="1460"/>
      <c r="B5" s="1444"/>
      <c r="C5" s="1446" t="s">
        <v>1773</v>
      </c>
      <c r="D5" s="1447"/>
      <c r="E5" s="1447"/>
      <c r="F5" s="1448" t="s">
        <v>1772</v>
      </c>
      <c r="G5" s="1449"/>
      <c r="H5" s="1450"/>
      <c r="I5" s="1448" t="s">
        <v>1771</v>
      </c>
      <c r="J5" s="1449"/>
      <c r="K5" s="1450"/>
      <c r="L5" s="1452"/>
      <c r="M5" s="1460"/>
      <c r="N5" s="396"/>
      <c r="O5" s="396">
        <f>C9-14371</f>
        <v>0</v>
      </c>
      <c r="P5" s="396">
        <f>D9-40428</f>
        <v>0</v>
      </c>
      <c r="AD5" s="51"/>
      <c r="AE5" s="42"/>
    </row>
    <row r="6" spans="1:31" ht="27" customHeight="1">
      <c r="A6" s="1460"/>
      <c r="B6" s="1444"/>
      <c r="C6" s="890" t="s">
        <v>0</v>
      </c>
      <c r="D6" s="891" t="s">
        <v>1</v>
      </c>
      <c r="E6" s="892" t="s">
        <v>2</v>
      </c>
      <c r="F6" s="890" t="s">
        <v>0</v>
      </c>
      <c r="G6" s="891" t="s">
        <v>1</v>
      </c>
      <c r="H6" s="892" t="s">
        <v>2</v>
      </c>
      <c r="I6" s="890" t="s">
        <v>0</v>
      </c>
      <c r="J6" s="891" t="s">
        <v>1</v>
      </c>
      <c r="K6" s="893" t="s">
        <v>2</v>
      </c>
      <c r="L6" s="1452"/>
      <c r="M6" s="1460"/>
      <c r="N6" s="10"/>
      <c r="O6" s="52"/>
      <c r="P6" s="402"/>
      <c r="AD6" s="51"/>
      <c r="AE6" s="42"/>
    </row>
    <row r="7" spans="1:31" ht="27" customHeight="1">
      <c r="A7" s="1460"/>
      <c r="B7" s="1444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6" t="s">
        <v>502</v>
      </c>
      <c r="I7" s="894" t="s">
        <v>500</v>
      </c>
      <c r="J7" s="895" t="s">
        <v>501</v>
      </c>
      <c r="K7" s="897" t="s">
        <v>502</v>
      </c>
      <c r="L7" s="1452"/>
      <c r="M7" s="1460"/>
      <c r="N7" s="10"/>
      <c r="O7" s="52"/>
      <c r="P7" s="402">
        <f>40048-39306</f>
        <v>742</v>
      </c>
      <c r="AD7" s="51"/>
      <c r="AE7" s="42"/>
    </row>
    <row r="8" spans="1:31" ht="27" customHeight="1">
      <c r="A8" s="1461"/>
      <c r="B8" s="1467"/>
      <c r="C8" s="898" t="s">
        <v>3</v>
      </c>
      <c r="D8" s="899" t="s">
        <v>4</v>
      </c>
      <c r="E8" s="900" t="s">
        <v>5</v>
      </c>
      <c r="F8" s="898" t="s">
        <v>3</v>
      </c>
      <c r="G8" s="899" t="s">
        <v>4</v>
      </c>
      <c r="H8" s="900" t="s">
        <v>5</v>
      </c>
      <c r="I8" s="898" t="s">
        <v>3</v>
      </c>
      <c r="J8" s="899" t="s">
        <v>4</v>
      </c>
      <c r="K8" s="901" t="s">
        <v>5</v>
      </c>
      <c r="L8" s="1455"/>
      <c r="M8" s="1461"/>
      <c r="N8" s="10"/>
      <c r="O8" s="52"/>
      <c r="P8" s="402"/>
      <c r="AD8" s="51"/>
      <c r="AE8" s="42"/>
    </row>
    <row r="9" spans="1:31" ht="59.1" customHeight="1">
      <c r="A9" s="906"/>
      <c r="B9" s="622" t="s">
        <v>28</v>
      </c>
      <c r="C9" s="830">
        <f t="shared" ref="C9:H9" si="0">C10+C11+C12+C13+C14+C15+C16+C17+C18+C19+C20+C21+C22+C23+C24+C25+C32+C33+C34+C35+C36+C37+C38+C39+C40+C41+C42+C43+C44+C45+C46+C47</f>
        <v>14371</v>
      </c>
      <c r="D9" s="829">
        <f t="shared" si="0"/>
        <v>40428</v>
      </c>
      <c r="E9" s="828">
        <f t="shared" si="0"/>
        <v>54799</v>
      </c>
      <c r="F9" s="829">
        <f t="shared" si="0"/>
        <v>11934</v>
      </c>
      <c r="G9" s="829">
        <f t="shared" si="0"/>
        <v>40048</v>
      </c>
      <c r="H9" s="829">
        <f t="shared" si="0"/>
        <v>51982</v>
      </c>
      <c r="I9" s="830">
        <f t="shared" ref="I9:K9" si="1">I10+I11+I12+I13+I14+I15+I16+I17+I18+I19+I20+I21+I22+I23+I24+I25+I32+I33+I34+I35+I36+I37+I38+I39+I40+I41+I42+I43+I44+I45+I46+I47</f>
        <v>11853</v>
      </c>
      <c r="J9" s="829">
        <f t="shared" si="1"/>
        <v>41532</v>
      </c>
      <c r="K9" s="828">
        <f t="shared" si="1"/>
        <v>53385</v>
      </c>
      <c r="L9" s="626" t="s">
        <v>627</v>
      </c>
      <c r="M9" s="906"/>
      <c r="N9" s="10"/>
      <c r="O9" s="52">
        <f>195+1675</f>
        <v>1870</v>
      </c>
      <c r="P9" s="402">
        <f>542+4666</f>
        <v>5208</v>
      </c>
      <c r="AD9" s="51"/>
      <c r="AE9" s="42"/>
    </row>
    <row r="10" spans="1:31" ht="59.1" customHeight="1">
      <c r="A10" s="910">
        <v>1</v>
      </c>
      <c r="B10" s="297" t="s">
        <v>29</v>
      </c>
      <c r="C10" s="496">
        <v>580</v>
      </c>
      <c r="D10" s="492">
        <v>2008</v>
      </c>
      <c r="E10" s="500">
        <f>D10+C10</f>
        <v>2588</v>
      </c>
      <c r="F10" s="492">
        <v>572</v>
      </c>
      <c r="G10" s="492">
        <v>1930</v>
      </c>
      <c r="H10" s="492">
        <f t="shared" ref="H10:H25" si="2">G10+F10</f>
        <v>2502</v>
      </c>
      <c r="I10" s="503">
        <v>535</v>
      </c>
      <c r="J10" s="484">
        <v>2138</v>
      </c>
      <c r="K10" s="499">
        <f t="shared" ref="K10:K25" si="3">J10+I10</f>
        <v>2673</v>
      </c>
      <c r="L10" s="300" t="s">
        <v>628</v>
      </c>
      <c r="M10" s="832">
        <v>1</v>
      </c>
      <c r="N10" s="42"/>
      <c r="O10" s="52"/>
      <c r="P10" s="402"/>
      <c r="AD10" s="51"/>
      <c r="AE10" s="42"/>
    </row>
    <row r="11" spans="1:31" ht="59.1" customHeight="1">
      <c r="A11" s="914">
        <v>2</v>
      </c>
      <c r="B11" s="665" t="s">
        <v>30</v>
      </c>
      <c r="C11" s="666">
        <f>114+494</f>
        <v>608</v>
      </c>
      <c r="D11" s="666">
        <f>169+713</f>
        <v>882</v>
      </c>
      <c r="E11" s="642">
        <f t="shared" ref="E11:E24" si="4">D11+C11</f>
        <v>1490</v>
      </c>
      <c r="F11" s="641">
        <v>817</v>
      </c>
      <c r="G11" s="641">
        <v>1455</v>
      </c>
      <c r="H11" s="641">
        <f t="shared" si="2"/>
        <v>2272</v>
      </c>
      <c r="I11" s="640">
        <v>693</v>
      </c>
      <c r="J11" s="641">
        <v>1058</v>
      </c>
      <c r="K11" s="642">
        <f t="shared" si="3"/>
        <v>1751</v>
      </c>
      <c r="L11" s="632" t="s">
        <v>629</v>
      </c>
      <c r="M11" s="835">
        <v>2</v>
      </c>
      <c r="N11" s="42"/>
      <c r="O11" s="52"/>
      <c r="P11" s="402"/>
      <c r="AD11" s="51"/>
      <c r="AE11" s="42"/>
    </row>
    <row r="12" spans="1:31" ht="59.1" customHeight="1">
      <c r="A12" s="910">
        <v>3</v>
      </c>
      <c r="B12" s="297" t="s">
        <v>31</v>
      </c>
      <c r="C12" s="496">
        <v>2216</v>
      </c>
      <c r="D12" s="492">
        <v>4518</v>
      </c>
      <c r="E12" s="513">
        <f t="shared" si="4"/>
        <v>6734</v>
      </c>
      <c r="F12" s="496">
        <v>1870</v>
      </c>
      <c r="G12" s="492">
        <v>5208</v>
      </c>
      <c r="H12" s="492">
        <f t="shared" si="2"/>
        <v>7078</v>
      </c>
      <c r="I12" s="503">
        <v>2009</v>
      </c>
      <c r="J12" s="484">
        <v>5178</v>
      </c>
      <c r="K12" s="499">
        <f t="shared" si="3"/>
        <v>7187</v>
      </c>
      <c r="L12" s="300" t="s">
        <v>659</v>
      </c>
      <c r="M12" s="832">
        <v>3</v>
      </c>
      <c r="N12" s="42"/>
      <c r="O12" s="52"/>
      <c r="P12" s="402"/>
      <c r="AD12" s="51"/>
      <c r="AE12" s="42"/>
    </row>
    <row r="13" spans="1:31" ht="59.1" customHeight="1">
      <c r="A13" s="914">
        <v>4</v>
      </c>
      <c r="B13" s="622" t="s">
        <v>32</v>
      </c>
      <c r="C13" s="640">
        <f>31+217+37</f>
        <v>285</v>
      </c>
      <c r="D13" s="641">
        <f>98+2495+102</f>
        <v>2695</v>
      </c>
      <c r="E13" s="642">
        <f t="shared" si="4"/>
        <v>2980</v>
      </c>
      <c r="F13" s="640">
        <v>307</v>
      </c>
      <c r="G13" s="641">
        <v>3150</v>
      </c>
      <c r="H13" s="641">
        <f t="shared" si="2"/>
        <v>3457</v>
      </c>
      <c r="I13" s="648">
        <v>260</v>
      </c>
      <c r="J13" s="649">
        <v>3240</v>
      </c>
      <c r="K13" s="664">
        <f t="shared" si="3"/>
        <v>3500</v>
      </c>
      <c r="L13" s="626" t="s">
        <v>700</v>
      </c>
      <c r="M13" s="835">
        <v>4</v>
      </c>
      <c r="N13" s="42"/>
      <c r="O13" s="52"/>
      <c r="P13" s="402"/>
      <c r="AD13" s="51"/>
      <c r="AE13" s="42"/>
    </row>
    <row r="14" spans="1:31" ht="59.1" customHeight="1">
      <c r="A14" s="910">
        <v>5</v>
      </c>
      <c r="B14" s="605" t="s">
        <v>1970</v>
      </c>
      <c r="C14" s="512">
        <v>438</v>
      </c>
      <c r="D14" s="509">
        <v>153</v>
      </c>
      <c r="E14" s="513">
        <f t="shared" si="4"/>
        <v>591</v>
      </c>
      <c r="F14" s="496">
        <v>314</v>
      </c>
      <c r="G14" s="492">
        <v>192</v>
      </c>
      <c r="H14" s="492">
        <f t="shared" si="2"/>
        <v>506</v>
      </c>
      <c r="I14" s="503">
        <v>181</v>
      </c>
      <c r="J14" s="484">
        <v>243</v>
      </c>
      <c r="K14" s="499">
        <f t="shared" si="3"/>
        <v>424</v>
      </c>
      <c r="L14" s="300" t="s">
        <v>1169</v>
      </c>
      <c r="M14" s="832">
        <v>5</v>
      </c>
      <c r="N14" s="10"/>
      <c r="O14" s="52"/>
      <c r="P14" s="402"/>
      <c r="AD14" s="51"/>
      <c r="AE14" s="42"/>
    </row>
    <row r="15" spans="1:31" ht="59.1" customHeight="1">
      <c r="A15" s="914">
        <v>6</v>
      </c>
      <c r="B15" s="622" t="s">
        <v>33</v>
      </c>
      <c r="C15" s="640">
        <v>591</v>
      </c>
      <c r="D15" s="641">
        <v>5207</v>
      </c>
      <c r="E15" s="642">
        <f t="shared" si="4"/>
        <v>5798</v>
      </c>
      <c r="F15" s="640">
        <v>495</v>
      </c>
      <c r="G15" s="641">
        <v>4911</v>
      </c>
      <c r="H15" s="641">
        <f t="shared" si="2"/>
        <v>5406</v>
      </c>
      <c r="I15" s="648">
        <v>464</v>
      </c>
      <c r="J15" s="649">
        <v>5271</v>
      </c>
      <c r="K15" s="664">
        <f t="shared" si="3"/>
        <v>5735</v>
      </c>
      <c r="L15" s="626" t="s">
        <v>630</v>
      </c>
      <c r="M15" s="835">
        <v>6</v>
      </c>
      <c r="N15" s="42"/>
      <c r="O15" s="52"/>
      <c r="P15" s="402"/>
      <c r="AD15" s="51"/>
      <c r="AE15" s="42"/>
    </row>
    <row r="16" spans="1:31" ht="59.1" customHeight="1">
      <c r="A16" s="910">
        <v>7</v>
      </c>
      <c r="B16" s="297" t="s">
        <v>34</v>
      </c>
      <c r="C16" s="512">
        <v>775</v>
      </c>
      <c r="D16" s="509">
        <f>160+3795</f>
        <v>3955</v>
      </c>
      <c r="E16" s="513">
        <f t="shared" si="4"/>
        <v>4730</v>
      </c>
      <c r="F16" s="496">
        <v>580</v>
      </c>
      <c r="G16" s="492">
        <v>3382</v>
      </c>
      <c r="H16" s="492">
        <f t="shared" si="2"/>
        <v>3962</v>
      </c>
      <c r="I16" s="503">
        <v>666</v>
      </c>
      <c r="J16" s="484">
        <v>3357</v>
      </c>
      <c r="K16" s="499">
        <f t="shared" si="3"/>
        <v>4023</v>
      </c>
      <c r="L16" s="300" t="s">
        <v>631</v>
      </c>
      <c r="M16" s="832">
        <v>7</v>
      </c>
      <c r="N16" s="42"/>
      <c r="O16" s="52"/>
      <c r="P16" s="402"/>
      <c r="AD16" s="51"/>
      <c r="AE16" s="42"/>
    </row>
    <row r="17" spans="1:35" ht="59.1" customHeight="1">
      <c r="A17" s="914">
        <v>8</v>
      </c>
      <c r="B17" s="622" t="s">
        <v>35</v>
      </c>
      <c r="C17" s="640">
        <f>67+67</f>
        <v>134</v>
      </c>
      <c r="D17" s="641">
        <f>105+73</f>
        <v>178</v>
      </c>
      <c r="E17" s="642">
        <f t="shared" si="4"/>
        <v>312</v>
      </c>
      <c r="F17" s="640">
        <v>145</v>
      </c>
      <c r="G17" s="641">
        <v>174</v>
      </c>
      <c r="H17" s="641">
        <f t="shared" si="2"/>
        <v>319</v>
      </c>
      <c r="I17" s="648">
        <v>124</v>
      </c>
      <c r="J17" s="649">
        <v>184</v>
      </c>
      <c r="K17" s="664">
        <f t="shared" si="3"/>
        <v>308</v>
      </c>
      <c r="L17" s="626" t="s">
        <v>668</v>
      </c>
      <c r="M17" s="835">
        <v>8</v>
      </c>
      <c r="N17" s="42"/>
      <c r="O17" s="52"/>
      <c r="P17" s="402"/>
      <c r="AD17" s="51"/>
      <c r="AE17" s="42"/>
    </row>
    <row r="18" spans="1:35" ht="59.1" customHeight="1">
      <c r="A18" s="910">
        <v>9</v>
      </c>
      <c r="B18" s="297" t="s">
        <v>36</v>
      </c>
      <c r="C18" s="512">
        <v>38</v>
      </c>
      <c r="D18" s="509">
        <f>134+611</f>
        <v>745</v>
      </c>
      <c r="E18" s="513">
        <f t="shared" si="4"/>
        <v>783</v>
      </c>
      <c r="F18" s="496">
        <v>38</v>
      </c>
      <c r="G18" s="492">
        <v>476</v>
      </c>
      <c r="H18" s="492">
        <f t="shared" si="2"/>
        <v>514</v>
      </c>
      <c r="I18" s="503">
        <v>87</v>
      </c>
      <c r="J18" s="484">
        <v>638</v>
      </c>
      <c r="K18" s="499">
        <f t="shared" si="3"/>
        <v>725</v>
      </c>
      <c r="L18" s="300" t="s">
        <v>693</v>
      </c>
      <c r="M18" s="832">
        <v>9</v>
      </c>
      <c r="N18" s="42"/>
      <c r="O18" s="52"/>
      <c r="P18" s="402"/>
      <c r="AD18" s="51"/>
      <c r="AE18" s="42"/>
    </row>
    <row r="19" spans="1:35" ht="59.1" customHeight="1">
      <c r="A19" s="914">
        <v>10</v>
      </c>
      <c r="B19" s="622" t="s">
        <v>37</v>
      </c>
      <c r="C19" s="640">
        <v>162</v>
      </c>
      <c r="D19" s="641">
        <v>354</v>
      </c>
      <c r="E19" s="642">
        <f t="shared" si="4"/>
        <v>516</v>
      </c>
      <c r="F19" s="648">
        <v>129</v>
      </c>
      <c r="G19" s="649">
        <v>418</v>
      </c>
      <c r="H19" s="649">
        <f t="shared" si="2"/>
        <v>547</v>
      </c>
      <c r="I19" s="648">
        <v>47</v>
      </c>
      <c r="J19" s="649">
        <v>433</v>
      </c>
      <c r="K19" s="664">
        <f t="shared" si="3"/>
        <v>480</v>
      </c>
      <c r="L19" s="626" t="s">
        <v>699</v>
      </c>
      <c r="M19" s="835">
        <v>10</v>
      </c>
      <c r="N19" s="42"/>
      <c r="O19" s="52"/>
      <c r="P19" s="402"/>
      <c r="AD19" s="51"/>
      <c r="AE19" s="42"/>
    </row>
    <row r="20" spans="1:35" ht="59.1" customHeight="1">
      <c r="A20" s="910">
        <v>11</v>
      </c>
      <c r="B20" s="297" t="s">
        <v>38</v>
      </c>
      <c r="C20" s="512">
        <v>256</v>
      </c>
      <c r="D20" s="509">
        <v>418</v>
      </c>
      <c r="E20" s="513">
        <f t="shared" si="4"/>
        <v>674</v>
      </c>
      <c r="F20" s="496">
        <v>170</v>
      </c>
      <c r="G20" s="492">
        <v>554</v>
      </c>
      <c r="H20" s="492">
        <f t="shared" si="2"/>
        <v>724</v>
      </c>
      <c r="I20" s="503">
        <v>122</v>
      </c>
      <c r="J20" s="484">
        <v>408</v>
      </c>
      <c r="K20" s="499">
        <f t="shared" si="3"/>
        <v>530</v>
      </c>
      <c r="L20" s="300" t="s">
        <v>685</v>
      </c>
      <c r="M20" s="832">
        <v>11</v>
      </c>
      <c r="N20" s="395"/>
      <c r="O20" s="405"/>
      <c r="P20" s="402"/>
      <c r="AD20" s="51"/>
      <c r="AE20" s="42"/>
    </row>
    <row r="21" spans="1:35" ht="59.1" customHeight="1">
      <c r="A21" s="914">
        <v>12</v>
      </c>
      <c r="B21" s="622" t="s">
        <v>39</v>
      </c>
      <c r="C21" s="640">
        <v>193</v>
      </c>
      <c r="D21" s="641">
        <v>1054</v>
      </c>
      <c r="E21" s="642">
        <f t="shared" si="4"/>
        <v>1247</v>
      </c>
      <c r="F21" s="640">
        <v>214</v>
      </c>
      <c r="G21" s="641">
        <v>1030</v>
      </c>
      <c r="H21" s="641">
        <f t="shared" si="2"/>
        <v>1244</v>
      </c>
      <c r="I21" s="648">
        <v>236</v>
      </c>
      <c r="J21" s="649">
        <v>1220</v>
      </c>
      <c r="K21" s="664">
        <f t="shared" si="3"/>
        <v>1456</v>
      </c>
      <c r="L21" s="626" t="s">
        <v>633</v>
      </c>
      <c r="M21" s="835">
        <v>12</v>
      </c>
      <c r="N21" s="10"/>
      <c r="O21" s="405"/>
      <c r="P21" s="406"/>
      <c r="AD21" s="51"/>
    </row>
    <row r="22" spans="1:35" ht="59.1" customHeight="1">
      <c r="A22" s="910">
        <v>13</v>
      </c>
      <c r="B22" s="297" t="s">
        <v>40</v>
      </c>
      <c r="C22" s="512">
        <v>853</v>
      </c>
      <c r="D22" s="509">
        <v>952</v>
      </c>
      <c r="E22" s="513">
        <f t="shared" si="4"/>
        <v>1805</v>
      </c>
      <c r="F22" s="496">
        <v>829</v>
      </c>
      <c r="G22" s="492">
        <v>1430</v>
      </c>
      <c r="H22" s="492">
        <f t="shared" si="2"/>
        <v>2259</v>
      </c>
      <c r="I22" s="503">
        <v>923</v>
      </c>
      <c r="J22" s="484">
        <v>1510</v>
      </c>
      <c r="K22" s="499">
        <f t="shared" si="3"/>
        <v>2433</v>
      </c>
      <c r="L22" s="300" t="s">
        <v>664</v>
      </c>
      <c r="M22" s="832">
        <v>13</v>
      </c>
      <c r="N22" s="148"/>
      <c r="O22" s="407"/>
      <c r="P22" s="408"/>
      <c r="AH22" s="42"/>
    </row>
    <row r="23" spans="1:35" ht="59.1" customHeight="1">
      <c r="A23" s="914">
        <v>14</v>
      </c>
      <c r="B23" s="622" t="s">
        <v>41</v>
      </c>
      <c r="C23" s="640">
        <v>886</v>
      </c>
      <c r="D23" s="641">
        <f>116+1996</f>
        <v>2112</v>
      </c>
      <c r="E23" s="642">
        <f t="shared" si="4"/>
        <v>2998</v>
      </c>
      <c r="F23" s="640">
        <v>609</v>
      </c>
      <c r="G23" s="641">
        <v>1754</v>
      </c>
      <c r="H23" s="641">
        <f t="shared" si="2"/>
        <v>2363</v>
      </c>
      <c r="I23" s="648">
        <v>723</v>
      </c>
      <c r="J23" s="649">
        <v>2637</v>
      </c>
      <c r="K23" s="664">
        <f t="shared" si="3"/>
        <v>3360</v>
      </c>
      <c r="L23" s="626" t="s">
        <v>694</v>
      </c>
      <c r="M23" s="835">
        <v>14</v>
      </c>
      <c r="N23" s="396"/>
      <c r="O23" s="396"/>
      <c r="P23" s="396"/>
      <c r="AH23" s="42"/>
    </row>
    <row r="24" spans="1:35" ht="59.1" customHeight="1">
      <c r="A24" s="910">
        <v>15</v>
      </c>
      <c r="B24" s="297" t="s">
        <v>42</v>
      </c>
      <c r="C24" s="512">
        <v>3901</v>
      </c>
      <c r="D24" s="509">
        <v>9091</v>
      </c>
      <c r="E24" s="513">
        <f t="shared" si="4"/>
        <v>12992</v>
      </c>
      <c r="F24" s="404">
        <v>2759</v>
      </c>
      <c r="G24" s="206">
        <v>8319</v>
      </c>
      <c r="H24" s="492">
        <f t="shared" si="2"/>
        <v>11078</v>
      </c>
      <c r="I24" s="207">
        <v>3126</v>
      </c>
      <c r="J24" s="42">
        <v>8597</v>
      </c>
      <c r="K24" s="499">
        <f t="shared" si="3"/>
        <v>11723</v>
      </c>
      <c r="L24" s="300" t="s">
        <v>695</v>
      </c>
      <c r="M24" s="832">
        <v>15</v>
      </c>
      <c r="N24" s="42"/>
      <c r="O24" s="52"/>
      <c r="P24" s="402"/>
      <c r="AH24" s="42"/>
    </row>
    <row r="25" spans="1:35" ht="59.1" customHeight="1">
      <c r="A25" s="1210">
        <v>16</v>
      </c>
      <c r="B25" s="658" t="s">
        <v>43</v>
      </c>
      <c r="C25" s="1127">
        <f>3+11+85</f>
        <v>99</v>
      </c>
      <c r="D25" s="1123">
        <f>100+187+340</f>
        <v>627</v>
      </c>
      <c r="E25" s="1123">
        <f>D25+C25</f>
        <v>726</v>
      </c>
      <c r="F25" s="1127">
        <v>71</v>
      </c>
      <c r="G25" s="1123">
        <v>316</v>
      </c>
      <c r="H25" s="1123">
        <f t="shared" si="2"/>
        <v>387</v>
      </c>
      <c r="I25" s="667">
        <v>26</v>
      </c>
      <c r="J25" s="668">
        <v>414</v>
      </c>
      <c r="K25" s="669">
        <f t="shared" si="3"/>
        <v>440</v>
      </c>
      <c r="L25" s="662" t="s">
        <v>635</v>
      </c>
      <c r="M25" s="929">
        <v>16</v>
      </c>
      <c r="N25" s="42"/>
      <c r="O25" s="52"/>
      <c r="P25" s="402"/>
      <c r="AH25" s="42"/>
    </row>
    <row r="26" spans="1:35" ht="27.95" customHeight="1">
      <c r="A26" s="1426" t="s">
        <v>517</v>
      </c>
      <c r="B26" s="1426"/>
      <c r="C26" s="1426"/>
      <c r="D26" s="1426"/>
      <c r="E26" s="1428" t="s">
        <v>518</v>
      </c>
      <c r="F26" s="1428"/>
      <c r="G26" s="1428"/>
      <c r="H26" s="1428"/>
      <c r="I26" s="1428"/>
      <c r="J26" s="1473" t="s">
        <v>516</v>
      </c>
      <c r="K26" s="1473"/>
      <c r="L26" s="1473"/>
      <c r="M26" s="1473"/>
      <c r="N26" s="42"/>
      <c r="O26" s="52"/>
      <c r="P26" s="402"/>
      <c r="AH26" s="42"/>
    </row>
    <row r="27" spans="1:35" ht="27.95" customHeight="1">
      <c r="A27" s="1459" t="s">
        <v>2028</v>
      </c>
      <c r="B27" s="1443" t="s">
        <v>402</v>
      </c>
      <c r="C27" s="1443">
        <v>1396</v>
      </c>
      <c r="D27" s="1445"/>
      <c r="E27" s="1445"/>
      <c r="F27" s="1443">
        <v>1395</v>
      </c>
      <c r="G27" s="1445"/>
      <c r="H27" s="1445"/>
      <c r="I27" s="1443">
        <v>1394</v>
      </c>
      <c r="J27" s="1445"/>
      <c r="K27" s="1451"/>
      <c r="L27" s="1451" t="s">
        <v>401</v>
      </c>
      <c r="M27" s="1459" t="s">
        <v>2027</v>
      </c>
      <c r="N27" s="42"/>
      <c r="O27" s="52"/>
      <c r="P27" s="402"/>
      <c r="AH27" s="42"/>
    </row>
    <row r="28" spans="1:35" ht="27.95" customHeight="1">
      <c r="A28" s="1460"/>
      <c r="B28" s="1444"/>
      <c r="C28" s="1446" t="s">
        <v>1773</v>
      </c>
      <c r="D28" s="1447"/>
      <c r="E28" s="1447"/>
      <c r="F28" s="1448" t="s">
        <v>1772</v>
      </c>
      <c r="G28" s="1449"/>
      <c r="H28" s="1450"/>
      <c r="I28" s="1448" t="s">
        <v>1771</v>
      </c>
      <c r="J28" s="1449"/>
      <c r="K28" s="1450"/>
      <c r="L28" s="1452"/>
      <c r="M28" s="1460"/>
      <c r="N28" s="42"/>
      <c r="O28" s="52"/>
      <c r="P28" s="402"/>
      <c r="AH28" s="42"/>
    </row>
    <row r="29" spans="1:35" ht="27.95" customHeight="1">
      <c r="A29" s="1460"/>
      <c r="B29" s="1444"/>
      <c r="C29" s="1103" t="s">
        <v>0</v>
      </c>
      <c r="D29" s="1108" t="s">
        <v>1</v>
      </c>
      <c r="E29" s="1104" t="s">
        <v>2</v>
      </c>
      <c r="F29" s="1103" t="s">
        <v>0</v>
      </c>
      <c r="G29" s="1108" t="s">
        <v>1</v>
      </c>
      <c r="H29" s="1104" t="s">
        <v>2</v>
      </c>
      <c r="I29" s="1103" t="s">
        <v>0</v>
      </c>
      <c r="J29" s="1108" t="s">
        <v>1</v>
      </c>
      <c r="K29" s="1105" t="s">
        <v>2</v>
      </c>
      <c r="L29" s="1452"/>
      <c r="M29" s="1460"/>
      <c r="N29" s="42"/>
      <c r="O29" s="52"/>
      <c r="P29" s="402"/>
      <c r="AH29" s="47"/>
      <c r="AI29" s="47"/>
    </row>
    <row r="30" spans="1:35" ht="27.95" customHeight="1">
      <c r="A30" s="1460"/>
      <c r="B30" s="1444"/>
      <c r="C30" s="894" t="s">
        <v>500</v>
      </c>
      <c r="D30" s="895" t="s">
        <v>501</v>
      </c>
      <c r="E30" s="896" t="s">
        <v>502</v>
      </c>
      <c r="F30" s="894" t="s">
        <v>500</v>
      </c>
      <c r="G30" s="895" t="s">
        <v>501</v>
      </c>
      <c r="H30" s="896" t="s">
        <v>502</v>
      </c>
      <c r="I30" s="894" t="s">
        <v>500</v>
      </c>
      <c r="J30" s="895" t="s">
        <v>501</v>
      </c>
      <c r="K30" s="897" t="s">
        <v>502</v>
      </c>
      <c r="L30" s="1452"/>
      <c r="M30" s="1460"/>
      <c r="N30" s="42"/>
      <c r="O30" s="52"/>
      <c r="P30" s="402"/>
      <c r="AH30" s="42"/>
    </row>
    <row r="31" spans="1:35" ht="27.95" customHeight="1">
      <c r="A31" s="1461"/>
      <c r="B31" s="1467"/>
      <c r="C31" s="1110" t="s">
        <v>3</v>
      </c>
      <c r="D31" s="1109" t="s">
        <v>4</v>
      </c>
      <c r="E31" s="900" t="s">
        <v>5</v>
      </c>
      <c r="F31" s="1110" t="s">
        <v>3</v>
      </c>
      <c r="G31" s="1109" t="s">
        <v>4</v>
      </c>
      <c r="H31" s="900" t="s">
        <v>5</v>
      </c>
      <c r="I31" s="1110" t="s">
        <v>3</v>
      </c>
      <c r="J31" s="1109" t="s">
        <v>4</v>
      </c>
      <c r="K31" s="1107" t="s">
        <v>5</v>
      </c>
      <c r="L31" s="1455"/>
      <c r="M31" s="1461"/>
      <c r="N31" s="10"/>
      <c r="O31" s="10"/>
      <c r="P31" s="402"/>
      <c r="AH31" s="42"/>
    </row>
    <row r="32" spans="1:35" ht="63.95" customHeight="1">
      <c r="A32" s="891">
        <v>17</v>
      </c>
      <c r="B32" s="296" t="s">
        <v>44</v>
      </c>
      <c r="C32" s="511">
        <v>34</v>
      </c>
      <c r="D32" s="510">
        <v>93</v>
      </c>
      <c r="E32" s="510">
        <f>D32+C32</f>
        <v>127</v>
      </c>
      <c r="F32" s="495">
        <v>30</v>
      </c>
      <c r="G32" s="493">
        <v>99</v>
      </c>
      <c r="H32" s="493">
        <f t="shared" ref="H32:H47" si="5">G32+F32</f>
        <v>129</v>
      </c>
      <c r="I32" s="423">
        <v>4</v>
      </c>
      <c r="J32" s="424">
        <v>91</v>
      </c>
      <c r="K32" s="425">
        <f>J32+I32</f>
        <v>95</v>
      </c>
      <c r="L32" s="908" t="s">
        <v>981</v>
      </c>
      <c r="M32" s="891">
        <v>17</v>
      </c>
      <c r="N32" s="10"/>
      <c r="O32" s="10"/>
      <c r="P32" s="10"/>
    </row>
    <row r="33" spans="1:16" ht="63.95" customHeight="1">
      <c r="A33" s="914">
        <v>18</v>
      </c>
      <c r="B33" s="622" t="s">
        <v>1592</v>
      </c>
      <c r="C33" s="640">
        <v>45</v>
      </c>
      <c r="D33" s="641">
        <v>120</v>
      </c>
      <c r="E33" s="641">
        <f>D33+C33</f>
        <v>165</v>
      </c>
      <c r="F33" s="640">
        <v>65</v>
      </c>
      <c r="G33" s="641">
        <v>139</v>
      </c>
      <c r="H33" s="641">
        <f t="shared" si="5"/>
        <v>204</v>
      </c>
      <c r="I33" s="648">
        <v>27</v>
      </c>
      <c r="J33" s="649">
        <v>140</v>
      </c>
      <c r="K33" s="664">
        <f>J33+I33</f>
        <v>167</v>
      </c>
      <c r="L33" s="657" t="s">
        <v>696</v>
      </c>
      <c r="M33" s="914">
        <v>18</v>
      </c>
      <c r="N33" s="1441"/>
      <c r="O33" s="1441"/>
      <c r="P33" s="1441"/>
    </row>
    <row r="34" spans="1:16" ht="63.95" customHeight="1">
      <c r="A34" s="910">
        <v>19</v>
      </c>
      <c r="B34" s="297" t="s">
        <v>1946</v>
      </c>
      <c r="C34" s="512">
        <v>409</v>
      </c>
      <c r="D34" s="509">
        <v>1075</v>
      </c>
      <c r="E34" s="509">
        <f t="shared" ref="E34:E46" si="6">D34+C34</f>
        <v>1484</v>
      </c>
      <c r="F34" s="496">
        <v>419</v>
      </c>
      <c r="G34" s="492">
        <v>853</v>
      </c>
      <c r="H34" s="492">
        <f t="shared" si="5"/>
        <v>1272</v>
      </c>
      <c r="I34" s="503">
        <v>461</v>
      </c>
      <c r="J34" s="484">
        <v>823</v>
      </c>
      <c r="K34" s="499">
        <f t="shared" ref="K34:K47" si="7">J34+I34</f>
        <v>1284</v>
      </c>
      <c r="L34" s="810" t="s">
        <v>1884</v>
      </c>
      <c r="M34" s="910">
        <v>19</v>
      </c>
      <c r="N34" s="396"/>
      <c r="O34" s="396"/>
      <c r="P34" s="396"/>
    </row>
    <row r="35" spans="1:16" ht="63.95" customHeight="1">
      <c r="A35" s="914">
        <v>20</v>
      </c>
      <c r="B35" s="622" t="s">
        <v>1219</v>
      </c>
      <c r="C35" s="640">
        <v>45</v>
      </c>
      <c r="D35" s="641">
        <v>86</v>
      </c>
      <c r="E35" s="641">
        <f t="shared" si="6"/>
        <v>131</v>
      </c>
      <c r="F35" s="640">
        <v>41</v>
      </c>
      <c r="G35" s="641">
        <v>41</v>
      </c>
      <c r="H35" s="641">
        <f t="shared" si="5"/>
        <v>82</v>
      </c>
      <c r="I35" s="648">
        <v>24</v>
      </c>
      <c r="J35" s="649">
        <v>41</v>
      </c>
      <c r="K35" s="664">
        <f t="shared" si="7"/>
        <v>65</v>
      </c>
      <c r="L35" s="657" t="s">
        <v>1217</v>
      </c>
      <c r="M35" s="914">
        <v>20</v>
      </c>
      <c r="N35" s="42"/>
      <c r="O35" s="52"/>
      <c r="P35" s="402"/>
    </row>
    <row r="36" spans="1:16" ht="63.95" customHeight="1">
      <c r="A36" s="910">
        <v>21</v>
      </c>
      <c r="B36" s="297" t="s">
        <v>1220</v>
      </c>
      <c r="C36" s="512">
        <v>83</v>
      </c>
      <c r="D36" s="509">
        <v>123</v>
      </c>
      <c r="E36" s="509">
        <f t="shared" si="6"/>
        <v>206</v>
      </c>
      <c r="F36" s="496">
        <v>51</v>
      </c>
      <c r="G36" s="492">
        <v>147</v>
      </c>
      <c r="H36" s="492">
        <f t="shared" si="5"/>
        <v>198</v>
      </c>
      <c r="I36" s="503">
        <v>56</v>
      </c>
      <c r="J36" s="484">
        <v>141</v>
      </c>
      <c r="K36" s="499">
        <f t="shared" si="7"/>
        <v>197</v>
      </c>
      <c r="L36" s="810" t="s">
        <v>688</v>
      </c>
      <c r="M36" s="910">
        <v>21</v>
      </c>
      <c r="N36" s="42"/>
      <c r="O36" s="52"/>
      <c r="P36" s="402"/>
    </row>
    <row r="37" spans="1:16" ht="63.95" customHeight="1">
      <c r="A37" s="914">
        <v>22</v>
      </c>
      <c r="B37" s="622" t="s">
        <v>1550</v>
      </c>
      <c r="C37" s="640">
        <v>93</v>
      </c>
      <c r="D37" s="641">
        <v>79</v>
      </c>
      <c r="E37" s="641">
        <f t="shared" si="6"/>
        <v>172</v>
      </c>
      <c r="F37" s="640">
        <v>160</v>
      </c>
      <c r="G37" s="641">
        <v>262</v>
      </c>
      <c r="H37" s="641">
        <f t="shared" si="5"/>
        <v>422</v>
      </c>
      <c r="I37" s="648">
        <v>77</v>
      </c>
      <c r="J37" s="649">
        <v>66</v>
      </c>
      <c r="K37" s="664">
        <f t="shared" si="7"/>
        <v>143</v>
      </c>
      <c r="L37" s="657" t="s">
        <v>1548</v>
      </c>
      <c r="M37" s="914">
        <v>22</v>
      </c>
      <c r="N37" s="42"/>
      <c r="O37" s="52"/>
      <c r="P37" s="402"/>
    </row>
    <row r="38" spans="1:16" ht="63.95" customHeight="1">
      <c r="A38" s="910">
        <v>23</v>
      </c>
      <c r="B38" s="297" t="s">
        <v>1887</v>
      </c>
      <c r="C38" s="512">
        <v>107</v>
      </c>
      <c r="D38" s="509">
        <v>39</v>
      </c>
      <c r="E38" s="509">
        <f t="shared" si="6"/>
        <v>146</v>
      </c>
      <c r="F38" s="496">
        <v>97</v>
      </c>
      <c r="G38" s="492">
        <v>61</v>
      </c>
      <c r="H38" s="492">
        <f t="shared" si="5"/>
        <v>158</v>
      </c>
      <c r="I38" s="503">
        <v>40</v>
      </c>
      <c r="J38" s="484">
        <v>43</v>
      </c>
      <c r="K38" s="499">
        <f t="shared" si="7"/>
        <v>83</v>
      </c>
      <c r="L38" s="810" t="s">
        <v>1945</v>
      </c>
      <c r="M38" s="910">
        <v>23</v>
      </c>
      <c r="N38" s="42"/>
      <c r="O38" s="52"/>
      <c r="P38" s="402"/>
    </row>
    <row r="39" spans="1:16" ht="63.95" customHeight="1">
      <c r="A39" s="914">
        <v>24</v>
      </c>
      <c r="B39" s="622" t="s">
        <v>1172</v>
      </c>
      <c r="C39" s="640">
        <v>62</v>
      </c>
      <c r="D39" s="641">
        <v>81</v>
      </c>
      <c r="E39" s="641">
        <f t="shared" si="6"/>
        <v>143</v>
      </c>
      <c r="F39" s="640">
        <v>51</v>
      </c>
      <c r="G39" s="641">
        <v>58</v>
      </c>
      <c r="H39" s="641">
        <f t="shared" si="5"/>
        <v>109</v>
      </c>
      <c r="I39" s="648">
        <v>30</v>
      </c>
      <c r="J39" s="649">
        <v>46</v>
      </c>
      <c r="K39" s="664">
        <f t="shared" si="7"/>
        <v>76</v>
      </c>
      <c r="L39" s="657" t="s">
        <v>933</v>
      </c>
      <c r="M39" s="914">
        <v>24</v>
      </c>
      <c r="N39" s="42"/>
      <c r="O39" s="52"/>
      <c r="P39" s="402"/>
    </row>
    <row r="40" spans="1:16" ht="63.95" customHeight="1">
      <c r="A40" s="910">
        <v>25</v>
      </c>
      <c r="B40" s="297" t="s">
        <v>46</v>
      </c>
      <c r="C40" s="512">
        <f>45+98+19+20+3</f>
        <v>185</v>
      </c>
      <c r="D40" s="509">
        <f>275+216+246+53+96+191</f>
        <v>1077</v>
      </c>
      <c r="E40" s="509">
        <f t="shared" si="6"/>
        <v>1262</v>
      </c>
      <c r="F40" s="496">
        <v>159</v>
      </c>
      <c r="G40" s="492">
        <v>1253</v>
      </c>
      <c r="H40" s="492">
        <f t="shared" si="5"/>
        <v>1412</v>
      </c>
      <c r="I40" s="503">
        <v>58</v>
      </c>
      <c r="J40" s="484">
        <v>539</v>
      </c>
      <c r="K40" s="499">
        <f t="shared" si="7"/>
        <v>597</v>
      </c>
      <c r="L40" s="810" t="s">
        <v>982</v>
      </c>
      <c r="M40" s="910">
        <v>25</v>
      </c>
      <c r="N40" s="42"/>
      <c r="O40" s="51"/>
      <c r="P40" s="195"/>
    </row>
    <row r="41" spans="1:16" ht="63.95" customHeight="1">
      <c r="A41" s="914">
        <v>26</v>
      </c>
      <c r="B41" s="622" t="s">
        <v>47</v>
      </c>
      <c r="C41" s="640">
        <f>86+75</f>
        <v>161</v>
      </c>
      <c r="D41" s="641">
        <f>164+146</f>
        <v>310</v>
      </c>
      <c r="E41" s="641">
        <f t="shared" si="6"/>
        <v>471</v>
      </c>
      <c r="F41" s="640">
        <v>174</v>
      </c>
      <c r="G41" s="641">
        <v>291</v>
      </c>
      <c r="H41" s="641">
        <f t="shared" si="5"/>
        <v>465</v>
      </c>
      <c r="I41" s="648">
        <v>238</v>
      </c>
      <c r="J41" s="649">
        <v>251</v>
      </c>
      <c r="K41" s="664">
        <f t="shared" si="7"/>
        <v>489</v>
      </c>
      <c r="L41" s="657" t="s">
        <v>983</v>
      </c>
      <c r="M41" s="914">
        <v>26</v>
      </c>
      <c r="N41" s="10"/>
      <c r="O41" s="10"/>
      <c r="P41" s="10"/>
    </row>
    <row r="42" spans="1:16" ht="63.95" customHeight="1">
      <c r="A42" s="910">
        <v>27</v>
      </c>
      <c r="B42" s="297" t="s">
        <v>422</v>
      </c>
      <c r="C42" s="512">
        <v>2</v>
      </c>
      <c r="D42" s="509">
        <v>174</v>
      </c>
      <c r="E42" s="509">
        <f t="shared" si="6"/>
        <v>176</v>
      </c>
      <c r="F42" s="620">
        <v>20</v>
      </c>
      <c r="G42" s="619">
        <v>89</v>
      </c>
      <c r="H42" s="619">
        <f t="shared" si="5"/>
        <v>109</v>
      </c>
      <c r="I42" s="503">
        <v>2</v>
      </c>
      <c r="J42" s="484">
        <v>228</v>
      </c>
      <c r="K42" s="499">
        <f t="shared" si="7"/>
        <v>230</v>
      </c>
      <c r="L42" s="810" t="s">
        <v>698</v>
      </c>
      <c r="M42" s="910">
        <v>27</v>
      </c>
      <c r="N42" s="399"/>
      <c r="O42" s="399"/>
      <c r="P42" s="399"/>
    </row>
    <row r="43" spans="1:16" ht="63.95" customHeight="1">
      <c r="A43" s="914">
        <v>28</v>
      </c>
      <c r="B43" s="622" t="s">
        <v>49</v>
      </c>
      <c r="C43" s="640">
        <v>755</v>
      </c>
      <c r="D43" s="641">
        <f>128+1543</f>
        <v>1671</v>
      </c>
      <c r="E43" s="641">
        <f t="shared" si="6"/>
        <v>2426</v>
      </c>
      <c r="F43" s="640">
        <v>387</v>
      </c>
      <c r="G43" s="641">
        <v>1271</v>
      </c>
      <c r="H43" s="641">
        <f t="shared" si="5"/>
        <v>1658</v>
      </c>
      <c r="I43" s="648">
        <v>409</v>
      </c>
      <c r="J43" s="649">
        <v>1811</v>
      </c>
      <c r="K43" s="664">
        <f t="shared" si="7"/>
        <v>2220</v>
      </c>
      <c r="L43" s="657" t="s">
        <v>669</v>
      </c>
      <c r="M43" s="914">
        <v>28</v>
      </c>
      <c r="N43" s="396">
        <v>62</v>
      </c>
      <c r="O43" s="396">
        <v>68</v>
      </c>
      <c r="P43" s="396"/>
    </row>
    <row r="44" spans="1:16" ht="63.95" customHeight="1">
      <c r="A44" s="910">
        <v>29</v>
      </c>
      <c r="B44" s="297" t="s">
        <v>423</v>
      </c>
      <c r="C44" s="512">
        <v>108</v>
      </c>
      <c r="D44" s="509">
        <v>36</v>
      </c>
      <c r="E44" s="509">
        <f t="shared" si="6"/>
        <v>144</v>
      </c>
      <c r="F44" s="496">
        <v>72</v>
      </c>
      <c r="G44" s="492">
        <v>170</v>
      </c>
      <c r="H44" s="492">
        <f t="shared" si="5"/>
        <v>242</v>
      </c>
      <c r="I44" s="503">
        <v>62</v>
      </c>
      <c r="J44" s="484">
        <v>66</v>
      </c>
      <c r="K44" s="499">
        <f t="shared" si="7"/>
        <v>128</v>
      </c>
      <c r="L44" s="810" t="s">
        <v>984</v>
      </c>
      <c r="M44" s="910">
        <v>29</v>
      </c>
      <c r="N44" s="10">
        <v>68</v>
      </c>
      <c r="O44" s="52">
        <v>91</v>
      </c>
      <c r="P44" s="402"/>
    </row>
    <row r="45" spans="1:16" ht="63.95" customHeight="1">
      <c r="A45" s="914">
        <v>30</v>
      </c>
      <c r="B45" s="663" t="s">
        <v>50</v>
      </c>
      <c r="C45" s="654">
        <v>45</v>
      </c>
      <c r="D45" s="655">
        <v>60</v>
      </c>
      <c r="E45" s="641">
        <f t="shared" si="6"/>
        <v>105</v>
      </c>
      <c r="F45" s="654">
        <v>1</v>
      </c>
      <c r="G45" s="655">
        <v>52</v>
      </c>
      <c r="H45" s="641">
        <f t="shared" si="5"/>
        <v>53</v>
      </c>
      <c r="I45" s="656">
        <v>2</v>
      </c>
      <c r="J45" s="657">
        <v>54</v>
      </c>
      <c r="K45" s="664">
        <f t="shared" si="7"/>
        <v>56</v>
      </c>
      <c r="L45" s="657" t="s">
        <v>1886</v>
      </c>
      <c r="M45" s="914">
        <v>30</v>
      </c>
      <c r="N45" s="10">
        <v>12</v>
      </c>
      <c r="O45" s="52">
        <v>114</v>
      </c>
      <c r="P45" s="402"/>
    </row>
    <row r="46" spans="1:16" ht="63.95" customHeight="1">
      <c r="A46" s="910">
        <v>31</v>
      </c>
      <c r="B46" s="297" t="s">
        <v>496</v>
      </c>
      <c r="C46" s="507">
        <f>86+24+11+44</f>
        <v>165</v>
      </c>
      <c r="D46" s="508">
        <f>102+31+123+80</f>
        <v>336</v>
      </c>
      <c r="E46" s="509">
        <f t="shared" si="6"/>
        <v>501</v>
      </c>
      <c r="F46" s="490">
        <v>234</v>
      </c>
      <c r="G46" s="491">
        <v>443</v>
      </c>
      <c r="H46" s="492">
        <f t="shared" si="5"/>
        <v>677</v>
      </c>
      <c r="I46" s="486">
        <v>119</v>
      </c>
      <c r="J46" s="471">
        <v>551</v>
      </c>
      <c r="K46" s="499">
        <f t="shared" si="7"/>
        <v>670</v>
      </c>
      <c r="L46" s="810" t="s">
        <v>697</v>
      </c>
      <c r="M46" s="910">
        <v>31</v>
      </c>
      <c r="N46" s="130">
        <v>3</v>
      </c>
      <c r="O46" s="52">
        <v>68</v>
      </c>
      <c r="P46" s="402"/>
    </row>
    <row r="47" spans="1:16" ht="63.95" customHeight="1">
      <c r="A47" s="916">
        <v>32</v>
      </c>
      <c r="B47" s="658" t="s">
        <v>932</v>
      </c>
      <c r="C47" s="670">
        <v>57</v>
      </c>
      <c r="D47" s="671">
        <v>119</v>
      </c>
      <c r="E47" s="660">
        <f>D47+C47</f>
        <v>176</v>
      </c>
      <c r="F47" s="670">
        <v>54</v>
      </c>
      <c r="G47" s="671">
        <v>120</v>
      </c>
      <c r="H47" s="660">
        <f t="shared" si="5"/>
        <v>174</v>
      </c>
      <c r="I47" s="672">
        <v>22</v>
      </c>
      <c r="J47" s="673">
        <v>115</v>
      </c>
      <c r="K47" s="669">
        <f t="shared" si="7"/>
        <v>137</v>
      </c>
      <c r="L47" s="673" t="s">
        <v>931</v>
      </c>
      <c r="M47" s="916">
        <v>32</v>
      </c>
      <c r="N47" s="130">
        <v>89</v>
      </c>
      <c r="O47" s="52">
        <v>102</v>
      </c>
      <c r="P47" s="402"/>
    </row>
    <row r="48" spans="1:16" ht="35.1" customHeight="1">
      <c r="A48" s="1417" t="s">
        <v>27</v>
      </c>
      <c r="B48" s="1417"/>
      <c r="C48" s="1417"/>
      <c r="D48" s="1417"/>
      <c r="E48" s="1415" t="s">
        <v>626</v>
      </c>
      <c r="F48" s="1415"/>
      <c r="G48" s="1415"/>
      <c r="H48" s="1415"/>
      <c r="I48" s="1415"/>
      <c r="J48" s="1414" t="s">
        <v>24</v>
      </c>
      <c r="K48" s="1414"/>
      <c r="L48" s="1414"/>
      <c r="M48" s="1414"/>
      <c r="N48" s="10">
        <f>SUM(N43:N47)</f>
        <v>234</v>
      </c>
      <c r="O48" s="52">
        <f>SUM(O43:O47)</f>
        <v>443</v>
      </c>
      <c r="P48" s="402"/>
    </row>
    <row r="49" spans="14:22">
      <c r="N49" s="10"/>
      <c r="O49" s="52"/>
      <c r="P49" s="402"/>
    </row>
    <row r="50" spans="14:22">
      <c r="N50" s="10"/>
      <c r="O50" s="52"/>
      <c r="P50" s="402"/>
    </row>
    <row r="51" spans="14:22">
      <c r="N51" s="10"/>
      <c r="O51" s="52"/>
      <c r="P51" s="402"/>
    </row>
    <row r="52" spans="14:22">
      <c r="N52" s="10"/>
      <c r="O52" s="52"/>
      <c r="P52" s="402"/>
    </row>
    <row r="53" spans="14:22">
      <c r="N53" s="10"/>
      <c r="O53" s="52"/>
      <c r="P53" s="402"/>
    </row>
    <row r="54" spans="14:22">
      <c r="N54" s="10"/>
      <c r="O54" s="52"/>
      <c r="P54" s="402"/>
    </row>
    <row r="55" spans="14:22">
      <c r="N55" s="10"/>
      <c r="O55" s="52"/>
      <c r="P55" s="402"/>
    </row>
    <row r="56" spans="14:22">
      <c r="N56" s="10"/>
      <c r="O56" s="52"/>
      <c r="P56" s="402"/>
    </row>
    <row r="57" spans="14:22">
      <c r="N57" s="10"/>
      <c r="O57" s="52"/>
      <c r="P57" s="402"/>
    </row>
    <row r="58" spans="14:22">
      <c r="N58" s="10"/>
      <c r="O58" s="52"/>
      <c r="P58" s="402"/>
    </row>
    <row r="59" spans="14:22">
      <c r="N59" s="10"/>
      <c r="O59" s="52"/>
      <c r="P59" s="402"/>
    </row>
    <row r="60" spans="14:22">
      <c r="N60" s="10"/>
      <c r="O60" s="52"/>
      <c r="P60" s="402"/>
      <c r="Q60" s="10"/>
      <c r="R60" s="52"/>
      <c r="S60" s="402"/>
      <c r="T60" s="10"/>
      <c r="U60" s="52"/>
      <c r="V60" s="402"/>
    </row>
    <row r="61" spans="14:22">
      <c r="N61" s="10"/>
      <c r="O61" s="52"/>
      <c r="P61" s="402"/>
      <c r="Q61" s="10"/>
      <c r="R61" s="52"/>
      <c r="S61" s="402"/>
      <c r="T61" s="10"/>
      <c r="U61" s="52"/>
      <c r="V61" s="402"/>
    </row>
    <row r="62" spans="14:22">
      <c r="N62" s="10"/>
      <c r="O62" s="52"/>
      <c r="P62" s="402"/>
      <c r="Q62" s="10"/>
      <c r="R62" s="52"/>
      <c r="S62" s="402"/>
      <c r="T62" s="10"/>
      <c r="U62" s="52"/>
      <c r="V62" s="402"/>
    </row>
    <row r="63" spans="14:22">
      <c r="N63" s="10"/>
      <c r="O63" s="52"/>
      <c r="P63" s="402"/>
      <c r="Q63" s="10"/>
      <c r="R63" s="52"/>
      <c r="S63" s="402"/>
      <c r="T63" s="10"/>
      <c r="U63" s="52"/>
      <c r="V63" s="402"/>
    </row>
    <row r="64" spans="14:22">
      <c r="N64" s="10"/>
      <c r="O64" s="52"/>
      <c r="P64" s="402"/>
      <c r="Q64" s="10"/>
      <c r="R64" s="52"/>
      <c r="S64" s="402"/>
      <c r="T64" s="10"/>
      <c r="U64" s="52"/>
      <c r="V64" s="402"/>
    </row>
    <row r="65" spans="14:22">
      <c r="N65" s="10"/>
      <c r="O65" s="52"/>
      <c r="P65" s="402"/>
      <c r="Q65" s="10"/>
      <c r="R65" s="52"/>
      <c r="S65" s="402"/>
      <c r="T65" s="10"/>
      <c r="U65" s="52"/>
      <c r="V65" s="402"/>
    </row>
    <row r="66" spans="14:22">
      <c r="N66" s="10"/>
      <c r="O66" s="52"/>
      <c r="P66" s="402"/>
      <c r="Q66" s="10"/>
      <c r="R66" s="52"/>
      <c r="S66" s="402"/>
      <c r="T66" s="10"/>
      <c r="U66" s="52"/>
      <c r="V66" s="402"/>
    </row>
    <row r="67" spans="14:22">
      <c r="N67" s="10"/>
      <c r="O67" s="52"/>
      <c r="P67" s="402"/>
      <c r="Q67" s="10"/>
      <c r="R67" s="52"/>
      <c r="S67" s="402"/>
      <c r="T67" s="10"/>
      <c r="U67" s="52"/>
      <c r="V67" s="402"/>
    </row>
    <row r="68" spans="14:22">
      <c r="N68" s="10"/>
      <c r="O68" s="52"/>
      <c r="P68" s="402"/>
      <c r="Q68" s="10"/>
      <c r="R68" s="52"/>
      <c r="S68" s="402"/>
      <c r="T68" s="10"/>
      <c r="U68" s="52"/>
      <c r="V68" s="402"/>
    </row>
    <row r="69" spans="14:22">
      <c r="N69" s="10"/>
      <c r="O69" s="52"/>
      <c r="P69" s="402"/>
      <c r="Q69" s="10"/>
      <c r="R69" s="52"/>
      <c r="S69" s="402"/>
      <c r="T69" s="10"/>
      <c r="U69" s="52"/>
      <c r="V69" s="402"/>
    </row>
    <row r="70" spans="14:22">
      <c r="N70" s="10"/>
      <c r="O70" s="52"/>
      <c r="P70" s="402"/>
      <c r="Q70" s="10"/>
      <c r="R70" s="52"/>
      <c r="S70" s="402"/>
      <c r="T70" s="10"/>
      <c r="U70" s="52"/>
      <c r="V70" s="402"/>
    </row>
    <row r="71" spans="14:22">
      <c r="N71" s="10"/>
      <c r="O71" s="52"/>
      <c r="P71" s="402"/>
      <c r="Q71" s="10"/>
      <c r="R71" s="52"/>
      <c r="S71" s="402"/>
      <c r="T71" s="10"/>
      <c r="U71" s="52"/>
      <c r="V71" s="402"/>
    </row>
    <row r="72" spans="14:22">
      <c r="N72" s="10"/>
      <c r="O72" s="52"/>
      <c r="P72" s="402"/>
      <c r="Q72" s="10"/>
      <c r="R72" s="52"/>
      <c r="S72" s="402"/>
      <c r="T72" s="10"/>
      <c r="U72" s="52"/>
      <c r="V72" s="402"/>
    </row>
    <row r="73" spans="14:22">
      <c r="N73" s="10"/>
      <c r="O73" s="52"/>
      <c r="P73" s="402"/>
      <c r="Q73" s="10"/>
      <c r="R73" s="52"/>
      <c r="S73" s="402"/>
      <c r="T73" s="10"/>
      <c r="U73" s="52"/>
      <c r="V73" s="402"/>
    </row>
    <row r="74" spans="14:22">
      <c r="N74" s="10"/>
      <c r="O74" s="52"/>
      <c r="P74" s="402"/>
      <c r="Q74" s="10"/>
      <c r="R74" s="52"/>
      <c r="S74" s="402"/>
      <c r="T74" s="10"/>
      <c r="U74" s="52"/>
      <c r="V74" s="402"/>
    </row>
    <row r="75" spans="14:22">
      <c r="N75" s="10"/>
      <c r="O75" s="52"/>
      <c r="P75" s="402"/>
      <c r="Q75" s="10"/>
      <c r="R75" s="52"/>
      <c r="S75" s="402"/>
      <c r="T75" s="10"/>
      <c r="U75" s="52"/>
      <c r="V75" s="402"/>
    </row>
    <row r="76" spans="14:22">
      <c r="N76" s="10"/>
      <c r="O76" s="52"/>
      <c r="P76" s="402"/>
      <c r="Q76" s="10"/>
      <c r="R76" s="52"/>
      <c r="S76" s="402"/>
      <c r="T76" s="10"/>
      <c r="U76" s="52"/>
      <c r="V76" s="402"/>
    </row>
    <row r="77" spans="14:22">
      <c r="N77" s="10"/>
      <c r="O77" s="52"/>
      <c r="P77" s="402"/>
      <c r="Q77" s="10"/>
      <c r="R77" s="52"/>
      <c r="S77" s="402"/>
      <c r="T77" s="10"/>
      <c r="U77" s="52"/>
      <c r="V77" s="402"/>
    </row>
    <row r="78" spans="14:22">
      <c r="N78" s="10"/>
      <c r="O78" s="52"/>
      <c r="P78" s="402"/>
      <c r="Q78" s="10"/>
      <c r="R78" s="52"/>
      <c r="S78" s="402"/>
      <c r="T78" s="10"/>
      <c r="U78" s="52"/>
      <c r="V78" s="402"/>
    </row>
    <row r="79" spans="14:22">
      <c r="N79" s="10"/>
      <c r="O79" s="52"/>
      <c r="P79" s="402"/>
      <c r="Q79" s="10"/>
      <c r="R79" s="52"/>
      <c r="S79" s="402"/>
      <c r="T79" s="10"/>
      <c r="U79" s="52"/>
      <c r="V79" s="402"/>
    </row>
    <row r="80" spans="14:22">
      <c r="N80" s="10"/>
      <c r="O80" s="52"/>
      <c r="P80" s="402"/>
      <c r="Q80" s="10"/>
      <c r="R80" s="52"/>
      <c r="S80" s="402"/>
      <c r="T80" s="10"/>
      <c r="U80" s="52"/>
      <c r="V80" s="402"/>
    </row>
    <row r="81" spans="14:22">
      <c r="N81" s="10"/>
      <c r="O81" s="52"/>
      <c r="P81" s="402"/>
      <c r="Q81" s="10"/>
      <c r="R81" s="52"/>
      <c r="S81" s="402"/>
      <c r="T81" s="10"/>
      <c r="U81" s="52"/>
      <c r="V81" s="402"/>
    </row>
    <row r="82" spans="14:22">
      <c r="N82" s="10"/>
      <c r="O82" s="52"/>
      <c r="P82" s="402"/>
      <c r="Q82" s="10"/>
      <c r="R82" s="52"/>
      <c r="S82" s="402"/>
      <c r="T82" s="10"/>
      <c r="U82" s="52"/>
      <c r="V82" s="402"/>
    </row>
    <row r="83" spans="14:22">
      <c r="N83" s="10"/>
      <c r="O83" s="52"/>
      <c r="P83" s="402"/>
      <c r="Q83" s="10"/>
      <c r="R83" s="52"/>
      <c r="S83" s="402"/>
      <c r="T83" s="10"/>
      <c r="U83" s="52"/>
      <c r="V83" s="402"/>
    </row>
    <row r="84" spans="14:22">
      <c r="N84" s="10"/>
      <c r="O84" s="52"/>
      <c r="P84" s="402"/>
      <c r="Q84" s="10"/>
      <c r="R84" s="52"/>
      <c r="S84" s="402"/>
      <c r="T84" s="10"/>
      <c r="U84" s="52"/>
      <c r="V84" s="402"/>
    </row>
    <row r="85" spans="14:22">
      <c r="N85" s="10"/>
      <c r="O85" s="52"/>
      <c r="P85" s="402"/>
      <c r="Q85" s="10"/>
      <c r="R85" s="52"/>
      <c r="S85" s="402"/>
      <c r="T85" s="10"/>
      <c r="U85" s="52"/>
      <c r="V85" s="402"/>
    </row>
    <row r="86" spans="14:22">
      <c r="N86" s="10"/>
      <c r="O86" s="52"/>
      <c r="P86" s="402"/>
      <c r="Q86" s="10"/>
      <c r="R86" s="52"/>
      <c r="S86" s="402"/>
      <c r="T86" s="10"/>
      <c r="U86" s="52"/>
      <c r="V86" s="402"/>
    </row>
    <row r="87" spans="14:22">
      <c r="N87" s="10"/>
      <c r="O87" s="52"/>
      <c r="P87" s="402"/>
      <c r="Q87" s="10"/>
      <c r="R87" s="52"/>
      <c r="S87" s="402"/>
      <c r="T87" s="10"/>
      <c r="U87" s="52"/>
      <c r="V87" s="402"/>
    </row>
    <row r="88" spans="14:22">
      <c r="N88" s="10"/>
      <c r="O88" s="52"/>
      <c r="P88" s="402"/>
      <c r="Q88" s="10"/>
      <c r="R88" s="52"/>
      <c r="S88" s="402"/>
      <c r="T88" s="10"/>
      <c r="U88" s="52"/>
      <c r="V88" s="402"/>
    </row>
    <row r="89" spans="14:22">
      <c r="N89" s="10"/>
      <c r="O89" s="52"/>
      <c r="P89" s="402"/>
      <c r="Q89" s="10"/>
      <c r="R89" s="52"/>
      <c r="S89" s="402"/>
      <c r="T89" s="10"/>
      <c r="U89" s="52"/>
      <c r="V89" s="402"/>
    </row>
    <row r="90" spans="14:22">
      <c r="N90" s="10"/>
      <c r="O90" s="52"/>
      <c r="P90" s="402"/>
      <c r="Q90" s="10"/>
      <c r="R90" s="52"/>
      <c r="S90" s="402"/>
      <c r="T90" s="10"/>
      <c r="U90" s="52"/>
      <c r="V90" s="402"/>
    </row>
    <row r="91" spans="14:22">
      <c r="N91" s="10"/>
      <c r="O91" s="52"/>
      <c r="P91" s="402"/>
      <c r="Q91" s="10"/>
      <c r="R91" s="52"/>
      <c r="S91" s="402"/>
      <c r="T91" s="10"/>
      <c r="U91" s="52"/>
      <c r="V91" s="402"/>
    </row>
    <row r="92" spans="14:22">
      <c r="N92" s="10"/>
      <c r="O92" s="52"/>
      <c r="P92" s="402"/>
      <c r="Q92" s="10"/>
      <c r="R92" s="52"/>
      <c r="S92" s="402"/>
      <c r="T92" s="10"/>
      <c r="U92" s="52"/>
      <c r="V92" s="402"/>
    </row>
    <row r="93" spans="14:22">
      <c r="O93" s="51"/>
      <c r="P93" s="195"/>
      <c r="R93" s="51"/>
      <c r="S93" s="195"/>
      <c r="U93" s="51"/>
      <c r="V93" s="195"/>
    </row>
    <row r="94" spans="14:22">
      <c r="O94" s="51"/>
      <c r="P94" s="195"/>
      <c r="R94" s="51"/>
      <c r="S94" s="195"/>
      <c r="U94" s="51"/>
      <c r="V94" s="195"/>
    </row>
    <row r="95" spans="14:22">
      <c r="O95" s="51"/>
      <c r="P95" s="195"/>
      <c r="R95" s="51"/>
      <c r="S95" s="195"/>
      <c r="U95" s="51"/>
      <c r="V95" s="195"/>
    </row>
    <row r="96" spans="14:22">
      <c r="O96" s="51"/>
      <c r="P96" s="195"/>
      <c r="R96" s="51"/>
      <c r="S96" s="195"/>
      <c r="U96" s="51"/>
      <c r="V96" s="195"/>
    </row>
    <row r="97" spans="15:22">
      <c r="O97" s="51"/>
      <c r="P97" s="195"/>
      <c r="R97" s="51"/>
      <c r="S97" s="195"/>
      <c r="U97" s="51"/>
      <c r="V97" s="195"/>
    </row>
    <row r="98" spans="15:22">
      <c r="O98" s="51"/>
      <c r="P98" s="195"/>
      <c r="R98" s="51"/>
      <c r="S98" s="195"/>
      <c r="U98" s="51"/>
      <c r="V98" s="195"/>
    </row>
    <row r="99" spans="15:22">
      <c r="O99" s="51"/>
      <c r="P99" s="195"/>
      <c r="R99" s="51"/>
      <c r="S99" s="195"/>
      <c r="U99" s="51"/>
      <c r="V99" s="195"/>
    </row>
    <row r="100" spans="15:22">
      <c r="O100" s="51"/>
      <c r="P100" s="195"/>
      <c r="R100" s="51"/>
      <c r="S100" s="195"/>
      <c r="U100" s="51"/>
      <c r="V100" s="195"/>
    </row>
  </sheetData>
  <mergeCells count="31">
    <mergeCell ref="B27:B31"/>
    <mergeCell ref="N33:P33"/>
    <mergeCell ref="N4:P4"/>
    <mergeCell ref="C28:E28"/>
    <mergeCell ref="E48:I48"/>
    <mergeCell ref="E26:I26"/>
    <mergeCell ref="C27:E27"/>
    <mergeCell ref="F27:H27"/>
    <mergeCell ref="I27:K27"/>
    <mergeCell ref="I28:K28"/>
    <mergeCell ref="F28:H28"/>
    <mergeCell ref="L27:L31"/>
    <mergeCell ref="J26:M26"/>
    <mergeCell ref="A26:D26"/>
    <mergeCell ref="A27:A31"/>
    <mergeCell ref="M27:M31"/>
    <mergeCell ref="A48:D48"/>
    <mergeCell ref="A1:M1"/>
    <mergeCell ref="A2:M2"/>
    <mergeCell ref="A3:M3"/>
    <mergeCell ref="A4:A8"/>
    <mergeCell ref="M4:M8"/>
    <mergeCell ref="B4:B8"/>
    <mergeCell ref="C4:E4"/>
    <mergeCell ref="F4:H4"/>
    <mergeCell ref="I4:K4"/>
    <mergeCell ref="L4:L8"/>
    <mergeCell ref="C5:E5"/>
    <mergeCell ref="F5:H5"/>
    <mergeCell ref="I5:K5"/>
    <mergeCell ref="J48:M48"/>
  </mergeCells>
  <pageMargins left="0.45" right="0.43" top="0.35433070866141703" bottom="0.66929133858267698" header="0.196850393700787" footer="0.35433070866141703"/>
  <pageSetup paperSize="9" scale="65" orientation="portrait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7"/>
  <sheetViews>
    <sheetView view="pageBreakPreview" topLeftCell="A26" zoomScale="85" zoomScaleSheetLayoutView="85" workbookViewId="0">
      <selection activeCell="D32" sqref="D32"/>
    </sheetView>
  </sheetViews>
  <sheetFormatPr defaultRowHeight="15"/>
  <cols>
    <col min="1" max="1" width="4.7109375" customWidth="1"/>
    <col min="2" max="2" width="26.28515625" customWidth="1"/>
    <col min="3" max="3" width="7.5703125" customWidth="1"/>
    <col min="4" max="4" width="8.28515625" customWidth="1"/>
    <col min="5" max="5" width="8.140625" customWidth="1"/>
    <col min="6" max="6" width="7.5703125" customWidth="1"/>
    <col min="7" max="7" width="8.28515625" customWidth="1"/>
    <col min="8" max="8" width="8.85546875" customWidth="1"/>
    <col min="9" max="9" width="7.42578125" customWidth="1"/>
    <col min="10" max="11" width="8.42578125" customWidth="1"/>
    <col min="12" max="12" width="23.5703125" customWidth="1"/>
    <col min="13" max="13" width="5" customWidth="1"/>
    <col min="15" max="15" width="9.5703125" bestFit="1" customWidth="1"/>
    <col min="17" max="17" width="9.85546875" bestFit="1" customWidth="1"/>
  </cols>
  <sheetData>
    <row r="1" spans="1:15" ht="24.95" customHeight="1">
      <c r="A1" s="1437" t="s">
        <v>1596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</row>
    <row r="2" spans="1:15" ht="24.95" customHeight="1">
      <c r="A2" s="1476" t="s">
        <v>1883</v>
      </c>
      <c r="B2" s="1476"/>
      <c r="C2" s="1476"/>
      <c r="D2" s="1476"/>
      <c r="E2" s="1476"/>
      <c r="F2" s="1476"/>
      <c r="G2" s="1476"/>
      <c r="H2" s="1476"/>
      <c r="I2" s="1476"/>
      <c r="J2" s="1476"/>
      <c r="K2" s="1476"/>
      <c r="L2" s="1476"/>
      <c r="M2" s="1476"/>
    </row>
    <row r="3" spans="1:15" ht="24.95" customHeight="1">
      <c r="A3" s="1472" t="s">
        <v>1597</v>
      </c>
      <c r="B3" s="1472"/>
      <c r="C3" s="1472"/>
      <c r="D3" s="1472"/>
      <c r="E3" s="1472"/>
      <c r="F3" s="1472"/>
      <c r="G3" s="1472"/>
      <c r="H3" s="1472"/>
      <c r="I3" s="1472"/>
      <c r="J3" s="1472"/>
      <c r="K3" s="1472"/>
      <c r="L3" s="1472"/>
      <c r="M3" s="1472"/>
    </row>
    <row r="4" spans="1:15" ht="24.95" customHeight="1">
      <c r="A4" s="1459" t="s">
        <v>2028</v>
      </c>
      <c r="B4" s="1459" t="s">
        <v>1565</v>
      </c>
      <c r="C4" s="1443">
        <v>1396</v>
      </c>
      <c r="D4" s="1445"/>
      <c r="E4" s="1445"/>
      <c r="F4" s="1443">
        <v>1395</v>
      </c>
      <c r="G4" s="1445"/>
      <c r="H4" s="1445"/>
      <c r="I4" s="1443">
        <v>1394</v>
      </c>
      <c r="J4" s="1445"/>
      <c r="K4" s="1451"/>
      <c r="L4" s="1470" t="s">
        <v>1564</v>
      </c>
      <c r="M4" s="1459" t="s">
        <v>2027</v>
      </c>
    </row>
    <row r="5" spans="1:15" ht="24.95" customHeight="1">
      <c r="A5" s="1460"/>
      <c r="B5" s="1460"/>
      <c r="C5" s="1446" t="s">
        <v>1773</v>
      </c>
      <c r="D5" s="1447"/>
      <c r="E5" s="1447"/>
      <c r="F5" s="1448" t="s">
        <v>1772</v>
      </c>
      <c r="G5" s="1449"/>
      <c r="H5" s="1450"/>
      <c r="I5" s="1448" t="s">
        <v>1771</v>
      </c>
      <c r="J5" s="1449"/>
      <c r="K5" s="1450"/>
      <c r="L5" s="1470"/>
      <c r="M5" s="1460"/>
    </row>
    <row r="6" spans="1:15" ht="24.95" customHeight="1">
      <c r="A6" s="1460"/>
      <c r="B6" s="1460"/>
      <c r="C6" s="890" t="s">
        <v>0</v>
      </c>
      <c r="D6" s="903" t="s">
        <v>1</v>
      </c>
      <c r="E6" s="892" t="s">
        <v>2</v>
      </c>
      <c r="F6" s="890" t="s">
        <v>0</v>
      </c>
      <c r="G6" s="903" t="s">
        <v>1</v>
      </c>
      <c r="H6" s="892" t="s">
        <v>2</v>
      </c>
      <c r="I6" s="890" t="s">
        <v>0</v>
      </c>
      <c r="J6" s="903" t="s">
        <v>1</v>
      </c>
      <c r="K6" s="893" t="s">
        <v>2</v>
      </c>
      <c r="L6" s="1470"/>
      <c r="M6" s="1460"/>
    </row>
    <row r="7" spans="1:15" ht="24.95" customHeight="1">
      <c r="A7" s="1460"/>
      <c r="B7" s="1460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6" t="s">
        <v>502</v>
      </c>
      <c r="I7" s="894" t="s">
        <v>500</v>
      </c>
      <c r="J7" s="895" t="s">
        <v>501</v>
      </c>
      <c r="K7" s="897" t="s">
        <v>502</v>
      </c>
      <c r="L7" s="1470"/>
      <c r="M7" s="1460"/>
    </row>
    <row r="8" spans="1:15" ht="24.95" customHeight="1">
      <c r="A8" s="1461"/>
      <c r="B8" s="1461"/>
      <c r="C8" s="898" t="s">
        <v>3</v>
      </c>
      <c r="D8" s="904" t="s">
        <v>4</v>
      </c>
      <c r="E8" s="900" t="s">
        <v>5</v>
      </c>
      <c r="F8" s="898" t="s">
        <v>3</v>
      </c>
      <c r="G8" s="904" t="s">
        <v>4</v>
      </c>
      <c r="H8" s="900" t="s">
        <v>5</v>
      </c>
      <c r="I8" s="898" t="s">
        <v>3</v>
      </c>
      <c r="J8" s="904" t="s">
        <v>4</v>
      </c>
      <c r="K8" s="902" t="s">
        <v>5</v>
      </c>
      <c r="L8" s="1470"/>
      <c r="M8" s="1461"/>
    </row>
    <row r="9" spans="1:15" ht="57" customHeight="1">
      <c r="A9" s="1055"/>
      <c r="B9" s="622" t="s">
        <v>51</v>
      </c>
      <c r="C9" s="656">
        <f>C10+C11+C12+C13+C14+C15+C16+C17+C18+C19+C20+C21+C22+C23+C24+C25+C26+C33+C34+C35+C36+C37+C38+C39+C40+C41+C44+C45+C46+C47</f>
        <v>8355</v>
      </c>
      <c r="D9" s="657">
        <f>D10+D11+D12+D13+D14+D15+D16+D17+D18+D19+D20+D21+D22+D23+D24+D25+D26+D33+D34+D35+D36+D37+D38+D39+D40+D41+D42+D43+D44+D45+D46+D47</f>
        <v>29869</v>
      </c>
      <c r="E9" s="657">
        <f>E10+E11+E12+E13+E14+E15+E16+E17+E18+E19+E20+E21+E22+E23+E24+E25+E26+E33+E34+E35+E36+E37+E38+E39+E40+E41+E42+E43+E44+E45+E46+E47</f>
        <v>38224</v>
      </c>
      <c r="F9" s="656">
        <f>F10+F11+F12+F13+F14+F15+F16+F17+F18+F19+F20+F21+F22+F23+F24+F25+F26+F33+F34+F35+F36+F37+F38+F39+F41+F45+F46+F47</f>
        <v>7218</v>
      </c>
      <c r="G9" s="657">
        <f>G10+G11+G12+G13+G14+G15+G16+G17+G18+G19+G20+G21+G22+G23+G24+G25+G26+G33+G34+G35+G36+G37+G38+G39+G40+G41+G42+G43+G45+G46+G47</f>
        <v>25551</v>
      </c>
      <c r="H9" s="657">
        <f>H10+H11+H12+H13+H14+H15+H16+H17+H18+H19+H20+H21+H22+H23+H24+H25+H26+H33+H34+H35+H36+H37+H38+H39+H40+H41+H42+H43+H45+H46+H47</f>
        <v>32769</v>
      </c>
      <c r="I9" s="656">
        <f>I10+I11+I12+I13+I14+I15+I16+I17+I18+I19+I20+I21+I22+I23+I24+I25+I26+I33+I34+I35+I36+I37+I38+I39+I41+I45+I46</f>
        <v>5865</v>
      </c>
      <c r="J9" s="657">
        <f>J10+J11+J12+J13+J14+J15+J16+J17+J18+J19+J20+J21+J22+J23+J24+J25+J26+J33+J34+J35+J36+J37+J38+J39+J40+J41+J42+J43+J45+J46</f>
        <v>22291</v>
      </c>
      <c r="K9" s="626">
        <f>K10+K11+K12+K13+K14+K15+K16+K17+K18+K19+K20+K21+K22+K23+K24+K25+K26+K33+K34+K35+K36+K37+K38+K39+K40+K41+K42+K43+K45+K46</f>
        <v>28156</v>
      </c>
      <c r="L9" s="626" t="s">
        <v>640</v>
      </c>
      <c r="M9" s="906"/>
      <c r="O9" s="39">
        <f>F9/H9*100</f>
        <v>22.026915682504804</v>
      </c>
    </row>
    <row r="10" spans="1:15" ht="57" customHeight="1">
      <c r="A10" s="910">
        <v>1</v>
      </c>
      <c r="B10" s="599" t="s">
        <v>7</v>
      </c>
      <c r="C10" s="486">
        <v>1137</v>
      </c>
      <c r="D10" s="471">
        <v>3196</v>
      </c>
      <c r="E10" s="471">
        <f>D10+C10</f>
        <v>4333</v>
      </c>
      <c r="F10" s="486">
        <v>1202</v>
      </c>
      <c r="G10" s="471">
        <v>3143</v>
      </c>
      <c r="H10" s="471">
        <f>G10+F10</f>
        <v>4345</v>
      </c>
      <c r="I10" s="486">
        <v>1054</v>
      </c>
      <c r="J10" s="471">
        <v>2760</v>
      </c>
      <c r="K10" s="487">
        <f t="shared" ref="K10:K26" si="0">J10+I10</f>
        <v>3814</v>
      </c>
      <c r="L10" s="300" t="s">
        <v>611</v>
      </c>
      <c r="M10" s="910">
        <v>1</v>
      </c>
    </row>
    <row r="11" spans="1:15" ht="53.1" customHeight="1">
      <c r="A11" s="914">
        <v>2</v>
      </c>
      <c r="B11" s="622" t="s">
        <v>8</v>
      </c>
      <c r="C11" s="656">
        <v>73</v>
      </c>
      <c r="D11" s="657">
        <v>604</v>
      </c>
      <c r="E11" s="657">
        <f t="shared" ref="E11:E25" si="1">D11+C11</f>
        <v>677</v>
      </c>
      <c r="F11" s="656">
        <v>42</v>
      </c>
      <c r="G11" s="657">
        <v>499</v>
      </c>
      <c r="H11" s="657">
        <f t="shared" ref="H11:H15" si="2">G11+F11</f>
        <v>541</v>
      </c>
      <c r="I11" s="656">
        <v>21</v>
      </c>
      <c r="J11" s="657">
        <v>437</v>
      </c>
      <c r="K11" s="626">
        <f t="shared" si="0"/>
        <v>458</v>
      </c>
      <c r="L11" s="626" t="s">
        <v>1947</v>
      </c>
      <c r="M11" s="914">
        <v>2</v>
      </c>
    </row>
    <row r="12" spans="1:15" ht="66" customHeight="1">
      <c r="A12" s="910">
        <v>3</v>
      </c>
      <c r="B12" s="600" t="s">
        <v>2009</v>
      </c>
      <c r="C12" s="295">
        <v>807</v>
      </c>
      <c r="D12" s="294">
        <v>1084</v>
      </c>
      <c r="E12" s="471">
        <f t="shared" si="1"/>
        <v>1891</v>
      </c>
      <c r="F12" s="295">
        <v>855</v>
      </c>
      <c r="G12" s="294">
        <v>949</v>
      </c>
      <c r="H12" s="471">
        <f t="shared" si="2"/>
        <v>1804</v>
      </c>
      <c r="I12" s="295">
        <v>791</v>
      </c>
      <c r="J12" s="294">
        <v>888</v>
      </c>
      <c r="K12" s="487">
        <f t="shared" si="0"/>
        <v>1679</v>
      </c>
      <c r="L12" s="300" t="s">
        <v>2008</v>
      </c>
      <c r="M12" s="910">
        <v>3</v>
      </c>
    </row>
    <row r="13" spans="1:15" ht="57" customHeight="1">
      <c r="A13" s="914">
        <v>4</v>
      </c>
      <c r="B13" s="770" t="s">
        <v>1996</v>
      </c>
      <c r="C13" s="772">
        <v>178</v>
      </c>
      <c r="D13" s="769">
        <v>322</v>
      </c>
      <c r="E13" s="769">
        <f t="shared" si="1"/>
        <v>500</v>
      </c>
      <c r="F13" s="772">
        <v>206</v>
      </c>
      <c r="G13" s="769">
        <v>275</v>
      </c>
      <c r="H13" s="769">
        <f t="shared" si="2"/>
        <v>481</v>
      </c>
      <c r="I13" s="772">
        <v>198</v>
      </c>
      <c r="J13" s="769">
        <v>246</v>
      </c>
      <c r="K13" s="768">
        <f t="shared" si="0"/>
        <v>444</v>
      </c>
      <c r="L13" s="768" t="s">
        <v>1997</v>
      </c>
      <c r="M13" s="914">
        <v>4</v>
      </c>
    </row>
    <row r="14" spans="1:15" ht="57" customHeight="1">
      <c r="A14" s="910">
        <v>5</v>
      </c>
      <c r="B14" s="599" t="s">
        <v>9</v>
      </c>
      <c r="C14" s="486">
        <v>1423</v>
      </c>
      <c r="D14" s="471">
        <v>2239</v>
      </c>
      <c r="E14" s="471">
        <f t="shared" si="1"/>
        <v>3662</v>
      </c>
      <c r="F14" s="486">
        <v>1078</v>
      </c>
      <c r="G14" s="471">
        <v>1795</v>
      </c>
      <c r="H14" s="471">
        <f t="shared" si="2"/>
        <v>2873</v>
      </c>
      <c r="I14" s="486">
        <v>1011</v>
      </c>
      <c r="J14" s="471">
        <v>1608</v>
      </c>
      <c r="K14" s="487">
        <f t="shared" si="0"/>
        <v>2619</v>
      </c>
      <c r="L14" s="300" t="s">
        <v>612</v>
      </c>
      <c r="M14" s="910">
        <v>5</v>
      </c>
    </row>
    <row r="15" spans="1:15" ht="57" customHeight="1">
      <c r="A15" s="914">
        <v>6</v>
      </c>
      <c r="B15" s="770" t="s">
        <v>1989</v>
      </c>
      <c r="C15" s="772">
        <v>235</v>
      </c>
      <c r="D15" s="769">
        <v>1288</v>
      </c>
      <c r="E15" s="769">
        <f t="shared" si="1"/>
        <v>1523</v>
      </c>
      <c r="F15" s="772">
        <v>196</v>
      </c>
      <c r="G15" s="769">
        <v>945</v>
      </c>
      <c r="H15" s="769">
        <f t="shared" si="2"/>
        <v>1141</v>
      </c>
      <c r="I15" s="772">
        <v>120</v>
      </c>
      <c r="J15" s="769">
        <v>772</v>
      </c>
      <c r="K15" s="768">
        <f t="shared" si="0"/>
        <v>892</v>
      </c>
      <c r="L15" s="768" t="s">
        <v>1988</v>
      </c>
      <c r="M15" s="914">
        <v>6</v>
      </c>
    </row>
    <row r="16" spans="1:15" ht="57" customHeight="1">
      <c r="A16" s="910">
        <v>7</v>
      </c>
      <c r="B16" s="600" t="s">
        <v>2001</v>
      </c>
      <c r="C16" s="295">
        <v>359</v>
      </c>
      <c r="D16" s="294">
        <v>1079</v>
      </c>
      <c r="E16" s="471">
        <f>D16+C16</f>
        <v>1438</v>
      </c>
      <c r="F16" s="295">
        <v>249</v>
      </c>
      <c r="G16" s="294">
        <v>784</v>
      </c>
      <c r="H16" s="471">
        <f>G16+F16</f>
        <v>1033</v>
      </c>
      <c r="I16" s="295">
        <v>145</v>
      </c>
      <c r="J16" s="294">
        <v>810</v>
      </c>
      <c r="K16" s="487">
        <f t="shared" si="0"/>
        <v>955</v>
      </c>
      <c r="L16" s="300" t="s">
        <v>2010</v>
      </c>
      <c r="M16" s="910">
        <v>7</v>
      </c>
    </row>
    <row r="17" spans="1:13" ht="57" customHeight="1">
      <c r="A17" s="914">
        <v>8</v>
      </c>
      <c r="B17" s="622" t="s">
        <v>10</v>
      </c>
      <c r="C17" s="656">
        <v>268</v>
      </c>
      <c r="D17" s="657">
        <v>3200</v>
      </c>
      <c r="E17" s="657">
        <f t="shared" si="1"/>
        <v>3468</v>
      </c>
      <c r="F17" s="656">
        <v>172</v>
      </c>
      <c r="G17" s="657">
        <v>2160</v>
      </c>
      <c r="H17" s="657">
        <f t="shared" ref="H17:H20" si="3">G17+F17</f>
        <v>2332</v>
      </c>
      <c r="I17" s="656">
        <v>157</v>
      </c>
      <c r="J17" s="657">
        <v>2391</v>
      </c>
      <c r="K17" s="626">
        <f t="shared" si="0"/>
        <v>2548</v>
      </c>
      <c r="L17" s="626" t="s">
        <v>703</v>
      </c>
      <c r="M17" s="914">
        <v>8</v>
      </c>
    </row>
    <row r="18" spans="1:13" ht="57" customHeight="1">
      <c r="A18" s="910">
        <v>9</v>
      </c>
      <c r="B18" s="599" t="s">
        <v>11</v>
      </c>
      <c r="C18" s="486">
        <v>63</v>
      </c>
      <c r="D18" s="471">
        <v>1198</v>
      </c>
      <c r="E18" s="471">
        <f t="shared" si="1"/>
        <v>1261</v>
      </c>
      <c r="F18" s="486">
        <v>12</v>
      </c>
      <c r="G18" s="471">
        <v>947</v>
      </c>
      <c r="H18" s="471">
        <f t="shared" si="3"/>
        <v>959</v>
      </c>
      <c r="I18" s="486">
        <v>37</v>
      </c>
      <c r="J18" s="471">
        <v>796</v>
      </c>
      <c r="K18" s="487">
        <f t="shared" si="0"/>
        <v>833</v>
      </c>
      <c r="L18" s="300" t="s">
        <v>614</v>
      </c>
      <c r="M18" s="910">
        <v>9</v>
      </c>
    </row>
    <row r="19" spans="1:13" ht="57" customHeight="1">
      <c r="A19" s="914">
        <v>10</v>
      </c>
      <c r="B19" s="622" t="s">
        <v>12</v>
      </c>
      <c r="C19" s="656">
        <v>1200</v>
      </c>
      <c r="D19" s="657">
        <v>1978</v>
      </c>
      <c r="E19" s="657">
        <f t="shared" si="1"/>
        <v>3178</v>
      </c>
      <c r="F19" s="656">
        <v>1124</v>
      </c>
      <c r="G19" s="657">
        <v>1946</v>
      </c>
      <c r="H19" s="657">
        <f t="shared" si="3"/>
        <v>3070</v>
      </c>
      <c r="I19" s="656">
        <v>921</v>
      </c>
      <c r="J19" s="657">
        <v>2174</v>
      </c>
      <c r="K19" s="626">
        <f t="shared" si="0"/>
        <v>3095</v>
      </c>
      <c r="L19" s="626" t="s">
        <v>615</v>
      </c>
      <c r="M19" s="914">
        <v>10</v>
      </c>
    </row>
    <row r="20" spans="1:13" ht="57" customHeight="1">
      <c r="A20" s="910">
        <v>11</v>
      </c>
      <c r="B20" s="599" t="s">
        <v>13</v>
      </c>
      <c r="C20" s="486">
        <v>192</v>
      </c>
      <c r="D20" s="471">
        <v>746</v>
      </c>
      <c r="E20" s="471">
        <f t="shared" si="1"/>
        <v>938</v>
      </c>
      <c r="F20" s="486">
        <v>284</v>
      </c>
      <c r="G20" s="471">
        <v>731</v>
      </c>
      <c r="H20" s="471">
        <f t="shared" si="3"/>
        <v>1015</v>
      </c>
      <c r="I20" s="486">
        <v>161</v>
      </c>
      <c r="J20" s="471">
        <v>630</v>
      </c>
      <c r="K20" s="487">
        <f t="shared" si="0"/>
        <v>791</v>
      </c>
      <c r="L20" s="300" t="s">
        <v>616</v>
      </c>
      <c r="M20" s="910">
        <v>11</v>
      </c>
    </row>
    <row r="21" spans="1:13" ht="57" customHeight="1">
      <c r="A21" s="914">
        <v>12</v>
      </c>
      <c r="B21" s="622" t="s">
        <v>15</v>
      </c>
      <c r="C21" s="656">
        <v>172</v>
      </c>
      <c r="D21" s="657">
        <v>847</v>
      </c>
      <c r="E21" s="657">
        <f>D21+C21</f>
        <v>1019</v>
      </c>
      <c r="F21" s="656">
        <v>171</v>
      </c>
      <c r="G21" s="657">
        <v>781</v>
      </c>
      <c r="H21" s="657">
        <f>G21+F21</f>
        <v>952</v>
      </c>
      <c r="I21" s="656">
        <v>38</v>
      </c>
      <c r="J21" s="657">
        <v>415</v>
      </c>
      <c r="K21" s="626">
        <f t="shared" si="0"/>
        <v>453</v>
      </c>
      <c r="L21" s="626" t="s">
        <v>617</v>
      </c>
      <c r="M21" s="914">
        <v>12</v>
      </c>
    </row>
    <row r="22" spans="1:13" ht="57" customHeight="1">
      <c r="A22" s="910">
        <v>13</v>
      </c>
      <c r="B22" s="599" t="s">
        <v>16</v>
      </c>
      <c r="C22" s="486">
        <v>201</v>
      </c>
      <c r="D22" s="471">
        <v>1543</v>
      </c>
      <c r="E22" s="471">
        <f t="shared" si="1"/>
        <v>1744</v>
      </c>
      <c r="F22" s="486">
        <v>181</v>
      </c>
      <c r="G22" s="471">
        <v>1183</v>
      </c>
      <c r="H22" s="471">
        <f t="shared" ref="H22:H25" si="4">G22+F22</f>
        <v>1364</v>
      </c>
      <c r="I22" s="486">
        <v>127</v>
      </c>
      <c r="J22" s="471">
        <v>653</v>
      </c>
      <c r="K22" s="487">
        <f t="shared" si="0"/>
        <v>780</v>
      </c>
      <c r="L22" s="300" t="s">
        <v>618</v>
      </c>
      <c r="M22" s="910">
        <v>13</v>
      </c>
    </row>
    <row r="23" spans="1:13" ht="57" customHeight="1">
      <c r="A23" s="914">
        <v>14</v>
      </c>
      <c r="B23" s="622" t="s">
        <v>17</v>
      </c>
      <c r="C23" s="656">
        <v>361</v>
      </c>
      <c r="D23" s="657">
        <v>627</v>
      </c>
      <c r="E23" s="657">
        <f t="shared" si="1"/>
        <v>988</v>
      </c>
      <c r="F23" s="656">
        <v>154</v>
      </c>
      <c r="G23" s="657">
        <v>603</v>
      </c>
      <c r="H23" s="657">
        <f t="shared" si="4"/>
        <v>757</v>
      </c>
      <c r="I23" s="656">
        <v>157</v>
      </c>
      <c r="J23" s="657">
        <v>734</v>
      </c>
      <c r="K23" s="626">
        <f t="shared" si="0"/>
        <v>891</v>
      </c>
      <c r="L23" s="626" t="s">
        <v>619</v>
      </c>
      <c r="M23" s="914">
        <v>14</v>
      </c>
    </row>
    <row r="24" spans="1:13" ht="57" customHeight="1">
      <c r="A24" s="910">
        <v>15</v>
      </c>
      <c r="B24" s="599" t="s">
        <v>18</v>
      </c>
      <c r="C24" s="486">
        <v>735</v>
      </c>
      <c r="D24" s="471">
        <v>732</v>
      </c>
      <c r="E24" s="471">
        <f t="shared" si="1"/>
        <v>1467</v>
      </c>
      <c r="F24" s="486">
        <v>493</v>
      </c>
      <c r="G24" s="471">
        <v>872</v>
      </c>
      <c r="H24" s="471">
        <f t="shared" si="4"/>
        <v>1365</v>
      </c>
      <c r="I24" s="486">
        <v>316</v>
      </c>
      <c r="J24" s="471">
        <v>767</v>
      </c>
      <c r="K24" s="487">
        <f t="shared" si="0"/>
        <v>1083</v>
      </c>
      <c r="L24" s="300" t="s">
        <v>620</v>
      </c>
      <c r="M24" s="910">
        <v>15</v>
      </c>
    </row>
    <row r="25" spans="1:13" ht="57" customHeight="1">
      <c r="A25" s="914">
        <v>16</v>
      </c>
      <c r="B25" s="770" t="s">
        <v>1987</v>
      </c>
      <c r="C25" s="798">
        <v>21</v>
      </c>
      <c r="D25" s="799">
        <v>1666</v>
      </c>
      <c r="E25" s="769">
        <f t="shared" si="1"/>
        <v>1687</v>
      </c>
      <c r="F25" s="798">
        <v>41</v>
      </c>
      <c r="G25" s="799">
        <v>1903</v>
      </c>
      <c r="H25" s="769">
        <f t="shared" si="4"/>
        <v>1944</v>
      </c>
      <c r="I25" s="798">
        <v>4</v>
      </c>
      <c r="J25" s="799">
        <v>1716</v>
      </c>
      <c r="K25" s="768">
        <f t="shared" si="0"/>
        <v>1720</v>
      </c>
      <c r="L25" s="768" t="s">
        <v>1995</v>
      </c>
      <c r="M25" s="914">
        <v>16</v>
      </c>
    </row>
    <row r="26" spans="1:13" ht="57" customHeight="1">
      <c r="A26" s="1109">
        <v>17</v>
      </c>
      <c r="B26" s="388" t="s">
        <v>19</v>
      </c>
      <c r="C26" s="1173">
        <v>172</v>
      </c>
      <c r="D26" s="351">
        <v>1011</v>
      </c>
      <c r="E26" s="351">
        <f>D26+C26</f>
        <v>1183</v>
      </c>
      <c r="F26" s="1173">
        <v>144</v>
      </c>
      <c r="G26" s="351">
        <v>1070</v>
      </c>
      <c r="H26" s="351">
        <f>G26+F26</f>
        <v>1214</v>
      </c>
      <c r="I26" s="1173">
        <v>81</v>
      </c>
      <c r="J26" s="351">
        <v>657</v>
      </c>
      <c r="K26" s="389">
        <f t="shared" si="0"/>
        <v>738</v>
      </c>
      <c r="L26" s="389" t="s">
        <v>672</v>
      </c>
      <c r="M26" s="1109">
        <v>17</v>
      </c>
    </row>
    <row r="27" spans="1:13" ht="26.1" customHeight="1">
      <c r="A27" s="1426" t="s">
        <v>1166</v>
      </c>
      <c r="B27" s="1426"/>
      <c r="C27" s="1426"/>
      <c r="D27" s="1426"/>
      <c r="E27" s="1475" t="s">
        <v>1167</v>
      </c>
      <c r="F27" s="1475"/>
      <c r="G27" s="1475"/>
      <c r="H27" s="1475"/>
      <c r="I27" s="1475"/>
      <c r="J27" s="1474" t="s">
        <v>1168</v>
      </c>
      <c r="K27" s="1474"/>
      <c r="L27" s="1474"/>
      <c r="M27" s="1474"/>
    </row>
    <row r="28" spans="1:13" ht="26.1" customHeight="1">
      <c r="A28" s="1459" t="s">
        <v>2028</v>
      </c>
      <c r="B28" s="1459" t="s">
        <v>1565</v>
      </c>
      <c r="C28" s="1443">
        <v>1396</v>
      </c>
      <c r="D28" s="1445"/>
      <c r="E28" s="1445"/>
      <c r="F28" s="1443">
        <v>1395</v>
      </c>
      <c r="G28" s="1445"/>
      <c r="H28" s="1445"/>
      <c r="I28" s="1443">
        <v>1394</v>
      </c>
      <c r="J28" s="1445"/>
      <c r="K28" s="1451"/>
      <c r="L28" s="1470" t="s">
        <v>1564</v>
      </c>
      <c r="M28" s="1459" t="s">
        <v>2027</v>
      </c>
    </row>
    <row r="29" spans="1:13" ht="26.1" customHeight="1">
      <c r="A29" s="1460"/>
      <c r="B29" s="1460"/>
      <c r="C29" s="1446" t="s">
        <v>1773</v>
      </c>
      <c r="D29" s="1447"/>
      <c r="E29" s="1447"/>
      <c r="F29" s="1448" t="s">
        <v>1772</v>
      </c>
      <c r="G29" s="1449"/>
      <c r="H29" s="1450"/>
      <c r="I29" s="1448" t="s">
        <v>1771</v>
      </c>
      <c r="J29" s="1449"/>
      <c r="K29" s="1450"/>
      <c r="L29" s="1470"/>
      <c r="M29" s="1460"/>
    </row>
    <row r="30" spans="1:13" ht="26.1" customHeight="1">
      <c r="A30" s="1460"/>
      <c r="B30" s="1460"/>
      <c r="C30" s="1103" t="s">
        <v>0</v>
      </c>
      <c r="D30" s="1108" t="s">
        <v>1</v>
      </c>
      <c r="E30" s="1104" t="s">
        <v>2</v>
      </c>
      <c r="F30" s="1103" t="s">
        <v>0</v>
      </c>
      <c r="G30" s="1108" t="s">
        <v>1</v>
      </c>
      <c r="H30" s="1104" t="s">
        <v>2</v>
      </c>
      <c r="I30" s="1103" t="s">
        <v>0</v>
      </c>
      <c r="J30" s="1108" t="s">
        <v>1</v>
      </c>
      <c r="K30" s="1105" t="s">
        <v>2</v>
      </c>
      <c r="L30" s="1470"/>
      <c r="M30" s="1460"/>
    </row>
    <row r="31" spans="1:13" ht="26.1" customHeight="1">
      <c r="A31" s="1460"/>
      <c r="B31" s="1460"/>
      <c r="C31" s="894" t="s">
        <v>500</v>
      </c>
      <c r="D31" s="895" t="s">
        <v>501</v>
      </c>
      <c r="E31" s="896" t="s">
        <v>502</v>
      </c>
      <c r="F31" s="894" t="s">
        <v>500</v>
      </c>
      <c r="G31" s="895" t="s">
        <v>501</v>
      </c>
      <c r="H31" s="896" t="s">
        <v>502</v>
      </c>
      <c r="I31" s="894" t="s">
        <v>500</v>
      </c>
      <c r="J31" s="895" t="s">
        <v>501</v>
      </c>
      <c r="K31" s="897" t="s">
        <v>502</v>
      </c>
      <c r="L31" s="1470"/>
      <c r="M31" s="1460"/>
    </row>
    <row r="32" spans="1:13" ht="26.1" customHeight="1">
      <c r="A32" s="1461"/>
      <c r="B32" s="1461"/>
      <c r="C32" s="1110" t="s">
        <v>3</v>
      </c>
      <c r="D32" s="1109" t="s">
        <v>4</v>
      </c>
      <c r="E32" s="900" t="s">
        <v>5</v>
      </c>
      <c r="F32" s="1110" t="s">
        <v>3</v>
      </c>
      <c r="G32" s="1109" t="s">
        <v>4</v>
      </c>
      <c r="H32" s="900" t="s">
        <v>5</v>
      </c>
      <c r="I32" s="1110" t="s">
        <v>3</v>
      </c>
      <c r="J32" s="1109" t="s">
        <v>4</v>
      </c>
      <c r="K32" s="1107" t="s">
        <v>5</v>
      </c>
      <c r="L32" s="1470"/>
      <c r="M32" s="1461"/>
    </row>
    <row r="33" spans="1:19" ht="50.1" customHeight="1">
      <c r="A33" s="915">
        <v>18</v>
      </c>
      <c r="B33" s="633" t="s">
        <v>20</v>
      </c>
      <c r="C33" s="674">
        <v>258</v>
      </c>
      <c r="D33" s="675">
        <v>1101</v>
      </c>
      <c r="E33" s="675">
        <f>D33+C33</f>
        <v>1359</v>
      </c>
      <c r="F33" s="674">
        <v>261</v>
      </c>
      <c r="G33" s="675">
        <v>952</v>
      </c>
      <c r="H33" s="675">
        <f>G33+F33</f>
        <v>1213</v>
      </c>
      <c r="I33" s="674">
        <v>168</v>
      </c>
      <c r="J33" s="675">
        <v>736</v>
      </c>
      <c r="K33" s="675">
        <f t="shared" ref="K33:K39" si="5">J33+I33</f>
        <v>904</v>
      </c>
      <c r="L33" s="676" t="s">
        <v>622</v>
      </c>
      <c r="M33" s="915">
        <v>18</v>
      </c>
    </row>
    <row r="34" spans="1:19" ht="50.1" customHeight="1">
      <c r="A34" s="910">
        <v>19</v>
      </c>
      <c r="B34" s="288" t="s">
        <v>21</v>
      </c>
      <c r="C34" s="291">
        <v>20</v>
      </c>
      <c r="D34" s="287">
        <v>1382</v>
      </c>
      <c r="E34" s="287">
        <f>D34+C34</f>
        <v>1402</v>
      </c>
      <c r="F34" s="486">
        <v>27</v>
      </c>
      <c r="G34" s="471">
        <v>922</v>
      </c>
      <c r="H34" s="471">
        <f>G34+F34</f>
        <v>949</v>
      </c>
      <c r="I34" s="486">
        <v>21</v>
      </c>
      <c r="J34" s="471">
        <v>933</v>
      </c>
      <c r="K34" s="471">
        <f t="shared" si="5"/>
        <v>954</v>
      </c>
      <c r="L34" s="318" t="s">
        <v>623</v>
      </c>
      <c r="M34" s="910">
        <v>19</v>
      </c>
    </row>
    <row r="35" spans="1:19" ht="50.1" customHeight="1">
      <c r="A35" s="914">
        <v>20</v>
      </c>
      <c r="B35" s="622" t="s">
        <v>22</v>
      </c>
      <c r="C35" s="648">
        <v>106</v>
      </c>
      <c r="D35" s="649">
        <v>824</v>
      </c>
      <c r="E35" s="657">
        <f t="shared" ref="E35:E45" si="6">D35+C35</f>
        <v>930</v>
      </c>
      <c r="F35" s="648">
        <v>97</v>
      </c>
      <c r="G35" s="649">
        <v>575</v>
      </c>
      <c r="H35" s="657">
        <f t="shared" ref="H35:H39" si="7">G35+F35</f>
        <v>672</v>
      </c>
      <c r="I35" s="648">
        <v>82</v>
      </c>
      <c r="J35" s="649">
        <v>347</v>
      </c>
      <c r="K35" s="657">
        <f t="shared" si="5"/>
        <v>429</v>
      </c>
      <c r="L35" s="677" t="s">
        <v>667</v>
      </c>
      <c r="M35" s="914">
        <v>20</v>
      </c>
    </row>
    <row r="36" spans="1:19" ht="50.1" customHeight="1">
      <c r="A36" s="910">
        <v>21</v>
      </c>
      <c r="B36" s="288" t="s">
        <v>1567</v>
      </c>
      <c r="C36" s="290">
        <v>118</v>
      </c>
      <c r="D36" s="289">
        <v>372</v>
      </c>
      <c r="E36" s="287">
        <f t="shared" si="6"/>
        <v>490</v>
      </c>
      <c r="F36" s="503">
        <v>110</v>
      </c>
      <c r="G36" s="484">
        <v>417</v>
      </c>
      <c r="H36" s="471">
        <f t="shared" si="7"/>
        <v>527</v>
      </c>
      <c r="I36" s="503">
        <v>117</v>
      </c>
      <c r="J36" s="484">
        <v>322</v>
      </c>
      <c r="K36" s="471">
        <f t="shared" si="5"/>
        <v>439</v>
      </c>
      <c r="L36" s="318" t="s">
        <v>1579</v>
      </c>
      <c r="M36" s="910">
        <v>21</v>
      </c>
    </row>
    <row r="37" spans="1:19" ht="50.1" customHeight="1">
      <c r="A37" s="914">
        <v>22</v>
      </c>
      <c r="B37" s="622" t="s">
        <v>1568</v>
      </c>
      <c r="C37" s="648">
        <v>28</v>
      </c>
      <c r="D37" s="649">
        <v>286</v>
      </c>
      <c r="E37" s="657">
        <f t="shared" si="6"/>
        <v>314</v>
      </c>
      <c r="F37" s="648">
        <v>8</v>
      </c>
      <c r="G37" s="649">
        <v>316</v>
      </c>
      <c r="H37" s="657">
        <f t="shared" si="7"/>
        <v>324</v>
      </c>
      <c r="I37" s="648">
        <v>2</v>
      </c>
      <c r="J37" s="649">
        <v>277</v>
      </c>
      <c r="K37" s="657">
        <f t="shared" si="5"/>
        <v>279</v>
      </c>
      <c r="L37" s="677" t="s">
        <v>1580</v>
      </c>
      <c r="M37" s="914">
        <v>22</v>
      </c>
    </row>
    <row r="38" spans="1:19" ht="50.1" customHeight="1">
      <c r="A38" s="910">
        <v>23</v>
      </c>
      <c r="B38" s="762" t="s">
        <v>2002</v>
      </c>
      <c r="C38" s="290">
        <v>24</v>
      </c>
      <c r="D38" s="289">
        <v>949</v>
      </c>
      <c r="E38" s="287">
        <f t="shared" si="6"/>
        <v>973</v>
      </c>
      <c r="F38" s="503">
        <v>5</v>
      </c>
      <c r="G38" s="484">
        <v>663</v>
      </c>
      <c r="H38" s="471">
        <f t="shared" si="7"/>
        <v>668</v>
      </c>
      <c r="I38" s="503">
        <v>4</v>
      </c>
      <c r="J38" s="484">
        <v>560</v>
      </c>
      <c r="K38" s="471">
        <f t="shared" si="5"/>
        <v>564</v>
      </c>
      <c r="L38" s="796" t="s">
        <v>2003</v>
      </c>
      <c r="M38" s="910">
        <v>23</v>
      </c>
    </row>
    <row r="39" spans="1:19" ht="50.1" customHeight="1">
      <c r="A39" s="914">
        <v>24</v>
      </c>
      <c r="B39" s="622" t="s">
        <v>1569</v>
      </c>
      <c r="C39" s="648">
        <v>18</v>
      </c>
      <c r="D39" s="649">
        <v>160</v>
      </c>
      <c r="E39" s="657">
        <f t="shared" si="6"/>
        <v>178</v>
      </c>
      <c r="F39" s="648">
        <v>17</v>
      </c>
      <c r="G39" s="649">
        <v>124</v>
      </c>
      <c r="H39" s="657">
        <f t="shared" si="7"/>
        <v>141</v>
      </c>
      <c r="I39" s="648">
        <v>28</v>
      </c>
      <c r="J39" s="649">
        <v>78</v>
      </c>
      <c r="K39" s="657">
        <f t="shared" si="5"/>
        <v>106</v>
      </c>
      <c r="L39" s="677" t="s">
        <v>1581</v>
      </c>
      <c r="M39" s="914">
        <v>24</v>
      </c>
    </row>
    <row r="40" spans="1:19" ht="50.1" customHeight="1">
      <c r="A40" s="910">
        <v>25</v>
      </c>
      <c r="B40" s="288" t="s">
        <v>461</v>
      </c>
      <c r="C40" s="290">
        <v>14</v>
      </c>
      <c r="D40" s="289">
        <v>294</v>
      </c>
      <c r="E40" s="287">
        <f>D40+C40</f>
        <v>308</v>
      </c>
      <c r="F40" s="503" t="s">
        <v>14</v>
      </c>
      <c r="G40" s="484">
        <v>191</v>
      </c>
      <c r="H40" s="471">
        <f>G40</f>
        <v>191</v>
      </c>
      <c r="I40" s="503" t="s">
        <v>14</v>
      </c>
      <c r="J40" s="484">
        <v>113</v>
      </c>
      <c r="K40" s="471">
        <f>J40</f>
        <v>113</v>
      </c>
      <c r="L40" s="318" t="s">
        <v>625</v>
      </c>
      <c r="M40" s="910">
        <v>25</v>
      </c>
    </row>
    <row r="41" spans="1:19" ht="50.1" customHeight="1">
      <c r="A41" s="914">
        <v>26</v>
      </c>
      <c r="B41" s="622" t="s">
        <v>1570</v>
      </c>
      <c r="C41" s="648">
        <v>63</v>
      </c>
      <c r="D41" s="649">
        <v>227</v>
      </c>
      <c r="E41" s="657">
        <f t="shared" si="6"/>
        <v>290</v>
      </c>
      <c r="F41" s="648">
        <v>33</v>
      </c>
      <c r="G41" s="649">
        <v>172</v>
      </c>
      <c r="H41" s="657">
        <f t="shared" ref="H41" si="8">G41+F41</f>
        <v>205</v>
      </c>
      <c r="I41" s="648">
        <v>23</v>
      </c>
      <c r="J41" s="649">
        <v>62</v>
      </c>
      <c r="K41" s="657">
        <f>J41+I41</f>
        <v>85</v>
      </c>
      <c r="L41" s="677" t="s">
        <v>1582</v>
      </c>
      <c r="M41" s="914">
        <v>26</v>
      </c>
    </row>
    <row r="42" spans="1:19" ht="50.1" customHeight="1">
      <c r="A42" s="910">
        <v>27</v>
      </c>
      <c r="B42" s="288" t="s">
        <v>1571</v>
      </c>
      <c r="C42" s="290" t="s">
        <v>14</v>
      </c>
      <c r="D42" s="289">
        <v>384</v>
      </c>
      <c r="E42" s="287">
        <f>D42</f>
        <v>384</v>
      </c>
      <c r="F42" s="503" t="s">
        <v>14</v>
      </c>
      <c r="G42" s="484">
        <v>167</v>
      </c>
      <c r="H42" s="471">
        <f>G42</f>
        <v>167</v>
      </c>
      <c r="I42" s="503" t="s">
        <v>14</v>
      </c>
      <c r="J42" s="484">
        <v>95</v>
      </c>
      <c r="K42" s="471">
        <f>J42</f>
        <v>95</v>
      </c>
      <c r="L42" s="318" t="s">
        <v>1583</v>
      </c>
      <c r="M42" s="910">
        <v>27</v>
      </c>
    </row>
    <row r="43" spans="1:19" ht="50.1" customHeight="1">
      <c r="A43" s="914">
        <v>28</v>
      </c>
      <c r="B43" s="622" t="s">
        <v>1572</v>
      </c>
      <c r="C43" s="648" t="s">
        <v>14</v>
      </c>
      <c r="D43" s="649">
        <v>173</v>
      </c>
      <c r="E43" s="657">
        <f>D43</f>
        <v>173</v>
      </c>
      <c r="F43" s="648" t="s">
        <v>14</v>
      </c>
      <c r="G43" s="649">
        <v>246</v>
      </c>
      <c r="H43" s="657">
        <f>G43</f>
        <v>246</v>
      </c>
      <c r="I43" s="648" t="s">
        <v>14</v>
      </c>
      <c r="J43" s="649">
        <v>112</v>
      </c>
      <c r="K43" s="657">
        <f>J43</f>
        <v>112</v>
      </c>
      <c r="L43" s="677" t="s">
        <v>1584</v>
      </c>
      <c r="M43" s="914">
        <v>28</v>
      </c>
    </row>
    <row r="44" spans="1:19" ht="50.1" customHeight="1">
      <c r="A44" s="910">
        <v>29</v>
      </c>
      <c r="B44" s="488" t="s">
        <v>1573</v>
      </c>
      <c r="C44" s="503">
        <v>23</v>
      </c>
      <c r="D44" s="484">
        <v>78</v>
      </c>
      <c r="E44" s="471">
        <f t="shared" si="6"/>
        <v>101</v>
      </c>
      <c r="F44" s="503" t="s">
        <v>14</v>
      </c>
      <c r="G44" s="484" t="s">
        <v>14</v>
      </c>
      <c r="H44" s="471" t="s">
        <v>14</v>
      </c>
      <c r="I44" s="503" t="s">
        <v>14</v>
      </c>
      <c r="J44" s="484" t="s">
        <v>14</v>
      </c>
      <c r="K44" s="471" t="s">
        <v>14</v>
      </c>
      <c r="L44" s="502" t="s">
        <v>1936</v>
      </c>
      <c r="M44" s="910">
        <v>29</v>
      </c>
    </row>
    <row r="45" spans="1:19" ht="50.1" customHeight="1">
      <c r="A45" s="914">
        <v>30</v>
      </c>
      <c r="B45" s="622" t="s">
        <v>1574</v>
      </c>
      <c r="C45" s="648">
        <v>27</v>
      </c>
      <c r="D45" s="649">
        <v>124</v>
      </c>
      <c r="E45" s="657">
        <f t="shared" si="6"/>
        <v>151</v>
      </c>
      <c r="F45" s="648">
        <v>12</v>
      </c>
      <c r="G45" s="649">
        <v>95</v>
      </c>
      <c r="H45" s="657">
        <f t="shared" ref="H45" si="9">G45+F45</f>
        <v>107</v>
      </c>
      <c r="I45" s="648">
        <v>13</v>
      </c>
      <c r="J45" s="649">
        <v>120</v>
      </c>
      <c r="K45" s="657">
        <f>J45+I45</f>
        <v>133</v>
      </c>
      <c r="L45" s="677" t="s">
        <v>1937</v>
      </c>
      <c r="M45" s="914">
        <v>30</v>
      </c>
    </row>
    <row r="46" spans="1:19" ht="50.1" customHeight="1">
      <c r="A46" s="910">
        <v>31</v>
      </c>
      <c r="B46" s="386" t="s">
        <v>1575</v>
      </c>
      <c r="C46" s="392">
        <v>37</v>
      </c>
      <c r="D46" s="387">
        <v>118</v>
      </c>
      <c r="E46" s="385">
        <f>D46+C46</f>
        <v>155</v>
      </c>
      <c r="F46" s="503">
        <v>39</v>
      </c>
      <c r="G46" s="484">
        <v>105</v>
      </c>
      <c r="H46" s="471">
        <f>G46+F46</f>
        <v>144</v>
      </c>
      <c r="I46" s="503">
        <v>68</v>
      </c>
      <c r="J46" s="484">
        <v>82</v>
      </c>
      <c r="K46" s="471">
        <f>J46+I46</f>
        <v>150</v>
      </c>
      <c r="L46" s="391" t="s">
        <v>1587</v>
      </c>
      <c r="M46" s="910">
        <v>31</v>
      </c>
    </row>
    <row r="47" spans="1:19" ht="50.1" customHeight="1">
      <c r="A47" s="916">
        <v>32</v>
      </c>
      <c r="B47" s="658" t="s">
        <v>1576</v>
      </c>
      <c r="C47" s="667">
        <v>22</v>
      </c>
      <c r="D47" s="668">
        <v>37</v>
      </c>
      <c r="E47" s="662">
        <f>D47+C47</f>
        <v>59</v>
      </c>
      <c r="F47" s="667">
        <v>5</v>
      </c>
      <c r="G47" s="668">
        <v>20</v>
      </c>
      <c r="H47" s="662">
        <f>G47+F47</f>
        <v>25</v>
      </c>
      <c r="I47" s="668" t="s">
        <v>14</v>
      </c>
      <c r="J47" s="668" t="s">
        <v>14</v>
      </c>
      <c r="K47" s="669" t="s">
        <v>14</v>
      </c>
      <c r="L47" s="662" t="s">
        <v>1588</v>
      </c>
      <c r="M47" s="916">
        <v>32</v>
      </c>
    </row>
    <row r="48" spans="1:19" ht="50.1" customHeight="1">
      <c r="A48" s="1417" t="s">
        <v>27</v>
      </c>
      <c r="B48" s="1417"/>
      <c r="C48" s="1417"/>
      <c r="D48" s="1417"/>
      <c r="E48" s="1409" t="s">
        <v>626</v>
      </c>
      <c r="F48" s="1409"/>
      <c r="G48" s="1409"/>
      <c r="H48" s="1409"/>
      <c r="I48" s="1409"/>
      <c r="J48" s="1409"/>
      <c r="K48" s="1414" t="s">
        <v>24</v>
      </c>
      <c r="L48" s="1414"/>
      <c r="M48" s="1414"/>
      <c r="S48" s="2"/>
    </row>
    <row r="49" spans="1:19" ht="33" customHeight="1">
      <c r="A49" s="1468" t="s">
        <v>2029</v>
      </c>
      <c r="B49" s="1468"/>
      <c r="C49" s="1468"/>
      <c r="D49" s="1468"/>
      <c r="E49" s="1468"/>
      <c r="F49" s="1468"/>
      <c r="G49" s="1468"/>
      <c r="H49" s="1468"/>
      <c r="I49" s="1468"/>
      <c r="J49" s="1468"/>
      <c r="K49" s="1468"/>
      <c r="L49" s="1468"/>
      <c r="M49" s="1468"/>
    </row>
    <row r="50" spans="1:19" ht="33" customHeight="1">
      <c r="P50" s="1"/>
    </row>
    <row r="51" spans="1:19" ht="33" customHeight="1">
      <c r="P51" s="1"/>
    </row>
    <row r="52" spans="1:19" ht="33" customHeight="1">
      <c r="P52" s="1"/>
    </row>
    <row r="53" spans="1:19" ht="33" customHeight="1">
      <c r="Q53" s="2" t="s">
        <v>1156</v>
      </c>
      <c r="R53" s="2" t="s">
        <v>1305</v>
      </c>
      <c r="S53" s="2" t="s">
        <v>1774</v>
      </c>
    </row>
    <row r="54" spans="1:19" ht="33" customHeight="1">
      <c r="Q54">
        <v>1394</v>
      </c>
      <c r="R54">
        <v>1395</v>
      </c>
      <c r="S54">
        <v>1396</v>
      </c>
    </row>
    <row r="55" spans="1:19" ht="20.100000000000001" customHeight="1">
      <c r="P55" s="1" t="s">
        <v>1082</v>
      </c>
      <c r="Q55">
        <v>28156</v>
      </c>
      <c r="R55">
        <v>32769</v>
      </c>
      <c r="S55">
        <v>38224</v>
      </c>
    </row>
    <row r="56" spans="1:19" ht="33" customHeight="1">
      <c r="P56" s="1" t="s">
        <v>1084</v>
      </c>
      <c r="Q56">
        <v>22291</v>
      </c>
      <c r="R56">
        <v>25551</v>
      </c>
      <c r="S56">
        <v>29869</v>
      </c>
    </row>
    <row r="57" spans="1:19">
      <c r="P57" s="1" t="s">
        <v>1083</v>
      </c>
      <c r="Q57">
        <v>5865</v>
      </c>
      <c r="R57">
        <v>7218</v>
      </c>
      <c r="S57">
        <v>8355</v>
      </c>
    </row>
  </sheetData>
  <mergeCells count="30">
    <mergeCell ref="A49:M49"/>
    <mergeCell ref="I4:K4"/>
    <mergeCell ref="I5:K5"/>
    <mergeCell ref="L4:L8"/>
    <mergeCell ref="A1:M1"/>
    <mergeCell ref="A2:M2"/>
    <mergeCell ref="A3:M3"/>
    <mergeCell ref="A4:A8"/>
    <mergeCell ref="M4:M8"/>
    <mergeCell ref="B4:B8"/>
    <mergeCell ref="C4:E4"/>
    <mergeCell ref="C5:E5"/>
    <mergeCell ref="F4:H4"/>
    <mergeCell ref="F5:H5"/>
    <mergeCell ref="A28:A32"/>
    <mergeCell ref="M28:M32"/>
    <mergeCell ref="J27:M27"/>
    <mergeCell ref="A27:D27"/>
    <mergeCell ref="K48:M48"/>
    <mergeCell ref="E48:J48"/>
    <mergeCell ref="A48:D48"/>
    <mergeCell ref="E27:I27"/>
    <mergeCell ref="B28:B32"/>
    <mergeCell ref="C28:E28"/>
    <mergeCell ref="F28:H28"/>
    <mergeCell ref="I28:K28"/>
    <mergeCell ref="L28:L32"/>
    <mergeCell ref="C29:E29"/>
    <mergeCell ref="F29:H29"/>
    <mergeCell ref="I29:K29"/>
  </mergeCells>
  <pageMargins left="0.48" right="0.44" top="0.39370078740157499" bottom="0.55118110236220497" header="0.196850393700787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    سالنامۀ احصائیوی / احصا ئيوي کالنی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52"/>
  <sheetViews>
    <sheetView view="pageBreakPreview" topLeftCell="A22" zoomScale="89" zoomScaleSheetLayoutView="89" workbookViewId="0">
      <selection activeCell="D30" sqref="D30"/>
    </sheetView>
  </sheetViews>
  <sheetFormatPr defaultRowHeight="15"/>
  <cols>
    <col min="1" max="1" width="5.85546875" customWidth="1"/>
    <col min="2" max="2" width="23.85546875" customWidth="1"/>
    <col min="3" max="3" width="7.140625" customWidth="1"/>
    <col min="4" max="4" width="8.5703125" customWidth="1"/>
    <col min="5" max="5" width="8.42578125" customWidth="1"/>
    <col min="6" max="6" width="7.42578125" customWidth="1"/>
    <col min="7" max="8" width="8.42578125" customWidth="1"/>
    <col min="9" max="9" width="7.5703125" customWidth="1"/>
    <col min="10" max="10" width="8.42578125" customWidth="1"/>
    <col min="11" max="11" width="8.5703125" customWidth="1"/>
    <col min="12" max="12" width="26.7109375" customWidth="1"/>
    <col min="13" max="13" width="5.5703125" customWidth="1"/>
  </cols>
  <sheetData>
    <row r="1" spans="1:34" ht="27" customHeight="1">
      <c r="A1" s="1406" t="s">
        <v>457</v>
      </c>
      <c r="B1" s="1406"/>
      <c r="C1" s="1406"/>
      <c r="D1" s="1406"/>
      <c r="E1" s="1406"/>
      <c r="F1" s="1406"/>
      <c r="G1" s="1406"/>
      <c r="H1" s="1406"/>
      <c r="I1" s="1406"/>
      <c r="J1" s="1406"/>
      <c r="K1" s="1406"/>
      <c r="L1" s="1406"/>
      <c r="M1" s="1406"/>
      <c r="N1" s="10"/>
      <c r="O1" s="10"/>
      <c r="P1" s="10"/>
      <c r="Q1" s="10"/>
      <c r="R1" s="52"/>
      <c r="S1" s="10"/>
      <c r="T1" s="10"/>
      <c r="U1" s="10"/>
      <c r="V1" s="10"/>
      <c r="Z1" s="10"/>
      <c r="AA1" s="10"/>
      <c r="AB1" s="10"/>
      <c r="AC1" s="10"/>
      <c r="AD1" s="52"/>
      <c r="AE1" s="10"/>
      <c r="AF1" s="10"/>
      <c r="AG1" s="10"/>
      <c r="AH1" s="10"/>
    </row>
    <row r="2" spans="1:34" ht="27" customHeight="1">
      <c r="A2" s="1472" t="s">
        <v>704</v>
      </c>
      <c r="B2" s="1472"/>
      <c r="C2" s="1472"/>
      <c r="D2" s="1472"/>
      <c r="E2" s="1472"/>
      <c r="F2" s="1472"/>
      <c r="G2" s="1472"/>
      <c r="H2" s="1472"/>
      <c r="I2" s="1472"/>
      <c r="J2" s="1472"/>
      <c r="K2" s="1472"/>
      <c r="L2" s="1472"/>
      <c r="M2" s="1472"/>
      <c r="N2" s="399"/>
      <c r="O2" s="399"/>
      <c r="P2" s="399"/>
      <c r="Q2" s="401"/>
      <c r="R2" s="401"/>
      <c r="S2" s="401"/>
      <c r="T2" s="399"/>
      <c r="U2" s="399"/>
      <c r="V2" s="399"/>
      <c r="Z2" s="399"/>
      <c r="AA2" s="399"/>
      <c r="AB2" s="399"/>
      <c r="AC2" s="401"/>
      <c r="AD2" s="401"/>
      <c r="AE2" s="401"/>
      <c r="AF2" s="399"/>
      <c r="AG2" s="399"/>
      <c r="AH2" s="399"/>
    </row>
    <row r="3" spans="1:34" ht="27" customHeight="1">
      <c r="A3" s="1472" t="s">
        <v>445</v>
      </c>
      <c r="B3" s="1472"/>
      <c r="C3" s="1472"/>
      <c r="D3" s="1472"/>
      <c r="E3" s="1472"/>
      <c r="F3" s="1472"/>
      <c r="G3" s="1472"/>
      <c r="H3" s="1472"/>
      <c r="I3" s="1472"/>
      <c r="J3" s="1472"/>
      <c r="K3" s="1472"/>
      <c r="L3" s="1472"/>
      <c r="M3" s="1472"/>
      <c r="N3" s="396"/>
      <c r="O3" s="396"/>
      <c r="P3" s="396"/>
      <c r="Q3" s="396"/>
      <c r="R3" s="396"/>
      <c r="S3" s="396"/>
      <c r="T3" s="396"/>
      <c r="U3" s="396"/>
      <c r="V3" s="396"/>
      <c r="Z3" s="396"/>
      <c r="AA3" s="396"/>
      <c r="AB3" s="396"/>
      <c r="AC3" s="396"/>
      <c r="AD3" s="396"/>
      <c r="AE3" s="396"/>
      <c r="AF3" s="396"/>
      <c r="AG3" s="396"/>
      <c r="AH3" s="396"/>
    </row>
    <row r="4" spans="1:34" ht="27" customHeight="1">
      <c r="A4" s="1459" t="s">
        <v>2028</v>
      </c>
      <c r="B4" s="1443" t="s">
        <v>402</v>
      </c>
      <c r="C4" s="1443">
        <v>1396</v>
      </c>
      <c r="D4" s="1445"/>
      <c r="E4" s="1445"/>
      <c r="F4" s="1443">
        <v>1395</v>
      </c>
      <c r="G4" s="1445"/>
      <c r="H4" s="1445"/>
      <c r="I4" s="1443">
        <v>1394</v>
      </c>
      <c r="J4" s="1445"/>
      <c r="K4" s="1451"/>
      <c r="L4" s="1451" t="s">
        <v>404</v>
      </c>
      <c r="M4" s="1459" t="s">
        <v>2027</v>
      </c>
      <c r="N4" s="10"/>
      <c r="O4" s="52"/>
      <c r="P4" s="402"/>
      <c r="Q4" s="10"/>
      <c r="R4" s="52"/>
      <c r="S4" s="402"/>
      <c r="T4" s="403"/>
      <c r="U4" s="403"/>
      <c r="V4" s="402"/>
      <c r="Z4" s="10"/>
      <c r="AA4" s="52"/>
      <c r="AB4" s="402"/>
      <c r="AC4" s="10"/>
      <c r="AD4" s="52"/>
      <c r="AE4" s="402"/>
      <c r="AF4" s="10"/>
      <c r="AG4" s="52"/>
      <c r="AH4" s="402"/>
    </row>
    <row r="5" spans="1:34" ht="27" customHeight="1">
      <c r="A5" s="1460"/>
      <c r="B5" s="1444"/>
      <c r="C5" s="1446" t="s">
        <v>1773</v>
      </c>
      <c r="D5" s="1447"/>
      <c r="E5" s="1447"/>
      <c r="F5" s="1448" t="s">
        <v>1772</v>
      </c>
      <c r="G5" s="1449"/>
      <c r="H5" s="1450"/>
      <c r="I5" s="1448" t="s">
        <v>1771</v>
      </c>
      <c r="J5" s="1449"/>
      <c r="K5" s="1450"/>
      <c r="L5" s="1452"/>
      <c r="M5" s="1460"/>
      <c r="N5" s="10">
        <f>7218-7274</f>
        <v>-56</v>
      </c>
      <c r="O5" s="52">
        <f>25551-25685</f>
        <v>-134</v>
      </c>
      <c r="P5" s="402"/>
      <c r="Q5" s="10"/>
      <c r="R5" s="52"/>
      <c r="S5" s="402"/>
      <c r="T5" s="10"/>
      <c r="U5" s="52"/>
      <c r="V5" s="402"/>
      <c r="Z5" s="10"/>
      <c r="AA5" s="52"/>
      <c r="AB5" s="402"/>
      <c r="AC5" s="10"/>
      <c r="AD5" s="52"/>
      <c r="AE5" s="402"/>
      <c r="AF5" s="10"/>
      <c r="AG5" s="52"/>
      <c r="AH5" s="402"/>
    </row>
    <row r="6" spans="1:34" ht="27" customHeight="1">
      <c r="A6" s="1460"/>
      <c r="B6" s="1444"/>
      <c r="C6" s="890" t="s">
        <v>0</v>
      </c>
      <c r="D6" s="903" t="s">
        <v>1</v>
      </c>
      <c r="E6" s="892" t="s">
        <v>2</v>
      </c>
      <c r="F6" s="890" t="s">
        <v>0</v>
      </c>
      <c r="G6" s="903" t="s">
        <v>1</v>
      </c>
      <c r="H6" s="892" t="s">
        <v>2</v>
      </c>
      <c r="I6" s="890" t="s">
        <v>0</v>
      </c>
      <c r="J6" s="903" t="s">
        <v>1</v>
      </c>
      <c r="K6" s="893" t="s">
        <v>2</v>
      </c>
      <c r="L6" s="1452"/>
      <c r="M6" s="1460"/>
      <c r="N6" s="395"/>
      <c r="O6" s="104"/>
      <c r="P6" s="402"/>
      <c r="Q6" s="104"/>
      <c r="R6" s="104"/>
      <c r="S6" s="402"/>
      <c r="T6" s="104"/>
      <c r="U6" s="104"/>
      <c r="V6" s="402"/>
      <c r="Z6" s="10"/>
      <c r="AA6" s="52"/>
      <c r="AB6" s="402"/>
      <c r="AC6" s="10"/>
      <c r="AD6" s="52"/>
      <c r="AE6" s="402"/>
      <c r="AF6" s="10"/>
      <c r="AG6" s="52"/>
      <c r="AH6" s="402"/>
    </row>
    <row r="7" spans="1:34" ht="27" customHeight="1">
      <c r="A7" s="1460"/>
      <c r="B7" s="1444"/>
      <c r="C7" s="894" t="s">
        <v>500</v>
      </c>
      <c r="D7" s="895" t="s">
        <v>501</v>
      </c>
      <c r="E7" s="896" t="s">
        <v>502</v>
      </c>
      <c r="F7" s="894" t="s">
        <v>500</v>
      </c>
      <c r="G7" s="895" t="s">
        <v>501</v>
      </c>
      <c r="H7" s="896" t="s">
        <v>502</v>
      </c>
      <c r="I7" s="894" t="s">
        <v>500</v>
      </c>
      <c r="J7" s="895" t="s">
        <v>501</v>
      </c>
      <c r="K7" s="897" t="s">
        <v>502</v>
      </c>
      <c r="L7" s="1452"/>
      <c r="M7" s="1460"/>
      <c r="N7" s="10"/>
      <c r="O7" s="10"/>
      <c r="P7" s="10"/>
      <c r="Q7" s="10"/>
      <c r="R7" s="10"/>
      <c r="S7" s="406"/>
      <c r="T7" s="10"/>
      <c r="U7" s="10"/>
      <c r="V7" s="10"/>
      <c r="Z7" s="10"/>
      <c r="AA7" s="52"/>
      <c r="AB7" s="402"/>
      <c r="AC7" s="10"/>
      <c r="AD7" s="52"/>
      <c r="AE7" s="402"/>
      <c r="AF7" s="10"/>
      <c r="AG7" s="52"/>
      <c r="AH7" s="402"/>
    </row>
    <row r="8" spans="1:34" ht="27" customHeight="1">
      <c r="A8" s="1461"/>
      <c r="B8" s="1467"/>
      <c r="C8" s="898" t="s">
        <v>3</v>
      </c>
      <c r="D8" s="904" t="s">
        <v>4</v>
      </c>
      <c r="E8" s="900" t="s">
        <v>5</v>
      </c>
      <c r="F8" s="898" t="s">
        <v>3</v>
      </c>
      <c r="G8" s="904" t="s">
        <v>4</v>
      </c>
      <c r="H8" s="900" t="s">
        <v>5</v>
      </c>
      <c r="I8" s="898" t="s">
        <v>3</v>
      </c>
      <c r="J8" s="904" t="s">
        <v>4</v>
      </c>
      <c r="K8" s="902" t="s">
        <v>5</v>
      </c>
      <c r="L8" s="1455"/>
      <c r="M8" s="1461"/>
      <c r="N8" s="10"/>
      <c r="O8" s="447"/>
      <c r="P8" s="10"/>
      <c r="Q8" s="10"/>
      <c r="R8" s="52"/>
      <c r="S8" s="406"/>
      <c r="T8" s="10"/>
      <c r="U8" s="10"/>
      <c r="V8" s="10"/>
      <c r="Z8" s="10"/>
      <c r="AA8" s="52"/>
      <c r="AB8" s="402"/>
      <c r="AC8" s="10"/>
      <c r="AD8" s="52"/>
      <c r="AE8" s="402"/>
      <c r="AF8" s="10"/>
      <c r="AG8" s="52"/>
      <c r="AH8" s="402"/>
    </row>
    <row r="9" spans="1:34" ht="62.1" customHeight="1">
      <c r="A9" s="906"/>
      <c r="B9" s="622" t="s">
        <v>1171</v>
      </c>
      <c r="C9" s="656">
        <f>C10+C11+C12+C13+C14+C15+C16+C17+C18+C19+C20+C21+C22+C23+C24+C31+C33+C34+C35+C36+C37+C38+C39+C40+C41+C42+P51+C43+C46+C47</f>
        <v>8355</v>
      </c>
      <c r="D9" s="657">
        <f>D10+D11+D12+D13+D14+D15+D16+D17+D18+D19+D20+D21+D22+D23+D24+D31+D32+D33+D34+D35+D36+D37+D38+D39+D40+D41+P40+D42+Q51+D43+D44+D46+D47</f>
        <v>29869</v>
      </c>
      <c r="E9" s="626">
        <f>E10+E11+E12+E13+E14+E15+E16+E17+E18+E19+E20+E21+E22+E23+E24+E31+E32+E33+E34+E35+E36+E37+E38+E39+E40+E41+Q40+E42+R51+E43+E44+E46+E47</f>
        <v>38224</v>
      </c>
      <c r="F9" s="656">
        <f>F10+F11+F12+F13+F14+F15+F16+F17+F18+F19+F20+F21+F22+F23+F24+F31+F33+F34+F35+F36+F37+F38+F39+F40+F41+F42+S51+F43+F46+F47</f>
        <v>7239</v>
      </c>
      <c r="G9" s="657">
        <f>G10+G11+G12+G13+G14+G15+G16+G17+G18+G19+G20+G21+G22+G23+G24+G31+G32+G33+G34+G35+G36+G37+G38+G39+G40+G41+S40+G42+T51+G43+G44+G46+G47</f>
        <v>25594</v>
      </c>
      <c r="H9" s="626">
        <f>H10+H11+H12+H13+H14+H15+H16+H17+H18+H19+H20+H21+H22+H23+H24+H31+H32+H33+H34+H35+H36+H37+H38+H39+H40+H41+T40+H42+U51+H43+H44+H46+H47</f>
        <v>32834</v>
      </c>
      <c r="I9" s="656">
        <v>5865</v>
      </c>
      <c r="J9" s="657">
        <v>22291</v>
      </c>
      <c r="K9" s="626">
        <v>28156</v>
      </c>
      <c r="L9" s="626" t="s">
        <v>627</v>
      </c>
      <c r="M9" s="906"/>
      <c r="N9" s="399"/>
      <c r="O9" s="450"/>
      <c r="P9" s="399"/>
      <c r="Q9" s="401"/>
      <c r="R9" s="401"/>
      <c r="S9" s="401"/>
      <c r="T9" s="399"/>
      <c r="U9" s="399"/>
      <c r="V9" s="399"/>
      <c r="Z9" s="10"/>
      <c r="AA9" s="52"/>
      <c r="AB9" s="402"/>
      <c r="AC9" s="10"/>
      <c r="AD9" s="52"/>
      <c r="AE9" s="402"/>
      <c r="AF9" s="10"/>
      <c r="AG9" s="52"/>
      <c r="AH9" s="402"/>
    </row>
    <row r="10" spans="1:34" ht="62.1" customHeight="1">
      <c r="A10" s="910">
        <v>1</v>
      </c>
      <c r="B10" s="305" t="s">
        <v>29</v>
      </c>
      <c r="C10" s="486">
        <v>432</v>
      </c>
      <c r="D10" s="471">
        <v>2182</v>
      </c>
      <c r="E10" s="471">
        <f>D10+C10</f>
        <v>2614</v>
      </c>
      <c r="F10" s="486">
        <v>314</v>
      </c>
      <c r="G10" s="471">
        <v>1572</v>
      </c>
      <c r="H10" s="471">
        <f>G10+F10</f>
        <v>1886</v>
      </c>
      <c r="I10" s="486">
        <v>273</v>
      </c>
      <c r="J10" s="471">
        <v>1244</v>
      </c>
      <c r="K10" s="487">
        <f t="shared" ref="K10:K24" si="0">J10+I10</f>
        <v>1517</v>
      </c>
      <c r="L10" s="174" t="s">
        <v>628</v>
      </c>
      <c r="M10" s="910">
        <v>1</v>
      </c>
      <c r="N10" s="396"/>
      <c r="O10" s="396"/>
      <c r="P10" s="468"/>
      <c r="Q10" s="396"/>
      <c r="R10" s="396"/>
      <c r="S10" s="396"/>
      <c r="T10" s="396"/>
      <c r="U10" s="396"/>
      <c r="V10" s="396"/>
      <c r="Z10" s="10"/>
      <c r="AA10" s="52"/>
      <c r="AB10" s="402"/>
      <c r="AC10" s="10"/>
      <c r="AD10" s="52"/>
      <c r="AE10" s="402"/>
      <c r="AF10" s="10"/>
      <c r="AG10" s="52"/>
      <c r="AH10" s="402"/>
    </row>
    <row r="11" spans="1:34" ht="62.1" customHeight="1">
      <c r="A11" s="914">
        <v>2</v>
      </c>
      <c r="B11" s="622" t="s">
        <v>30</v>
      </c>
      <c r="C11" s="656">
        <f>15+619</f>
        <v>634</v>
      </c>
      <c r="D11" s="657">
        <f>19+954</f>
        <v>973</v>
      </c>
      <c r="E11" s="657">
        <f t="shared" ref="E11:E23" si="1">D11+C11</f>
        <v>1607</v>
      </c>
      <c r="F11" s="656">
        <f>198+466</f>
        <v>664</v>
      </c>
      <c r="G11" s="657">
        <f>159+852</f>
        <v>1011</v>
      </c>
      <c r="H11" s="657">
        <f>G11+F11</f>
        <v>1675</v>
      </c>
      <c r="I11" s="656">
        <v>505</v>
      </c>
      <c r="J11" s="657">
        <v>857</v>
      </c>
      <c r="K11" s="626">
        <f t="shared" si="0"/>
        <v>1362</v>
      </c>
      <c r="L11" s="626" t="s">
        <v>629</v>
      </c>
      <c r="M11" s="914">
        <v>2</v>
      </c>
      <c r="N11" s="10"/>
      <c r="O11" s="52"/>
      <c r="P11" s="469"/>
      <c r="Q11" s="10"/>
      <c r="R11" s="52"/>
      <c r="S11" s="402"/>
      <c r="T11" s="10"/>
      <c r="U11" s="52"/>
      <c r="V11" s="402"/>
      <c r="Z11" s="10"/>
      <c r="AA11" s="52"/>
      <c r="AB11" s="402"/>
      <c r="AC11" s="10"/>
      <c r="AD11" s="52"/>
      <c r="AE11" s="402"/>
      <c r="AF11" s="10"/>
      <c r="AG11" s="52"/>
      <c r="AH11" s="402"/>
    </row>
    <row r="12" spans="1:34" ht="62.1" customHeight="1">
      <c r="A12" s="910">
        <v>3</v>
      </c>
      <c r="B12" s="305" t="s">
        <v>31</v>
      </c>
      <c r="C12" s="486">
        <f>39+1169+137</f>
        <v>1345</v>
      </c>
      <c r="D12" s="471">
        <f>213+3091+137+163</f>
        <v>3604</v>
      </c>
      <c r="E12" s="517">
        <f t="shared" si="1"/>
        <v>4949</v>
      </c>
      <c r="F12" s="486">
        <f>1176+12+3</f>
        <v>1191</v>
      </c>
      <c r="G12" s="471">
        <v>3195</v>
      </c>
      <c r="H12" s="471">
        <f>G12+F12</f>
        <v>4386</v>
      </c>
      <c r="I12" s="486">
        <v>1191</v>
      </c>
      <c r="J12" s="471">
        <v>2965</v>
      </c>
      <c r="K12" s="487">
        <f t="shared" si="0"/>
        <v>4156</v>
      </c>
      <c r="L12" s="174" t="s">
        <v>705</v>
      </c>
      <c r="M12" s="910">
        <v>3</v>
      </c>
      <c r="N12" s="10"/>
      <c r="O12" s="52"/>
      <c r="P12" s="402">
        <f>C9/E9*100</f>
        <v>21.857994976977814</v>
      </c>
      <c r="Q12" s="10"/>
      <c r="R12" s="52"/>
      <c r="S12" s="402"/>
      <c r="T12" s="10"/>
      <c r="U12" s="52"/>
      <c r="V12" s="402"/>
      <c r="Z12" s="10"/>
      <c r="AA12" s="52"/>
      <c r="AB12" s="402"/>
      <c r="AC12" s="10"/>
      <c r="AD12" s="52"/>
      <c r="AE12" s="402"/>
      <c r="AF12" s="10"/>
      <c r="AG12" s="52"/>
      <c r="AH12" s="402"/>
    </row>
    <row r="13" spans="1:34" ht="62.1" customHeight="1">
      <c r="A13" s="914">
        <v>4</v>
      </c>
      <c r="B13" s="622" t="s">
        <v>32</v>
      </c>
      <c r="C13" s="656">
        <v>45</v>
      </c>
      <c r="D13" s="657">
        <f>98+43+874+97</f>
        <v>1112</v>
      </c>
      <c r="E13" s="657">
        <f t="shared" si="1"/>
        <v>1157</v>
      </c>
      <c r="F13" s="656">
        <v>31</v>
      </c>
      <c r="G13" s="657">
        <v>1170</v>
      </c>
      <c r="H13" s="657">
        <f t="shared" ref="H13:H14" si="2">G13+F13</f>
        <v>1201</v>
      </c>
      <c r="I13" s="656">
        <v>32</v>
      </c>
      <c r="J13" s="657">
        <v>1384</v>
      </c>
      <c r="K13" s="626">
        <f t="shared" si="0"/>
        <v>1416</v>
      </c>
      <c r="L13" s="626" t="s">
        <v>706</v>
      </c>
      <c r="M13" s="914">
        <v>4</v>
      </c>
      <c r="N13" s="10"/>
      <c r="O13" s="52"/>
      <c r="P13" s="402"/>
      <c r="Q13" s="10"/>
      <c r="R13" s="52"/>
      <c r="S13" s="402"/>
      <c r="T13" s="10"/>
      <c r="U13" s="52"/>
      <c r="V13" s="402"/>
      <c r="Z13" s="10"/>
      <c r="AA13" s="52"/>
      <c r="AB13" s="402"/>
      <c r="AC13" s="10"/>
      <c r="AD13" s="52"/>
      <c r="AE13" s="402"/>
      <c r="AF13" s="10"/>
      <c r="AG13" s="52"/>
      <c r="AH13" s="402"/>
    </row>
    <row r="14" spans="1:34" ht="62.1" customHeight="1">
      <c r="A14" s="910">
        <v>5</v>
      </c>
      <c r="B14" s="605" t="s">
        <v>1970</v>
      </c>
      <c r="C14" s="486">
        <v>186</v>
      </c>
      <c r="D14" s="471">
        <v>328</v>
      </c>
      <c r="E14" s="517">
        <f t="shared" si="1"/>
        <v>514</v>
      </c>
      <c r="F14" s="486">
        <v>212</v>
      </c>
      <c r="G14" s="471">
        <v>222</v>
      </c>
      <c r="H14" s="471">
        <f t="shared" si="2"/>
        <v>434</v>
      </c>
      <c r="I14" s="486">
        <v>117</v>
      </c>
      <c r="J14" s="471">
        <v>136</v>
      </c>
      <c r="K14" s="487">
        <f t="shared" si="0"/>
        <v>253</v>
      </c>
      <c r="L14" s="174" t="s">
        <v>1781</v>
      </c>
      <c r="M14" s="910">
        <v>5</v>
      </c>
      <c r="N14" s="10"/>
      <c r="O14" s="52"/>
      <c r="P14" s="402"/>
      <c r="Q14" s="10"/>
      <c r="R14" s="52"/>
      <c r="S14" s="402"/>
      <c r="T14" s="10"/>
      <c r="U14" s="52"/>
      <c r="V14" s="402"/>
      <c r="Z14" s="10"/>
      <c r="AA14" s="52"/>
      <c r="AB14" s="402"/>
      <c r="AC14" s="10"/>
      <c r="AD14" s="52"/>
      <c r="AE14" s="402"/>
      <c r="AF14" s="10"/>
      <c r="AG14" s="52"/>
      <c r="AH14" s="402"/>
    </row>
    <row r="15" spans="1:34" ht="62.1" customHeight="1">
      <c r="A15" s="914">
        <v>6</v>
      </c>
      <c r="B15" s="622" t="s">
        <v>33</v>
      </c>
      <c r="C15" s="656">
        <v>305</v>
      </c>
      <c r="D15" s="657">
        <v>3350</v>
      </c>
      <c r="E15" s="657">
        <f t="shared" si="1"/>
        <v>3655</v>
      </c>
      <c r="F15" s="656">
        <v>284</v>
      </c>
      <c r="G15" s="657">
        <v>3390</v>
      </c>
      <c r="H15" s="657">
        <f>G15+F15</f>
        <v>3674</v>
      </c>
      <c r="I15" s="656">
        <v>105</v>
      </c>
      <c r="J15" s="657">
        <v>2933</v>
      </c>
      <c r="K15" s="626">
        <f t="shared" si="0"/>
        <v>3038</v>
      </c>
      <c r="L15" s="626" t="s">
        <v>630</v>
      </c>
      <c r="M15" s="914">
        <v>6</v>
      </c>
      <c r="N15" s="10"/>
      <c r="O15" s="52"/>
      <c r="P15" s="402"/>
      <c r="Q15" s="10"/>
      <c r="R15" s="52"/>
      <c r="S15" s="402"/>
      <c r="T15" s="10"/>
      <c r="U15" s="52"/>
      <c r="V15" s="402"/>
      <c r="Z15" s="10"/>
      <c r="AA15" s="52"/>
      <c r="AB15" s="402"/>
      <c r="AC15" s="10"/>
      <c r="AD15" s="52"/>
      <c r="AE15" s="402"/>
      <c r="AF15" s="10"/>
      <c r="AG15" s="52"/>
      <c r="AH15" s="402"/>
    </row>
    <row r="16" spans="1:34" ht="62.1" customHeight="1">
      <c r="A16" s="910">
        <v>7</v>
      </c>
      <c r="B16" s="305" t="s">
        <v>34</v>
      </c>
      <c r="C16" s="486">
        <v>480</v>
      </c>
      <c r="D16" s="471">
        <f>134+2689+236+54</f>
        <v>3113</v>
      </c>
      <c r="E16" s="517">
        <f t="shared" si="1"/>
        <v>3593</v>
      </c>
      <c r="F16" s="486">
        <v>324</v>
      </c>
      <c r="G16" s="471">
        <v>2102</v>
      </c>
      <c r="H16" s="471">
        <f t="shared" ref="H16" si="3">G16+F16</f>
        <v>2426</v>
      </c>
      <c r="I16" s="486">
        <v>376</v>
      </c>
      <c r="J16" s="471">
        <v>1870</v>
      </c>
      <c r="K16" s="487">
        <f t="shared" si="0"/>
        <v>2246</v>
      </c>
      <c r="L16" s="174" t="s">
        <v>631</v>
      </c>
      <c r="M16" s="910">
        <v>7</v>
      </c>
      <c r="N16" s="10"/>
      <c r="O16" s="52"/>
      <c r="P16" s="402"/>
      <c r="Q16" s="10"/>
      <c r="R16" s="52"/>
      <c r="S16" s="402"/>
      <c r="T16" s="10"/>
      <c r="U16" s="52"/>
      <c r="V16" s="402"/>
      <c r="Z16" s="10"/>
      <c r="AA16" s="52"/>
      <c r="AB16" s="402"/>
      <c r="AC16" s="10"/>
      <c r="AD16" s="52"/>
      <c r="AE16" s="402"/>
      <c r="AF16" s="10"/>
      <c r="AG16" s="52"/>
      <c r="AH16" s="402"/>
    </row>
    <row r="17" spans="1:34" ht="62.1" customHeight="1">
      <c r="A17" s="914">
        <v>8</v>
      </c>
      <c r="B17" s="622" t="s">
        <v>35</v>
      </c>
      <c r="C17" s="656">
        <v>17</v>
      </c>
      <c r="D17" s="657">
        <v>58</v>
      </c>
      <c r="E17" s="657">
        <f t="shared" si="1"/>
        <v>75</v>
      </c>
      <c r="F17" s="656">
        <f>28</f>
        <v>28</v>
      </c>
      <c r="G17" s="657">
        <f>77</f>
        <v>77</v>
      </c>
      <c r="H17" s="657">
        <f>G17+F17</f>
        <v>105</v>
      </c>
      <c r="I17" s="656">
        <v>28</v>
      </c>
      <c r="J17" s="657">
        <v>47</v>
      </c>
      <c r="K17" s="626">
        <f t="shared" si="0"/>
        <v>75</v>
      </c>
      <c r="L17" s="626" t="s">
        <v>668</v>
      </c>
      <c r="M17" s="914">
        <v>8</v>
      </c>
      <c r="N17" s="10"/>
      <c r="O17" s="52"/>
      <c r="P17" s="402"/>
      <c r="Q17" s="10"/>
      <c r="R17" s="52"/>
      <c r="S17" s="402"/>
      <c r="T17" s="10"/>
      <c r="U17" s="52"/>
      <c r="V17" s="402"/>
      <c r="Z17" s="10"/>
      <c r="AA17" s="52"/>
      <c r="AB17" s="402"/>
      <c r="AC17" s="10"/>
      <c r="AD17" s="52"/>
      <c r="AE17" s="402"/>
      <c r="AF17" s="10"/>
      <c r="AG17" s="52"/>
      <c r="AH17" s="402"/>
    </row>
    <row r="18" spans="1:34" ht="62.1" customHeight="1">
      <c r="A18" s="910">
        <v>9</v>
      </c>
      <c r="B18" s="305" t="s">
        <v>36</v>
      </c>
      <c r="C18" s="486">
        <v>91</v>
      </c>
      <c r="D18" s="471">
        <v>225</v>
      </c>
      <c r="E18" s="517">
        <f t="shared" si="1"/>
        <v>316</v>
      </c>
      <c r="F18" s="486">
        <v>15</v>
      </c>
      <c r="G18" s="471">
        <v>142</v>
      </c>
      <c r="H18" s="471">
        <f t="shared" ref="H18:H21" si="4">G18+F18</f>
        <v>157</v>
      </c>
      <c r="I18" s="486">
        <v>8</v>
      </c>
      <c r="J18" s="471">
        <v>105</v>
      </c>
      <c r="K18" s="487">
        <f t="shared" si="0"/>
        <v>113</v>
      </c>
      <c r="L18" s="174" t="s">
        <v>707</v>
      </c>
      <c r="M18" s="910">
        <v>9</v>
      </c>
      <c r="N18" s="10"/>
      <c r="O18" s="52"/>
      <c r="P18" s="402"/>
      <c r="Q18" s="10"/>
      <c r="R18" s="52"/>
      <c r="S18" s="402"/>
      <c r="T18" s="10"/>
      <c r="U18" s="52"/>
      <c r="V18" s="402"/>
      <c r="Z18" s="10"/>
      <c r="AA18" s="52"/>
      <c r="AB18" s="402"/>
      <c r="AC18" s="10"/>
      <c r="AD18" s="52"/>
      <c r="AE18" s="402"/>
      <c r="AF18" s="10"/>
      <c r="AG18" s="52"/>
      <c r="AH18" s="402"/>
    </row>
    <row r="19" spans="1:34" ht="62.1" customHeight="1">
      <c r="A19" s="914">
        <v>10</v>
      </c>
      <c r="B19" s="622" t="s">
        <v>37</v>
      </c>
      <c r="C19" s="654">
        <v>23</v>
      </c>
      <c r="D19" s="655">
        <v>263</v>
      </c>
      <c r="E19" s="657">
        <f t="shared" si="1"/>
        <v>286</v>
      </c>
      <c r="F19" s="654">
        <v>27</v>
      </c>
      <c r="G19" s="655">
        <v>280</v>
      </c>
      <c r="H19" s="655">
        <f t="shared" si="4"/>
        <v>307</v>
      </c>
      <c r="I19" s="654">
        <v>13</v>
      </c>
      <c r="J19" s="655">
        <v>228</v>
      </c>
      <c r="K19" s="632">
        <f t="shared" si="0"/>
        <v>241</v>
      </c>
      <c r="L19" s="626" t="s">
        <v>699</v>
      </c>
      <c r="M19" s="914">
        <v>10</v>
      </c>
      <c r="N19" s="10"/>
      <c r="O19" s="52"/>
      <c r="P19" s="402"/>
      <c r="Q19" s="10"/>
      <c r="R19" s="52"/>
      <c r="S19" s="402"/>
      <c r="T19" s="10"/>
      <c r="U19" s="52"/>
      <c r="V19" s="402"/>
      <c r="Z19" s="10"/>
      <c r="AA19" s="52"/>
      <c r="AB19" s="402"/>
      <c r="AC19" s="10"/>
      <c r="AD19" s="52"/>
      <c r="AE19" s="402"/>
      <c r="AF19" s="10"/>
      <c r="AG19" s="52"/>
      <c r="AH19" s="402"/>
    </row>
    <row r="20" spans="1:34" ht="62.1" customHeight="1">
      <c r="A20" s="910">
        <v>11</v>
      </c>
      <c r="B20" s="305" t="s">
        <v>38</v>
      </c>
      <c r="C20" s="486">
        <v>122</v>
      </c>
      <c r="D20" s="471">
        <v>175</v>
      </c>
      <c r="E20" s="517">
        <f t="shared" si="1"/>
        <v>297</v>
      </c>
      <c r="F20" s="486">
        <v>104</v>
      </c>
      <c r="G20" s="471">
        <v>164</v>
      </c>
      <c r="H20" s="471">
        <f t="shared" si="4"/>
        <v>268</v>
      </c>
      <c r="I20" s="486">
        <v>67</v>
      </c>
      <c r="J20" s="471">
        <v>143</v>
      </c>
      <c r="K20" s="487">
        <f t="shared" si="0"/>
        <v>210</v>
      </c>
      <c r="L20" s="174" t="s">
        <v>663</v>
      </c>
      <c r="M20" s="910">
        <v>11</v>
      </c>
      <c r="N20" s="10"/>
      <c r="O20" s="52"/>
      <c r="P20" s="402"/>
      <c r="Q20" s="10"/>
      <c r="R20" s="52"/>
      <c r="S20" s="402"/>
      <c r="T20" s="10"/>
      <c r="U20" s="52"/>
      <c r="V20" s="402"/>
      <c r="Z20" s="10"/>
      <c r="AA20" s="52"/>
      <c r="AB20" s="402"/>
      <c r="AC20" s="10"/>
      <c r="AD20" s="52"/>
      <c r="AE20" s="402"/>
      <c r="AF20" s="10"/>
      <c r="AG20" s="52"/>
      <c r="AH20" s="402"/>
    </row>
    <row r="21" spans="1:34" ht="62.1" customHeight="1">
      <c r="A21" s="914">
        <v>12</v>
      </c>
      <c r="B21" s="622" t="s">
        <v>39</v>
      </c>
      <c r="C21" s="656">
        <v>130</v>
      </c>
      <c r="D21" s="657">
        <v>994</v>
      </c>
      <c r="E21" s="657">
        <f t="shared" si="1"/>
        <v>1124</v>
      </c>
      <c r="F21" s="656">
        <v>128</v>
      </c>
      <c r="G21" s="657">
        <v>1013</v>
      </c>
      <c r="H21" s="657">
        <f t="shared" si="4"/>
        <v>1141</v>
      </c>
      <c r="I21" s="656">
        <v>101</v>
      </c>
      <c r="J21" s="657">
        <v>484</v>
      </c>
      <c r="K21" s="626">
        <f t="shared" si="0"/>
        <v>585</v>
      </c>
      <c r="L21" s="626" t="s">
        <v>633</v>
      </c>
      <c r="M21" s="914">
        <v>12</v>
      </c>
      <c r="N21" s="10"/>
      <c r="O21" s="52"/>
      <c r="P21" s="402"/>
      <c r="Q21" s="10"/>
      <c r="R21" s="52"/>
      <c r="S21" s="402"/>
      <c r="T21" s="10"/>
      <c r="U21" s="52"/>
      <c r="V21" s="402"/>
      <c r="Z21" s="10"/>
      <c r="AA21" s="52"/>
      <c r="AB21" s="402"/>
      <c r="AC21" s="10"/>
      <c r="AD21" s="52"/>
      <c r="AE21" s="402"/>
      <c r="AF21" s="10"/>
      <c r="AG21" s="52"/>
      <c r="AH21" s="402"/>
    </row>
    <row r="22" spans="1:34" ht="62.1" customHeight="1">
      <c r="A22" s="910">
        <v>13</v>
      </c>
      <c r="B22" s="305" t="s">
        <v>40</v>
      </c>
      <c r="C22" s="486">
        <f>64+687+5</f>
        <v>756</v>
      </c>
      <c r="D22" s="471">
        <f>118+1191+71</f>
        <v>1380</v>
      </c>
      <c r="E22" s="517">
        <f t="shared" si="1"/>
        <v>2136</v>
      </c>
      <c r="F22" s="486">
        <v>413</v>
      </c>
      <c r="G22" s="471">
        <v>1212</v>
      </c>
      <c r="H22" s="471">
        <f>G22+F22</f>
        <v>1625</v>
      </c>
      <c r="I22" s="486">
        <v>328</v>
      </c>
      <c r="J22" s="471">
        <v>985</v>
      </c>
      <c r="K22" s="487">
        <f t="shared" si="0"/>
        <v>1313</v>
      </c>
      <c r="L22" s="174" t="s">
        <v>708</v>
      </c>
      <c r="M22" s="910">
        <v>13</v>
      </c>
      <c r="N22" s="10"/>
      <c r="O22" s="10"/>
      <c r="P22" s="402"/>
      <c r="Q22" s="10"/>
      <c r="R22" s="405"/>
      <c r="S22" s="402"/>
      <c r="T22" s="10"/>
      <c r="U22" s="10"/>
      <c r="V22" s="402"/>
      <c r="Z22" s="10"/>
      <c r="AA22" s="52"/>
      <c r="AB22" s="402"/>
      <c r="AC22" s="10"/>
      <c r="AD22" s="52"/>
      <c r="AE22" s="402"/>
      <c r="AF22" s="10"/>
      <c r="AG22" s="52"/>
      <c r="AH22" s="402"/>
    </row>
    <row r="23" spans="1:34" ht="62.1" customHeight="1">
      <c r="A23" s="914">
        <v>14</v>
      </c>
      <c r="B23" s="622" t="s">
        <v>41</v>
      </c>
      <c r="C23" s="656">
        <f>3+693</f>
        <v>696</v>
      </c>
      <c r="D23" s="657">
        <f>104+2362</f>
        <v>2466</v>
      </c>
      <c r="E23" s="657">
        <f t="shared" si="1"/>
        <v>3162</v>
      </c>
      <c r="F23" s="656">
        <v>674</v>
      </c>
      <c r="G23" s="657">
        <v>2033</v>
      </c>
      <c r="H23" s="657">
        <f>G23+F23</f>
        <v>2707</v>
      </c>
      <c r="I23" s="656">
        <v>493</v>
      </c>
      <c r="J23" s="657">
        <v>1344</v>
      </c>
      <c r="K23" s="626">
        <f t="shared" si="0"/>
        <v>1837</v>
      </c>
      <c r="L23" s="626" t="s">
        <v>687</v>
      </c>
      <c r="M23" s="914">
        <v>14</v>
      </c>
      <c r="R23" s="405"/>
      <c r="S23" s="406"/>
      <c r="Z23" s="10"/>
      <c r="AA23" s="52"/>
      <c r="AB23" s="402"/>
      <c r="AC23" s="10"/>
      <c r="AD23" s="52"/>
      <c r="AE23" s="402"/>
      <c r="AF23" s="10"/>
      <c r="AG23" s="52"/>
      <c r="AH23" s="402"/>
    </row>
    <row r="24" spans="1:34" ht="62.1" customHeight="1">
      <c r="A24" s="1109">
        <v>15</v>
      </c>
      <c r="B24" s="388" t="s">
        <v>42</v>
      </c>
      <c r="C24" s="1173">
        <f>79+2392</f>
        <v>2471</v>
      </c>
      <c r="D24" s="351">
        <f>201-70+6850</f>
        <v>6981</v>
      </c>
      <c r="E24" s="351">
        <f>D24+C24</f>
        <v>9452</v>
      </c>
      <c r="F24" s="1173">
        <v>2160</v>
      </c>
      <c r="G24" s="351">
        <v>5270</v>
      </c>
      <c r="H24" s="351">
        <f>G24+F24</f>
        <v>7430</v>
      </c>
      <c r="I24" s="1173">
        <v>1603</v>
      </c>
      <c r="J24" s="351">
        <v>4957</v>
      </c>
      <c r="K24" s="389">
        <f t="shared" si="0"/>
        <v>6560</v>
      </c>
      <c r="L24" s="389" t="s">
        <v>634</v>
      </c>
      <c r="M24" s="1109">
        <v>15</v>
      </c>
      <c r="R24" s="405"/>
      <c r="S24" s="406"/>
      <c r="Z24" s="10"/>
      <c r="AA24" s="52"/>
      <c r="AB24" s="402"/>
      <c r="AC24" s="10"/>
      <c r="AD24" s="52"/>
      <c r="AE24" s="402"/>
      <c r="AF24" s="10"/>
      <c r="AG24" s="52"/>
      <c r="AH24" s="402"/>
    </row>
    <row r="25" spans="1:34" ht="26.1" customHeight="1">
      <c r="A25" s="1426" t="s">
        <v>521</v>
      </c>
      <c r="B25" s="1426"/>
      <c r="C25" s="1426"/>
      <c r="D25" s="1426"/>
      <c r="E25" s="1426"/>
      <c r="F25" s="1475" t="s">
        <v>520</v>
      </c>
      <c r="G25" s="1475"/>
      <c r="H25" s="1475"/>
      <c r="I25" s="1475"/>
      <c r="J25" s="1475"/>
      <c r="K25" s="1473" t="s">
        <v>519</v>
      </c>
      <c r="L25" s="1473"/>
      <c r="M25" s="1473"/>
      <c r="R25" s="405"/>
      <c r="S25" s="406"/>
      <c r="Z25" s="10"/>
      <c r="AA25" s="52"/>
      <c r="AB25" s="402"/>
      <c r="AC25" s="10"/>
      <c r="AD25" s="52"/>
      <c r="AE25" s="402"/>
      <c r="AF25" s="10"/>
      <c r="AG25" s="52"/>
      <c r="AH25" s="402"/>
    </row>
    <row r="26" spans="1:34" ht="26.1" customHeight="1">
      <c r="A26" s="1459" t="s">
        <v>2028</v>
      </c>
      <c r="B26" s="1443" t="s">
        <v>402</v>
      </c>
      <c r="C26" s="1443">
        <v>1396</v>
      </c>
      <c r="D26" s="1445"/>
      <c r="E26" s="1445"/>
      <c r="F26" s="1443">
        <v>1395</v>
      </c>
      <c r="G26" s="1445"/>
      <c r="H26" s="1445"/>
      <c r="I26" s="1443">
        <v>1394</v>
      </c>
      <c r="J26" s="1445"/>
      <c r="K26" s="1451"/>
      <c r="L26" s="1451" t="s">
        <v>404</v>
      </c>
      <c r="M26" s="1459" t="s">
        <v>2027</v>
      </c>
      <c r="R26" s="405"/>
      <c r="S26" s="406"/>
      <c r="X26" s="10"/>
      <c r="Y26" s="10"/>
      <c r="Z26" s="10"/>
      <c r="AA26" s="10"/>
      <c r="AB26" s="402"/>
      <c r="AC26" s="10"/>
      <c r="AD26" s="10"/>
      <c r="AE26" s="402"/>
      <c r="AF26" s="10"/>
      <c r="AG26" s="10"/>
      <c r="AH26" s="402"/>
    </row>
    <row r="27" spans="1:34" ht="26.1" customHeight="1">
      <c r="A27" s="1460"/>
      <c r="B27" s="1444"/>
      <c r="C27" s="1446" t="s">
        <v>1773</v>
      </c>
      <c r="D27" s="1447"/>
      <c r="E27" s="1447"/>
      <c r="F27" s="1448" t="s">
        <v>1772</v>
      </c>
      <c r="G27" s="1449"/>
      <c r="H27" s="1450"/>
      <c r="I27" s="1448" t="s">
        <v>1771</v>
      </c>
      <c r="J27" s="1449"/>
      <c r="K27" s="1450"/>
      <c r="L27" s="1452"/>
      <c r="M27" s="1460"/>
      <c r="R27" s="405"/>
      <c r="S27" s="406"/>
      <c r="X27" s="399"/>
      <c r="Y27" s="399"/>
      <c r="Z27" s="399"/>
      <c r="AA27" s="401"/>
      <c r="AB27" s="401"/>
      <c r="AC27" s="401"/>
      <c r="AD27" s="399"/>
      <c r="AE27" s="399"/>
      <c r="AF27" s="399"/>
    </row>
    <row r="28" spans="1:34" ht="26.1" customHeight="1">
      <c r="A28" s="1460"/>
      <c r="B28" s="1444"/>
      <c r="C28" s="1103" t="s">
        <v>0</v>
      </c>
      <c r="D28" s="1108" t="s">
        <v>1</v>
      </c>
      <c r="E28" s="1104" t="s">
        <v>2</v>
      </c>
      <c r="F28" s="1103" t="s">
        <v>0</v>
      </c>
      <c r="G28" s="1108" t="s">
        <v>1</v>
      </c>
      <c r="H28" s="1104" t="s">
        <v>2</v>
      </c>
      <c r="I28" s="1103" t="s">
        <v>0</v>
      </c>
      <c r="J28" s="1108" t="s">
        <v>1</v>
      </c>
      <c r="K28" s="1105" t="s">
        <v>2</v>
      </c>
      <c r="L28" s="1452"/>
      <c r="M28" s="1460"/>
      <c r="R28" s="405"/>
      <c r="S28" s="406"/>
      <c r="X28" s="396"/>
      <c r="Y28" s="396"/>
      <c r="Z28" s="396"/>
      <c r="AA28" s="396"/>
      <c r="AB28" s="396"/>
      <c r="AC28" s="396"/>
      <c r="AD28" s="396"/>
      <c r="AE28" s="396"/>
      <c r="AF28" s="396"/>
    </row>
    <row r="29" spans="1:34" ht="26.1" customHeight="1">
      <c r="A29" s="1460"/>
      <c r="B29" s="1444"/>
      <c r="C29" s="894" t="s">
        <v>500</v>
      </c>
      <c r="D29" s="895" t="s">
        <v>501</v>
      </c>
      <c r="E29" s="896" t="s">
        <v>502</v>
      </c>
      <c r="F29" s="894" t="s">
        <v>500</v>
      </c>
      <c r="G29" s="895" t="s">
        <v>501</v>
      </c>
      <c r="H29" s="896" t="s">
        <v>502</v>
      </c>
      <c r="I29" s="894" t="s">
        <v>500</v>
      </c>
      <c r="J29" s="895" t="s">
        <v>501</v>
      </c>
      <c r="K29" s="897" t="s">
        <v>502</v>
      </c>
      <c r="L29" s="1452"/>
      <c r="M29" s="1460"/>
      <c r="R29" s="405"/>
      <c r="S29" s="406"/>
      <c r="X29" s="10"/>
      <c r="Y29" s="52"/>
      <c r="Z29" s="402"/>
      <c r="AA29" s="10"/>
      <c r="AB29" s="52"/>
      <c r="AC29" s="402"/>
      <c r="AD29" s="10"/>
      <c r="AE29" s="52"/>
      <c r="AF29" s="402"/>
    </row>
    <row r="30" spans="1:34" ht="26.1" customHeight="1">
      <c r="A30" s="1461"/>
      <c r="B30" s="1467"/>
      <c r="C30" s="1110" t="s">
        <v>3</v>
      </c>
      <c r="D30" s="1109" t="s">
        <v>4</v>
      </c>
      <c r="E30" s="900" t="s">
        <v>5</v>
      </c>
      <c r="F30" s="1110" t="s">
        <v>3</v>
      </c>
      <c r="G30" s="1109" t="s">
        <v>4</v>
      </c>
      <c r="H30" s="900" t="s">
        <v>5</v>
      </c>
      <c r="I30" s="1110" t="s">
        <v>3</v>
      </c>
      <c r="J30" s="1109" t="s">
        <v>4</v>
      </c>
      <c r="K30" s="1107" t="s">
        <v>5</v>
      </c>
      <c r="L30" s="1455"/>
      <c r="M30" s="1461"/>
      <c r="R30" s="405"/>
      <c r="S30" s="406"/>
      <c r="X30" s="10"/>
      <c r="Y30" s="52"/>
      <c r="Z30" s="402"/>
      <c r="AA30" s="10"/>
      <c r="AB30" s="52"/>
      <c r="AC30" s="402"/>
      <c r="AD30" s="10"/>
      <c r="AE30" s="52"/>
      <c r="AF30" s="402"/>
    </row>
    <row r="31" spans="1:34" ht="60" customHeight="1">
      <c r="A31" s="915">
        <v>16</v>
      </c>
      <c r="B31" s="837" t="s">
        <v>43</v>
      </c>
      <c r="C31" s="674">
        <v>7</v>
      </c>
      <c r="D31" s="675">
        <v>116</v>
      </c>
      <c r="E31" s="675">
        <f>D31+C31</f>
        <v>123</v>
      </c>
      <c r="F31" s="674">
        <v>11</v>
      </c>
      <c r="G31" s="675">
        <v>155</v>
      </c>
      <c r="H31" s="675">
        <f>G31+F31</f>
        <v>166</v>
      </c>
      <c r="I31" s="674">
        <v>10</v>
      </c>
      <c r="J31" s="675">
        <v>238</v>
      </c>
      <c r="K31" s="627">
        <f>J31+I31</f>
        <v>248</v>
      </c>
      <c r="L31" s="627" t="s">
        <v>709</v>
      </c>
      <c r="M31" s="915">
        <v>16</v>
      </c>
      <c r="S31" s="406"/>
      <c r="X31" s="10"/>
      <c r="Y31" s="52"/>
      <c r="Z31" s="402"/>
      <c r="AA31" s="10"/>
      <c r="AB31" s="52"/>
      <c r="AC31" s="402"/>
      <c r="AD31" s="10"/>
      <c r="AE31" s="52"/>
      <c r="AF31" s="402"/>
    </row>
    <row r="32" spans="1:34" ht="60" customHeight="1">
      <c r="A32" s="910">
        <v>17</v>
      </c>
      <c r="B32" s="922" t="s">
        <v>44</v>
      </c>
      <c r="C32" s="486" t="s">
        <v>14</v>
      </c>
      <c r="D32" s="471">
        <v>84</v>
      </c>
      <c r="E32" s="471">
        <f>D32</f>
        <v>84</v>
      </c>
      <c r="F32" s="486" t="s">
        <v>14</v>
      </c>
      <c r="G32" s="471">
        <v>72</v>
      </c>
      <c r="H32" s="471">
        <f>G32</f>
        <v>72</v>
      </c>
      <c r="I32" s="486">
        <v>3</v>
      </c>
      <c r="J32" s="471">
        <v>68</v>
      </c>
      <c r="K32" s="487">
        <f>J32+I32</f>
        <v>71</v>
      </c>
      <c r="L32" s="174" t="s">
        <v>979</v>
      </c>
      <c r="M32" s="910">
        <v>17</v>
      </c>
      <c r="S32" s="406"/>
      <c r="X32" s="10"/>
      <c r="Y32" s="52"/>
      <c r="Z32" s="402"/>
      <c r="AA32" s="10"/>
      <c r="AB32" s="52"/>
      <c r="AC32" s="402"/>
      <c r="AD32" s="10"/>
      <c r="AE32" s="52"/>
      <c r="AF32" s="402"/>
    </row>
    <row r="33" spans="1:32" ht="60" customHeight="1">
      <c r="A33" s="914">
        <v>18</v>
      </c>
      <c r="B33" s="838" t="s">
        <v>45</v>
      </c>
      <c r="C33" s="656">
        <v>26</v>
      </c>
      <c r="D33" s="657">
        <v>57</v>
      </c>
      <c r="E33" s="657">
        <f>D33+C33</f>
        <v>83</v>
      </c>
      <c r="F33" s="656">
        <v>8</v>
      </c>
      <c r="G33" s="657">
        <v>42</v>
      </c>
      <c r="H33" s="657">
        <f t="shared" ref="H33:H42" si="5">G33+F33</f>
        <v>50</v>
      </c>
      <c r="I33" s="656">
        <v>9</v>
      </c>
      <c r="J33" s="657">
        <v>40</v>
      </c>
      <c r="K33" s="626">
        <f t="shared" ref="K33:K38" si="6">J33+I33</f>
        <v>49</v>
      </c>
      <c r="L33" s="626" t="s">
        <v>696</v>
      </c>
      <c r="M33" s="914">
        <v>18</v>
      </c>
      <c r="S33" s="406"/>
      <c r="X33" s="10"/>
      <c r="Y33" s="52"/>
      <c r="Z33" s="402"/>
      <c r="AA33" s="10"/>
      <c r="AB33" s="52"/>
      <c r="AC33" s="402"/>
      <c r="AD33" s="10"/>
      <c r="AE33" s="52"/>
      <c r="AF33" s="402"/>
    </row>
    <row r="34" spans="1:32" ht="60" customHeight="1">
      <c r="A34" s="910">
        <v>19</v>
      </c>
      <c r="B34" s="922" t="s">
        <v>1591</v>
      </c>
      <c r="C34" s="486">
        <v>76</v>
      </c>
      <c r="D34" s="471">
        <v>374</v>
      </c>
      <c r="E34" s="517">
        <f t="shared" ref="E34:E43" si="7">D34+C34</f>
        <v>450</v>
      </c>
      <c r="F34" s="486">
        <v>127</v>
      </c>
      <c r="G34" s="471">
        <v>629</v>
      </c>
      <c r="H34" s="471">
        <f t="shared" si="5"/>
        <v>756</v>
      </c>
      <c r="I34" s="486">
        <v>98</v>
      </c>
      <c r="J34" s="471">
        <v>433</v>
      </c>
      <c r="K34" s="487">
        <f t="shared" si="6"/>
        <v>531</v>
      </c>
      <c r="L34" s="174" t="s">
        <v>1884</v>
      </c>
      <c r="M34" s="910">
        <v>19</v>
      </c>
      <c r="S34" s="406"/>
      <c r="X34" s="10"/>
      <c r="Y34" s="52"/>
      <c r="Z34" s="402"/>
      <c r="AA34" s="10"/>
      <c r="AB34" s="52"/>
      <c r="AC34" s="402"/>
      <c r="AD34" s="10"/>
      <c r="AE34" s="52"/>
      <c r="AF34" s="402"/>
    </row>
    <row r="35" spans="1:32" ht="60" customHeight="1">
      <c r="A35" s="914">
        <v>20</v>
      </c>
      <c r="B35" s="838" t="s">
        <v>1219</v>
      </c>
      <c r="C35" s="648">
        <v>32</v>
      </c>
      <c r="D35" s="649">
        <v>54</v>
      </c>
      <c r="E35" s="657">
        <f t="shared" si="7"/>
        <v>86</v>
      </c>
      <c r="F35" s="648">
        <v>17</v>
      </c>
      <c r="G35" s="649">
        <v>55</v>
      </c>
      <c r="H35" s="657">
        <f t="shared" si="5"/>
        <v>72</v>
      </c>
      <c r="I35" s="648">
        <v>39</v>
      </c>
      <c r="J35" s="649">
        <v>51</v>
      </c>
      <c r="K35" s="626">
        <f t="shared" si="6"/>
        <v>90</v>
      </c>
      <c r="L35" s="626" t="s">
        <v>1217</v>
      </c>
      <c r="M35" s="914">
        <v>20</v>
      </c>
      <c r="S35" s="406"/>
      <c r="X35" s="10"/>
      <c r="Y35" s="52"/>
      <c r="Z35" s="402"/>
      <c r="AA35" s="10"/>
      <c r="AB35" s="52"/>
      <c r="AC35" s="402"/>
      <c r="AD35" s="10"/>
      <c r="AE35" s="52"/>
      <c r="AF35" s="402"/>
    </row>
    <row r="36" spans="1:32" ht="60" customHeight="1">
      <c r="A36" s="910">
        <v>21</v>
      </c>
      <c r="B36" s="922" t="s">
        <v>1220</v>
      </c>
      <c r="C36" s="486">
        <v>50</v>
      </c>
      <c r="D36" s="100">
        <v>133</v>
      </c>
      <c r="E36" s="517">
        <f t="shared" si="7"/>
        <v>183</v>
      </c>
      <c r="F36" s="486">
        <f>69</f>
        <v>69</v>
      </c>
      <c r="G36" s="100">
        <f>104</f>
        <v>104</v>
      </c>
      <c r="H36" s="471">
        <f t="shared" si="5"/>
        <v>173</v>
      </c>
      <c r="I36" s="486">
        <v>50</v>
      </c>
      <c r="J36" s="100">
        <v>116</v>
      </c>
      <c r="K36" s="487">
        <f t="shared" si="6"/>
        <v>166</v>
      </c>
      <c r="L36" s="174" t="s">
        <v>688</v>
      </c>
      <c r="M36" s="910">
        <v>21</v>
      </c>
      <c r="S36" s="406"/>
      <c r="X36" s="10"/>
      <c r="Y36" s="52"/>
      <c r="Z36" s="402"/>
      <c r="AA36" s="10"/>
      <c r="AB36" s="52"/>
      <c r="AC36" s="402"/>
      <c r="AD36" s="133"/>
      <c r="AE36" s="133"/>
      <c r="AF36" s="402"/>
    </row>
    <row r="37" spans="1:32" ht="60" customHeight="1">
      <c r="A37" s="914">
        <v>22</v>
      </c>
      <c r="B37" s="838" t="s">
        <v>1552</v>
      </c>
      <c r="C37" s="656">
        <v>39</v>
      </c>
      <c r="D37" s="657">
        <v>46</v>
      </c>
      <c r="E37" s="657">
        <f t="shared" si="7"/>
        <v>85</v>
      </c>
      <c r="F37" s="656">
        <f>55</f>
        <v>55</v>
      </c>
      <c r="G37" s="657">
        <f>34</f>
        <v>34</v>
      </c>
      <c r="H37" s="657">
        <f t="shared" si="5"/>
        <v>89</v>
      </c>
      <c r="I37" s="656">
        <v>63</v>
      </c>
      <c r="J37" s="657">
        <v>27</v>
      </c>
      <c r="K37" s="626">
        <f t="shared" si="6"/>
        <v>90</v>
      </c>
      <c r="L37" s="626" t="s">
        <v>1547</v>
      </c>
      <c r="M37" s="914">
        <v>22</v>
      </c>
      <c r="X37" s="10"/>
      <c r="Y37" s="52"/>
      <c r="Z37" s="402"/>
      <c r="AA37" s="10"/>
      <c r="AB37" s="52"/>
      <c r="AC37" s="402"/>
      <c r="AD37" s="10"/>
      <c r="AE37" s="52"/>
      <c r="AF37" s="402"/>
    </row>
    <row r="38" spans="1:32" ht="60" customHeight="1">
      <c r="A38" s="910">
        <v>23</v>
      </c>
      <c r="B38" s="922" t="s">
        <v>689</v>
      </c>
      <c r="C38" s="486">
        <v>42</v>
      </c>
      <c r="D38" s="471">
        <v>34</v>
      </c>
      <c r="E38" s="517">
        <f t="shared" si="7"/>
        <v>76</v>
      </c>
      <c r="F38" s="486">
        <v>53</v>
      </c>
      <c r="G38" s="471">
        <v>32</v>
      </c>
      <c r="H38" s="471">
        <f t="shared" si="5"/>
        <v>85</v>
      </c>
      <c r="I38" s="486">
        <v>27</v>
      </c>
      <c r="J38" s="471">
        <v>11</v>
      </c>
      <c r="K38" s="487">
        <f t="shared" si="6"/>
        <v>38</v>
      </c>
      <c r="L38" s="174" t="s">
        <v>701</v>
      </c>
      <c r="M38" s="910">
        <v>23</v>
      </c>
      <c r="X38" s="10"/>
      <c r="Y38" s="52"/>
      <c r="Z38" s="402"/>
      <c r="AA38" s="10"/>
      <c r="AB38" s="52"/>
      <c r="AC38" s="402"/>
      <c r="AD38" s="10"/>
      <c r="AE38" s="52"/>
      <c r="AF38" s="402"/>
    </row>
    <row r="39" spans="1:32" ht="60" customHeight="1">
      <c r="A39" s="914">
        <v>24</v>
      </c>
      <c r="B39" s="838" t="s">
        <v>1172</v>
      </c>
      <c r="C39" s="648">
        <v>15</v>
      </c>
      <c r="D39" s="649">
        <v>55</v>
      </c>
      <c r="E39" s="657">
        <f t="shared" si="7"/>
        <v>70</v>
      </c>
      <c r="F39" s="648">
        <v>12</v>
      </c>
      <c r="G39" s="649">
        <v>50</v>
      </c>
      <c r="H39" s="649">
        <f t="shared" si="5"/>
        <v>62</v>
      </c>
      <c r="I39" s="648" t="s">
        <v>14</v>
      </c>
      <c r="J39" s="649" t="s">
        <v>14</v>
      </c>
      <c r="K39" s="664" t="s">
        <v>14</v>
      </c>
      <c r="L39" s="626" t="s">
        <v>933</v>
      </c>
      <c r="M39" s="914">
        <v>24</v>
      </c>
      <c r="X39" s="10"/>
      <c r="Y39" s="52"/>
      <c r="Z39" s="402"/>
      <c r="AA39" s="10"/>
      <c r="AB39" s="52"/>
      <c r="AC39" s="402"/>
      <c r="AD39" s="10"/>
      <c r="AE39" s="52"/>
      <c r="AF39" s="402"/>
    </row>
    <row r="40" spans="1:32" ht="60" customHeight="1">
      <c r="A40" s="910">
        <v>25</v>
      </c>
      <c r="B40" s="922" t="s">
        <v>46</v>
      </c>
      <c r="C40" s="486">
        <v>4</v>
      </c>
      <c r="D40" s="471">
        <v>108</v>
      </c>
      <c r="E40" s="517">
        <f t="shared" si="7"/>
        <v>112</v>
      </c>
      <c r="F40" s="486">
        <f>3+6</f>
        <v>9</v>
      </c>
      <c r="G40" s="471">
        <f>61+117</f>
        <v>178</v>
      </c>
      <c r="H40" s="471">
        <f t="shared" si="5"/>
        <v>187</v>
      </c>
      <c r="I40" s="486">
        <v>19</v>
      </c>
      <c r="J40" s="471">
        <v>280</v>
      </c>
      <c r="K40" s="487">
        <f t="shared" ref="K40:K41" si="8">J40+I40</f>
        <v>299</v>
      </c>
      <c r="L40" s="174" t="s">
        <v>976</v>
      </c>
      <c r="M40" s="910">
        <v>25</v>
      </c>
      <c r="N40" s="922" t="s">
        <v>48</v>
      </c>
      <c r="O40" s="398"/>
      <c r="P40" s="397"/>
      <c r="Q40" s="397">
        <f>P40</f>
        <v>0</v>
      </c>
      <c r="R40" s="349" t="s">
        <v>14</v>
      </c>
      <c r="S40" s="348">
        <v>33</v>
      </c>
      <c r="T40" s="348">
        <f>S40</f>
        <v>33</v>
      </c>
      <c r="U40" s="349" t="s">
        <v>14</v>
      </c>
      <c r="V40" s="348">
        <v>91</v>
      </c>
      <c r="W40" s="350">
        <f>V40</f>
        <v>91</v>
      </c>
      <c r="X40" s="174" t="s">
        <v>710</v>
      </c>
      <c r="Y40" s="52"/>
      <c r="Z40" s="402"/>
      <c r="AA40" s="10"/>
      <c r="AB40" s="52"/>
      <c r="AC40" s="402"/>
      <c r="AD40" s="10"/>
      <c r="AE40" s="52"/>
      <c r="AF40" s="402"/>
    </row>
    <row r="41" spans="1:32" ht="60" customHeight="1">
      <c r="A41" s="914">
        <v>26</v>
      </c>
      <c r="B41" s="838" t="s">
        <v>47</v>
      </c>
      <c r="C41" s="656">
        <v>31</v>
      </c>
      <c r="D41" s="657">
        <v>60</v>
      </c>
      <c r="E41" s="657">
        <f t="shared" si="7"/>
        <v>91</v>
      </c>
      <c r="F41" s="656">
        <f>16</f>
        <v>16</v>
      </c>
      <c r="G41" s="657">
        <f>55</f>
        <v>55</v>
      </c>
      <c r="H41" s="657">
        <f t="shared" si="5"/>
        <v>71</v>
      </c>
      <c r="I41" s="656">
        <v>36</v>
      </c>
      <c r="J41" s="657">
        <v>155</v>
      </c>
      <c r="K41" s="626">
        <f t="shared" si="8"/>
        <v>191</v>
      </c>
      <c r="L41" s="626" t="s">
        <v>977</v>
      </c>
      <c r="M41" s="914">
        <v>26</v>
      </c>
      <c r="P41">
        <v>4</v>
      </c>
      <c r="Q41">
        <v>108</v>
      </c>
      <c r="X41" s="10"/>
      <c r="Y41" s="52"/>
      <c r="Z41" s="402"/>
      <c r="AA41" s="10"/>
      <c r="AB41" s="52"/>
      <c r="AC41" s="402"/>
      <c r="AD41" s="10"/>
      <c r="AE41" s="52"/>
      <c r="AF41" s="402"/>
    </row>
    <row r="42" spans="1:32" ht="60" customHeight="1">
      <c r="A42" s="910">
        <v>27</v>
      </c>
      <c r="B42" s="922" t="s">
        <v>49</v>
      </c>
      <c r="C42" s="486">
        <f>30+123</f>
        <v>153</v>
      </c>
      <c r="D42" s="471">
        <f>95+856</f>
        <v>951</v>
      </c>
      <c r="E42" s="517">
        <f t="shared" si="7"/>
        <v>1104</v>
      </c>
      <c r="F42" s="486">
        <v>145</v>
      </c>
      <c r="G42" s="471">
        <v>874</v>
      </c>
      <c r="H42" s="471">
        <f t="shared" si="5"/>
        <v>1019</v>
      </c>
      <c r="I42" s="486">
        <v>114</v>
      </c>
      <c r="J42" s="471">
        <v>762</v>
      </c>
      <c r="K42" s="487">
        <f>J42+I42</f>
        <v>876</v>
      </c>
      <c r="L42" s="174" t="s">
        <v>669</v>
      </c>
      <c r="M42" s="910">
        <v>27</v>
      </c>
      <c r="X42" s="10"/>
      <c r="Y42" s="52"/>
      <c r="Z42" s="402"/>
      <c r="AA42" s="10"/>
      <c r="AB42" s="52"/>
      <c r="AC42" s="402"/>
      <c r="AD42" s="10"/>
      <c r="AE42" s="10"/>
      <c r="AF42" s="10"/>
    </row>
    <row r="43" spans="1:32" ht="60" customHeight="1">
      <c r="A43" s="914">
        <v>28</v>
      </c>
      <c r="B43" s="838" t="s">
        <v>423</v>
      </c>
      <c r="C43" s="656">
        <v>25</v>
      </c>
      <c r="D43" s="657">
        <v>43</v>
      </c>
      <c r="E43" s="657">
        <f t="shared" si="7"/>
        <v>68</v>
      </c>
      <c r="F43" s="656">
        <v>30</v>
      </c>
      <c r="G43" s="657">
        <v>28</v>
      </c>
      <c r="H43" s="657">
        <f>G43+F43</f>
        <v>58</v>
      </c>
      <c r="I43" s="656">
        <v>28</v>
      </c>
      <c r="J43" s="657">
        <v>21</v>
      </c>
      <c r="K43" s="626">
        <f>J43+I43</f>
        <v>49</v>
      </c>
      <c r="L43" s="626" t="s">
        <v>978</v>
      </c>
      <c r="M43" s="914">
        <v>28</v>
      </c>
      <c r="X43" s="10"/>
      <c r="Y43" s="52"/>
      <c r="Z43" s="402"/>
      <c r="AA43" s="10"/>
      <c r="AB43" s="52"/>
      <c r="AC43" s="402"/>
      <c r="AD43" s="10"/>
      <c r="AE43" s="52"/>
      <c r="AF43" s="402"/>
    </row>
    <row r="44" spans="1:32" ht="53.1" customHeight="1">
      <c r="A44" s="1460">
        <v>29</v>
      </c>
      <c r="B44" s="1453" t="s">
        <v>50</v>
      </c>
      <c r="C44" s="1456" t="s">
        <v>14</v>
      </c>
      <c r="D44" s="1457">
        <v>45</v>
      </c>
      <c r="E44" s="1457">
        <f>D44</f>
        <v>45</v>
      </c>
      <c r="F44" s="1456">
        <v>1</v>
      </c>
      <c r="G44" s="1457">
        <v>48</v>
      </c>
      <c r="H44" s="1457">
        <f>G44+F44</f>
        <v>49</v>
      </c>
      <c r="I44" s="1480">
        <v>2</v>
      </c>
      <c r="J44" s="1475">
        <v>62</v>
      </c>
      <c r="K44" s="1483">
        <f>J44+I44</f>
        <v>64</v>
      </c>
      <c r="L44" s="174" t="s">
        <v>1885</v>
      </c>
      <c r="M44" s="1460">
        <v>29</v>
      </c>
      <c r="Y44" s="51"/>
      <c r="Z44" s="195"/>
      <c r="AB44" s="51"/>
      <c r="AC44" s="195"/>
      <c r="AE44" s="51"/>
      <c r="AF44" s="195"/>
    </row>
    <row r="45" spans="1:32" ht="53.1" customHeight="1">
      <c r="A45" s="1460"/>
      <c r="B45" s="1453"/>
      <c r="C45" s="1456"/>
      <c r="D45" s="1457"/>
      <c r="E45" s="1457"/>
      <c r="F45" s="1456"/>
      <c r="G45" s="1457"/>
      <c r="H45" s="1457"/>
      <c r="I45" s="1480"/>
      <c r="J45" s="1475"/>
      <c r="K45" s="1483"/>
      <c r="L45" s="174" t="s">
        <v>711</v>
      </c>
      <c r="M45" s="1460"/>
      <c r="Y45" s="51"/>
      <c r="Z45" s="195"/>
      <c r="AB45" s="51"/>
      <c r="AC45" s="195"/>
      <c r="AE45" s="51"/>
      <c r="AF45" s="195"/>
    </row>
    <row r="46" spans="1:32" ht="60" customHeight="1">
      <c r="A46" s="914">
        <v>30</v>
      </c>
      <c r="B46" s="838" t="s">
        <v>496</v>
      </c>
      <c r="C46" s="656">
        <f>24+71</f>
        <v>95</v>
      </c>
      <c r="D46" s="657">
        <f>60+337</f>
        <v>397</v>
      </c>
      <c r="E46" s="649">
        <f>D46+C46</f>
        <v>492</v>
      </c>
      <c r="F46" s="656">
        <f>12+27+30</f>
        <v>69</v>
      </c>
      <c r="G46" s="657">
        <f>67+87+109</f>
        <v>263</v>
      </c>
      <c r="H46" s="649">
        <f>G46+F46</f>
        <v>332</v>
      </c>
      <c r="I46" s="656">
        <v>99</v>
      </c>
      <c r="J46" s="657">
        <v>252</v>
      </c>
      <c r="K46" s="664">
        <f>J46+I46</f>
        <v>351</v>
      </c>
      <c r="L46" s="626" t="s">
        <v>697</v>
      </c>
      <c r="M46" s="914">
        <v>30</v>
      </c>
      <c r="Y46" s="51"/>
      <c r="Z46" s="195"/>
      <c r="AB46" s="51"/>
      <c r="AC46" s="195"/>
      <c r="AE46" s="51"/>
      <c r="AF46" s="195"/>
    </row>
    <row r="47" spans="1:32" ht="60" customHeight="1">
      <c r="A47" s="921">
        <v>31</v>
      </c>
      <c r="B47" s="1056" t="s">
        <v>932</v>
      </c>
      <c r="C47" s="353">
        <v>27</v>
      </c>
      <c r="D47" s="351">
        <v>108</v>
      </c>
      <c r="E47" s="320">
        <f>D47+C47</f>
        <v>135</v>
      </c>
      <c r="F47" s="353">
        <f>27</f>
        <v>27</v>
      </c>
      <c r="G47" s="351">
        <f>79</f>
        <v>79</v>
      </c>
      <c r="H47" s="320">
        <f>G47+F47</f>
        <v>106</v>
      </c>
      <c r="I47" s="353">
        <v>6</v>
      </c>
      <c r="J47" s="351">
        <v>50</v>
      </c>
      <c r="K47" s="321">
        <f>J47+I47</f>
        <v>56</v>
      </c>
      <c r="L47" s="175" t="s">
        <v>931</v>
      </c>
      <c r="M47" s="921">
        <v>31</v>
      </c>
      <c r="Y47" s="51"/>
      <c r="Z47" s="195"/>
      <c r="AB47" s="51"/>
      <c r="AC47" s="195"/>
      <c r="AE47" s="51"/>
      <c r="AF47" s="195"/>
    </row>
    <row r="48" spans="1:32" ht="53.1" customHeight="1">
      <c r="B48" s="1481" t="s">
        <v>23</v>
      </c>
      <c r="C48" s="1481"/>
      <c r="D48" s="1481"/>
      <c r="E48" s="1484" t="s">
        <v>670</v>
      </c>
      <c r="F48" s="1484"/>
      <c r="G48" s="1484"/>
      <c r="H48" s="1484"/>
      <c r="I48" s="1484"/>
      <c r="J48" s="1482" t="s">
        <v>24</v>
      </c>
      <c r="K48" s="1482"/>
      <c r="L48" s="1482"/>
      <c r="X48">
        <f>SUM(X29:X47)</f>
        <v>0</v>
      </c>
      <c r="Y48">
        <f>SUM(Y29:Y47)</f>
        <v>0</v>
      </c>
      <c r="Z48" s="195"/>
      <c r="AC48" s="195"/>
      <c r="AF48" s="195"/>
    </row>
    <row r="51" spans="15:25" ht="110.25">
      <c r="O51" s="1477" t="s">
        <v>449</v>
      </c>
      <c r="P51" s="1478"/>
      <c r="Q51" s="1479"/>
      <c r="R51" s="1479">
        <f>Q51+P51</f>
        <v>0</v>
      </c>
      <c r="S51" s="1456">
        <v>22</v>
      </c>
      <c r="T51" s="1457">
        <v>10</v>
      </c>
      <c r="U51" s="1457">
        <f>T51+S51</f>
        <v>32</v>
      </c>
      <c r="V51" s="1456">
        <v>43</v>
      </c>
      <c r="W51" s="1457">
        <v>36</v>
      </c>
      <c r="X51" s="1458">
        <f>W51+V51</f>
        <v>79</v>
      </c>
      <c r="Y51" s="174" t="s">
        <v>671</v>
      </c>
    </row>
    <row r="52" spans="15:25" ht="157.5">
      <c r="O52" s="1477"/>
      <c r="P52" s="1478"/>
      <c r="Q52" s="1479"/>
      <c r="R52" s="1479"/>
      <c r="S52" s="1456"/>
      <c r="T52" s="1457"/>
      <c r="U52" s="1457"/>
      <c r="V52" s="1456"/>
      <c r="W52" s="1457"/>
      <c r="X52" s="1458"/>
      <c r="Y52" s="4" t="s">
        <v>980</v>
      </c>
    </row>
  </sheetData>
  <mergeCells count="51">
    <mergeCell ref="B48:D48"/>
    <mergeCell ref="J48:L48"/>
    <mergeCell ref="B44:B45"/>
    <mergeCell ref="C26:E26"/>
    <mergeCell ref="F26:H26"/>
    <mergeCell ref="C27:E27"/>
    <mergeCell ref="F27:H27"/>
    <mergeCell ref="I27:K27"/>
    <mergeCell ref="C44:C45"/>
    <mergeCell ref="D44:D45"/>
    <mergeCell ref="E44:E45"/>
    <mergeCell ref="F44:F45"/>
    <mergeCell ref="K44:K45"/>
    <mergeCell ref="E48:I48"/>
    <mergeCell ref="I4:K4"/>
    <mergeCell ref="I5:K5"/>
    <mergeCell ref="L4:L8"/>
    <mergeCell ref="A1:M1"/>
    <mergeCell ref="A2:M2"/>
    <mergeCell ref="A3:M3"/>
    <mergeCell ref="M4:M8"/>
    <mergeCell ref="A4:A8"/>
    <mergeCell ref="B4:B8"/>
    <mergeCell ref="C4:E4"/>
    <mergeCell ref="C5:E5"/>
    <mergeCell ref="F4:H4"/>
    <mergeCell ref="F5:H5"/>
    <mergeCell ref="A25:E25"/>
    <mergeCell ref="K25:M25"/>
    <mergeCell ref="A26:A30"/>
    <mergeCell ref="M26:M30"/>
    <mergeCell ref="M44:M45"/>
    <mergeCell ref="A44:A45"/>
    <mergeCell ref="B26:B30"/>
    <mergeCell ref="F25:J25"/>
    <mergeCell ref="I26:K26"/>
    <mergeCell ref="L26:L30"/>
    <mergeCell ref="G44:G45"/>
    <mergeCell ref="H44:H45"/>
    <mergeCell ref="J44:J45"/>
    <mergeCell ref="I44:I45"/>
    <mergeCell ref="V51:V52"/>
    <mergeCell ref="W51:W52"/>
    <mergeCell ref="X51:X52"/>
    <mergeCell ref="T51:T52"/>
    <mergeCell ref="U51:U52"/>
    <mergeCell ref="O51:O52"/>
    <mergeCell ref="P51:P52"/>
    <mergeCell ref="Q51:Q52"/>
    <mergeCell ref="R51:R52"/>
    <mergeCell ref="S51:S52"/>
  </mergeCells>
  <pageMargins left="0.43" right="0.36" top="0.35433070866141703" bottom="0.66929133858267698" header="0.196850393700787" footer="0.511811023622047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6"/>
  <sheetViews>
    <sheetView view="pageBreakPreview" topLeftCell="A22" zoomScale="80" zoomScaleSheetLayoutView="80" workbookViewId="0">
      <selection activeCell="D23" sqref="D23"/>
    </sheetView>
  </sheetViews>
  <sheetFormatPr defaultRowHeight="15"/>
  <cols>
    <col min="1" max="1" width="6.42578125" customWidth="1"/>
    <col min="2" max="2" width="24.42578125" customWidth="1"/>
    <col min="3" max="3" width="7" customWidth="1"/>
    <col min="4" max="4" width="7.7109375" customWidth="1"/>
    <col min="5" max="5" width="8.140625" customWidth="1"/>
    <col min="6" max="6" width="7.28515625" customWidth="1"/>
    <col min="7" max="7" width="7.5703125" customWidth="1"/>
    <col min="8" max="8" width="7.42578125" customWidth="1"/>
    <col min="9" max="11" width="7.28515625" customWidth="1"/>
    <col min="12" max="12" width="29.7109375" customWidth="1"/>
    <col min="13" max="13" width="6" customWidth="1"/>
    <col min="18" max="19" width="14.85546875" bestFit="1" customWidth="1"/>
  </cols>
  <sheetData>
    <row r="1" spans="1:19" ht="27.95" customHeight="1">
      <c r="A1" s="1437" t="s">
        <v>1598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</row>
    <row r="2" spans="1:19" ht="27.95" customHeight="1">
      <c r="A2" s="1407" t="s">
        <v>1957</v>
      </c>
      <c r="B2" s="1407"/>
      <c r="C2" s="1407"/>
      <c r="D2" s="1407"/>
      <c r="E2" s="1407"/>
      <c r="F2" s="1407"/>
      <c r="G2" s="1407"/>
      <c r="H2" s="1407"/>
      <c r="I2" s="1407"/>
      <c r="J2" s="1407"/>
      <c r="K2" s="1407"/>
      <c r="L2" s="1407"/>
      <c r="M2" s="1407"/>
    </row>
    <row r="3" spans="1:19" ht="27.95" customHeight="1">
      <c r="A3" s="1485" t="s">
        <v>1599</v>
      </c>
      <c r="B3" s="1485"/>
      <c r="C3" s="1485"/>
      <c r="D3" s="1485"/>
      <c r="E3" s="1485"/>
      <c r="F3" s="1485"/>
      <c r="G3" s="1485"/>
      <c r="H3" s="1485"/>
      <c r="I3" s="1485"/>
      <c r="J3" s="1485"/>
      <c r="K3" s="1485"/>
      <c r="L3" s="1485"/>
      <c r="M3" s="1485"/>
    </row>
    <row r="4" spans="1:19" ht="27.95" customHeight="1">
      <c r="A4" s="1459" t="s">
        <v>2028</v>
      </c>
      <c r="B4" s="1486" t="s">
        <v>1565</v>
      </c>
      <c r="C4" s="1459" t="s">
        <v>1775</v>
      </c>
      <c r="D4" s="1459"/>
      <c r="E4" s="1443"/>
      <c r="F4" s="1459" t="s">
        <v>1308</v>
      </c>
      <c r="G4" s="1459"/>
      <c r="H4" s="1443"/>
      <c r="I4" s="1469" t="s">
        <v>1158</v>
      </c>
      <c r="J4" s="1487"/>
      <c r="K4" s="1470"/>
      <c r="L4" s="1486" t="s">
        <v>1564</v>
      </c>
      <c r="M4" s="1459" t="s">
        <v>2027</v>
      </c>
      <c r="O4" s="39"/>
    </row>
    <row r="5" spans="1:19" ht="27.95" customHeight="1">
      <c r="A5" s="1460"/>
      <c r="B5" s="1469"/>
      <c r="C5" s="890" t="s">
        <v>0</v>
      </c>
      <c r="D5" s="903" t="s">
        <v>1</v>
      </c>
      <c r="E5" s="892" t="s">
        <v>2</v>
      </c>
      <c r="F5" s="890" t="s">
        <v>0</v>
      </c>
      <c r="G5" s="903" t="s">
        <v>1</v>
      </c>
      <c r="H5" s="892" t="s">
        <v>2</v>
      </c>
      <c r="I5" s="890" t="s">
        <v>0</v>
      </c>
      <c r="J5" s="903" t="s">
        <v>1</v>
      </c>
      <c r="K5" s="893" t="s">
        <v>2</v>
      </c>
      <c r="L5" s="1486"/>
      <c r="M5" s="1460"/>
      <c r="N5" s="39">
        <f>J8/K8*100</f>
        <v>86.128214415067006</v>
      </c>
      <c r="O5" s="39">
        <f>F8/H8*100</f>
        <v>14.139568871026672</v>
      </c>
    </row>
    <row r="6" spans="1:19" ht="27.95" customHeight="1">
      <c r="A6" s="1460"/>
      <c r="B6" s="1443"/>
      <c r="C6" s="894" t="s">
        <v>500</v>
      </c>
      <c r="D6" s="895" t="s">
        <v>501</v>
      </c>
      <c r="E6" s="896" t="s">
        <v>502</v>
      </c>
      <c r="F6" s="894" t="s">
        <v>500</v>
      </c>
      <c r="G6" s="895" t="s">
        <v>501</v>
      </c>
      <c r="H6" s="896" t="s">
        <v>502</v>
      </c>
      <c r="I6" s="894" t="s">
        <v>500</v>
      </c>
      <c r="J6" s="895" t="s">
        <v>501</v>
      </c>
      <c r="K6" s="897" t="s">
        <v>502</v>
      </c>
      <c r="L6" s="1459"/>
      <c r="M6" s="1460"/>
      <c r="N6" s="39">
        <f>D8/E8*100</f>
        <v>86.276223776223787</v>
      </c>
      <c r="O6" s="39">
        <f>C8/E8*100</f>
        <v>13.723776223776223</v>
      </c>
      <c r="Q6">
        <v>4364</v>
      </c>
      <c r="S6" s="49">
        <f>I8/K8*100</f>
        <v>13.871785584932994</v>
      </c>
    </row>
    <row r="7" spans="1:19" ht="27.95" customHeight="1">
      <c r="A7" s="1461"/>
      <c r="B7" s="1469"/>
      <c r="C7" s="898" t="s">
        <v>3</v>
      </c>
      <c r="D7" s="904" t="s">
        <v>4</v>
      </c>
      <c r="E7" s="900" t="s">
        <v>5</v>
      </c>
      <c r="F7" s="898" t="s">
        <v>3</v>
      </c>
      <c r="G7" s="904" t="s">
        <v>4</v>
      </c>
      <c r="H7" s="900" t="s">
        <v>5</v>
      </c>
      <c r="I7" s="898" t="s">
        <v>3</v>
      </c>
      <c r="J7" s="904" t="s">
        <v>4</v>
      </c>
      <c r="K7" s="902" t="s">
        <v>5</v>
      </c>
      <c r="L7" s="1486"/>
      <c r="M7" s="1461"/>
      <c r="O7">
        <f>E9+E10+E11+E12</f>
        <v>1700</v>
      </c>
      <c r="S7" s="49">
        <f>F8/H8*100</f>
        <v>14.139568871026672</v>
      </c>
    </row>
    <row r="8" spans="1:19" ht="56.1" customHeight="1">
      <c r="A8" s="915">
        <v>1</v>
      </c>
      <c r="B8" s="622" t="s">
        <v>25</v>
      </c>
      <c r="C8" s="882">
        <f>C9+C10+C11+C12+C13+C14+C15+C16+C17+C18+C19+C20+C21+C22+C23+C24+C25+C31+C32+C33+C34+C37+C38+C42+C43+C44+C47</f>
        <v>785</v>
      </c>
      <c r="D8" s="881">
        <f>D9+D10+D11+D12+D13+D14+D15+D16+D17+D18+D19+D20+D21+D22+D23+D24+D25+D31+D32+D33+D34+D35+D36+D37+D38+D39+D40+D41+D42+D43+D44+D45+D46+D47+D48+D49+D50+D51</f>
        <v>4935</v>
      </c>
      <c r="E8" s="881">
        <f>E9+E10+E11+E12+E13+E14+E15+E16+E17+E18+E19+E20+E21+E22+E23+E24+E25+E31+E32+E33+E34+E35+E36+E37+E38+E39+E40+E41+E42+E43+E44+E45+E46+E47+E48+E49+E50+E51</f>
        <v>5720</v>
      </c>
      <c r="F8" s="882">
        <f>F9+F10+F11+F12+F13+F14+F15+F16+F17+F18+F19+F20+F21+F22+F23+F24+F25+F31+F32+F33+F34+F37+F38+F42+F44</f>
        <v>774</v>
      </c>
      <c r="G8" s="881">
        <f>G9+G10+G11+G12+G13+G14+G15+G16+G17+G18+G19+G20+G21+G22+G23+G24+G25+G31+G32+G33+G34+G35+G36+G37+G38+G39+G40+G41+G42+G43+G44+G45+G46+G47+G48+G49</f>
        <v>4700</v>
      </c>
      <c r="H8" s="881">
        <f>H9+H10+H11+H12+H13+H14+H15+H16+H17+H18+H19+H20+H21+H22+H23+H24+H25+H31+H32+H33+H34+H35+H36+H37+H38+H39+H40+H41+H42+H43+H44+H45+H46+H47+H48+H49</f>
        <v>5474</v>
      </c>
      <c r="I8" s="882">
        <f>I9+I10+I11+I12+I13+I14+I15+I16+I17+I18+I19+I20+I21+I22+I23+I25+I31+I32+I33+I34+I37+I38+I42+I44</f>
        <v>766</v>
      </c>
      <c r="J8" s="881">
        <f>J9+J10+J11+J12+J13+J14+J15+J16+J17+J18+J19+J20+J21+J22+J23+J24+J25+J31+J32+J33+J34+J35+J36+J37+J38+J39+J40+J41+J42+J43+J44+J45+J46+J47+J48+J49</f>
        <v>4756</v>
      </c>
      <c r="K8" s="879">
        <f>K9+K10+K11+K12+K13+K14+K15+K16+K17+K18+K19+K20+K21+K22+K23+K24+K25+K31+K32+K33+K34+K35+K36+K37+K38+K39+K40+K41+K42+K43+K44+K45+K46+K47+K48+K49</f>
        <v>5522</v>
      </c>
      <c r="L8" s="626" t="s">
        <v>1005</v>
      </c>
      <c r="M8" s="915">
        <v>1</v>
      </c>
      <c r="O8">
        <f>E9+E10+E11+E12</f>
        <v>1700</v>
      </c>
      <c r="Q8" s="171">
        <v>4375</v>
      </c>
      <c r="R8" s="171"/>
      <c r="S8" s="467">
        <f>C8/E8*100</f>
        <v>13.723776223776223</v>
      </c>
    </row>
    <row r="9" spans="1:19" ht="56.1" customHeight="1">
      <c r="A9" s="910">
        <v>2</v>
      </c>
      <c r="B9" s="288" t="s">
        <v>7</v>
      </c>
      <c r="C9" s="496">
        <v>187</v>
      </c>
      <c r="D9" s="492">
        <v>680</v>
      </c>
      <c r="E9" s="484">
        <f>D9+C9</f>
        <v>867</v>
      </c>
      <c r="F9" s="496">
        <v>190</v>
      </c>
      <c r="G9" s="492">
        <v>645</v>
      </c>
      <c r="H9" s="484">
        <f>G9+F9</f>
        <v>835</v>
      </c>
      <c r="I9" s="496">
        <v>180</v>
      </c>
      <c r="J9" s="492">
        <v>660</v>
      </c>
      <c r="K9" s="499">
        <f>J9+I9</f>
        <v>840</v>
      </c>
      <c r="L9" s="292" t="s">
        <v>611</v>
      </c>
      <c r="M9" s="910">
        <v>2</v>
      </c>
      <c r="O9">
        <v>5452</v>
      </c>
      <c r="Q9" s="171">
        <f>Q6-Q8</f>
        <v>-11</v>
      </c>
      <c r="R9" s="171"/>
      <c r="S9" s="171"/>
    </row>
    <row r="10" spans="1:19" ht="56.1" customHeight="1">
      <c r="A10" s="914">
        <v>3</v>
      </c>
      <c r="B10" s="622" t="s">
        <v>8</v>
      </c>
      <c r="C10" s="640">
        <v>41</v>
      </c>
      <c r="D10" s="641">
        <v>225</v>
      </c>
      <c r="E10" s="649">
        <f t="shared" ref="E10:E24" si="0">D10+C10</f>
        <v>266</v>
      </c>
      <c r="F10" s="640">
        <v>37</v>
      </c>
      <c r="G10" s="641">
        <v>221</v>
      </c>
      <c r="H10" s="649">
        <f t="shared" ref="H10:H23" si="1">G10+F10</f>
        <v>258</v>
      </c>
      <c r="I10" s="640">
        <v>36</v>
      </c>
      <c r="J10" s="641">
        <v>223</v>
      </c>
      <c r="K10" s="664">
        <f t="shared" ref="K10:K23" si="2">J10+I10</f>
        <v>259</v>
      </c>
      <c r="L10" s="626" t="s">
        <v>702</v>
      </c>
      <c r="M10" s="914">
        <v>3</v>
      </c>
      <c r="O10">
        <f>5452+1710</f>
        <v>7162</v>
      </c>
      <c r="Q10" s="1421"/>
      <c r="R10" s="1489">
        <f>C8/E8*100</f>
        <v>13.723776223776223</v>
      </c>
      <c r="S10" s="1421"/>
    </row>
    <row r="11" spans="1:19" ht="57.75" customHeight="1">
      <c r="A11" s="910">
        <v>4</v>
      </c>
      <c r="B11" s="293" t="s">
        <v>2009</v>
      </c>
      <c r="C11" s="496">
        <v>79</v>
      </c>
      <c r="D11" s="492">
        <v>202</v>
      </c>
      <c r="E11" s="484">
        <f t="shared" si="0"/>
        <v>281</v>
      </c>
      <c r="F11" s="496">
        <v>77</v>
      </c>
      <c r="G11" s="492">
        <v>192</v>
      </c>
      <c r="H11" s="484">
        <f t="shared" si="1"/>
        <v>269</v>
      </c>
      <c r="I11" s="496">
        <v>80</v>
      </c>
      <c r="J11" s="492">
        <v>217</v>
      </c>
      <c r="K11" s="499">
        <f t="shared" si="2"/>
        <v>297</v>
      </c>
      <c r="L11" s="292" t="s">
        <v>2011</v>
      </c>
      <c r="M11" s="910">
        <v>4</v>
      </c>
      <c r="Q11" s="1421"/>
      <c r="R11" s="1489"/>
      <c r="S11" s="1421"/>
    </row>
    <row r="12" spans="1:19" ht="56.1" customHeight="1">
      <c r="A12" s="914">
        <v>5</v>
      </c>
      <c r="B12" s="770" t="s">
        <v>1996</v>
      </c>
      <c r="C12" s="775">
        <v>67</v>
      </c>
      <c r="D12" s="773">
        <v>219</v>
      </c>
      <c r="E12" s="773">
        <f t="shared" si="0"/>
        <v>286</v>
      </c>
      <c r="F12" s="775">
        <v>67</v>
      </c>
      <c r="G12" s="773">
        <v>233</v>
      </c>
      <c r="H12" s="773">
        <f t="shared" si="1"/>
        <v>300</v>
      </c>
      <c r="I12" s="775">
        <v>63</v>
      </c>
      <c r="J12" s="773">
        <v>251</v>
      </c>
      <c r="K12" s="793">
        <f t="shared" si="2"/>
        <v>314</v>
      </c>
      <c r="L12" s="768" t="s">
        <v>1997</v>
      </c>
      <c r="M12" s="914">
        <v>5</v>
      </c>
      <c r="Q12" s="173"/>
      <c r="R12" s="173"/>
      <c r="S12" s="173"/>
    </row>
    <row r="13" spans="1:19" ht="56.1" customHeight="1">
      <c r="A13" s="910">
        <v>6</v>
      </c>
      <c r="B13" s="288" t="s">
        <v>9</v>
      </c>
      <c r="C13" s="496">
        <v>108</v>
      </c>
      <c r="D13" s="492">
        <v>305</v>
      </c>
      <c r="E13" s="484">
        <f t="shared" si="0"/>
        <v>413</v>
      </c>
      <c r="F13" s="496">
        <v>108</v>
      </c>
      <c r="G13" s="492">
        <v>302</v>
      </c>
      <c r="H13" s="484">
        <f t="shared" si="1"/>
        <v>410</v>
      </c>
      <c r="I13" s="496">
        <v>108</v>
      </c>
      <c r="J13" s="492">
        <v>318</v>
      </c>
      <c r="K13" s="499">
        <f t="shared" si="2"/>
        <v>426</v>
      </c>
      <c r="L13" s="292" t="s">
        <v>612</v>
      </c>
      <c r="M13" s="910">
        <v>6</v>
      </c>
    </row>
    <row r="14" spans="1:19" ht="56.1" customHeight="1">
      <c r="A14" s="914">
        <v>7</v>
      </c>
      <c r="B14" s="770" t="s">
        <v>1989</v>
      </c>
      <c r="C14" s="775">
        <v>13</v>
      </c>
      <c r="D14" s="773">
        <v>159</v>
      </c>
      <c r="E14" s="773">
        <f t="shared" si="0"/>
        <v>172</v>
      </c>
      <c r="F14" s="775">
        <v>13</v>
      </c>
      <c r="G14" s="773">
        <v>155</v>
      </c>
      <c r="H14" s="773">
        <f t="shared" si="1"/>
        <v>168</v>
      </c>
      <c r="I14" s="775">
        <v>11</v>
      </c>
      <c r="J14" s="773">
        <v>142</v>
      </c>
      <c r="K14" s="793">
        <f t="shared" si="2"/>
        <v>153</v>
      </c>
      <c r="L14" s="768" t="s">
        <v>1988</v>
      </c>
      <c r="M14" s="914">
        <v>7</v>
      </c>
    </row>
    <row r="15" spans="1:19" ht="56.1" customHeight="1">
      <c r="A15" s="910">
        <v>8</v>
      </c>
      <c r="B15" s="293" t="s">
        <v>2001</v>
      </c>
      <c r="C15" s="496">
        <v>13</v>
      </c>
      <c r="D15" s="492">
        <v>141</v>
      </c>
      <c r="E15" s="484">
        <f t="shared" si="0"/>
        <v>154</v>
      </c>
      <c r="F15" s="496">
        <v>13</v>
      </c>
      <c r="G15" s="492">
        <v>129</v>
      </c>
      <c r="H15" s="484">
        <f t="shared" si="1"/>
        <v>142</v>
      </c>
      <c r="I15" s="496">
        <v>14</v>
      </c>
      <c r="J15" s="492">
        <v>131</v>
      </c>
      <c r="K15" s="499">
        <f t="shared" si="2"/>
        <v>145</v>
      </c>
      <c r="L15" s="292" t="s">
        <v>2010</v>
      </c>
      <c r="M15" s="910">
        <v>8</v>
      </c>
    </row>
    <row r="16" spans="1:19" ht="56.1" customHeight="1">
      <c r="A16" s="914">
        <v>9</v>
      </c>
      <c r="B16" s="622" t="s">
        <v>10</v>
      </c>
      <c r="C16" s="640">
        <v>16</v>
      </c>
      <c r="D16" s="641">
        <v>445</v>
      </c>
      <c r="E16" s="649">
        <f t="shared" si="0"/>
        <v>461</v>
      </c>
      <c r="F16" s="640">
        <v>16</v>
      </c>
      <c r="G16" s="641">
        <v>433</v>
      </c>
      <c r="H16" s="649">
        <f t="shared" si="1"/>
        <v>449</v>
      </c>
      <c r="I16" s="640">
        <v>18</v>
      </c>
      <c r="J16" s="641">
        <v>446</v>
      </c>
      <c r="K16" s="664">
        <f t="shared" si="2"/>
        <v>464</v>
      </c>
      <c r="L16" s="626" t="s">
        <v>613</v>
      </c>
      <c r="M16" s="914">
        <v>9</v>
      </c>
    </row>
    <row r="17" spans="1:13" ht="56.1" customHeight="1">
      <c r="A17" s="910">
        <v>10</v>
      </c>
      <c r="B17" s="288" t="s">
        <v>11</v>
      </c>
      <c r="C17" s="496">
        <v>2</v>
      </c>
      <c r="D17" s="492">
        <v>248</v>
      </c>
      <c r="E17" s="484">
        <f t="shared" si="0"/>
        <v>250</v>
      </c>
      <c r="F17" s="496">
        <v>2</v>
      </c>
      <c r="G17" s="492">
        <v>221</v>
      </c>
      <c r="H17" s="484">
        <f t="shared" si="1"/>
        <v>223</v>
      </c>
      <c r="I17" s="496">
        <v>1</v>
      </c>
      <c r="J17" s="492">
        <v>218</v>
      </c>
      <c r="K17" s="499">
        <f t="shared" si="2"/>
        <v>219</v>
      </c>
      <c r="L17" s="292" t="s">
        <v>614</v>
      </c>
      <c r="M17" s="910">
        <v>10</v>
      </c>
    </row>
    <row r="18" spans="1:13" ht="56.1" customHeight="1">
      <c r="A18" s="914">
        <v>11</v>
      </c>
      <c r="B18" s="622" t="s">
        <v>12</v>
      </c>
      <c r="C18" s="640">
        <v>97</v>
      </c>
      <c r="D18" s="641">
        <v>329</v>
      </c>
      <c r="E18" s="649">
        <f t="shared" si="0"/>
        <v>426</v>
      </c>
      <c r="F18" s="640">
        <v>95</v>
      </c>
      <c r="G18" s="641">
        <v>330</v>
      </c>
      <c r="H18" s="649">
        <f t="shared" si="1"/>
        <v>425</v>
      </c>
      <c r="I18" s="640">
        <v>93</v>
      </c>
      <c r="J18" s="641">
        <v>315</v>
      </c>
      <c r="K18" s="664">
        <f t="shared" si="2"/>
        <v>408</v>
      </c>
      <c r="L18" s="626" t="s">
        <v>615</v>
      </c>
      <c r="M18" s="914">
        <v>11</v>
      </c>
    </row>
    <row r="19" spans="1:13" ht="56.1" customHeight="1">
      <c r="A19" s="910">
        <v>12</v>
      </c>
      <c r="B19" s="288" t="s">
        <v>13</v>
      </c>
      <c r="C19" s="496">
        <v>10</v>
      </c>
      <c r="D19" s="492">
        <v>94</v>
      </c>
      <c r="E19" s="484">
        <f t="shared" si="0"/>
        <v>104</v>
      </c>
      <c r="F19" s="496">
        <v>11</v>
      </c>
      <c r="G19" s="492">
        <v>97</v>
      </c>
      <c r="H19" s="484">
        <f t="shared" si="1"/>
        <v>108</v>
      </c>
      <c r="I19" s="496">
        <v>13</v>
      </c>
      <c r="J19" s="492">
        <v>100</v>
      </c>
      <c r="K19" s="499">
        <f t="shared" si="2"/>
        <v>113</v>
      </c>
      <c r="L19" s="292" t="s">
        <v>616</v>
      </c>
      <c r="M19" s="910">
        <v>12</v>
      </c>
    </row>
    <row r="20" spans="1:13" ht="56.1" customHeight="1">
      <c r="A20" s="914">
        <v>13</v>
      </c>
      <c r="B20" s="622" t="s">
        <v>15</v>
      </c>
      <c r="C20" s="640">
        <v>11</v>
      </c>
      <c r="D20" s="641">
        <v>127</v>
      </c>
      <c r="E20" s="649">
        <f t="shared" si="0"/>
        <v>138</v>
      </c>
      <c r="F20" s="640">
        <v>10</v>
      </c>
      <c r="G20" s="641">
        <v>121</v>
      </c>
      <c r="H20" s="649">
        <f t="shared" si="1"/>
        <v>131</v>
      </c>
      <c r="I20" s="640">
        <v>11</v>
      </c>
      <c r="J20" s="641">
        <v>124</v>
      </c>
      <c r="K20" s="664">
        <f t="shared" si="2"/>
        <v>135</v>
      </c>
      <c r="L20" s="626" t="s">
        <v>617</v>
      </c>
      <c r="M20" s="914">
        <v>13</v>
      </c>
    </row>
    <row r="21" spans="1:13" ht="56.1" customHeight="1">
      <c r="A21" s="910">
        <v>14</v>
      </c>
      <c r="B21" s="288" t="s">
        <v>16</v>
      </c>
      <c r="C21" s="496">
        <v>8</v>
      </c>
      <c r="D21" s="492">
        <v>138</v>
      </c>
      <c r="E21" s="484">
        <f t="shared" si="0"/>
        <v>146</v>
      </c>
      <c r="F21" s="496">
        <v>8</v>
      </c>
      <c r="G21" s="492">
        <v>132</v>
      </c>
      <c r="H21" s="484">
        <f t="shared" si="1"/>
        <v>140</v>
      </c>
      <c r="I21" s="496">
        <v>11</v>
      </c>
      <c r="J21" s="492">
        <v>130</v>
      </c>
      <c r="K21" s="499">
        <f t="shared" si="2"/>
        <v>141</v>
      </c>
      <c r="L21" s="292" t="s">
        <v>618</v>
      </c>
      <c r="M21" s="910">
        <v>14</v>
      </c>
    </row>
    <row r="22" spans="1:13" ht="56.1" customHeight="1">
      <c r="A22" s="914">
        <v>15</v>
      </c>
      <c r="B22" s="622" t="s">
        <v>17</v>
      </c>
      <c r="C22" s="640">
        <v>50</v>
      </c>
      <c r="D22" s="641">
        <v>107</v>
      </c>
      <c r="E22" s="649">
        <f t="shared" si="0"/>
        <v>157</v>
      </c>
      <c r="F22" s="640">
        <v>52</v>
      </c>
      <c r="G22" s="641">
        <v>118</v>
      </c>
      <c r="H22" s="649">
        <f t="shared" si="1"/>
        <v>170</v>
      </c>
      <c r="I22" s="640">
        <v>56</v>
      </c>
      <c r="J22" s="641">
        <v>115</v>
      </c>
      <c r="K22" s="664">
        <f t="shared" si="2"/>
        <v>171</v>
      </c>
      <c r="L22" s="626" t="s">
        <v>619</v>
      </c>
      <c r="M22" s="914">
        <v>15</v>
      </c>
    </row>
    <row r="23" spans="1:13" ht="56.1" customHeight="1">
      <c r="A23" s="910">
        <v>16</v>
      </c>
      <c r="B23" s="288" t="s">
        <v>18</v>
      </c>
      <c r="C23" s="496">
        <v>33</v>
      </c>
      <c r="D23" s="492">
        <v>122</v>
      </c>
      <c r="E23" s="484">
        <f t="shared" si="0"/>
        <v>155</v>
      </c>
      <c r="F23" s="496">
        <v>31</v>
      </c>
      <c r="G23" s="492">
        <v>111</v>
      </c>
      <c r="H23" s="484">
        <f t="shared" si="1"/>
        <v>142</v>
      </c>
      <c r="I23" s="496">
        <v>25</v>
      </c>
      <c r="J23" s="492">
        <v>90</v>
      </c>
      <c r="K23" s="499">
        <f t="shared" si="2"/>
        <v>115</v>
      </c>
      <c r="L23" s="292" t="s">
        <v>620</v>
      </c>
      <c r="M23" s="910">
        <v>16</v>
      </c>
    </row>
    <row r="24" spans="1:13" ht="56.1" customHeight="1">
      <c r="A24" s="914">
        <v>17</v>
      </c>
      <c r="B24" s="853" t="s">
        <v>1987</v>
      </c>
      <c r="C24" s="858">
        <v>1</v>
      </c>
      <c r="D24" s="855">
        <v>236</v>
      </c>
      <c r="E24" s="855">
        <f t="shared" si="0"/>
        <v>237</v>
      </c>
      <c r="F24" s="858">
        <v>1</v>
      </c>
      <c r="G24" s="855">
        <v>224</v>
      </c>
      <c r="H24" s="855">
        <f>G24+F24</f>
        <v>225</v>
      </c>
      <c r="I24" s="858" t="s">
        <v>14</v>
      </c>
      <c r="J24" s="855">
        <v>224</v>
      </c>
      <c r="K24" s="880">
        <f>J24</f>
        <v>224</v>
      </c>
      <c r="L24" s="851" t="s">
        <v>1998</v>
      </c>
      <c r="M24" s="914">
        <v>17</v>
      </c>
    </row>
    <row r="25" spans="1:13" ht="56.1" customHeight="1">
      <c r="A25" s="904">
        <v>18</v>
      </c>
      <c r="B25" s="388" t="s">
        <v>19</v>
      </c>
      <c r="C25" s="876">
        <v>14</v>
      </c>
      <c r="D25" s="875">
        <v>125</v>
      </c>
      <c r="E25" s="320">
        <f>D25+C25</f>
        <v>139</v>
      </c>
      <c r="F25" s="876">
        <v>15</v>
      </c>
      <c r="G25" s="875">
        <v>122</v>
      </c>
      <c r="H25" s="320">
        <f>G25+F25</f>
        <v>137</v>
      </c>
      <c r="I25" s="876">
        <v>17</v>
      </c>
      <c r="J25" s="875">
        <v>127</v>
      </c>
      <c r="K25" s="321">
        <f>J25+I25</f>
        <v>144</v>
      </c>
      <c r="L25" s="389" t="s">
        <v>672</v>
      </c>
      <c r="M25" s="904">
        <v>18</v>
      </c>
    </row>
    <row r="26" spans="1:13" ht="27.95" customHeight="1">
      <c r="A26" s="1426" t="s">
        <v>523</v>
      </c>
      <c r="B26" s="1426"/>
      <c r="C26" s="1426"/>
      <c r="D26" s="1426"/>
      <c r="E26" s="1427" t="s">
        <v>641</v>
      </c>
      <c r="F26" s="1427"/>
      <c r="G26" s="1427"/>
      <c r="H26" s="1427"/>
      <c r="I26" s="1427"/>
      <c r="J26" s="1427"/>
      <c r="K26" s="1488" t="s">
        <v>522</v>
      </c>
      <c r="L26" s="1488"/>
      <c r="M26" s="1488"/>
    </row>
    <row r="27" spans="1:13" ht="27.95" customHeight="1">
      <c r="A27" s="1459" t="s">
        <v>2028</v>
      </c>
      <c r="B27" s="1486" t="s">
        <v>1565</v>
      </c>
      <c r="C27" s="1459" t="s">
        <v>1775</v>
      </c>
      <c r="D27" s="1459"/>
      <c r="E27" s="1443"/>
      <c r="F27" s="1459" t="s">
        <v>1308</v>
      </c>
      <c r="G27" s="1459"/>
      <c r="H27" s="1443"/>
      <c r="I27" s="1469" t="s">
        <v>1158</v>
      </c>
      <c r="J27" s="1487"/>
      <c r="K27" s="1470"/>
      <c r="L27" s="1486" t="s">
        <v>1564</v>
      </c>
      <c r="M27" s="1459" t="s">
        <v>2027</v>
      </c>
    </row>
    <row r="28" spans="1:13" ht="27.95" customHeight="1">
      <c r="A28" s="1460"/>
      <c r="B28" s="1469"/>
      <c r="C28" s="890" t="s">
        <v>0</v>
      </c>
      <c r="D28" s="903" t="s">
        <v>1</v>
      </c>
      <c r="E28" s="892" t="s">
        <v>2</v>
      </c>
      <c r="F28" s="890" t="s">
        <v>0</v>
      </c>
      <c r="G28" s="903" t="s">
        <v>1</v>
      </c>
      <c r="H28" s="892" t="s">
        <v>2</v>
      </c>
      <c r="I28" s="890" t="s">
        <v>0</v>
      </c>
      <c r="J28" s="903" t="s">
        <v>1</v>
      </c>
      <c r="K28" s="893" t="s">
        <v>2</v>
      </c>
      <c r="L28" s="1486"/>
      <c r="M28" s="1460"/>
    </row>
    <row r="29" spans="1:13" ht="27.95" customHeight="1">
      <c r="A29" s="1460"/>
      <c r="B29" s="1443"/>
      <c r="C29" s="894" t="s">
        <v>500</v>
      </c>
      <c r="D29" s="895" t="s">
        <v>501</v>
      </c>
      <c r="E29" s="896" t="s">
        <v>502</v>
      </c>
      <c r="F29" s="894" t="s">
        <v>500</v>
      </c>
      <c r="G29" s="895" t="s">
        <v>501</v>
      </c>
      <c r="H29" s="896" t="s">
        <v>502</v>
      </c>
      <c r="I29" s="894" t="s">
        <v>500</v>
      </c>
      <c r="J29" s="895" t="s">
        <v>501</v>
      </c>
      <c r="K29" s="897" t="s">
        <v>502</v>
      </c>
      <c r="L29" s="1459"/>
      <c r="M29" s="1460"/>
    </row>
    <row r="30" spans="1:13" ht="27.95" customHeight="1">
      <c r="A30" s="1461"/>
      <c r="B30" s="1469"/>
      <c r="C30" s="898" t="s">
        <v>3</v>
      </c>
      <c r="D30" s="904" t="s">
        <v>4</v>
      </c>
      <c r="E30" s="900" t="s">
        <v>5</v>
      </c>
      <c r="F30" s="898" t="s">
        <v>3</v>
      </c>
      <c r="G30" s="904" t="s">
        <v>4</v>
      </c>
      <c r="H30" s="900" t="s">
        <v>5</v>
      </c>
      <c r="I30" s="898" t="s">
        <v>3</v>
      </c>
      <c r="J30" s="904" t="s">
        <v>4</v>
      </c>
      <c r="K30" s="902" t="s">
        <v>5</v>
      </c>
      <c r="L30" s="1486"/>
      <c r="M30" s="1461"/>
    </row>
    <row r="31" spans="1:13" ht="50.1" customHeight="1">
      <c r="A31" s="903">
        <v>19</v>
      </c>
      <c r="B31" s="302" t="s">
        <v>20</v>
      </c>
      <c r="C31" s="495">
        <v>10</v>
      </c>
      <c r="D31" s="493">
        <v>139</v>
      </c>
      <c r="E31" s="424">
        <f>D31+C31</f>
        <v>149</v>
      </c>
      <c r="F31" s="495">
        <v>9</v>
      </c>
      <c r="G31" s="493">
        <v>134</v>
      </c>
      <c r="H31" s="425">
        <f>G31+F31</f>
        <v>143</v>
      </c>
      <c r="I31" s="495">
        <v>10</v>
      </c>
      <c r="J31" s="493">
        <v>128</v>
      </c>
      <c r="K31" s="425">
        <f>J31+I31</f>
        <v>138</v>
      </c>
      <c r="L31" s="427" t="s">
        <v>622</v>
      </c>
      <c r="M31" s="903">
        <v>19</v>
      </c>
    </row>
    <row r="32" spans="1:13" ht="50.1" customHeight="1">
      <c r="A32" s="914">
        <v>20</v>
      </c>
      <c r="B32" s="663" t="s">
        <v>21</v>
      </c>
      <c r="C32" s="648">
        <v>2</v>
      </c>
      <c r="D32" s="641">
        <v>176</v>
      </c>
      <c r="E32" s="649">
        <f>D32+C32</f>
        <v>178</v>
      </c>
      <c r="F32" s="648">
        <v>2</v>
      </c>
      <c r="G32" s="641">
        <v>173</v>
      </c>
      <c r="H32" s="664">
        <f>G32+F32</f>
        <v>175</v>
      </c>
      <c r="I32" s="648">
        <v>2</v>
      </c>
      <c r="J32" s="641">
        <v>173</v>
      </c>
      <c r="K32" s="664">
        <f>J32+I32</f>
        <v>175</v>
      </c>
      <c r="L32" s="677" t="s">
        <v>623</v>
      </c>
      <c r="M32" s="914">
        <v>20</v>
      </c>
    </row>
    <row r="33" spans="1:13" ht="50.1" customHeight="1">
      <c r="A33" s="910">
        <v>21</v>
      </c>
      <c r="B33" s="316" t="s">
        <v>22</v>
      </c>
      <c r="C33" s="496">
        <v>2</v>
      </c>
      <c r="D33" s="492">
        <v>90</v>
      </c>
      <c r="E33" s="484">
        <f t="shared" ref="E33:E34" si="3">D33+C33</f>
        <v>92</v>
      </c>
      <c r="F33" s="496">
        <v>1</v>
      </c>
      <c r="G33" s="492">
        <v>78</v>
      </c>
      <c r="H33" s="499">
        <f t="shared" ref="H33:H34" si="4">G33+F33</f>
        <v>79</v>
      </c>
      <c r="I33" s="496">
        <v>1</v>
      </c>
      <c r="J33" s="492">
        <v>83</v>
      </c>
      <c r="K33" s="499">
        <f>J33+I33</f>
        <v>84</v>
      </c>
      <c r="L33" s="318" t="s">
        <v>624</v>
      </c>
      <c r="M33" s="910">
        <v>21</v>
      </c>
    </row>
    <row r="34" spans="1:13" ht="50.1" customHeight="1">
      <c r="A34" s="914">
        <v>22</v>
      </c>
      <c r="B34" s="663" t="s">
        <v>1600</v>
      </c>
      <c r="C34" s="648">
        <v>3</v>
      </c>
      <c r="D34" s="649">
        <v>56</v>
      </c>
      <c r="E34" s="649">
        <f t="shared" si="3"/>
        <v>59</v>
      </c>
      <c r="F34" s="648">
        <v>2</v>
      </c>
      <c r="G34" s="649">
        <v>53</v>
      </c>
      <c r="H34" s="664">
        <f t="shared" si="4"/>
        <v>55</v>
      </c>
      <c r="I34" s="648">
        <v>2</v>
      </c>
      <c r="J34" s="649">
        <v>52</v>
      </c>
      <c r="K34" s="664">
        <f>J34+I34</f>
        <v>54</v>
      </c>
      <c r="L34" s="677" t="s">
        <v>1948</v>
      </c>
      <c r="M34" s="914">
        <v>22</v>
      </c>
    </row>
    <row r="35" spans="1:13" ht="50.1" customHeight="1">
      <c r="A35" s="910">
        <v>23</v>
      </c>
      <c r="B35" s="316" t="s">
        <v>1568</v>
      </c>
      <c r="C35" s="503" t="s">
        <v>14</v>
      </c>
      <c r="D35" s="492">
        <v>69</v>
      </c>
      <c r="E35" s="484">
        <f>D35</f>
        <v>69</v>
      </c>
      <c r="F35" s="503" t="s">
        <v>14</v>
      </c>
      <c r="G35" s="492">
        <v>68</v>
      </c>
      <c r="H35" s="499">
        <f>G35</f>
        <v>68</v>
      </c>
      <c r="I35" s="503" t="s">
        <v>14</v>
      </c>
      <c r="J35" s="492">
        <v>71</v>
      </c>
      <c r="K35" s="499">
        <f>J35</f>
        <v>71</v>
      </c>
      <c r="L35" s="318" t="s">
        <v>1580</v>
      </c>
      <c r="M35" s="910">
        <v>23</v>
      </c>
    </row>
    <row r="36" spans="1:13" ht="50.1" customHeight="1">
      <c r="A36" s="914">
        <v>24</v>
      </c>
      <c r="B36" s="622" t="s">
        <v>2002</v>
      </c>
      <c r="C36" s="648" t="s">
        <v>14</v>
      </c>
      <c r="D36" s="641">
        <v>80</v>
      </c>
      <c r="E36" s="649">
        <f>D36</f>
        <v>80</v>
      </c>
      <c r="F36" s="648" t="s">
        <v>14</v>
      </c>
      <c r="G36" s="641">
        <v>80</v>
      </c>
      <c r="H36" s="664">
        <f>G36</f>
        <v>80</v>
      </c>
      <c r="I36" s="648" t="s">
        <v>14</v>
      </c>
      <c r="J36" s="641">
        <v>81</v>
      </c>
      <c r="K36" s="664">
        <f>J36</f>
        <v>81</v>
      </c>
      <c r="L36" s="795" t="s">
        <v>2003</v>
      </c>
      <c r="M36" s="914">
        <v>24</v>
      </c>
    </row>
    <row r="37" spans="1:13" ht="50.1" customHeight="1">
      <c r="A37" s="910">
        <v>25</v>
      </c>
      <c r="B37" s="316" t="s">
        <v>1569</v>
      </c>
      <c r="C37" s="496">
        <v>6</v>
      </c>
      <c r="D37" s="492">
        <v>49</v>
      </c>
      <c r="E37" s="484">
        <f>D37+C37</f>
        <v>55</v>
      </c>
      <c r="F37" s="496">
        <v>5</v>
      </c>
      <c r="G37" s="492">
        <v>42</v>
      </c>
      <c r="H37" s="499">
        <f t="shared" ref="H37:H38" si="5">G37+F37</f>
        <v>47</v>
      </c>
      <c r="I37" s="496">
        <v>5</v>
      </c>
      <c r="J37" s="492">
        <v>47</v>
      </c>
      <c r="K37" s="499">
        <f>J37+I37</f>
        <v>52</v>
      </c>
      <c r="L37" s="318" t="s">
        <v>1949</v>
      </c>
      <c r="M37" s="910">
        <v>25</v>
      </c>
    </row>
    <row r="38" spans="1:13" ht="50.1" customHeight="1">
      <c r="A38" s="914">
        <v>26</v>
      </c>
      <c r="B38" s="663" t="s">
        <v>461</v>
      </c>
      <c r="C38" s="640">
        <v>1</v>
      </c>
      <c r="D38" s="641">
        <v>60</v>
      </c>
      <c r="E38" s="649">
        <f>D38+C38</f>
        <v>61</v>
      </c>
      <c r="F38" s="640">
        <v>1</v>
      </c>
      <c r="G38" s="641">
        <v>53</v>
      </c>
      <c r="H38" s="664">
        <f t="shared" si="5"/>
        <v>54</v>
      </c>
      <c r="I38" s="640">
        <v>1</v>
      </c>
      <c r="J38" s="641">
        <v>55</v>
      </c>
      <c r="K38" s="664">
        <f>J38+I38</f>
        <v>56</v>
      </c>
      <c r="L38" s="677" t="s">
        <v>625</v>
      </c>
      <c r="M38" s="914">
        <v>26</v>
      </c>
    </row>
    <row r="39" spans="1:13" ht="50.1" customHeight="1">
      <c r="A39" s="910">
        <v>27</v>
      </c>
      <c r="B39" s="316" t="s">
        <v>1570</v>
      </c>
      <c r="C39" s="503" t="s">
        <v>14</v>
      </c>
      <c r="D39" s="492">
        <v>43</v>
      </c>
      <c r="E39" s="484">
        <f>D39</f>
        <v>43</v>
      </c>
      <c r="F39" s="503" t="s">
        <v>14</v>
      </c>
      <c r="G39" s="492">
        <v>42</v>
      </c>
      <c r="H39" s="499">
        <f>G39</f>
        <v>42</v>
      </c>
      <c r="I39" s="503" t="s">
        <v>14</v>
      </c>
      <c r="J39" s="492">
        <v>42</v>
      </c>
      <c r="K39" s="499">
        <f>J39</f>
        <v>42</v>
      </c>
      <c r="L39" s="318" t="s">
        <v>1950</v>
      </c>
      <c r="M39" s="910">
        <v>27</v>
      </c>
    </row>
    <row r="40" spans="1:13" ht="50.1" customHeight="1">
      <c r="A40" s="914">
        <v>28</v>
      </c>
      <c r="B40" s="663" t="s">
        <v>1571</v>
      </c>
      <c r="C40" s="648" t="s">
        <v>14</v>
      </c>
      <c r="D40" s="641">
        <v>34</v>
      </c>
      <c r="E40" s="649">
        <f>D40</f>
        <v>34</v>
      </c>
      <c r="F40" s="648" t="s">
        <v>14</v>
      </c>
      <c r="G40" s="641">
        <v>33</v>
      </c>
      <c r="H40" s="664">
        <f>G40</f>
        <v>33</v>
      </c>
      <c r="I40" s="648" t="s">
        <v>14</v>
      </c>
      <c r="J40" s="641">
        <v>34</v>
      </c>
      <c r="K40" s="664">
        <f>J40</f>
        <v>34</v>
      </c>
      <c r="L40" s="677" t="s">
        <v>1951</v>
      </c>
      <c r="M40" s="914">
        <v>28</v>
      </c>
    </row>
    <row r="41" spans="1:13" ht="50.1" customHeight="1">
      <c r="A41" s="910">
        <v>29</v>
      </c>
      <c r="B41" s="316" t="s">
        <v>1572</v>
      </c>
      <c r="C41" s="503" t="s">
        <v>14</v>
      </c>
      <c r="D41" s="492">
        <v>29</v>
      </c>
      <c r="E41" s="484">
        <f>D41</f>
        <v>29</v>
      </c>
      <c r="F41" s="503" t="s">
        <v>14</v>
      </c>
      <c r="G41" s="492">
        <v>18</v>
      </c>
      <c r="H41" s="499">
        <f>G41</f>
        <v>18</v>
      </c>
      <c r="I41" s="503" t="s">
        <v>14</v>
      </c>
      <c r="J41" s="492">
        <v>19</v>
      </c>
      <c r="K41" s="499">
        <f>J41</f>
        <v>19</v>
      </c>
      <c r="L41" s="318" t="s">
        <v>1952</v>
      </c>
      <c r="M41" s="910">
        <v>29</v>
      </c>
    </row>
    <row r="42" spans="1:13" ht="50.1" customHeight="1">
      <c r="A42" s="914">
        <v>30</v>
      </c>
      <c r="B42" s="663" t="s">
        <v>1573</v>
      </c>
      <c r="C42" s="648">
        <v>5</v>
      </c>
      <c r="D42" s="649">
        <v>47</v>
      </c>
      <c r="E42" s="649">
        <f>D42+C42</f>
        <v>52</v>
      </c>
      <c r="F42" s="648">
        <v>5</v>
      </c>
      <c r="G42" s="649">
        <v>36</v>
      </c>
      <c r="H42" s="664">
        <f t="shared" ref="H42" si="6">G42+F42</f>
        <v>41</v>
      </c>
      <c r="I42" s="648">
        <v>5</v>
      </c>
      <c r="J42" s="649">
        <v>35</v>
      </c>
      <c r="K42" s="664">
        <f>J42+I42</f>
        <v>40</v>
      </c>
      <c r="L42" s="677" t="s">
        <v>1585</v>
      </c>
      <c r="M42" s="914">
        <v>30</v>
      </c>
    </row>
    <row r="43" spans="1:13" ht="50.1" customHeight="1">
      <c r="A43" s="910">
        <v>31</v>
      </c>
      <c r="B43" s="316" t="s">
        <v>1574</v>
      </c>
      <c r="C43" s="503">
        <v>1</v>
      </c>
      <c r="D43" s="484">
        <v>36</v>
      </c>
      <c r="E43" s="484">
        <f t="shared" ref="E43:E44" si="7">D43+C43</f>
        <v>37</v>
      </c>
      <c r="F43" s="503" t="s">
        <v>14</v>
      </c>
      <c r="G43" s="484">
        <v>29</v>
      </c>
      <c r="H43" s="499">
        <f>G43</f>
        <v>29</v>
      </c>
      <c r="I43" s="503" t="s">
        <v>14</v>
      </c>
      <c r="J43" s="484">
        <v>31</v>
      </c>
      <c r="K43" s="499">
        <f>J43</f>
        <v>31</v>
      </c>
      <c r="L43" s="318" t="s">
        <v>1586</v>
      </c>
      <c r="M43" s="910">
        <v>31</v>
      </c>
    </row>
    <row r="44" spans="1:13" ht="50.1" customHeight="1">
      <c r="A44" s="914">
        <v>32</v>
      </c>
      <c r="B44" s="663" t="s">
        <v>1575</v>
      </c>
      <c r="C44" s="648">
        <v>4</v>
      </c>
      <c r="D44" s="649">
        <v>26</v>
      </c>
      <c r="E44" s="649">
        <f t="shared" si="7"/>
        <v>30</v>
      </c>
      <c r="F44" s="648">
        <v>3</v>
      </c>
      <c r="G44" s="649">
        <v>23</v>
      </c>
      <c r="H44" s="664">
        <f t="shared" ref="H44" si="8">G44+F44</f>
        <v>26</v>
      </c>
      <c r="I44" s="648">
        <v>3</v>
      </c>
      <c r="J44" s="649">
        <v>20</v>
      </c>
      <c r="K44" s="664">
        <f>J44+I44</f>
        <v>23</v>
      </c>
      <c r="L44" s="677" t="s">
        <v>1587</v>
      </c>
      <c r="M44" s="914">
        <v>32</v>
      </c>
    </row>
    <row r="45" spans="1:13" ht="50.1" customHeight="1">
      <c r="A45" s="910">
        <v>33</v>
      </c>
      <c r="B45" s="316" t="s">
        <v>1576</v>
      </c>
      <c r="C45" s="504" t="s">
        <v>14</v>
      </c>
      <c r="D45" s="492">
        <v>13</v>
      </c>
      <c r="E45" s="492">
        <f>D45</f>
        <v>13</v>
      </c>
      <c r="F45" s="496" t="s">
        <v>14</v>
      </c>
      <c r="G45" s="492">
        <v>9</v>
      </c>
      <c r="H45" s="500">
        <f>G45</f>
        <v>9</v>
      </c>
      <c r="I45" s="496" t="s">
        <v>14</v>
      </c>
      <c r="J45" s="492">
        <v>11</v>
      </c>
      <c r="K45" s="500">
        <f>J45</f>
        <v>11</v>
      </c>
      <c r="L45" s="318" t="s">
        <v>1588</v>
      </c>
      <c r="M45" s="910">
        <v>33</v>
      </c>
    </row>
    <row r="46" spans="1:13" ht="50.1" customHeight="1">
      <c r="A46" s="914">
        <v>34</v>
      </c>
      <c r="B46" s="663" t="s">
        <v>1577</v>
      </c>
      <c r="C46" s="643" t="s">
        <v>14</v>
      </c>
      <c r="D46" s="641">
        <v>6</v>
      </c>
      <c r="E46" s="641">
        <f>D46</f>
        <v>6</v>
      </c>
      <c r="F46" s="640" t="s">
        <v>14</v>
      </c>
      <c r="G46" s="641">
        <v>6</v>
      </c>
      <c r="H46" s="642">
        <f>G46</f>
        <v>6</v>
      </c>
      <c r="I46" s="640" t="s">
        <v>14</v>
      </c>
      <c r="J46" s="641">
        <v>6</v>
      </c>
      <c r="K46" s="642">
        <f>J46</f>
        <v>6</v>
      </c>
      <c r="L46" s="677" t="s">
        <v>1953</v>
      </c>
      <c r="M46" s="914">
        <v>34</v>
      </c>
    </row>
    <row r="47" spans="1:13" ht="50.1" customHeight="1">
      <c r="A47" s="910">
        <v>35</v>
      </c>
      <c r="B47" s="316" t="s">
        <v>1578</v>
      </c>
      <c r="C47" s="504">
        <v>1</v>
      </c>
      <c r="D47" s="492">
        <v>16</v>
      </c>
      <c r="E47" s="492">
        <f>D47+C47</f>
        <v>17</v>
      </c>
      <c r="F47" s="496" t="s">
        <v>14</v>
      </c>
      <c r="G47" s="492">
        <v>12</v>
      </c>
      <c r="H47" s="500">
        <f>G47</f>
        <v>12</v>
      </c>
      <c r="I47" s="496" t="s">
        <v>14</v>
      </c>
      <c r="J47" s="492">
        <v>12</v>
      </c>
      <c r="K47" s="500">
        <f>J47</f>
        <v>12</v>
      </c>
      <c r="L47" s="318" t="s">
        <v>1954</v>
      </c>
      <c r="M47" s="910">
        <v>35</v>
      </c>
    </row>
    <row r="48" spans="1:13" ht="50.1" customHeight="1">
      <c r="A48" s="914">
        <v>36</v>
      </c>
      <c r="B48" s="622" t="s">
        <v>1165</v>
      </c>
      <c r="C48" s="643" t="s">
        <v>14</v>
      </c>
      <c r="D48" s="641">
        <v>30</v>
      </c>
      <c r="E48" s="641">
        <f>D48</f>
        <v>30</v>
      </c>
      <c r="F48" s="640" t="s">
        <v>14</v>
      </c>
      <c r="G48" s="641">
        <v>18</v>
      </c>
      <c r="H48" s="642">
        <f>G48</f>
        <v>18</v>
      </c>
      <c r="I48" s="641" t="s">
        <v>14</v>
      </c>
      <c r="J48" s="641">
        <v>17</v>
      </c>
      <c r="K48" s="642">
        <f>J48</f>
        <v>17</v>
      </c>
      <c r="L48" s="626" t="s">
        <v>1956</v>
      </c>
      <c r="M48" s="914">
        <v>36</v>
      </c>
    </row>
    <row r="49" spans="1:15" ht="50.1" customHeight="1">
      <c r="A49" s="910">
        <v>37</v>
      </c>
      <c r="B49" s="800" t="s">
        <v>2004</v>
      </c>
      <c r="C49" s="504" t="s">
        <v>14</v>
      </c>
      <c r="D49" s="492">
        <v>7</v>
      </c>
      <c r="E49" s="492">
        <f>D49</f>
        <v>7</v>
      </c>
      <c r="F49" s="496" t="s">
        <v>14</v>
      </c>
      <c r="G49" s="492">
        <v>7</v>
      </c>
      <c r="H49" s="500">
        <f>G49</f>
        <v>7</v>
      </c>
      <c r="I49" s="492" t="s">
        <v>14</v>
      </c>
      <c r="J49" s="492">
        <v>8</v>
      </c>
      <c r="K49" s="500">
        <f>J49</f>
        <v>8</v>
      </c>
      <c r="L49" s="432" t="s">
        <v>2005</v>
      </c>
      <c r="M49" s="910">
        <v>37</v>
      </c>
    </row>
    <row r="50" spans="1:15" ht="50.1" customHeight="1">
      <c r="A50" s="914">
        <v>38</v>
      </c>
      <c r="B50" s="622" t="s">
        <v>1777</v>
      </c>
      <c r="C50" s="643" t="s">
        <v>14</v>
      </c>
      <c r="D50" s="641">
        <v>14</v>
      </c>
      <c r="E50" s="641">
        <f>D50</f>
        <v>14</v>
      </c>
      <c r="F50" s="640" t="s">
        <v>14</v>
      </c>
      <c r="G50" s="641" t="s">
        <v>14</v>
      </c>
      <c r="H50" s="642" t="s">
        <v>14</v>
      </c>
      <c r="I50" s="641" t="s">
        <v>14</v>
      </c>
      <c r="J50" s="641" t="s">
        <v>14</v>
      </c>
      <c r="K50" s="642" t="s">
        <v>14</v>
      </c>
      <c r="L50" s="626" t="s">
        <v>1955</v>
      </c>
      <c r="M50" s="914">
        <v>38</v>
      </c>
    </row>
    <row r="51" spans="1:15" ht="50.1" customHeight="1">
      <c r="A51" s="904">
        <v>39</v>
      </c>
      <c r="B51" s="388" t="s">
        <v>1779</v>
      </c>
      <c r="C51" s="505" t="s">
        <v>14</v>
      </c>
      <c r="D51" s="494">
        <v>13</v>
      </c>
      <c r="E51" s="494">
        <f>D51</f>
        <v>13</v>
      </c>
      <c r="F51" s="497" t="s">
        <v>14</v>
      </c>
      <c r="G51" s="494" t="s">
        <v>14</v>
      </c>
      <c r="H51" s="501" t="s">
        <v>14</v>
      </c>
      <c r="I51" s="494" t="s">
        <v>14</v>
      </c>
      <c r="J51" s="494" t="s">
        <v>14</v>
      </c>
      <c r="K51" s="501" t="s">
        <v>14</v>
      </c>
      <c r="L51" s="389" t="s">
        <v>1778</v>
      </c>
      <c r="M51" s="904">
        <v>39</v>
      </c>
    </row>
    <row r="52" spans="1:15" ht="30" customHeight="1">
      <c r="B52" s="1416" t="s">
        <v>27</v>
      </c>
      <c r="C52" s="1416"/>
      <c r="D52" s="1416"/>
      <c r="E52" s="1422" t="s">
        <v>626</v>
      </c>
      <c r="F52" s="1422"/>
      <c r="G52" s="1422"/>
      <c r="H52" s="1422"/>
      <c r="I52" s="1422"/>
      <c r="J52" s="1422"/>
      <c r="K52" s="1415" t="s">
        <v>24</v>
      </c>
      <c r="L52" s="1415"/>
      <c r="M52" s="36"/>
      <c r="N52" s="36"/>
      <c r="O52" s="36"/>
    </row>
    <row r="53" spans="1:15" ht="15" customHeight="1"/>
    <row r="54" spans="1:15" ht="29.1" customHeight="1"/>
    <row r="55" spans="1:15" ht="29.1" customHeight="1"/>
    <row r="56" spans="1:15" ht="29.1" customHeight="1"/>
  </sheetData>
  <mergeCells count="26">
    <mergeCell ref="R10:R11"/>
    <mergeCell ref="S10:S11"/>
    <mergeCell ref="I27:K27"/>
    <mergeCell ref="L27:L30"/>
    <mergeCell ref="E26:J26"/>
    <mergeCell ref="Q10:Q11"/>
    <mergeCell ref="B52:D52"/>
    <mergeCell ref="K52:L52"/>
    <mergeCell ref="E52:J52"/>
    <mergeCell ref="L4:L7"/>
    <mergeCell ref="B4:B7"/>
    <mergeCell ref="C4:E4"/>
    <mergeCell ref="F4:H4"/>
    <mergeCell ref="I4:K4"/>
    <mergeCell ref="B27:B30"/>
    <mergeCell ref="C27:E27"/>
    <mergeCell ref="F27:H27"/>
    <mergeCell ref="K26:M26"/>
    <mergeCell ref="A26:D26"/>
    <mergeCell ref="A27:A30"/>
    <mergeCell ref="M27:M30"/>
    <mergeCell ref="A1:M1"/>
    <mergeCell ref="A2:M2"/>
    <mergeCell ref="A3:M3"/>
    <mergeCell ref="M4:M7"/>
    <mergeCell ref="A4:A7"/>
  </mergeCells>
  <pageMargins left="0.42" right="0.44" top="0.35433070866141703" bottom="0.66929133858267698" header="0.196850393700787" footer="0.31496062992126"/>
  <pageSetup paperSize="9" scale="65" orientation="portrait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1"/>
  <sheetViews>
    <sheetView view="pageBreakPreview" topLeftCell="A27" zoomScale="70" zoomScaleSheetLayoutView="70" workbookViewId="0">
      <selection activeCell="D32" sqref="D32"/>
    </sheetView>
  </sheetViews>
  <sheetFormatPr defaultRowHeight="15"/>
  <cols>
    <col min="1" max="1" width="4.42578125" customWidth="1"/>
    <col min="2" max="2" width="24" customWidth="1"/>
    <col min="3" max="3" width="7.42578125" customWidth="1"/>
    <col min="4" max="5" width="8.28515625" customWidth="1"/>
    <col min="6" max="6" width="7.5703125" customWidth="1"/>
    <col min="7" max="8" width="8.140625" customWidth="1"/>
    <col min="9" max="9" width="7.28515625" customWidth="1"/>
    <col min="10" max="11" width="8.42578125" customWidth="1"/>
    <col min="12" max="12" width="26.5703125" customWidth="1"/>
    <col min="13" max="13" width="5" customWidth="1"/>
  </cols>
  <sheetData>
    <row r="1" spans="1:20" ht="24.95" customHeight="1">
      <c r="A1" s="1437" t="s">
        <v>1888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</row>
    <row r="2" spans="1:20" ht="24.95" customHeight="1">
      <c r="A2" s="1490" t="s">
        <v>1758</v>
      </c>
      <c r="B2" s="1490"/>
      <c r="C2" s="1490"/>
      <c r="D2" s="1490"/>
      <c r="E2" s="1490"/>
      <c r="F2" s="1490"/>
      <c r="G2" s="1490"/>
      <c r="H2" s="1490"/>
      <c r="I2" s="1490"/>
      <c r="J2" s="1490"/>
      <c r="K2" s="1490"/>
      <c r="L2" s="1490"/>
      <c r="M2" s="1490"/>
    </row>
    <row r="3" spans="1:20" ht="24.95" customHeight="1">
      <c r="A3" s="1408" t="s">
        <v>1759</v>
      </c>
      <c r="B3" s="1408"/>
      <c r="C3" s="1408"/>
      <c r="D3" s="1408"/>
      <c r="E3" s="1408"/>
      <c r="F3" s="1408"/>
      <c r="G3" s="1408"/>
      <c r="H3" s="1408"/>
      <c r="I3" s="1408"/>
      <c r="J3" s="1408"/>
      <c r="K3" s="1408"/>
      <c r="L3" s="1408"/>
      <c r="M3" s="1408"/>
    </row>
    <row r="4" spans="1:20" ht="24.95" customHeight="1">
      <c r="A4" s="1418" t="s">
        <v>2026</v>
      </c>
      <c r="B4" s="1412" t="s">
        <v>403</v>
      </c>
      <c r="C4" s="1412" t="s">
        <v>1775</v>
      </c>
      <c r="D4" s="1412"/>
      <c r="E4" s="1412"/>
      <c r="F4" s="1412" t="s">
        <v>1308</v>
      </c>
      <c r="G4" s="1412"/>
      <c r="H4" s="1412"/>
      <c r="I4" s="1429" t="s">
        <v>1158</v>
      </c>
      <c r="J4" s="1492"/>
      <c r="K4" s="1432"/>
      <c r="L4" s="1412" t="s">
        <v>400</v>
      </c>
      <c r="M4" s="1418" t="s">
        <v>2027</v>
      </c>
    </row>
    <row r="5" spans="1:20" ht="24.95" customHeight="1">
      <c r="A5" s="1419"/>
      <c r="B5" s="1491"/>
      <c r="C5" s="78" t="s">
        <v>0</v>
      </c>
      <c r="D5" s="81" t="s">
        <v>1</v>
      </c>
      <c r="E5" s="80" t="s">
        <v>2</v>
      </c>
      <c r="F5" s="521" t="s">
        <v>0</v>
      </c>
      <c r="G5" s="523" t="s">
        <v>1</v>
      </c>
      <c r="H5" s="526" t="s">
        <v>2</v>
      </c>
      <c r="I5" s="521" t="s">
        <v>0</v>
      </c>
      <c r="J5" s="523" t="s">
        <v>1</v>
      </c>
      <c r="K5" s="526" t="s">
        <v>2</v>
      </c>
      <c r="L5" s="1491"/>
      <c r="M5" s="1419"/>
    </row>
    <row r="6" spans="1:20" ht="24.95" customHeight="1">
      <c r="A6" s="1419"/>
      <c r="B6" s="1491"/>
      <c r="C6" s="5" t="s">
        <v>500</v>
      </c>
      <c r="D6" s="6" t="s">
        <v>501</v>
      </c>
      <c r="E6" s="84" t="s">
        <v>502</v>
      </c>
      <c r="F6" s="533" t="s">
        <v>500</v>
      </c>
      <c r="G6" s="357" t="s">
        <v>501</v>
      </c>
      <c r="H6" s="163" t="s">
        <v>502</v>
      </c>
      <c r="I6" s="533" t="s">
        <v>500</v>
      </c>
      <c r="J6" s="357" t="s">
        <v>501</v>
      </c>
      <c r="K6" s="163" t="s">
        <v>502</v>
      </c>
      <c r="L6" s="1491"/>
      <c r="M6" s="1419"/>
    </row>
    <row r="7" spans="1:20" ht="24.95" customHeight="1">
      <c r="A7" s="1433"/>
      <c r="B7" s="1491"/>
      <c r="C7" s="79" t="s">
        <v>3</v>
      </c>
      <c r="D7" s="82" t="s">
        <v>4</v>
      </c>
      <c r="E7" s="83" t="s">
        <v>5</v>
      </c>
      <c r="F7" s="522" t="s">
        <v>3</v>
      </c>
      <c r="G7" s="528" t="s">
        <v>4</v>
      </c>
      <c r="H7" s="525" t="s">
        <v>5</v>
      </c>
      <c r="I7" s="522" t="s">
        <v>3</v>
      </c>
      <c r="J7" s="528" t="s">
        <v>4</v>
      </c>
      <c r="K7" s="525" t="s">
        <v>5</v>
      </c>
      <c r="L7" s="1491"/>
      <c r="M7" s="1433"/>
      <c r="Q7">
        <f>C8+D8</f>
        <v>71500</v>
      </c>
    </row>
    <row r="8" spans="1:20" ht="50.1" customHeight="1">
      <c r="A8" s="1057"/>
      <c r="B8" s="633" t="s">
        <v>28</v>
      </c>
      <c r="C8" s="637">
        <f>C9+C10+C11+C12+C13+C14+C15+C16+C17+C18+C19+C20+C21+C22+C23+C24+C25+C26+C27+C28+C34+C35+C36+C37+C38+C39+C41+C42+C44+C45+C47+C48+C49</f>
        <v>7292</v>
      </c>
      <c r="D8" s="638">
        <f>D9+D10+D11+D12+D13+D14+D15+D16+D17+D18+D19+D20+D21+D22+D23+D24+D25+D26+D27+D28+D34+D35+D36+D37+D38+D39+D40+D41+D42+D43+D44+D45+D46+D47+D48+D49+D50</f>
        <v>64208</v>
      </c>
      <c r="E8" s="639">
        <f>E9+E10+E11+E12+E13+E14+E15+E16+E17+E18+E19+E20+E21+E22+E23+E24+E25+E26+E27+E28+E34+E35+E36+E37+E38+E39+E40+E41+E42+E43+E44+E45+E46+E47+E48+E49+E50</f>
        <v>71500</v>
      </c>
      <c r="F8" s="637">
        <f>F9+F10+F11+F12+F13+F14+F15+F16+F17+F18+F19+F20+F21+F22+F23+F24+F25+F26+F27+F28+F34+F35+F36+F37+F38+F39+F41+F42+F44+F45+F47+F48</f>
        <v>6017</v>
      </c>
      <c r="G8" s="638">
        <f>G9+G10+G11+G12+G13+G14+G15+G16+G17+G18+G19+G20+G21+G22+G23+G24+G25+G26+G27+G28+G34+G35+G36+G37+G38+G39+G40+G41+G42+G43+G44+G46+G47+G48</f>
        <v>59333</v>
      </c>
      <c r="H8" s="638">
        <f>H9+H10+H11+H12+H13+H14+H15+H16+H17+H18+H19+H20+H21+H22+H23+H24+H25+H26+H27+H28+H34+H35+H36+H37+H38+H39+H40+H41+H42+H43+H44+H45+H46+H47+H48</f>
        <v>65350</v>
      </c>
      <c r="I8" s="637">
        <f>I9+I10+I11+I12+I13+I14+I15+I16+I17+I18+I19+I20+I21+I22+I23+I24+I25+I26+I27+I28+I34+I35+I36+I37+I38+I39+I41+I42+I44+I45+I47</f>
        <v>5239</v>
      </c>
      <c r="J8" s="638">
        <f>J9+J10+J11+J12+J13+J14+J15+J16+J17+J18+J19+J20+J21+J22+J23+J24+J25+J26+J27+J28+J34+J35+J36+J37+J38+J39+J40+J41+J42+J43+J44+J46+J47+J48</f>
        <v>60479</v>
      </c>
      <c r="K8" s="639">
        <f>K9+K10+K11+K12+K13+K14+K15+K16+K17+K18+K19+K20+K21+K22+K23+K24+K25+K26+K27+K28+K34+K35+K36+K37+K38+K39+K40+K41+K42+K43+K44+K45+K46+K47+K48</f>
        <v>65718</v>
      </c>
      <c r="L8" s="627" t="s">
        <v>642</v>
      </c>
      <c r="M8" s="915"/>
    </row>
    <row r="9" spans="1:20" ht="50.1" customHeight="1">
      <c r="A9" s="910">
        <v>1</v>
      </c>
      <c r="B9" s="297" t="s">
        <v>442</v>
      </c>
      <c r="C9" s="535">
        <v>430</v>
      </c>
      <c r="D9" s="524">
        <v>2719</v>
      </c>
      <c r="E9" s="524">
        <f>D9+C9</f>
        <v>3149</v>
      </c>
      <c r="F9" s="535">
        <v>515</v>
      </c>
      <c r="G9" s="524">
        <v>2947</v>
      </c>
      <c r="H9" s="524">
        <f>G9+F9</f>
        <v>3462</v>
      </c>
      <c r="I9" s="535">
        <v>737</v>
      </c>
      <c r="J9" s="524">
        <v>5511</v>
      </c>
      <c r="K9" s="534">
        <f>J9+I9</f>
        <v>6248</v>
      </c>
      <c r="L9" s="300" t="s">
        <v>611</v>
      </c>
      <c r="M9" s="910">
        <v>1</v>
      </c>
    </row>
    <row r="10" spans="1:20" ht="50.1" customHeight="1">
      <c r="A10" s="914">
        <v>2</v>
      </c>
      <c r="B10" s="770" t="s">
        <v>1996</v>
      </c>
      <c r="C10" s="775">
        <v>83</v>
      </c>
      <c r="D10" s="773">
        <v>477</v>
      </c>
      <c r="E10" s="773">
        <f t="shared" ref="E10:E27" si="0">D10+C10</f>
        <v>560</v>
      </c>
      <c r="F10" s="775">
        <v>242</v>
      </c>
      <c r="G10" s="773">
        <v>587</v>
      </c>
      <c r="H10" s="773">
        <f>G10+F10</f>
        <v>829</v>
      </c>
      <c r="I10" s="775">
        <v>223</v>
      </c>
      <c r="J10" s="773">
        <v>714</v>
      </c>
      <c r="K10" s="793">
        <f t="shared" ref="K10:K27" si="1">J10+I10</f>
        <v>937</v>
      </c>
      <c r="L10" s="768" t="s">
        <v>1997</v>
      </c>
      <c r="M10" s="914">
        <v>2</v>
      </c>
    </row>
    <row r="11" spans="1:20" ht="50.1" customHeight="1">
      <c r="A11" s="910">
        <v>3</v>
      </c>
      <c r="B11" s="766" t="s">
        <v>8</v>
      </c>
      <c r="C11" s="782">
        <v>185</v>
      </c>
      <c r="D11" s="771">
        <v>1538</v>
      </c>
      <c r="E11" s="771">
        <f t="shared" si="0"/>
        <v>1723</v>
      </c>
      <c r="F11" s="782">
        <v>61</v>
      </c>
      <c r="G11" s="771">
        <v>1703</v>
      </c>
      <c r="H11" s="771">
        <f>G11+F11</f>
        <v>1764</v>
      </c>
      <c r="I11" s="782">
        <v>95</v>
      </c>
      <c r="J11" s="771">
        <v>1855</v>
      </c>
      <c r="K11" s="794">
        <f t="shared" si="1"/>
        <v>1950</v>
      </c>
      <c r="L11" s="765" t="s">
        <v>712</v>
      </c>
      <c r="M11" s="910">
        <v>3</v>
      </c>
      <c r="Q11" s="1"/>
    </row>
    <row r="12" spans="1:20" ht="50.1" customHeight="1">
      <c r="A12" s="914">
        <v>4</v>
      </c>
      <c r="B12" s="665" t="s">
        <v>2009</v>
      </c>
      <c r="C12" s="775">
        <v>316</v>
      </c>
      <c r="D12" s="773">
        <v>1078</v>
      </c>
      <c r="E12" s="773">
        <f t="shared" si="0"/>
        <v>1394</v>
      </c>
      <c r="F12" s="775">
        <v>270</v>
      </c>
      <c r="G12" s="773">
        <v>1339</v>
      </c>
      <c r="H12" s="773">
        <f t="shared" ref="H12:H24" si="2">G12+F12</f>
        <v>1609</v>
      </c>
      <c r="I12" s="775">
        <v>231</v>
      </c>
      <c r="J12" s="773">
        <v>1638</v>
      </c>
      <c r="K12" s="793">
        <f t="shared" si="1"/>
        <v>1869</v>
      </c>
      <c r="L12" s="768" t="s">
        <v>2013</v>
      </c>
      <c r="M12" s="914">
        <v>4</v>
      </c>
    </row>
    <row r="13" spans="1:20" ht="50.1" customHeight="1">
      <c r="A13" s="910">
        <v>5</v>
      </c>
      <c r="B13" s="785" t="s">
        <v>1989</v>
      </c>
      <c r="C13" s="790">
        <v>335</v>
      </c>
      <c r="D13" s="791">
        <v>1899</v>
      </c>
      <c r="E13" s="791">
        <f t="shared" si="0"/>
        <v>2234</v>
      </c>
      <c r="F13" s="790">
        <v>302</v>
      </c>
      <c r="G13" s="791">
        <v>1992</v>
      </c>
      <c r="H13" s="791">
        <f t="shared" si="2"/>
        <v>2294</v>
      </c>
      <c r="I13" s="790">
        <v>244</v>
      </c>
      <c r="J13" s="791">
        <v>1889</v>
      </c>
      <c r="K13" s="801">
        <f t="shared" si="1"/>
        <v>2133</v>
      </c>
      <c r="L13" s="432" t="s">
        <v>1988</v>
      </c>
      <c r="M13" s="910">
        <v>5</v>
      </c>
    </row>
    <row r="14" spans="1:20" ht="50.1" customHeight="1">
      <c r="A14" s="914">
        <v>6</v>
      </c>
      <c r="B14" s="770" t="s">
        <v>1987</v>
      </c>
      <c r="C14" s="775">
        <v>112</v>
      </c>
      <c r="D14" s="773">
        <v>3618</v>
      </c>
      <c r="E14" s="773">
        <f t="shared" si="0"/>
        <v>3730</v>
      </c>
      <c r="F14" s="775">
        <v>86</v>
      </c>
      <c r="G14" s="773">
        <v>3014</v>
      </c>
      <c r="H14" s="773">
        <f t="shared" si="2"/>
        <v>3100</v>
      </c>
      <c r="I14" s="775">
        <v>50</v>
      </c>
      <c r="J14" s="773">
        <v>3678</v>
      </c>
      <c r="K14" s="793">
        <f t="shared" si="1"/>
        <v>3728</v>
      </c>
      <c r="L14" s="768" t="s">
        <v>1998</v>
      </c>
      <c r="M14" s="914">
        <v>6</v>
      </c>
    </row>
    <row r="15" spans="1:20" ht="50.1" customHeight="1">
      <c r="A15" s="910">
        <v>7</v>
      </c>
      <c r="B15" s="297" t="s">
        <v>10</v>
      </c>
      <c r="C15" s="535">
        <v>320</v>
      </c>
      <c r="D15" s="524">
        <v>6270</v>
      </c>
      <c r="E15" s="524">
        <f t="shared" si="0"/>
        <v>6590</v>
      </c>
      <c r="F15" s="535">
        <v>198</v>
      </c>
      <c r="G15" s="524">
        <v>6247</v>
      </c>
      <c r="H15" s="524">
        <f t="shared" si="2"/>
        <v>6445</v>
      </c>
      <c r="I15" s="535">
        <v>138</v>
      </c>
      <c r="J15" s="524">
        <v>6049</v>
      </c>
      <c r="K15" s="534">
        <f t="shared" si="1"/>
        <v>6187</v>
      </c>
      <c r="L15" s="300" t="s">
        <v>613</v>
      </c>
      <c r="M15" s="910">
        <v>7</v>
      </c>
      <c r="S15">
        <v>1748</v>
      </c>
      <c r="T15">
        <v>202</v>
      </c>
    </row>
    <row r="16" spans="1:20" ht="50.1" customHeight="1">
      <c r="A16" s="914">
        <v>8</v>
      </c>
      <c r="B16" s="622" t="s">
        <v>9</v>
      </c>
      <c r="C16" s="648">
        <v>246</v>
      </c>
      <c r="D16" s="649">
        <v>2247</v>
      </c>
      <c r="E16" s="649">
        <f t="shared" si="0"/>
        <v>2493</v>
      </c>
      <c r="F16" s="648">
        <v>192</v>
      </c>
      <c r="G16" s="649">
        <v>2611</v>
      </c>
      <c r="H16" s="649">
        <f t="shared" si="2"/>
        <v>2803</v>
      </c>
      <c r="I16" s="648">
        <v>383</v>
      </c>
      <c r="J16" s="649">
        <v>3469</v>
      </c>
      <c r="K16" s="664">
        <f t="shared" si="1"/>
        <v>3852</v>
      </c>
      <c r="L16" s="626" t="s">
        <v>612</v>
      </c>
      <c r="M16" s="914">
        <v>8</v>
      </c>
      <c r="S16">
        <v>169</v>
      </c>
      <c r="T16">
        <v>18</v>
      </c>
    </row>
    <row r="17" spans="1:20" ht="50.1" customHeight="1">
      <c r="A17" s="910">
        <v>9</v>
      </c>
      <c r="B17" s="297" t="s">
        <v>2001</v>
      </c>
      <c r="C17" s="535">
        <v>483</v>
      </c>
      <c r="D17" s="524">
        <v>2377</v>
      </c>
      <c r="E17" s="524">
        <f t="shared" si="0"/>
        <v>2860</v>
      </c>
      <c r="F17" s="535">
        <v>311</v>
      </c>
      <c r="G17" s="524">
        <v>1983</v>
      </c>
      <c r="H17" s="524">
        <f t="shared" si="2"/>
        <v>2294</v>
      </c>
      <c r="I17" s="535">
        <v>233</v>
      </c>
      <c r="J17" s="524">
        <v>1963</v>
      </c>
      <c r="K17" s="534">
        <f t="shared" si="1"/>
        <v>2196</v>
      </c>
      <c r="L17" s="300" t="s">
        <v>2012</v>
      </c>
      <c r="M17" s="910">
        <v>9</v>
      </c>
      <c r="S17">
        <f>SUM(S15:S16)</f>
        <v>1917</v>
      </c>
      <c r="T17">
        <f>SUM(T15:T16)</f>
        <v>220</v>
      </c>
    </row>
    <row r="18" spans="1:20" ht="50.1" customHeight="1">
      <c r="A18" s="914">
        <v>10</v>
      </c>
      <c r="B18" s="622" t="s">
        <v>54</v>
      </c>
      <c r="C18" s="648">
        <v>138</v>
      </c>
      <c r="D18" s="649">
        <v>2247</v>
      </c>
      <c r="E18" s="649">
        <f t="shared" si="0"/>
        <v>2385</v>
      </c>
      <c r="F18" s="648">
        <v>76</v>
      </c>
      <c r="G18" s="649">
        <v>2077</v>
      </c>
      <c r="H18" s="649">
        <f t="shared" si="2"/>
        <v>2153</v>
      </c>
      <c r="I18" s="648">
        <v>59</v>
      </c>
      <c r="J18" s="649">
        <v>1898</v>
      </c>
      <c r="K18" s="664">
        <f t="shared" si="1"/>
        <v>1957</v>
      </c>
      <c r="L18" s="626" t="s">
        <v>672</v>
      </c>
      <c r="M18" s="914">
        <v>10</v>
      </c>
    </row>
    <row r="19" spans="1:20" ht="50.1" customHeight="1">
      <c r="A19" s="910">
        <v>11</v>
      </c>
      <c r="B19" s="297" t="s">
        <v>55</v>
      </c>
      <c r="C19" s="535">
        <v>1053</v>
      </c>
      <c r="D19" s="524">
        <v>4018</v>
      </c>
      <c r="E19" s="524">
        <f t="shared" si="0"/>
        <v>5071</v>
      </c>
      <c r="F19" s="535">
        <v>905</v>
      </c>
      <c r="G19" s="524">
        <v>3758</v>
      </c>
      <c r="H19" s="524">
        <f t="shared" si="2"/>
        <v>4663</v>
      </c>
      <c r="I19" s="535">
        <v>695</v>
      </c>
      <c r="J19" s="524">
        <v>3128</v>
      </c>
      <c r="K19" s="534">
        <f t="shared" si="1"/>
        <v>3823</v>
      </c>
      <c r="L19" s="300" t="s">
        <v>615</v>
      </c>
      <c r="M19" s="910">
        <v>11</v>
      </c>
    </row>
    <row r="20" spans="1:20" ht="50.1" customHeight="1">
      <c r="A20" s="914">
        <v>12</v>
      </c>
      <c r="B20" s="622" t="s">
        <v>56</v>
      </c>
      <c r="C20" s="648">
        <v>943</v>
      </c>
      <c r="D20" s="649">
        <v>3095</v>
      </c>
      <c r="E20" s="649">
        <f t="shared" si="0"/>
        <v>4038</v>
      </c>
      <c r="F20" s="648">
        <v>858</v>
      </c>
      <c r="G20" s="649">
        <v>3497</v>
      </c>
      <c r="H20" s="649">
        <f t="shared" si="2"/>
        <v>4355</v>
      </c>
      <c r="I20" s="648">
        <v>481</v>
      </c>
      <c r="J20" s="649">
        <v>3342</v>
      </c>
      <c r="K20" s="664">
        <f t="shared" si="1"/>
        <v>3823</v>
      </c>
      <c r="L20" s="626" t="s">
        <v>622</v>
      </c>
      <c r="M20" s="914">
        <v>12</v>
      </c>
    </row>
    <row r="21" spans="1:20" ht="50.1" customHeight="1">
      <c r="A21" s="910">
        <v>13</v>
      </c>
      <c r="B21" s="297" t="s">
        <v>21</v>
      </c>
      <c r="C21" s="535">
        <v>38</v>
      </c>
      <c r="D21" s="524">
        <v>4207</v>
      </c>
      <c r="E21" s="524">
        <f t="shared" si="0"/>
        <v>4245</v>
      </c>
      <c r="F21" s="535">
        <v>48</v>
      </c>
      <c r="G21" s="524">
        <v>3365</v>
      </c>
      <c r="H21" s="524">
        <f t="shared" si="2"/>
        <v>3413</v>
      </c>
      <c r="I21" s="535">
        <v>90</v>
      </c>
      <c r="J21" s="524">
        <v>2960</v>
      </c>
      <c r="K21" s="534">
        <f t="shared" si="1"/>
        <v>3050</v>
      </c>
      <c r="L21" s="300" t="s">
        <v>623</v>
      </c>
      <c r="M21" s="910">
        <v>13</v>
      </c>
      <c r="Q21" s="77"/>
    </row>
    <row r="22" spans="1:20" ht="50.1" customHeight="1">
      <c r="A22" s="914">
        <v>14</v>
      </c>
      <c r="B22" s="622" t="s">
        <v>57</v>
      </c>
      <c r="C22" s="648">
        <v>145</v>
      </c>
      <c r="D22" s="649">
        <v>4110</v>
      </c>
      <c r="E22" s="649">
        <f t="shared" si="0"/>
        <v>4255</v>
      </c>
      <c r="F22" s="648">
        <v>28</v>
      </c>
      <c r="G22" s="649">
        <v>2668</v>
      </c>
      <c r="H22" s="649">
        <f t="shared" si="2"/>
        <v>2696</v>
      </c>
      <c r="I22" s="648">
        <v>27</v>
      </c>
      <c r="J22" s="649">
        <v>2423</v>
      </c>
      <c r="K22" s="664">
        <f t="shared" si="1"/>
        <v>2450</v>
      </c>
      <c r="L22" s="626" t="s">
        <v>713</v>
      </c>
      <c r="M22" s="914">
        <v>14</v>
      </c>
    </row>
    <row r="23" spans="1:20" ht="50.1" customHeight="1">
      <c r="A23" s="910">
        <v>15</v>
      </c>
      <c r="B23" s="297" t="s">
        <v>18</v>
      </c>
      <c r="C23" s="535">
        <v>337</v>
      </c>
      <c r="D23" s="524">
        <v>2038</v>
      </c>
      <c r="E23" s="524">
        <f t="shared" si="0"/>
        <v>2375</v>
      </c>
      <c r="F23" s="535">
        <v>355</v>
      </c>
      <c r="G23" s="524">
        <v>2001</v>
      </c>
      <c r="H23" s="524">
        <f t="shared" si="2"/>
        <v>2356</v>
      </c>
      <c r="I23" s="535">
        <v>365</v>
      </c>
      <c r="J23" s="524">
        <v>1821</v>
      </c>
      <c r="K23" s="534">
        <f t="shared" si="1"/>
        <v>2186</v>
      </c>
      <c r="L23" s="300" t="s">
        <v>714</v>
      </c>
      <c r="M23" s="910">
        <v>15</v>
      </c>
    </row>
    <row r="24" spans="1:20" ht="50.1" customHeight="1">
      <c r="A24" s="914">
        <v>16</v>
      </c>
      <c r="B24" s="622" t="s">
        <v>13</v>
      </c>
      <c r="C24" s="648">
        <v>637</v>
      </c>
      <c r="D24" s="649">
        <v>2345</v>
      </c>
      <c r="E24" s="649">
        <f t="shared" si="0"/>
        <v>2982</v>
      </c>
      <c r="F24" s="648">
        <v>471</v>
      </c>
      <c r="G24" s="649">
        <v>2180</v>
      </c>
      <c r="H24" s="649">
        <f t="shared" si="2"/>
        <v>2651</v>
      </c>
      <c r="I24" s="648">
        <v>337</v>
      </c>
      <c r="J24" s="649">
        <v>2279</v>
      </c>
      <c r="K24" s="664">
        <f t="shared" si="1"/>
        <v>2616</v>
      </c>
      <c r="L24" s="626" t="s">
        <v>616</v>
      </c>
      <c r="M24" s="914">
        <v>16</v>
      </c>
    </row>
    <row r="25" spans="1:20" ht="50.1" customHeight="1">
      <c r="A25" s="910">
        <v>17</v>
      </c>
      <c r="B25" s="297" t="s">
        <v>17</v>
      </c>
      <c r="C25" s="535">
        <v>408</v>
      </c>
      <c r="D25" s="524">
        <v>2732</v>
      </c>
      <c r="E25" s="524">
        <f t="shared" si="0"/>
        <v>3140</v>
      </c>
      <c r="F25" s="535">
        <v>333</v>
      </c>
      <c r="G25" s="524">
        <v>3273</v>
      </c>
      <c r="H25" s="524">
        <f>G25+F25</f>
        <v>3606</v>
      </c>
      <c r="I25" s="535">
        <v>230</v>
      </c>
      <c r="J25" s="524">
        <v>2464</v>
      </c>
      <c r="K25" s="534">
        <f t="shared" si="1"/>
        <v>2694</v>
      </c>
      <c r="L25" s="300" t="s">
        <v>619</v>
      </c>
      <c r="M25" s="910">
        <v>17</v>
      </c>
    </row>
    <row r="26" spans="1:20" ht="50.1" customHeight="1">
      <c r="A26" s="914">
        <v>18</v>
      </c>
      <c r="B26" s="622" t="s">
        <v>58</v>
      </c>
      <c r="C26" s="648">
        <v>54</v>
      </c>
      <c r="D26" s="649">
        <v>2203</v>
      </c>
      <c r="E26" s="649">
        <f t="shared" si="0"/>
        <v>2257</v>
      </c>
      <c r="F26" s="648">
        <v>43</v>
      </c>
      <c r="G26" s="649">
        <v>1727</v>
      </c>
      <c r="H26" s="649">
        <f>G26+F26</f>
        <v>1770</v>
      </c>
      <c r="I26" s="648">
        <v>16</v>
      </c>
      <c r="J26" s="649">
        <v>1596</v>
      </c>
      <c r="K26" s="664">
        <f t="shared" si="1"/>
        <v>1612</v>
      </c>
      <c r="L26" s="626" t="s">
        <v>618</v>
      </c>
      <c r="M26" s="914">
        <v>18</v>
      </c>
    </row>
    <row r="27" spans="1:20" ht="50.1" customHeight="1">
      <c r="A27" s="910">
        <v>19</v>
      </c>
      <c r="B27" s="297" t="s">
        <v>1214</v>
      </c>
      <c r="C27" s="535">
        <v>1</v>
      </c>
      <c r="D27" s="524">
        <v>789</v>
      </c>
      <c r="E27" s="524">
        <f t="shared" si="0"/>
        <v>790</v>
      </c>
      <c r="F27" s="535">
        <v>20</v>
      </c>
      <c r="G27" s="524">
        <v>850</v>
      </c>
      <c r="H27" s="524">
        <f>G27+F27</f>
        <v>870</v>
      </c>
      <c r="I27" s="535">
        <v>2</v>
      </c>
      <c r="J27" s="524">
        <v>728</v>
      </c>
      <c r="K27" s="534">
        <f t="shared" si="1"/>
        <v>730</v>
      </c>
      <c r="L27" s="527" t="s">
        <v>1201</v>
      </c>
      <c r="M27" s="910">
        <v>19</v>
      </c>
      <c r="R27" s="2"/>
      <c r="S27" s="45"/>
      <c r="T27" s="45"/>
    </row>
    <row r="28" spans="1:20" ht="50.1" customHeight="1">
      <c r="A28" s="916">
        <v>20</v>
      </c>
      <c r="B28" s="658" t="s">
        <v>59</v>
      </c>
      <c r="C28" s="667">
        <v>147</v>
      </c>
      <c r="D28" s="668">
        <v>1487</v>
      </c>
      <c r="E28" s="668">
        <f>D28+C28</f>
        <v>1634</v>
      </c>
      <c r="F28" s="667">
        <v>145</v>
      </c>
      <c r="G28" s="668">
        <v>1392</v>
      </c>
      <c r="H28" s="668">
        <f>G28+F28</f>
        <v>1537</v>
      </c>
      <c r="I28" s="667">
        <v>116</v>
      </c>
      <c r="J28" s="668">
        <v>1578</v>
      </c>
      <c r="K28" s="669">
        <f>J28+I28</f>
        <v>1694</v>
      </c>
      <c r="L28" s="662" t="s">
        <v>617</v>
      </c>
      <c r="M28" s="916">
        <v>20</v>
      </c>
      <c r="R28" s="2"/>
      <c r="S28" s="2"/>
      <c r="T28" s="2"/>
    </row>
    <row r="29" spans="1:20" ht="24.95" customHeight="1">
      <c r="A29" s="1426" t="s">
        <v>524</v>
      </c>
      <c r="B29" s="1426"/>
      <c r="C29" s="1426"/>
      <c r="D29" s="1426"/>
      <c r="E29" s="1426"/>
      <c r="F29" s="1428" t="s">
        <v>643</v>
      </c>
      <c r="G29" s="1428"/>
      <c r="H29" s="1428"/>
      <c r="I29" s="1428"/>
      <c r="J29" s="1428"/>
      <c r="K29" s="1488" t="s">
        <v>525</v>
      </c>
      <c r="L29" s="1488"/>
      <c r="M29" s="1488"/>
      <c r="R29" s="2"/>
      <c r="S29" s="2"/>
      <c r="T29" s="2"/>
    </row>
    <row r="30" spans="1:20" ht="24.95" customHeight="1">
      <c r="A30" s="1418" t="s">
        <v>2026</v>
      </c>
      <c r="B30" s="1412" t="s">
        <v>403</v>
      </c>
      <c r="C30" s="1412" t="s">
        <v>1775</v>
      </c>
      <c r="D30" s="1412"/>
      <c r="E30" s="1412"/>
      <c r="F30" s="1412" t="s">
        <v>1308</v>
      </c>
      <c r="G30" s="1412"/>
      <c r="H30" s="1412"/>
      <c r="I30" s="1429" t="s">
        <v>1158</v>
      </c>
      <c r="J30" s="1492"/>
      <c r="K30" s="1432"/>
      <c r="L30" s="1412" t="s">
        <v>400</v>
      </c>
      <c r="M30" s="1418" t="s">
        <v>2027</v>
      </c>
      <c r="R30" s="2"/>
      <c r="S30" s="2"/>
      <c r="T30" s="2"/>
    </row>
    <row r="31" spans="1:20" ht="24.95" customHeight="1">
      <c r="A31" s="1419"/>
      <c r="B31" s="1491"/>
      <c r="C31" s="841" t="s">
        <v>0</v>
      </c>
      <c r="D31" s="842" t="s">
        <v>1</v>
      </c>
      <c r="E31" s="844" t="s">
        <v>2</v>
      </c>
      <c r="F31" s="841" t="s">
        <v>0</v>
      </c>
      <c r="G31" s="842" t="s">
        <v>1</v>
      </c>
      <c r="H31" s="844" t="s">
        <v>2</v>
      </c>
      <c r="I31" s="841" t="s">
        <v>0</v>
      </c>
      <c r="J31" s="842" t="s">
        <v>1</v>
      </c>
      <c r="K31" s="844" t="s">
        <v>2</v>
      </c>
      <c r="L31" s="1491"/>
      <c r="M31" s="1419"/>
      <c r="R31" s="2"/>
      <c r="S31" s="2"/>
      <c r="T31" s="2"/>
    </row>
    <row r="32" spans="1:20" ht="24.95" customHeight="1">
      <c r="A32" s="1419"/>
      <c r="B32" s="1491"/>
      <c r="C32" s="878" t="s">
        <v>500</v>
      </c>
      <c r="D32" s="357" t="s">
        <v>501</v>
      </c>
      <c r="E32" s="163" t="s">
        <v>502</v>
      </c>
      <c r="F32" s="878" t="s">
        <v>500</v>
      </c>
      <c r="G32" s="357" t="s">
        <v>501</v>
      </c>
      <c r="H32" s="163" t="s">
        <v>502</v>
      </c>
      <c r="I32" s="878" t="s">
        <v>500</v>
      </c>
      <c r="J32" s="357" t="s">
        <v>501</v>
      </c>
      <c r="K32" s="163" t="s">
        <v>502</v>
      </c>
      <c r="L32" s="1491"/>
      <c r="M32" s="1419"/>
      <c r="R32" s="2"/>
      <c r="S32" s="2"/>
      <c r="T32" s="2"/>
    </row>
    <row r="33" spans="1:21" ht="24.95" customHeight="1">
      <c r="A33" s="1433"/>
      <c r="B33" s="1413"/>
      <c r="C33" s="846" t="s">
        <v>3</v>
      </c>
      <c r="D33" s="843" t="s">
        <v>4</v>
      </c>
      <c r="E33" s="352" t="s">
        <v>5</v>
      </c>
      <c r="F33" s="846" t="s">
        <v>3</v>
      </c>
      <c r="G33" s="843" t="s">
        <v>4</v>
      </c>
      <c r="H33" s="352" t="s">
        <v>5</v>
      </c>
      <c r="I33" s="846" t="s">
        <v>3</v>
      </c>
      <c r="J33" s="843" t="s">
        <v>4</v>
      </c>
      <c r="K33" s="352" t="s">
        <v>5</v>
      </c>
      <c r="L33" s="1413"/>
      <c r="M33" s="1433"/>
      <c r="R33" s="2"/>
      <c r="S33" s="2"/>
      <c r="T33" s="2"/>
    </row>
    <row r="34" spans="1:21" ht="45" customHeight="1">
      <c r="A34" s="903">
        <v>21</v>
      </c>
      <c r="B34" s="296" t="s">
        <v>60</v>
      </c>
      <c r="C34" s="303">
        <v>460</v>
      </c>
      <c r="D34" s="304">
        <v>2194</v>
      </c>
      <c r="E34" s="304">
        <f>D34+C34</f>
        <v>2654</v>
      </c>
      <c r="F34" s="423">
        <v>155</v>
      </c>
      <c r="G34" s="424">
        <v>1200</v>
      </c>
      <c r="H34" s="424">
        <f>G34+F34</f>
        <v>1355</v>
      </c>
      <c r="I34" s="423">
        <v>239</v>
      </c>
      <c r="J34" s="424">
        <v>1952</v>
      </c>
      <c r="K34" s="424">
        <f t="shared" ref="K34:K39" si="3">J34+I34</f>
        <v>2191</v>
      </c>
      <c r="L34" s="63" t="s">
        <v>624</v>
      </c>
      <c r="M34" s="903">
        <v>21</v>
      </c>
    </row>
    <row r="35" spans="1:21" ht="45" customHeight="1">
      <c r="A35" s="914">
        <v>22</v>
      </c>
      <c r="B35" s="622" t="s">
        <v>2002</v>
      </c>
      <c r="C35" s="648">
        <v>10</v>
      </c>
      <c r="D35" s="649">
        <v>2421</v>
      </c>
      <c r="E35" s="649">
        <f>D35+C35</f>
        <v>2431</v>
      </c>
      <c r="F35" s="648">
        <v>11</v>
      </c>
      <c r="G35" s="649">
        <v>2292</v>
      </c>
      <c r="H35" s="649">
        <f>G35+F35</f>
        <v>2303</v>
      </c>
      <c r="I35" s="648">
        <v>13</v>
      </c>
      <c r="J35" s="649">
        <v>2062</v>
      </c>
      <c r="K35" s="649">
        <f t="shared" si="3"/>
        <v>2075</v>
      </c>
      <c r="L35" s="795" t="s">
        <v>2003</v>
      </c>
      <c r="M35" s="914">
        <v>22</v>
      </c>
    </row>
    <row r="36" spans="1:21" ht="45" customHeight="1">
      <c r="A36" s="910">
        <v>23</v>
      </c>
      <c r="B36" s="297" t="s">
        <v>1215</v>
      </c>
      <c r="C36" s="299">
        <v>78</v>
      </c>
      <c r="D36" s="298">
        <v>1178</v>
      </c>
      <c r="E36" s="524">
        <f t="shared" ref="E36:E49" si="4">D36+C36</f>
        <v>1256</v>
      </c>
      <c r="F36" s="535">
        <v>93</v>
      </c>
      <c r="G36" s="524">
        <v>1088</v>
      </c>
      <c r="H36" s="524">
        <f t="shared" ref="H36:H39" si="5">G36+F36</f>
        <v>1181</v>
      </c>
      <c r="I36" s="535">
        <v>59</v>
      </c>
      <c r="J36" s="524">
        <v>1060</v>
      </c>
      <c r="K36" s="524">
        <f t="shared" si="3"/>
        <v>1119</v>
      </c>
      <c r="L36" s="318" t="s">
        <v>1199</v>
      </c>
      <c r="M36" s="910">
        <v>23</v>
      </c>
    </row>
    <row r="37" spans="1:21" ht="45" customHeight="1">
      <c r="A37" s="914">
        <v>24</v>
      </c>
      <c r="B37" s="622" t="s">
        <v>462</v>
      </c>
      <c r="C37" s="648">
        <v>3</v>
      </c>
      <c r="D37" s="649">
        <v>1519</v>
      </c>
      <c r="E37" s="649">
        <f t="shared" si="4"/>
        <v>1522</v>
      </c>
      <c r="F37" s="648">
        <v>4</v>
      </c>
      <c r="G37" s="649">
        <v>1383</v>
      </c>
      <c r="H37" s="649">
        <f t="shared" si="5"/>
        <v>1387</v>
      </c>
      <c r="I37" s="648">
        <v>3</v>
      </c>
      <c r="J37" s="649">
        <v>954</v>
      </c>
      <c r="K37" s="649">
        <f t="shared" si="3"/>
        <v>957</v>
      </c>
      <c r="L37" s="677" t="s">
        <v>625</v>
      </c>
      <c r="M37" s="914">
        <v>24</v>
      </c>
    </row>
    <row r="38" spans="1:21" ht="45" customHeight="1">
      <c r="A38" s="910">
        <v>25</v>
      </c>
      <c r="B38" s="297" t="s">
        <v>1213</v>
      </c>
      <c r="C38" s="299">
        <v>5</v>
      </c>
      <c r="D38" s="298">
        <v>536</v>
      </c>
      <c r="E38" s="524">
        <f t="shared" si="4"/>
        <v>541</v>
      </c>
      <c r="F38" s="535">
        <v>8</v>
      </c>
      <c r="G38" s="524">
        <v>508</v>
      </c>
      <c r="H38" s="524">
        <f t="shared" si="5"/>
        <v>516</v>
      </c>
      <c r="I38" s="535">
        <v>1</v>
      </c>
      <c r="J38" s="524">
        <v>350</v>
      </c>
      <c r="K38" s="524">
        <f t="shared" si="3"/>
        <v>351</v>
      </c>
      <c r="L38" s="318" t="s">
        <v>1200</v>
      </c>
      <c r="M38" s="910">
        <v>25</v>
      </c>
    </row>
    <row r="39" spans="1:21" ht="45" customHeight="1">
      <c r="A39" s="914">
        <v>26</v>
      </c>
      <c r="B39" s="622" t="s">
        <v>1212</v>
      </c>
      <c r="C39" s="648">
        <v>82</v>
      </c>
      <c r="D39" s="649">
        <v>933</v>
      </c>
      <c r="E39" s="649">
        <f t="shared" si="4"/>
        <v>1015</v>
      </c>
      <c r="F39" s="648">
        <v>88</v>
      </c>
      <c r="G39" s="649">
        <v>674</v>
      </c>
      <c r="H39" s="649">
        <f t="shared" si="5"/>
        <v>762</v>
      </c>
      <c r="I39" s="648">
        <v>70</v>
      </c>
      <c r="J39" s="649">
        <v>716</v>
      </c>
      <c r="K39" s="649">
        <f t="shared" si="3"/>
        <v>786</v>
      </c>
      <c r="L39" s="677" t="s">
        <v>1202</v>
      </c>
      <c r="M39" s="914">
        <v>26</v>
      </c>
    </row>
    <row r="40" spans="1:21" ht="45" customHeight="1">
      <c r="A40" s="910">
        <v>27</v>
      </c>
      <c r="B40" s="297" t="s">
        <v>1211</v>
      </c>
      <c r="C40" s="299" t="s">
        <v>14</v>
      </c>
      <c r="D40" s="298">
        <v>1089</v>
      </c>
      <c r="E40" s="524">
        <f>D40</f>
        <v>1089</v>
      </c>
      <c r="F40" s="535" t="s">
        <v>14</v>
      </c>
      <c r="G40" s="524">
        <v>1093</v>
      </c>
      <c r="H40" s="524">
        <f>G40</f>
        <v>1093</v>
      </c>
      <c r="I40" s="535" t="s">
        <v>14</v>
      </c>
      <c r="J40" s="524">
        <v>800</v>
      </c>
      <c r="K40" s="524">
        <f>J40</f>
        <v>800</v>
      </c>
      <c r="L40" s="318" t="s">
        <v>1203</v>
      </c>
      <c r="M40" s="910">
        <v>27</v>
      </c>
      <c r="U40" s="44"/>
    </row>
    <row r="41" spans="1:21" ht="45" customHeight="1">
      <c r="A41" s="914">
        <v>28</v>
      </c>
      <c r="B41" s="622" t="s">
        <v>1216</v>
      </c>
      <c r="C41" s="648">
        <v>24</v>
      </c>
      <c r="D41" s="649">
        <v>410</v>
      </c>
      <c r="E41" s="649">
        <f t="shared" si="4"/>
        <v>434</v>
      </c>
      <c r="F41" s="648">
        <v>7</v>
      </c>
      <c r="G41" s="649">
        <v>173</v>
      </c>
      <c r="H41" s="649">
        <f t="shared" ref="H41:H42" si="6">G41+F41</f>
        <v>180</v>
      </c>
      <c r="I41" s="648">
        <v>10</v>
      </c>
      <c r="J41" s="649">
        <v>364</v>
      </c>
      <c r="K41" s="649">
        <f>J41+I41</f>
        <v>374</v>
      </c>
      <c r="L41" s="677" t="s">
        <v>1207</v>
      </c>
      <c r="M41" s="914">
        <v>28</v>
      </c>
      <c r="U41" s="44"/>
    </row>
    <row r="42" spans="1:21" ht="45" customHeight="1">
      <c r="A42" s="910">
        <v>29</v>
      </c>
      <c r="B42" s="297" t="s">
        <v>1208</v>
      </c>
      <c r="C42" s="299">
        <v>35</v>
      </c>
      <c r="D42" s="298">
        <v>258</v>
      </c>
      <c r="E42" s="524">
        <f t="shared" si="4"/>
        <v>293</v>
      </c>
      <c r="F42" s="535">
        <v>65</v>
      </c>
      <c r="G42" s="524">
        <v>393</v>
      </c>
      <c r="H42" s="524">
        <f t="shared" si="6"/>
        <v>458</v>
      </c>
      <c r="I42" s="535">
        <v>25</v>
      </c>
      <c r="J42" s="524">
        <v>242</v>
      </c>
      <c r="K42" s="524">
        <f>J42+I42</f>
        <v>267</v>
      </c>
      <c r="L42" s="318" t="s">
        <v>1206</v>
      </c>
      <c r="M42" s="910">
        <v>29</v>
      </c>
      <c r="Q42" s="2"/>
      <c r="R42" s="45"/>
      <c r="S42" s="45"/>
      <c r="U42" s="44"/>
    </row>
    <row r="43" spans="1:21" ht="45" customHeight="1">
      <c r="A43" s="914">
        <v>30</v>
      </c>
      <c r="B43" s="622" t="s">
        <v>1210</v>
      </c>
      <c r="C43" s="648" t="s">
        <v>14</v>
      </c>
      <c r="D43" s="649">
        <v>362</v>
      </c>
      <c r="E43" s="649">
        <f>D43</f>
        <v>362</v>
      </c>
      <c r="F43" s="648" t="s">
        <v>14</v>
      </c>
      <c r="G43" s="649">
        <v>400</v>
      </c>
      <c r="H43" s="649">
        <f>G43</f>
        <v>400</v>
      </c>
      <c r="I43" s="648" t="s">
        <v>14</v>
      </c>
      <c r="J43" s="649">
        <v>311</v>
      </c>
      <c r="K43" s="649">
        <f>J43</f>
        <v>311</v>
      </c>
      <c r="L43" s="677" t="s">
        <v>1204</v>
      </c>
      <c r="M43" s="914">
        <v>30</v>
      </c>
      <c r="Q43" s="2"/>
      <c r="R43" s="45"/>
      <c r="S43" s="45"/>
      <c r="U43" s="44"/>
    </row>
    <row r="44" spans="1:21" ht="45" customHeight="1">
      <c r="A44" s="910">
        <v>31</v>
      </c>
      <c r="B44" s="297" t="s">
        <v>1209</v>
      </c>
      <c r="C44" s="299">
        <v>24</v>
      </c>
      <c r="D44" s="298">
        <v>704</v>
      </c>
      <c r="E44" s="524">
        <f t="shared" si="4"/>
        <v>728</v>
      </c>
      <c r="F44" s="535">
        <v>4</v>
      </c>
      <c r="G44" s="524">
        <v>379</v>
      </c>
      <c r="H44" s="524">
        <f t="shared" ref="H44" si="7">G44+F44</f>
        <v>383</v>
      </c>
      <c r="I44" s="535">
        <v>2</v>
      </c>
      <c r="J44" s="524">
        <v>373</v>
      </c>
      <c r="K44" s="524">
        <f>J44+I44</f>
        <v>375</v>
      </c>
      <c r="L44" s="318" t="s">
        <v>1205</v>
      </c>
      <c r="M44" s="910">
        <v>31</v>
      </c>
      <c r="Q44" s="2"/>
      <c r="R44" s="45"/>
      <c r="S44" s="45"/>
      <c r="U44" s="44"/>
    </row>
    <row r="45" spans="1:21" ht="45" customHeight="1">
      <c r="A45" s="914">
        <v>32</v>
      </c>
      <c r="B45" s="622" t="s">
        <v>1162</v>
      </c>
      <c r="C45" s="640">
        <v>8</v>
      </c>
      <c r="D45" s="641">
        <v>154</v>
      </c>
      <c r="E45" s="664">
        <f t="shared" si="4"/>
        <v>162</v>
      </c>
      <c r="F45" s="641">
        <v>26</v>
      </c>
      <c r="G45" s="641" t="s">
        <v>14</v>
      </c>
      <c r="H45" s="641">
        <f>F45</f>
        <v>26</v>
      </c>
      <c r="I45" s="640">
        <v>26</v>
      </c>
      <c r="J45" s="641" t="s">
        <v>14</v>
      </c>
      <c r="K45" s="641">
        <f>I45</f>
        <v>26</v>
      </c>
      <c r="L45" s="677" t="s">
        <v>1161</v>
      </c>
      <c r="M45" s="914">
        <v>32</v>
      </c>
      <c r="Q45" s="2"/>
      <c r="R45" s="45"/>
      <c r="S45" s="45"/>
      <c r="U45" s="44"/>
    </row>
    <row r="46" spans="1:21" ht="45" customHeight="1">
      <c r="A46" s="910">
        <v>33</v>
      </c>
      <c r="B46" s="520" t="s">
        <v>1163</v>
      </c>
      <c r="C46" s="530" t="s">
        <v>14</v>
      </c>
      <c r="D46" s="529">
        <v>210</v>
      </c>
      <c r="E46" s="594">
        <f>D46</f>
        <v>210</v>
      </c>
      <c r="F46" s="529" t="s">
        <v>14</v>
      </c>
      <c r="G46" s="529">
        <v>55</v>
      </c>
      <c r="H46" s="536">
        <f>G46</f>
        <v>55</v>
      </c>
      <c r="I46" s="529" t="s">
        <v>14</v>
      </c>
      <c r="J46" s="529">
        <v>65</v>
      </c>
      <c r="K46" s="536">
        <f>J46</f>
        <v>65</v>
      </c>
      <c r="L46" s="527" t="s">
        <v>1958</v>
      </c>
      <c r="M46" s="910">
        <v>33</v>
      </c>
      <c r="Q46" s="2"/>
      <c r="R46" s="45"/>
      <c r="S46" s="45"/>
      <c r="U46" s="44"/>
    </row>
    <row r="47" spans="1:21" ht="45" customHeight="1">
      <c r="A47" s="914">
        <v>34</v>
      </c>
      <c r="B47" s="622" t="s">
        <v>1164</v>
      </c>
      <c r="C47" s="640">
        <v>140</v>
      </c>
      <c r="D47" s="641">
        <v>241</v>
      </c>
      <c r="E47" s="664">
        <f t="shared" si="4"/>
        <v>381</v>
      </c>
      <c r="F47" s="641">
        <v>85</v>
      </c>
      <c r="G47" s="641">
        <v>153</v>
      </c>
      <c r="H47" s="642">
        <f>G47+F47</f>
        <v>238</v>
      </c>
      <c r="I47" s="641">
        <v>39</v>
      </c>
      <c r="J47" s="641">
        <v>98</v>
      </c>
      <c r="K47" s="642">
        <f>J47+I47</f>
        <v>137</v>
      </c>
      <c r="L47" s="626" t="s">
        <v>1181</v>
      </c>
      <c r="M47" s="914">
        <v>34</v>
      </c>
      <c r="Q47" s="2"/>
      <c r="R47" s="45"/>
      <c r="S47" s="45"/>
      <c r="U47" s="44"/>
    </row>
    <row r="48" spans="1:21" ht="45" customHeight="1">
      <c r="A48" s="910">
        <v>35</v>
      </c>
      <c r="B48" s="800" t="s">
        <v>2004</v>
      </c>
      <c r="C48" s="530">
        <v>11</v>
      </c>
      <c r="D48" s="529">
        <v>450</v>
      </c>
      <c r="E48" s="594">
        <f t="shared" si="4"/>
        <v>461</v>
      </c>
      <c r="F48" s="529">
        <v>12</v>
      </c>
      <c r="G48" s="529">
        <v>331</v>
      </c>
      <c r="H48" s="536">
        <f>G48+F48</f>
        <v>343</v>
      </c>
      <c r="I48" s="529" t="s">
        <v>14</v>
      </c>
      <c r="J48" s="529">
        <v>149</v>
      </c>
      <c r="K48" s="536">
        <f>J48</f>
        <v>149</v>
      </c>
      <c r="L48" s="432" t="s">
        <v>2005</v>
      </c>
      <c r="M48" s="910">
        <v>35</v>
      </c>
      <c r="Q48" s="2"/>
      <c r="R48" s="45"/>
      <c r="S48" s="45"/>
      <c r="U48" s="44"/>
    </row>
    <row r="49" spans="1:21" ht="45" customHeight="1">
      <c r="A49" s="914">
        <v>36</v>
      </c>
      <c r="B49" s="622" t="s">
        <v>1794</v>
      </c>
      <c r="C49" s="640">
        <v>1</v>
      </c>
      <c r="D49" s="641">
        <v>3</v>
      </c>
      <c r="E49" s="664">
        <f t="shared" si="4"/>
        <v>4</v>
      </c>
      <c r="F49" s="641" t="s">
        <v>14</v>
      </c>
      <c r="G49" s="641" t="s">
        <v>14</v>
      </c>
      <c r="H49" s="642" t="s">
        <v>14</v>
      </c>
      <c r="I49" s="641" t="s">
        <v>14</v>
      </c>
      <c r="J49" s="641" t="s">
        <v>14</v>
      </c>
      <c r="K49" s="642" t="s">
        <v>14</v>
      </c>
      <c r="L49" s="626" t="s">
        <v>1796</v>
      </c>
      <c r="M49" s="914">
        <v>36</v>
      </c>
      <c r="Q49" s="2"/>
      <c r="R49" s="45"/>
      <c r="S49" s="45"/>
      <c r="U49" s="44"/>
    </row>
    <row r="50" spans="1:21" ht="45" customHeight="1">
      <c r="A50" s="904">
        <v>37</v>
      </c>
      <c r="B50" s="388" t="s">
        <v>1795</v>
      </c>
      <c r="C50" s="532" t="s">
        <v>14</v>
      </c>
      <c r="D50" s="531">
        <v>52</v>
      </c>
      <c r="E50" s="595">
        <f>D50</f>
        <v>52</v>
      </c>
      <c r="F50" s="531" t="s">
        <v>14</v>
      </c>
      <c r="G50" s="531" t="s">
        <v>14</v>
      </c>
      <c r="H50" s="537" t="s">
        <v>14</v>
      </c>
      <c r="I50" s="531" t="s">
        <v>14</v>
      </c>
      <c r="J50" s="531" t="s">
        <v>14</v>
      </c>
      <c r="K50" s="537" t="s">
        <v>14</v>
      </c>
      <c r="L50" s="389" t="s">
        <v>1797</v>
      </c>
      <c r="M50" s="904">
        <v>37</v>
      </c>
      <c r="Q50" s="2"/>
      <c r="R50" s="45"/>
      <c r="S50" s="45"/>
      <c r="U50" s="44"/>
    </row>
    <row r="51" spans="1:21" ht="39.950000000000003" customHeight="1">
      <c r="B51" s="1416" t="s">
        <v>27</v>
      </c>
      <c r="C51" s="1416"/>
      <c r="D51" s="1416"/>
      <c r="E51" s="1422" t="s">
        <v>626</v>
      </c>
      <c r="F51" s="1422"/>
      <c r="G51" s="1422"/>
      <c r="H51" s="1422"/>
      <c r="I51" s="1422"/>
      <c r="J51" s="85"/>
      <c r="K51" s="1415" t="s">
        <v>61</v>
      </c>
      <c r="L51" s="1415"/>
    </row>
    <row r="52" spans="1:21" ht="20.25" customHeight="1">
      <c r="A52" s="1468" t="s">
        <v>2030</v>
      </c>
      <c r="B52" s="1468"/>
      <c r="C52" s="1468"/>
      <c r="D52" s="1468"/>
      <c r="E52" s="1468"/>
      <c r="F52" s="1468"/>
      <c r="G52" s="1468"/>
      <c r="H52" s="1468"/>
      <c r="I52" s="1468"/>
      <c r="J52" s="1468"/>
      <c r="K52" s="1468"/>
      <c r="L52" s="1468"/>
      <c r="M52" s="1468"/>
    </row>
    <row r="53" spans="1:21" ht="8.25" customHeight="1"/>
    <row r="54" spans="1:21" ht="8.25" customHeight="1"/>
    <row r="67" spans="16:19">
      <c r="Q67" s="45" t="s">
        <v>1156</v>
      </c>
      <c r="R67" s="45" t="s">
        <v>1305</v>
      </c>
      <c r="S67" s="45" t="s">
        <v>1774</v>
      </c>
    </row>
    <row r="68" spans="16:19">
      <c r="Q68" s="2" t="s">
        <v>1159</v>
      </c>
      <c r="R68" s="2" t="s">
        <v>1309</v>
      </c>
      <c r="S68" s="2" t="s">
        <v>1793</v>
      </c>
    </row>
    <row r="69" spans="16:19">
      <c r="P69" t="s">
        <v>1087</v>
      </c>
      <c r="Q69">
        <v>65718</v>
      </c>
      <c r="R69">
        <v>65350</v>
      </c>
      <c r="S69">
        <v>71500</v>
      </c>
    </row>
    <row r="70" spans="16:19">
      <c r="P70" t="s">
        <v>1086</v>
      </c>
      <c r="Q70">
        <v>60479</v>
      </c>
      <c r="R70">
        <v>59333</v>
      </c>
      <c r="S70">
        <v>64208</v>
      </c>
    </row>
    <row r="71" spans="16:19">
      <c r="P71" t="s">
        <v>1085</v>
      </c>
      <c r="Q71">
        <v>5239</v>
      </c>
      <c r="R71">
        <v>6017</v>
      </c>
      <c r="S71">
        <v>7292</v>
      </c>
    </row>
  </sheetData>
  <mergeCells count="24">
    <mergeCell ref="A1:M1"/>
    <mergeCell ref="A2:M2"/>
    <mergeCell ref="A3:M3"/>
    <mergeCell ref="B30:B33"/>
    <mergeCell ref="C30:E30"/>
    <mergeCell ref="F30:H30"/>
    <mergeCell ref="I30:K30"/>
    <mergeCell ref="L30:L33"/>
    <mergeCell ref="F29:J29"/>
    <mergeCell ref="C4:E4"/>
    <mergeCell ref="F4:H4"/>
    <mergeCell ref="I4:K4"/>
    <mergeCell ref="L4:L7"/>
    <mergeCell ref="B4:B7"/>
    <mergeCell ref="K29:M29"/>
    <mergeCell ref="A29:E29"/>
    <mergeCell ref="A30:A33"/>
    <mergeCell ref="M30:M33"/>
    <mergeCell ref="A52:M52"/>
    <mergeCell ref="M4:M7"/>
    <mergeCell ref="A4:A7"/>
    <mergeCell ref="K51:L51"/>
    <mergeCell ref="B51:D51"/>
    <mergeCell ref="E51:I51"/>
  </mergeCells>
  <pageMargins left="0.46" right="0.49" top="0.35433070866141703" bottom="0.66929133858267698" header="0.196850393700787" footer="0.31496062992126"/>
  <pageSetup paperSize="9" scale="65" orientation="portrait" horizontalDpi="300" verticalDpi="300" r:id="rId1"/>
  <headerFooter>
    <oddFooter xml:space="preserve">&amp;L&amp;"Times New Roman,Bold"Afghanistan Statistical Yearbook 2017-18&amp;R&amp;"Times New Roman,Bold"سالنامۀ احصائیوی /احصا ئيوي کالنی 1396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توحیدی تحصیلات عالی 4-1 </vt:lpstr>
      <vt:lpstr>محصلان پوهنتون ها-4-2</vt:lpstr>
      <vt:lpstr>محصلان پوهنحی ها4-3</vt:lpstr>
      <vt:lpstr>جدیدالشمولان پوهنتون ها4-4</vt:lpstr>
      <vt:lpstr>جدیدالشمولان پوهنحی ها4-5</vt:lpstr>
      <vt:lpstr>فارغان پوهنتونها4-6</vt:lpstr>
      <vt:lpstr>فارغان پوهنحی ها4-7</vt:lpstr>
      <vt:lpstr>استادان پوهنتون 4-8</vt:lpstr>
      <vt:lpstr>لیلیه 4-9</vt:lpstr>
      <vt:lpstr>پوهنتون های خصوصی4-10</vt:lpstr>
      <vt:lpstr>توحیدی4-11</vt:lpstr>
      <vt:lpstr>انستیتوت های دولتی 4--12</vt:lpstr>
      <vt:lpstr>انستیتوت علوم صحی 4-13</vt:lpstr>
      <vt:lpstr>توجیدی انستیتوت ها 4-14</vt:lpstr>
      <vt:lpstr>انستیتوت خصوصی4-15</vt:lpstr>
      <vt:lpstr>تربیه معلم 4-16</vt:lpstr>
      <vt:lpstr>لیسه های مسلکی 4-17</vt:lpstr>
      <vt:lpstr>تعلیمات 4-18</vt:lpstr>
      <vt:lpstr>معلمین 4-19 </vt:lpstr>
      <vt:lpstr>نسبت شاگردان4-20</vt:lpstr>
      <vt:lpstr>تعلیمات عمومی4-23-21</vt:lpstr>
      <vt:lpstr>لیلیه های معارف4-24 </vt:lpstr>
      <vt:lpstr>تعلیمات خصوصی4-25 </vt:lpstr>
      <vt:lpstr>دینی4-26 </vt:lpstr>
      <vt:lpstr>مدارس خصوصی4-27</vt:lpstr>
      <vt:lpstr>سواداموزی4-28</vt:lpstr>
      <vt:lpstr>کودکستان 4-29 </vt:lpstr>
      <vt:lpstr>سره میاشت و ضد حوادث 4-31-30</vt:lpstr>
      <vt:lpstr>توحیدی کل</vt:lpstr>
      <vt:lpstr>'استادان پوهنتون 4-8'!Print_Area</vt:lpstr>
      <vt:lpstr>'انستیتوت خصوصی4-15'!Print_Area</vt:lpstr>
      <vt:lpstr>'انستیتوت علوم صحی 4-13'!Print_Area</vt:lpstr>
      <vt:lpstr>'انستیتوت های دولتی 4--12'!Print_Area</vt:lpstr>
      <vt:lpstr>'پوهنتون های خصوصی4-10'!Print_Area</vt:lpstr>
      <vt:lpstr>'تربیه معلم 4-16'!Print_Area</vt:lpstr>
      <vt:lpstr>'تعلیمات 4-18'!Print_Area</vt:lpstr>
      <vt:lpstr>'تعلیمات خصوصی4-25 '!Print_Area</vt:lpstr>
      <vt:lpstr>'تعلیمات عمومی4-23-21'!Print_Area</vt:lpstr>
      <vt:lpstr>'توجیدی انستیتوت ها 4-14'!Print_Area</vt:lpstr>
      <vt:lpstr>'توحیدی تحصیلات عالی 4-1 '!Print_Area</vt:lpstr>
      <vt:lpstr>'توحیدی کل'!Print_Area</vt:lpstr>
      <vt:lpstr>'توحیدی4-11'!Print_Area</vt:lpstr>
      <vt:lpstr>'جدیدالشمولان پوهنتون ها4-4'!Print_Area</vt:lpstr>
      <vt:lpstr>'جدیدالشمولان پوهنحی ها4-5'!Print_Area</vt:lpstr>
      <vt:lpstr>'دینی4-26 '!Print_Area</vt:lpstr>
      <vt:lpstr>'سره میاشت و ضد حوادث 4-31-30'!Print_Area</vt:lpstr>
      <vt:lpstr>'سواداموزی4-28'!Print_Area</vt:lpstr>
      <vt:lpstr>'فارغان پوهنتونها4-6'!Print_Area</vt:lpstr>
      <vt:lpstr>'فارغان پوهنحی ها4-7'!Print_Area</vt:lpstr>
      <vt:lpstr>'کودکستان 4-29 '!Print_Area</vt:lpstr>
      <vt:lpstr>'لیسه های مسلکی 4-17'!Print_Area</vt:lpstr>
      <vt:lpstr>'لیلیه 4-9'!Print_Area</vt:lpstr>
      <vt:lpstr>'لیلیه های معارف4-24 '!Print_Area</vt:lpstr>
      <vt:lpstr>'محصلان پوهنتون ها-4-2'!Print_Area</vt:lpstr>
      <vt:lpstr>'محصلان پوهنحی ها4-3'!Print_Area</vt:lpstr>
      <vt:lpstr>'مدارس خصوصی4-27'!Print_Area</vt:lpstr>
      <vt:lpstr>'معلمین 4-19 '!Print_Area</vt:lpstr>
      <vt:lpstr>'نسبت شاگردان4-20'!Print_Area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</dc:creator>
  <cp:lastModifiedBy>sarwary</cp:lastModifiedBy>
  <cp:lastPrinted>2018-05-13T05:24:23Z</cp:lastPrinted>
  <dcterms:created xsi:type="dcterms:W3CDTF">1980-01-03T21:42:59Z</dcterms:created>
  <dcterms:modified xsi:type="dcterms:W3CDTF">2019-03-26T07:26:00Z</dcterms:modified>
</cp:coreProperties>
</file>