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60" windowWidth="15600" windowHeight="6495" tabRatio="921" activeTab="3"/>
  </bookViews>
  <sheets>
    <sheet name="فعالیت های فرهنگی4-35-32" sheetId="1" r:id="rId1"/>
    <sheet name="مجلات4-36 " sheetId="2" r:id="rId2"/>
    <sheet name="نشریه37" sheetId="3" r:id="rId3"/>
    <sheet name="شورای ملی4-38" sheetId="4" r:id="rId4"/>
    <sheet name="اتحادیه ها4-39" sheetId="5" r:id="rId5"/>
    <sheet name="جرایم وقعات4-40" sheetId="8" r:id="rId6"/>
    <sheet name="حوادث ترفیکی4-41" sheetId="9" r:id="rId7"/>
    <sheet name="رادیو های وتلویزیون 4-42" sheetId="14" r:id="rId8"/>
    <sheet name="محبوسین4-43" sheetId="18" r:id="rId9"/>
    <sheet name="مراكز تربيت اطفال 4-44" sheetId="16" r:id="rId10"/>
    <sheet name="مساجد 45" sheetId="19" r:id="rId11"/>
    <sheet name="تربیت بدنی 46" sheetId="21" r:id="rId12"/>
    <sheet name="خشونت 47" sheetId="20" r:id="rId13"/>
    <sheet name="ماین پاکی4-48" sheetId="25" r:id="rId14"/>
  </sheets>
  <definedNames>
    <definedName name="_xlnm._FilterDatabase" localSheetId="0" hidden="1">'فعالیت های فرهنگی4-35-32'!$D$1:$D$80</definedName>
    <definedName name="_xlnm._FilterDatabase" localSheetId="1" hidden="1">'مجلات4-36 '!$B$1:$I$42</definedName>
    <definedName name="_xlnm._FilterDatabase" localSheetId="2" hidden="1">نشریه37!$B$1:$J$45</definedName>
    <definedName name="_xlnm.Print_Area" localSheetId="4">'اتحادیه ها4-39'!$A$1:$K$21</definedName>
    <definedName name="_xlnm.Print_Area" localSheetId="11">'تربیت بدنی 46'!$A$1:$M$44</definedName>
    <definedName name="_xlnm.Print_Area" localSheetId="5">'جرایم وقعات4-40'!$A$1:$G$23</definedName>
    <definedName name="_xlnm.Print_Area" localSheetId="6">'حوادث ترفیکی4-41'!$A$1:$M$41</definedName>
    <definedName name="_xlnm.Print_Area" localSheetId="12">'خشونت 47'!$A$1:$G$35</definedName>
    <definedName name="_xlnm.Print_Area" localSheetId="7">'رادیو های وتلویزیون 4-42'!$A$1:$J$43</definedName>
    <definedName name="_xlnm.Print_Area" localSheetId="3">'شورای ملی4-38'!$A$1:$H$39</definedName>
    <definedName name="_xlnm.Print_Area" localSheetId="0">'فعالیت های فرهنگی4-35-32'!$A$1:$I$80</definedName>
    <definedName name="_xlnm.Print_Area" localSheetId="13">'ماین پاکی4-48'!$A$1:$S$44</definedName>
    <definedName name="_xlnm.Print_Area" localSheetId="1">'مجلات4-36 '!$A$1:$K$37</definedName>
    <definedName name="_xlnm.Print_Area" localSheetId="8">'محبوسین4-43'!$A$1:$J$50</definedName>
    <definedName name="_xlnm.Print_Area" localSheetId="9">'مراكز تربيت اطفال 4-44'!$A$1:$H$44</definedName>
    <definedName name="_xlnm.Print_Area" localSheetId="10">'مساجد 45'!$A$1:$I$43</definedName>
    <definedName name="_xlnm.Print_Area" localSheetId="2">نشریه37!$A$1:$L$42</definedName>
  </definedNames>
  <calcPr calcId="144525" iterateDelta="1E-4"/>
</workbook>
</file>

<file path=xl/calcChain.xml><?xml version="1.0" encoding="utf-8"?>
<calcChain xmlns="http://schemas.openxmlformats.org/spreadsheetml/2006/main">
  <c r="N9" i="25" l="1"/>
  <c r="G10" i="5"/>
  <c r="F10" i="5"/>
  <c r="E10" i="5"/>
  <c r="D10" i="5"/>
  <c r="C10" i="5"/>
  <c r="H10" i="25" l="1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G9" i="25"/>
  <c r="H9" i="25" l="1"/>
  <c r="D6" i="8"/>
  <c r="M47" i="1" l="1"/>
  <c r="M11" i="14"/>
  <c r="M7" i="14"/>
  <c r="C8" i="14"/>
  <c r="M46" i="1"/>
  <c r="M45" i="1"/>
  <c r="M49" i="1" l="1"/>
  <c r="G8" i="14"/>
  <c r="O5" i="14"/>
  <c r="N8" i="14"/>
  <c r="M44" i="1"/>
  <c r="N49" i="1" s="1"/>
  <c r="E45" i="1"/>
  <c r="D45" i="1"/>
  <c r="N7" i="14" l="1"/>
  <c r="M9" i="14"/>
  <c r="D53" i="1"/>
  <c r="N11" i="14"/>
  <c r="L48" i="1"/>
  <c r="L50" i="1"/>
  <c r="L49" i="1"/>
  <c r="D49" i="1"/>
  <c r="N45" i="1" s="1"/>
  <c r="H10" i="5"/>
  <c r="G11" i="18" l="1"/>
  <c r="G9" i="18" s="1"/>
  <c r="E49" i="18"/>
  <c r="E44" i="18"/>
  <c r="E45" i="18"/>
  <c r="E46" i="18"/>
  <c r="E47" i="18"/>
  <c r="E48" i="18"/>
  <c r="E33" i="18"/>
  <c r="E34" i="18"/>
  <c r="E35" i="18"/>
  <c r="E36" i="18"/>
  <c r="E37" i="18"/>
  <c r="E38" i="18"/>
  <c r="E39" i="18"/>
  <c r="E40" i="18"/>
  <c r="E41" i="18"/>
  <c r="E42" i="18"/>
  <c r="E43" i="18"/>
  <c r="E32" i="18"/>
  <c r="E31" i="18"/>
  <c r="E30" i="18"/>
  <c r="E25" i="18"/>
  <c r="E26" i="18"/>
  <c r="E27" i="18"/>
  <c r="E28" i="18"/>
  <c r="E29" i="18"/>
  <c r="E24" i="18"/>
  <c r="E23" i="18"/>
  <c r="E18" i="18"/>
  <c r="E19" i="18"/>
  <c r="E20" i="18"/>
  <c r="E21" i="18"/>
  <c r="E22" i="18"/>
  <c r="E17" i="18"/>
  <c r="C11" i="18"/>
  <c r="D11" i="18"/>
  <c r="D9" i="18"/>
  <c r="C9" i="18"/>
  <c r="S7" i="25" l="1"/>
  <c r="P9" i="25"/>
  <c r="E6" i="20" l="1"/>
  <c r="K9" i="21"/>
  <c r="K8" i="19"/>
  <c r="G8" i="19"/>
  <c r="N3" i="19"/>
  <c r="E43" i="16"/>
  <c r="E37" i="16"/>
  <c r="E38" i="16"/>
  <c r="E39" i="16"/>
  <c r="E40" i="16"/>
  <c r="E41" i="16"/>
  <c r="E42" i="16"/>
  <c r="E36" i="16"/>
  <c r="E35" i="16"/>
  <c r="E34" i="16"/>
  <c r="E27" i="16"/>
  <c r="E28" i="16"/>
  <c r="E29" i="16"/>
  <c r="E30" i="16"/>
  <c r="E31" i="16"/>
  <c r="E32" i="16"/>
  <c r="E33" i="16"/>
  <c r="E26" i="16"/>
  <c r="E25" i="16"/>
  <c r="E24" i="16"/>
  <c r="E22" i="16"/>
  <c r="E23" i="16"/>
  <c r="E21" i="16"/>
  <c r="E19" i="16"/>
  <c r="E20" i="16"/>
  <c r="E18" i="16"/>
  <c r="E17" i="16"/>
  <c r="E15" i="16"/>
  <c r="E16" i="16"/>
  <c r="E14" i="16"/>
  <c r="E13" i="16"/>
  <c r="E11" i="16"/>
  <c r="E12" i="16"/>
  <c r="E10" i="16"/>
  <c r="C9" i="16"/>
  <c r="D9" i="16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E13" i="8"/>
  <c r="E6" i="8"/>
  <c r="E9" i="16" l="1"/>
  <c r="L54" i="1" l="1"/>
  <c r="H30" i="14"/>
  <c r="H24" i="14"/>
  <c r="D30" i="1" l="1"/>
  <c r="D34" i="1"/>
  <c r="M75" i="1" l="1"/>
  <c r="M43" i="25"/>
  <c r="M42" i="25"/>
  <c r="M41" i="25"/>
  <c r="M40" i="25"/>
  <c r="M39" i="25"/>
  <c r="M38" i="25"/>
  <c r="M37" i="25"/>
  <c r="M36" i="25"/>
  <c r="M35" i="25"/>
  <c r="M34" i="25"/>
  <c r="M33" i="25"/>
  <c r="M32" i="25"/>
  <c r="M31" i="25"/>
  <c r="M30" i="25"/>
  <c r="M29" i="25"/>
  <c r="M28" i="25"/>
  <c r="M27" i="25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O9" i="25"/>
  <c r="I9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F9" i="25"/>
  <c r="D9" i="25"/>
  <c r="C9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 l="1"/>
  <c r="M9" i="25"/>
  <c r="E15" i="5"/>
  <c r="H15" i="5"/>
  <c r="P8" i="9" l="1"/>
  <c r="D11" i="9"/>
  <c r="D10" i="9"/>
  <c r="D9" i="9"/>
  <c r="D8" i="9"/>
  <c r="C6" i="20" l="1"/>
  <c r="C34" i="20"/>
  <c r="C32" i="20"/>
  <c r="C31" i="20"/>
  <c r="C29" i="20"/>
  <c r="C27" i="20"/>
  <c r="C26" i="20"/>
  <c r="C25" i="20"/>
  <c r="C24" i="20"/>
  <c r="C19" i="20"/>
  <c r="C15" i="20"/>
  <c r="C13" i="20"/>
  <c r="C10" i="20"/>
  <c r="C9" i="20"/>
  <c r="C8" i="20"/>
  <c r="C7" i="20"/>
  <c r="F8" i="9" l="1"/>
  <c r="L4" i="8"/>
  <c r="L5" i="8"/>
  <c r="D40" i="8"/>
  <c r="S53" i="8"/>
  <c r="T51" i="8" l="1"/>
  <c r="P55" i="8"/>
  <c r="R59" i="8" s="1"/>
  <c r="S60" i="8" s="1"/>
  <c r="R55" i="8"/>
  <c r="Q55" i="8"/>
  <c r="P56" i="8"/>
  <c r="N33" i="8"/>
  <c r="Q33" i="8"/>
  <c r="P33" i="8"/>
  <c r="S55" i="8"/>
  <c r="S52" i="8"/>
  <c r="L54" i="8"/>
  <c r="L55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33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F42" i="8" l="1"/>
  <c r="F35" i="8"/>
  <c r="I53" i="8" l="1"/>
  <c r="O51" i="8"/>
  <c r="I42" i="8"/>
  <c r="O40" i="8"/>
  <c r="I35" i="8"/>
  <c r="O33" i="8"/>
  <c r="G53" i="8"/>
  <c r="G43" i="8"/>
  <c r="G36" i="8"/>
  <c r="J53" i="8" l="1"/>
  <c r="P51" i="8"/>
  <c r="J42" i="8"/>
  <c r="P40" i="8"/>
  <c r="J35" i="8"/>
  <c r="K42" i="8" l="1"/>
  <c r="K35" i="8" s="1"/>
  <c r="Q40" i="8"/>
  <c r="O11" i="5" l="1"/>
  <c r="N11" i="5"/>
  <c r="F11" i="5"/>
  <c r="G11" i="5"/>
  <c r="F8" i="4"/>
  <c r="D8" i="19" l="1"/>
  <c r="D38" i="19"/>
  <c r="D40" i="19"/>
  <c r="D12" i="19"/>
  <c r="D42" i="19"/>
  <c r="D24" i="19"/>
  <c r="D14" i="19"/>
  <c r="D13" i="19"/>
  <c r="D15" i="19"/>
  <c r="D23" i="19"/>
  <c r="D35" i="19"/>
  <c r="D27" i="19"/>
  <c r="D10" i="19"/>
  <c r="D9" i="19"/>
  <c r="D41" i="19"/>
  <c r="D37" i="19"/>
  <c r="D31" i="19"/>
  <c r="D19" i="19"/>
  <c r="D28" i="19"/>
  <c r="D30" i="19"/>
  <c r="D34" i="19"/>
  <c r="D32" i="19"/>
  <c r="D22" i="19"/>
  <c r="D36" i="19"/>
  <c r="D26" i="19"/>
  <c r="D16" i="19"/>
  <c r="D20" i="19"/>
  <c r="D21" i="19"/>
  <c r="D11" i="19"/>
  <c r="D17" i="19"/>
  <c r="D25" i="19"/>
  <c r="D18" i="19"/>
  <c r="D33" i="19"/>
  <c r="F8" i="19"/>
  <c r="F9" i="19"/>
  <c r="E9" i="19"/>
  <c r="F18" i="19" l="1"/>
  <c r="D73" i="1" l="1"/>
  <c r="D77" i="1"/>
  <c r="L75" i="1" l="1"/>
  <c r="M77" i="1" s="1"/>
  <c r="D75" i="1"/>
  <c r="D71" i="1"/>
  <c r="D13" i="1" l="1"/>
  <c r="D10" i="1"/>
  <c r="J10" i="1" s="1"/>
  <c r="Q11" i="1"/>
  <c r="D11" i="1"/>
  <c r="D8" i="1"/>
  <c r="I36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10" i="2"/>
  <c r="E8" i="2"/>
  <c r="F8" i="2"/>
  <c r="G8" i="2"/>
  <c r="H8" i="2"/>
  <c r="D8" i="2"/>
  <c r="C8" i="2"/>
  <c r="J41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10" i="3"/>
  <c r="E8" i="3"/>
  <c r="F8" i="3"/>
  <c r="G8" i="3"/>
  <c r="H8" i="3"/>
  <c r="I8" i="3"/>
  <c r="D8" i="3"/>
  <c r="C8" i="3"/>
  <c r="I8" i="2" l="1"/>
  <c r="J8" i="3"/>
  <c r="J9" i="1"/>
  <c r="H42" i="14"/>
  <c r="H35" i="14"/>
  <c r="H36" i="14"/>
  <c r="H37" i="14"/>
  <c r="H38" i="14"/>
  <c r="H39" i="14"/>
  <c r="H40" i="14"/>
  <c r="H41" i="14"/>
  <c r="H34" i="14"/>
  <c r="H33" i="14"/>
  <c r="H13" i="14"/>
  <c r="H14" i="14"/>
  <c r="H15" i="14"/>
  <c r="H16" i="14"/>
  <c r="H17" i="14"/>
  <c r="H18" i="14"/>
  <c r="H19" i="14"/>
  <c r="H20" i="14"/>
  <c r="H21" i="14"/>
  <c r="H22" i="14"/>
  <c r="H23" i="14"/>
  <c r="H25" i="14"/>
  <c r="H26" i="14"/>
  <c r="H27" i="14"/>
  <c r="H28" i="14"/>
  <c r="H29" i="14"/>
  <c r="H31" i="14"/>
  <c r="H32" i="14"/>
  <c r="H12" i="14"/>
  <c r="H11" i="14"/>
  <c r="H10" i="14"/>
  <c r="H9" i="14"/>
  <c r="G9" i="14"/>
  <c r="H8" i="14" l="1"/>
  <c r="E20" i="21"/>
  <c r="E19" i="21"/>
  <c r="E33" i="21"/>
  <c r="E41" i="21"/>
  <c r="E12" i="21"/>
  <c r="E13" i="21"/>
  <c r="E14" i="21"/>
  <c r="E15" i="21"/>
  <c r="E16" i="21"/>
  <c r="E17" i="21"/>
  <c r="E18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4" i="21"/>
  <c r="E35" i="21"/>
  <c r="E36" i="21"/>
  <c r="E37" i="21"/>
  <c r="E38" i="21"/>
  <c r="E39" i="21"/>
  <c r="E40" i="21"/>
  <c r="E42" i="21"/>
  <c r="E43" i="21"/>
  <c r="E11" i="21"/>
  <c r="E10" i="21"/>
  <c r="E9" i="21"/>
  <c r="D9" i="21"/>
  <c r="C9" i="21"/>
  <c r="H9" i="21"/>
  <c r="K43" i="21"/>
  <c r="K42" i="21"/>
  <c r="K41" i="21"/>
  <c r="K39" i="21"/>
  <c r="K40" i="21"/>
  <c r="K38" i="21"/>
  <c r="K37" i="21"/>
  <c r="K36" i="21"/>
  <c r="K35" i="21"/>
  <c r="K34" i="21"/>
  <c r="K33" i="21"/>
  <c r="K32" i="21"/>
  <c r="K31" i="21"/>
  <c r="K30" i="21"/>
  <c r="K29" i="21"/>
  <c r="K22" i="21"/>
  <c r="K23" i="21"/>
  <c r="K24" i="21"/>
  <c r="K25" i="21"/>
  <c r="K26" i="21"/>
  <c r="K27" i="21"/>
  <c r="K28" i="21"/>
  <c r="K21" i="21"/>
  <c r="K20" i="21"/>
  <c r="K19" i="21"/>
  <c r="K16" i="21"/>
  <c r="K17" i="21"/>
  <c r="K18" i="21"/>
  <c r="K15" i="21"/>
  <c r="K14" i="21"/>
  <c r="K13" i="21"/>
  <c r="K12" i="21"/>
  <c r="K11" i="21"/>
  <c r="K10" i="21"/>
  <c r="H43" i="21"/>
  <c r="H42" i="21"/>
  <c r="H41" i="21"/>
  <c r="H35" i="21"/>
  <c r="H36" i="21"/>
  <c r="H37" i="21"/>
  <c r="H38" i="21"/>
  <c r="H39" i="21"/>
  <c r="H40" i="21"/>
  <c r="H34" i="21"/>
  <c r="H33" i="21"/>
  <c r="H22" i="21"/>
  <c r="H23" i="21"/>
  <c r="H24" i="21"/>
  <c r="H25" i="21"/>
  <c r="H26" i="21"/>
  <c r="H27" i="21"/>
  <c r="H28" i="21"/>
  <c r="H29" i="21"/>
  <c r="H30" i="21"/>
  <c r="H31" i="21"/>
  <c r="H32" i="21"/>
  <c r="H21" i="21"/>
  <c r="H20" i="21"/>
  <c r="H19" i="21"/>
  <c r="H12" i="21"/>
  <c r="H13" i="21"/>
  <c r="H14" i="21"/>
  <c r="H15" i="21"/>
  <c r="H16" i="21"/>
  <c r="H17" i="21"/>
  <c r="H18" i="21"/>
  <c r="H11" i="21"/>
  <c r="H10" i="21"/>
  <c r="F9" i="21"/>
  <c r="G9" i="21"/>
  <c r="E19" i="5"/>
  <c r="D6" i="20" l="1"/>
  <c r="G7" i="9"/>
  <c r="I7" i="9"/>
  <c r="J7" i="9"/>
  <c r="K7" i="9" s="1"/>
  <c r="H8" i="9"/>
  <c r="K8" i="9"/>
  <c r="F9" i="9"/>
  <c r="H9" i="9" s="1"/>
  <c r="K9" i="9"/>
  <c r="F10" i="9"/>
  <c r="H10" i="9" s="1"/>
  <c r="K10" i="9"/>
  <c r="F11" i="9"/>
  <c r="H11" i="9"/>
  <c r="K11" i="9"/>
  <c r="C13" i="8"/>
  <c r="E67" i="1"/>
  <c r="F67" i="1"/>
  <c r="E71" i="1"/>
  <c r="F71" i="1"/>
  <c r="F75" i="1"/>
  <c r="E77" i="1"/>
  <c r="E75" i="1" s="1"/>
  <c r="F45" i="1"/>
  <c r="E49" i="1"/>
  <c r="N44" i="1" s="1"/>
  <c r="F49" i="1"/>
  <c r="E53" i="1"/>
  <c r="F53" i="1"/>
  <c r="E57" i="1"/>
  <c r="F57" i="1"/>
  <c r="E26" i="1"/>
  <c r="F26" i="1"/>
  <c r="E30" i="1"/>
  <c r="F30" i="1"/>
  <c r="E8" i="1"/>
  <c r="E10" i="1"/>
  <c r="E13" i="1"/>
  <c r="N46" i="1" l="1"/>
  <c r="F7" i="9"/>
  <c r="H7" i="9" s="1"/>
  <c r="N5" i="14" l="1"/>
  <c r="Q5" i="14"/>
  <c r="O7" i="14"/>
  <c r="R5" i="14"/>
  <c r="N10" i="1"/>
  <c r="M10" i="1"/>
  <c r="M6" i="1"/>
  <c r="N6" i="1"/>
  <c r="K45" i="1" l="1"/>
  <c r="I9" i="21" l="1"/>
  <c r="C6" i="8" l="1"/>
  <c r="F9" i="16"/>
  <c r="G42" i="19" l="1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9" i="19"/>
  <c r="E8" i="19"/>
  <c r="C7" i="9" l="1"/>
  <c r="K10" i="8" l="1"/>
  <c r="K8" i="8"/>
  <c r="H20" i="5" l="1"/>
  <c r="I20" i="5" s="1"/>
  <c r="H12" i="5"/>
  <c r="H13" i="5"/>
  <c r="H14" i="5"/>
  <c r="H16" i="5"/>
  <c r="H17" i="5"/>
  <c r="H18" i="5"/>
  <c r="H19" i="5"/>
  <c r="E16" i="5"/>
  <c r="E17" i="5"/>
  <c r="E18" i="5"/>
  <c r="E12" i="5"/>
  <c r="E13" i="5"/>
  <c r="E14" i="5"/>
  <c r="E11" i="5"/>
  <c r="E42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10" i="14"/>
  <c r="E9" i="14"/>
  <c r="D8" i="14"/>
  <c r="F8" i="14"/>
  <c r="E8" i="14" l="1"/>
  <c r="I17" i="5"/>
  <c r="I13" i="5"/>
  <c r="I12" i="5"/>
  <c r="I16" i="5"/>
  <c r="I19" i="5"/>
  <c r="I15" i="5"/>
  <c r="I18" i="5"/>
  <c r="I14" i="5"/>
  <c r="J11" i="4"/>
  <c r="I14" i="4"/>
  <c r="I13" i="4"/>
  <c r="I11" i="4"/>
  <c r="D8" i="4"/>
  <c r="C8" i="4"/>
  <c r="J8" i="4"/>
  <c r="L7" i="4"/>
  <c r="E36" i="4"/>
  <c r="E34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9" i="4"/>
  <c r="E8" i="4" l="1"/>
  <c r="H11" i="5"/>
  <c r="I11" i="5" s="1"/>
  <c r="I10" i="5" s="1"/>
  <c r="J9" i="21" l="1"/>
  <c r="E11" i="9" l="1"/>
  <c r="E9" i="9"/>
  <c r="E10" i="9"/>
  <c r="E8" i="9"/>
  <c r="E16" i="18" l="1"/>
  <c r="F11" i="18"/>
  <c r="F9" i="18" l="1"/>
  <c r="H11" i="18"/>
  <c r="D57" i="1"/>
  <c r="N47" i="1" s="1"/>
  <c r="M9" i="3"/>
  <c r="O8" i="3"/>
  <c r="N8" i="3"/>
  <c r="N7" i="2"/>
  <c r="K46" i="1" l="1"/>
  <c r="L35" i="2"/>
  <c r="D26" i="1" l="1"/>
  <c r="D7" i="9"/>
  <c r="D67" i="1" l="1"/>
  <c r="E14" i="18" l="1"/>
  <c r="E12" i="18"/>
  <c r="E13" i="18"/>
  <c r="E11" i="18" s="1"/>
  <c r="E9" i="18" s="1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17" i="18"/>
  <c r="H9" i="18" s="1"/>
  <c r="E7" i="9" l="1"/>
  <c r="H16" i="18" l="1"/>
  <c r="H14" i="18"/>
  <c r="H12" i="18"/>
  <c r="H13" i="18"/>
  <c r="Z23" i="8" l="1"/>
</calcChain>
</file>

<file path=xl/comments1.xml><?xml version="1.0" encoding="utf-8"?>
<comments xmlns="http://schemas.openxmlformats.org/spreadsheetml/2006/main">
  <authors>
    <author>Sayed Mohammad</author>
  </authors>
  <commentList>
    <comment ref="G45" authorId="0">
      <text>
        <r>
          <rPr>
            <b/>
            <sz val="8"/>
            <color indexed="81"/>
            <rFont val="Tahoma"/>
            <family val="2"/>
          </rPr>
          <t>Sayed Mohammad:</t>
        </r>
        <r>
          <rPr>
            <sz val="8"/>
            <color indexed="81"/>
            <rFont val="Tahoma"/>
            <family val="2"/>
          </rPr>
          <t xml:space="preserve">
tow colam de </t>
        </r>
      </text>
    </comment>
  </commentList>
</comments>
</file>

<file path=xl/comments2.xml><?xml version="1.0" encoding="utf-8"?>
<comments xmlns="http://schemas.openxmlformats.org/spreadsheetml/2006/main">
  <authors>
    <author>Sayed Mohammad</author>
  </authors>
  <commentList>
    <comment ref="B30" authorId="0">
      <text>
        <r>
          <rPr>
            <b/>
            <sz val="8"/>
            <color indexed="81"/>
            <rFont val="Tahoma"/>
            <family val="2"/>
          </rPr>
          <t>Sayed Mohammad: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<sst xmlns="http://schemas.openxmlformats.org/spreadsheetml/2006/main" count="1758" uniqueCount="640">
  <si>
    <t>Unit</t>
  </si>
  <si>
    <t>واحد مقیاس</t>
  </si>
  <si>
    <t>Number of Public Libraries</t>
  </si>
  <si>
    <t>Number</t>
  </si>
  <si>
    <t>باب</t>
  </si>
  <si>
    <t>Number of Books in the Public Libraries</t>
  </si>
  <si>
    <t>Headline</t>
  </si>
  <si>
    <t>عنوان</t>
  </si>
  <si>
    <t>روز نامه ها، جراید، نشریه ها و مجلات مرکز</t>
  </si>
  <si>
    <t>Total Number of Copies</t>
  </si>
  <si>
    <t xml:space="preserve"> Copy</t>
  </si>
  <si>
    <t xml:space="preserve"> نسخه</t>
  </si>
  <si>
    <t>Total Number of  Museums</t>
  </si>
  <si>
    <t>Visitors of  Museums</t>
  </si>
  <si>
    <t>person</t>
  </si>
  <si>
    <t>نفر</t>
  </si>
  <si>
    <t>Manuscript  National Archive</t>
  </si>
  <si>
    <t>نسخه</t>
  </si>
  <si>
    <t>Valuable Documents</t>
  </si>
  <si>
    <t>Letter</t>
  </si>
  <si>
    <t>قطعه</t>
  </si>
  <si>
    <t>Historical Photoes</t>
  </si>
  <si>
    <t>Scripts</t>
  </si>
  <si>
    <t>Script</t>
  </si>
  <si>
    <t xml:space="preserve">Source:Ministry of Information and Culture      </t>
  </si>
  <si>
    <t xml:space="preserve">منبع :وزارت اطلاعات و فرهنگ  </t>
  </si>
  <si>
    <t>Out of which:</t>
  </si>
  <si>
    <t>– Government</t>
  </si>
  <si>
    <t xml:space="preserve">ــ دولتی </t>
  </si>
  <si>
    <t>– Private</t>
  </si>
  <si>
    <t>ــ خصوصی</t>
  </si>
  <si>
    <t>Total  Film Production</t>
  </si>
  <si>
    <t>Programme</t>
  </si>
  <si>
    <t>برنامه</t>
  </si>
  <si>
    <t>Long  Films  Movies</t>
  </si>
  <si>
    <t>-</t>
  </si>
  <si>
    <t>–Art Films</t>
  </si>
  <si>
    <t>–Short Films Movies</t>
  </si>
  <si>
    <t>–Art Filmes</t>
  </si>
  <si>
    <t>Government Radios Broadcast 24 hrs</t>
  </si>
  <si>
    <t>– Center</t>
  </si>
  <si>
    <t>– Provinces</t>
  </si>
  <si>
    <t>Private Radios Broadcast 24 hrs</t>
  </si>
  <si>
    <t>Government TV  Broadcast 24 hrs</t>
  </si>
  <si>
    <t>Private TV  Broadcast 24 hrs</t>
  </si>
  <si>
    <t xml:space="preserve"> – Provinces</t>
  </si>
  <si>
    <t>Number of  Cinema Halls</t>
  </si>
  <si>
    <t>ــ دولتی</t>
  </si>
  <si>
    <t xml:space="preserve">– Private        </t>
  </si>
  <si>
    <t>Number of  Chairs</t>
  </si>
  <si>
    <t>Seat</t>
  </si>
  <si>
    <t>پایه</t>
  </si>
  <si>
    <t xml:space="preserve">Out of which:  </t>
  </si>
  <si>
    <t xml:space="preserve">– Government     </t>
  </si>
  <si>
    <t>Thousand Person</t>
  </si>
  <si>
    <t>هزارنفر</t>
  </si>
  <si>
    <t xml:space="preserve">Out of which:   </t>
  </si>
  <si>
    <t>ربعوار</t>
  </si>
  <si>
    <t>دو ماهه</t>
  </si>
  <si>
    <t>ماهوار</t>
  </si>
  <si>
    <t>پانزده روزه</t>
  </si>
  <si>
    <t>هفته نامه</t>
  </si>
  <si>
    <t>مجموع</t>
  </si>
  <si>
    <t>Quarterly</t>
  </si>
  <si>
    <t xml:space="preserve">Two monthly </t>
  </si>
  <si>
    <t>Monthly</t>
  </si>
  <si>
    <t xml:space="preserve">Fifteen days </t>
  </si>
  <si>
    <t>Weekly</t>
  </si>
  <si>
    <t>Total</t>
  </si>
  <si>
    <t xml:space="preserve">Kabul </t>
  </si>
  <si>
    <t>کابل</t>
  </si>
  <si>
    <t>Kapisa</t>
  </si>
  <si>
    <t>کاپیسا</t>
  </si>
  <si>
    <t>Parwan</t>
  </si>
  <si>
    <t>پروان</t>
  </si>
  <si>
    <t>Wardak</t>
  </si>
  <si>
    <t>وردک</t>
  </si>
  <si>
    <t>Nangarhar</t>
  </si>
  <si>
    <t>ننگرهار</t>
  </si>
  <si>
    <t>Lagman</t>
  </si>
  <si>
    <t>لغمان</t>
  </si>
  <si>
    <t>Bghlan</t>
  </si>
  <si>
    <t>بغلان</t>
  </si>
  <si>
    <t>Bamyan</t>
  </si>
  <si>
    <t>بامیان</t>
  </si>
  <si>
    <t>Ghazni</t>
  </si>
  <si>
    <t>غزنی</t>
  </si>
  <si>
    <t>Paktya</t>
  </si>
  <si>
    <t>پکتیا</t>
  </si>
  <si>
    <t>Khost</t>
  </si>
  <si>
    <t>خوست</t>
  </si>
  <si>
    <t>Kunarha</t>
  </si>
  <si>
    <t>Badakhshan</t>
  </si>
  <si>
    <t>بدخشان</t>
  </si>
  <si>
    <t xml:space="preserve">Takhar </t>
  </si>
  <si>
    <t>تخار</t>
  </si>
  <si>
    <t>Kundoz</t>
  </si>
  <si>
    <t>کندز</t>
  </si>
  <si>
    <t>Balkh</t>
  </si>
  <si>
    <t>بلخ</t>
  </si>
  <si>
    <t>Sar- e- pul</t>
  </si>
  <si>
    <t>سرپل</t>
  </si>
  <si>
    <t>Kandahar</t>
  </si>
  <si>
    <t>کندهار</t>
  </si>
  <si>
    <t>Faryab</t>
  </si>
  <si>
    <t>فاریاب</t>
  </si>
  <si>
    <t>Badghise</t>
  </si>
  <si>
    <t>بادغیس</t>
  </si>
  <si>
    <t>Herat</t>
  </si>
  <si>
    <t>هرات</t>
  </si>
  <si>
    <t>Nimroz</t>
  </si>
  <si>
    <t>نیمروز</t>
  </si>
  <si>
    <t xml:space="preserve">منبع :وزارت اطلاعات و فرهنگ </t>
  </si>
  <si>
    <t>سالا نه</t>
  </si>
  <si>
    <t>روزنامه</t>
  </si>
  <si>
    <t>Daily</t>
  </si>
  <si>
    <t>Logar</t>
  </si>
  <si>
    <t>لوگر</t>
  </si>
  <si>
    <t>Panjsher</t>
  </si>
  <si>
    <t>پنجشیر</t>
  </si>
  <si>
    <t>Samangan</t>
  </si>
  <si>
    <t>سمنگان</t>
  </si>
  <si>
    <t>Ghor</t>
  </si>
  <si>
    <t>غور</t>
  </si>
  <si>
    <t xml:space="preserve">Daykundi </t>
  </si>
  <si>
    <t>دایکندی</t>
  </si>
  <si>
    <t>Zabul</t>
  </si>
  <si>
    <t>زابل</t>
  </si>
  <si>
    <t>jawzjan</t>
  </si>
  <si>
    <t>جوزجان</t>
  </si>
  <si>
    <t>هلمند</t>
  </si>
  <si>
    <t>Farah</t>
  </si>
  <si>
    <t>فراه</t>
  </si>
  <si>
    <t>تعداد اتحادیه ها</t>
  </si>
  <si>
    <t>Number of Unions</t>
  </si>
  <si>
    <t xml:space="preserve">مجموع </t>
  </si>
  <si>
    <t>Kabul city</t>
  </si>
  <si>
    <t>Kabul Province</t>
  </si>
  <si>
    <t xml:space="preserve">Kapisa </t>
  </si>
  <si>
    <t xml:space="preserve"> کاپیسا</t>
  </si>
  <si>
    <t xml:space="preserve">Parwan  </t>
  </si>
  <si>
    <t xml:space="preserve"> پروان</t>
  </si>
  <si>
    <t xml:space="preserve">Nangarhar </t>
  </si>
  <si>
    <t xml:space="preserve"> ننگرهار</t>
  </si>
  <si>
    <t xml:space="preserve">Baghlan </t>
  </si>
  <si>
    <t xml:space="preserve"> بغلان</t>
  </si>
  <si>
    <t xml:space="preserve">Badakhshan </t>
  </si>
  <si>
    <t xml:space="preserve"> بدخشان</t>
  </si>
  <si>
    <t xml:space="preserve"> تخار</t>
  </si>
  <si>
    <t xml:space="preserve">Kundoz </t>
  </si>
  <si>
    <t xml:space="preserve"> کندز</t>
  </si>
  <si>
    <t xml:space="preserve">Samangan </t>
  </si>
  <si>
    <t xml:space="preserve"> سمنگان</t>
  </si>
  <si>
    <t xml:space="preserve">Balkh </t>
  </si>
  <si>
    <t xml:space="preserve"> بلخ</t>
  </si>
  <si>
    <t xml:space="preserve">Jawzjan </t>
  </si>
  <si>
    <t xml:space="preserve"> جوزجان</t>
  </si>
  <si>
    <t xml:space="preserve">Helmand </t>
  </si>
  <si>
    <t xml:space="preserve"> هلمند</t>
  </si>
  <si>
    <t xml:space="preserve">Herat </t>
  </si>
  <si>
    <t xml:space="preserve"> هرات</t>
  </si>
  <si>
    <t xml:space="preserve">Farah </t>
  </si>
  <si>
    <t xml:space="preserve"> فراه</t>
  </si>
  <si>
    <t xml:space="preserve">Nimroz </t>
  </si>
  <si>
    <t xml:space="preserve"> نیمروز</t>
  </si>
  <si>
    <t xml:space="preserve">   تعداد اعضا در ولایات   </t>
  </si>
  <si>
    <t xml:space="preserve">   تعداد اعضا در مرکز        </t>
  </si>
  <si>
    <t xml:space="preserve">اناث </t>
  </si>
  <si>
    <t>ذکور</t>
  </si>
  <si>
    <t>Female</t>
  </si>
  <si>
    <t xml:space="preserve">Male </t>
  </si>
  <si>
    <t>Central Council of  National Union of Afghanistan Employees</t>
  </si>
  <si>
    <t xml:space="preserve"> Afghanistan Craftsmen Union</t>
  </si>
  <si>
    <t xml:space="preserve"> Afghanistan Youth Union</t>
  </si>
  <si>
    <t xml:space="preserve"> Afghanistan Farmers Union</t>
  </si>
  <si>
    <t xml:space="preserve">Union of Solidarity for Defence of Disabled &amp; Martyrs Rights </t>
  </si>
  <si>
    <t>Afghanistan Retires Union</t>
  </si>
  <si>
    <t>Book Selers Union</t>
  </si>
  <si>
    <t>Source :  Unions of Afghanistan</t>
  </si>
  <si>
    <t>Paktika</t>
  </si>
  <si>
    <t>پکتیکا</t>
  </si>
  <si>
    <t>Urozgan</t>
  </si>
  <si>
    <t>نورستان</t>
  </si>
  <si>
    <t>ارزگان</t>
  </si>
  <si>
    <t>Type of Crime</t>
  </si>
  <si>
    <t>نوع جرم</t>
  </si>
  <si>
    <t>Total Crimes</t>
  </si>
  <si>
    <t>Murder</t>
  </si>
  <si>
    <t>Robbery</t>
  </si>
  <si>
    <t>kidnapping</t>
  </si>
  <si>
    <t>Theft</t>
  </si>
  <si>
    <t>Defalcation</t>
  </si>
  <si>
    <t xml:space="preserve">اختلاس </t>
  </si>
  <si>
    <t>Smuggling :</t>
  </si>
  <si>
    <t>قاچاق :</t>
  </si>
  <si>
    <t xml:space="preserve">– Goods  </t>
  </si>
  <si>
    <t xml:space="preserve">– Narcotics </t>
  </si>
  <si>
    <t>Bribe</t>
  </si>
  <si>
    <t xml:space="preserve">Pick Pocketing </t>
  </si>
  <si>
    <t>Injury</t>
  </si>
  <si>
    <t>Beating</t>
  </si>
  <si>
    <t>Gambling</t>
  </si>
  <si>
    <t>Adultery</t>
  </si>
  <si>
    <t>زنا</t>
  </si>
  <si>
    <t xml:space="preserve">Forgery </t>
  </si>
  <si>
    <t>جعل</t>
  </si>
  <si>
    <t>Other Crimes</t>
  </si>
  <si>
    <t>Source: Ministry of Interior Affairs</t>
  </si>
  <si>
    <t>منبع : وزارت امور داخله</t>
  </si>
  <si>
    <t xml:space="preserve"> مرکز</t>
  </si>
  <si>
    <t xml:space="preserve"> Center</t>
  </si>
  <si>
    <t xml:space="preserve">Total </t>
  </si>
  <si>
    <t>Bus</t>
  </si>
  <si>
    <t>بس</t>
  </si>
  <si>
    <t>Truck</t>
  </si>
  <si>
    <t>لاری</t>
  </si>
  <si>
    <t xml:space="preserve">Car </t>
  </si>
  <si>
    <t>Motorcycle</t>
  </si>
  <si>
    <t>Helmand</t>
  </si>
  <si>
    <t>Afghanistan Doctors &amp; Health Staff Union</t>
  </si>
  <si>
    <t xml:space="preserve">   منبع : وزارت امور داخله</t>
  </si>
  <si>
    <t>Indicator</t>
  </si>
  <si>
    <t>شاخص</t>
  </si>
  <si>
    <t xml:space="preserve">Number of Mobile Movies </t>
  </si>
  <si>
    <t xml:space="preserve">دستگاه </t>
  </si>
  <si>
    <t>ولایت</t>
  </si>
  <si>
    <t xml:space="preserve">گا هنامه </t>
  </si>
  <si>
    <t>Province</t>
  </si>
  <si>
    <t xml:space="preserve">  Members in Center  </t>
  </si>
  <si>
    <t xml:space="preserve"> Members in Provinces  </t>
  </si>
  <si>
    <t xml:space="preserve"> اتحادیۀ  </t>
  </si>
  <si>
    <t>کا پیسـا</t>
  </si>
  <si>
    <t>غز نی</t>
  </si>
  <si>
    <t>بد خشان</t>
  </si>
  <si>
    <t>تخا ر</t>
  </si>
  <si>
    <t>سمنگا ن</t>
  </si>
  <si>
    <t>سر پل</t>
  </si>
  <si>
    <t>جوزجا ن</t>
  </si>
  <si>
    <t>فاریا ب</t>
  </si>
  <si>
    <t xml:space="preserve">ولا یت </t>
  </si>
  <si>
    <t xml:space="preserve">Sar-e-pul </t>
  </si>
  <si>
    <t>Daykundi</t>
  </si>
  <si>
    <t xml:space="preserve">Zabul </t>
  </si>
  <si>
    <t xml:space="preserve">Kandahar </t>
  </si>
  <si>
    <t xml:space="preserve">Faryab </t>
  </si>
  <si>
    <t>Badghis</t>
  </si>
  <si>
    <t xml:space="preserve">Laghman </t>
  </si>
  <si>
    <t xml:space="preserve">Nooristan </t>
  </si>
  <si>
    <t xml:space="preserve">Kunduz </t>
  </si>
  <si>
    <t>Union</t>
  </si>
  <si>
    <t>Jailbreak</t>
  </si>
  <si>
    <t>Type of Vehicle</t>
  </si>
  <si>
    <t xml:space="preserve">Annual </t>
  </si>
  <si>
    <t xml:space="preserve"> Province</t>
  </si>
  <si>
    <t>Ad-hoc Publications</t>
  </si>
  <si>
    <t>Baghlan</t>
  </si>
  <si>
    <t>منبع : وزارت عدليه</t>
  </si>
  <si>
    <t>Suorce : Ministry of Justice</t>
  </si>
  <si>
    <t>Jawzjan</t>
  </si>
  <si>
    <t>Sar-e-Pul</t>
  </si>
  <si>
    <t>Takhar</t>
  </si>
  <si>
    <t xml:space="preserve">Bamyan  </t>
  </si>
  <si>
    <t>Laghman</t>
  </si>
  <si>
    <t>كابل</t>
  </si>
  <si>
    <t>Kabul</t>
  </si>
  <si>
    <t>Boy</t>
  </si>
  <si>
    <t>Girl</t>
  </si>
  <si>
    <t xml:space="preserve">No . of Children in Rehabilitation Centers </t>
  </si>
  <si>
    <t>ولايت</t>
  </si>
  <si>
    <t xml:space="preserve">Province </t>
  </si>
  <si>
    <t xml:space="preserve">ولایت </t>
  </si>
  <si>
    <t xml:space="preserve">اناث  </t>
  </si>
  <si>
    <t xml:space="preserve">ذکور  </t>
  </si>
  <si>
    <t xml:space="preserve">زنانه </t>
  </si>
  <si>
    <t xml:space="preserve">مردانه   </t>
  </si>
  <si>
    <t xml:space="preserve">مجموع  </t>
  </si>
  <si>
    <t>Male</t>
  </si>
  <si>
    <t>کا پیسـأ</t>
  </si>
  <si>
    <t>Nooristan</t>
  </si>
  <si>
    <t>2011-12</t>
  </si>
  <si>
    <t>1390</t>
  </si>
  <si>
    <t>خصوصی Private</t>
  </si>
  <si>
    <t>دولتی Government</t>
  </si>
  <si>
    <t>Afghanistan Journalists Council</t>
  </si>
  <si>
    <t>paktika</t>
  </si>
  <si>
    <t>منبع : شورای مرکزی اتحادیۀ ملی کارکنان افغانستان</t>
  </si>
  <si>
    <t xml:space="preserve">پکتیکا </t>
  </si>
  <si>
    <t xml:space="preserve"> منبع : وزارت امور داخله </t>
  </si>
  <si>
    <t xml:space="preserve"> </t>
  </si>
  <si>
    <t xml:space="preserve">   Periodicity </t>
  </si>
  <si>
    <t xml:space="preserve"> موعــد نشر </t>
  </si>
  <si>
    <t xml:space="preserve"> د خپريدو موده </t>
  </si>
  <si>
    <t>دري مياشتني</t>
  </si>
  <si>
    <t>دوه مياشتني</t>
  </si>
  <si>
    <t>مياشتني</t>
  </si>
  <si>
    <t>پنځلس ورځني</t>
  </si>
  <si>
    <t>اونيزه</t>
  </si>
  <si>
    <t>ټول</t>
  </si>
  <si>
    <t>کلني</t>
  </si>
  <si>
    <t>دری مياشتني</t>
  </si>
  <si>
    <t>ورځپانه</t>
  </si>
  <si>
    <t>ښځينه</t>
  </si>
  <si>
    <t>نارينه</t>
  </si>
  <si>
    <t>د جرم ډول</t>
  </si>
  <si>
    <t>1391</t>
  </si>
  <si>
    <t>2012-13</t>
  </si>
  <si>
    <t xml:space="preserve">سرچينه : د کورنيو چارو وزارت  </t>
  </si>
  <si>
    <t xml:space="preserve">    Radio Broadcast </t>
  </si>
  <si>
    <t xml:space="preserve">نشرات رادیو  -  رادیوئی خپرونۍ </t>
  </si>
  <si>
    <t xml:space="preserve">    TV Broadcast</t>
  </si>
  <si>
    <t xml:space="preserve">نشرات تلویزیون  -  تلویزیونی خپرونۍ </t>
  </si>
  <si>
    <t xml:space="preserve">منبع : وزارت اطلاعات و فرهنگ </t>
  </si>
  <si>
    <t>Number of  prison</t>
  </si>
  <si>
    <t>تعداد محابس  -   د محبسونوشمیر</t>
  </si>
  <si>
    <t>Number of prisoners</t>
  </si>
  <si>
    <t xml:space="preserve"> د ماشومانو د اصلاح او روزنې په مركزونو كی د ماشومانو شمير</t>
  </si>
  <si>
    <t xml:space="preserve">د مقیاس واحد </t>
  </si>
  <si>
    <t>روزنامه، جراید، نشریه ها  و مجلات در ولایات</t>
  </si>
  <si>
    <t>د ورځپا ڼو، جريدو، خپرونو اود مجلو شمیر (ولايتونه)</t>
  </si>
  <si>
    <t>سرچينه :  د اطلاعا تو او فرهنگ و زارت</t>
  </si>
  <si>
    <t>از جمله / له دي جملي نه :</t>
  </si>
  <si>
    <t>ــ مرکز /  په  مرکزکښي</t>
  </si>
  <si>
    <t>ــ ولایات /  په ولایتونو کښي</t>
  </si>
  <si>
    <t xml:space="preserve">منبع : وزارت اطلاعات و فرهنگ  </t>
  </si>
  <si>
    <t xml:space="preserve">Source : Ministry of Information and Culture      </t>
  </si>
  <si>
    <t>از جمله / له دي جملي نه:</t>
  </si>
  <si>
    <t>تعداد سینماهای سیار / د ګرځنده سينماګانو شمير</t>
  </si>
  <si>
    <t>تعداد سینماها /  د سينماګانو شمير</t>
  </si>
  <si>
    <t>تعداد چوکی در سینماها / په سينماګانو کښي د څوکيو شمير</t>
  </si>
  <si>
    <t>کنرها ( کنړونه)</t>
  </si>
  <si>
    <t xml:space="preserve"> سرچينه :د اطلاعاتو او فرهنگ وزارت </t>
  </si>
  <si>
    <t>د اتحاديو شمير</t>
  </si>
  <si>
    <t xml:space="preserve">   Members </t>
  </si>
  <si>
    <t xml:space="preserve">   تعداد اعضا  /  د غړو شمير      </t>
  </si>
  <si>
    <t>د غړو شمير په مرکزکی</t>
  </si>
  <si>
    <t>د غړو شمير په ولايتونوکې</t>
  </si>
  <si>
    <t xml:space="preserve"> سر چينه : د افغانستان اتحاديي</t>
  </si>
  <si>
    <t xml:space="preserve">منبع : اتحادیۀ های افغانستان </t>
  </si>
  <si>
    <t>مجموع جرایم / ټول جرمونه</t>
  </si>
  <si>
    <t xml:space="preserve">قتل / وژل </t>
  </si>
  <si>
    <t>قطاع الطریقی / لوټماری</t>
  </si>
  <si>
    <t xml:space="preserve">اختطاف / تښتول </t>
  </si>
  <si>
    <t xml:space="preserve">سرقت / غلا </t>
  </si>
  <si>
    <t xml:space="preserve">فرارمحبوسا ن / دبنديا نو تښتيدل </t>
  </si>
  <si>
    <t>ــ اموال  / مالونه</t>
  </si>
  <si>
    <t xml:space="preserve">ــ مواد مخدر / نښۀ ئی توکی </t>
  </si>
  <si>
    <t>رشوت  / بډي</t>
  </si>
  <si>
    <t xml:space="preserve">کیسه بری / جيب وهل </t>
  </si>
  <si>
    <t>جرح / زخم ( ټپيکيدل )</t>
  </si>
  <si>
    <t>لت و کوب / وهل او تکول</t>
  </si>
  <si>
    <t>قمار / جواري</t>
  </si>
  <si>
    <t>سا یرجرایم  /  نور  جرمونه</t>
  </si>
  <si>
    <t xml:space="preserve">  Total</t>
  </si>
  <si>
    <t>مجموع /  ټول</t>
  </si>
  <si>
    <t>مجموع / ټول</t>
  </si>
  <si>
    <t>سرچينه : د اطلاعاتو او فرهنگ وزارت</t>
  </si>
  <si>
    <t>تعداد محبوسین  -  د بندیانوشمیر</t>
  </si>
  <si>
    <t>تعداد اطفال در مراكز اصلاح و تربيت اطفال</t>
  </si>
  <si>
    <t xml:space="preserve">سرچينه : د عدليِي وزارت </t>
  </si>
  <si>
    <t xml:space="preserve"> توکوتوقیف خانه  </t>
  </si>
  <si>
    <t>ـــ محبس اناثیه /  ښځينه محبس</t>
  </si>
  <si>
    <t xml:space="preserve"> غیر رسمی  </t>
  </si>
  <si>
    <t>مجموع مساجد</t>
  </si>
  <si>
    <t xml:space="preserve"> صغير</t>
  </si>
  <si>
    <t xml:space="preserve"> جامع</t>
  </si>
  <si>
    <t xml:space="preserve"> ټول جوماتونه  </t>
  </si>
  <si>
    <t xml:space="preserve">Incomprehensive </t>
  </si>
  <si>
    <t xml:space="preserve">Comprehensive </t>
  </si>
  <si>
    <t>Total Mosques</t>
  </si>
  <si>
    <t xml:space="preserve">پروان </t>
  </si>
  <si>
    <t>میدان وردک</t>
  </si>
  <si>
    <t xml:space="preserve">ننگرهار </t>
  </si>
  <si>
    <t xml:space="preserve">لغمان </t>
  </si>
  <si>
    <t>کنرها / كڼرونه</t>
  </si>
  <si>
    <t xml:space="preserve">باد غیس </t>
  </si>
  <si>
    <t xml:space="preserve">هرات </t>
  </si>
  <si>
    <t>منبع : وزارت ارشاد ، حج و اوقاف</t>
  </si>
  <si>
    <t>Violence</t>
  </si>
  <si>
    <t>ازدواج اجباری / جبری واده</t>
  </si>
  <si>
    <t>فرار از منزل / له کوره تښتيدل</t>
  </si>
  <si>
    <t>تجاوز جنسی / جنسی تیري</t>
  </si>
  <si>
    <t>تفریق ( جدایی) / جدایی</t>
  </si>
  <si>
    <t>اختطاف / تښتول</t>
  </si>
  <si>
    <t>عدم پرداخت نفقه / د نفقی نه ورکول</t>
  </si>
  <si>
    <t>Escape from house</t>
  </si>
  <si>
    <t>Separate</t>
  </si>
  <si>
    <t>Engagement revoke</t>
  </si>
  <si>
    <t>Kidnap</t>
  </si>
  <si>
    <t>Divorced</t>
  </si>
  <si>
    <t>Self burning</t>
  </si>
  <si>
    <t>Suicide</t>
  </si>
  <si>
    <t>خود کشی / ځان وژنه</t>
  </si>
  <si>
    <t xml:space="preserve">منبع : وزارت امور زنان </t>
  </si>
  <si>
    <t>تعداد داوران</t>
  </si>
  <si>
    <t>تعداد مربیان</t>
  </si>
  <si>
    <t>تعداد ورزشکاران</t>
  </si>
  <si>
    <t>ذکور/ نارینه</t>
  </si>
  <si>
    <t>اناث / ښځينه</t>
  </si>
  <si>
    <t>د ورزشکارانو شمیر</t>
  </si>
  <si>
    <t>د مربیانو شمیر</t>
  </si>
  <si>
    <t>د داورانو شمیر</t>
  </si>
  <si>
    <t xml:space="preserve">جدول 4-32: فعالیت های فرهنگی </t>
  </si>
  <si>
    <t xml:space="preserve">جدول4-32 : فرهنگی فعالیتونه </t>
  </si>
  <si>
    <t xml:space="preserve"> Table 4-32: Cultural Activities</t>
  </si>
  <si>
    <t xml:space="preserve">جدول 4-33: توليد فلم هاي سينمایی </t>
  </si>
  <si>
    <t xml:space="preserve">جدول 4-33 : د سينمايۍ فلمونو توليد </t>
  </si>
  <si>
    <t xml:space="preserve">جدول 4-34: نشرات رادیو و تلویزیون های دولتی و خصوصی </t>
  </si>
  <si>
    <t xml:space="preserve">جدول 4-34: د دولتي او خصوصي تلویزیونونو او رادیوګانو خپرونې </t>
  </si>
  <si>
    <t xml:space="preserve"> جدول 4-35:  د كابل د سينماګانو فعاليتونه </t>
  </si>
  <si>
    <t xml:space="preserve">Table 4-35:Activity of Movies in Kabul </t>
  </si>
  <si>
    <t xml:space="preserve">     جدول 4- 40 : احصائیه جرایم  به تفکیک نوع</t>
  </si>
  <si>
    <t>Table 4-41:Traffic Accidents by Type of Vehicle</t>
  </si>
  <si>
    <t>جدول 4-41: حوادث ترافیکی به تفکیک نوع وسا یط</t>
  </si>
  <si>
    <t>1392</t>
  </si>
  <si>
    <t>2013-14</t>
  </si>
  <si>
    <t xml:space="preserve">جدول: 4-35: فعاليت سينماها در كابل </t>
  </si>
  <si>
    <t>Film Production Companies</t>
  </si>
  <si>
    <t>Afghanistan Behzad Union</t>
  </si>
  <si>
    <t>Army forces in center</t>
  </si>
  <si>
    <t xml:space="preserve">  مجموع ټول</t>
  </si>
  <si>
    <t>Bus-بس</t>
  </si>
  <si>
    <t>لاری- Truck</t>
  </si>
  <si>
    <t xml:space="preserve">ـــ توقیف خانه موادمخدر / دنشۀ ئی  </t>
  </si>
  <si>
    <t xml:space="preserve">ـــ توقیف خانه کابل/ دکابل توقیف خانه </t>
  </si>
  <si>
    <t>پسر / هلک</t>
  </si>
  <si>
    <t>دختر / نجلی</t>
  </si>
  <si>
    <t>Number of Sporstmen</t>
  </si>
  <si>
    <t>Private Sector of industrial parks</t>
  </si>
  <si>
    <t>بخش قوای مسلح در مرکز (کارکنان خدماتی)</t>
  </si>
  <si>
    <t>نوت : ارقام حوادث ترافیکی ازربع چهارم  (26 ) ولایت مواصلت ورزیده است</t>
  </si>
  <si>
    <t>یادونه : د ولایتونو څخه د څلورمی ربعی ترافیکی پيښو ارقام د (26) ولایتونو څخه رارسیدلی دی</t>
  </si>
  <si>
    <t>Note: The traffic accidents data of arrived from is four quarter (26) province</t>
  </si>
  <si>
    <t xml:space="preserve">مجموع - ټول  </t>
  </si>
  <si>
    <t>ذکور - نارينه</t>
  </si>
  <si>
    <t>اناث - ښځينه</t>
  </si>
  <si>
    <t>No of Magazines &amp; Newspapers (Center)</t>
  </si>
  <si>
    <t>No of Magazines &amp; Newspapers (Provinces)</t>
  </si>
  <si>
    <t>جدول 4 - 40 : د جرمونو احصائیه د ډول په توپیر</t>
  </si>
  <si>
    <t>د موټر ډول</t>
  </si>
  <si>
    <t>نوع واسطه</t>
  </si>
  <si>
    <t>Number of Trainers</t>
  </si>
  <si>
    <t>Number of Referees</t>
  </si>
  <si>
    <t xml:space="preserve">مؤظفین </t>
  </si>
  <si>
    <t>Source : Religious Affairs and hajj</t>
  </si>
  <si>
    <t>Number of Audiences</t>
  </si>
  <si>
    <t xml:space="preserve">Informal </t>
  </si>
  <si>
    <t>Functionaries</t>
  </si>
  <si>
    <t>منبع : ریاست تربیت بدنی و سپورت</t>
  </si>
  <si>
    <t>سر چینه : د بدنی روزنی او سپورت ریاست</t>
  </si>
  <si>
    <t>2015-16</t>
  </si>
  <si>
    <t>2015-16   1394</t>
  </si>
  <si>
    <t>Maidan Wardak</t>
  </si>
  <si>
    <t xml:space="preserve">Maidan Wardak </t>
  </si>
  <si>
    <t xml:space="preserve"> جامع و صغیر</t>
  </si>
  <si>
    <t>سر چینه : د ارشاد ، حج او اوقافو وزارت</t>
  </si>
  <si>
    <t>تعداد تماشا چیان /  د نندارچیانو شمير</t>
  </si>
  <si>
    <t>2016-17   1395</t>
  </si>
  <si>
    <t>شهر کابل / دکابل ښار</t>
  </si>
  <si>
    <t>ولایت کابل / د کابل ولايت</t>
  </si>
  <si>
    <t>2016-17</t>
  </si>
  <si>
    <t>لت و کوب / وهل او ټکول</t>
  </si>
  <si>
    <t>عدم حضانت / دماشومانو نه روزل</t>
  </si>
  <si>
    <t>عدم پرداخت حق مهر / د مهرد حق نه ورکول</t>
  </si>
  <si>
    <t>ممانعت از ازدواج / له واده مخنیوی</t>
  </si>
  <si>
    <t>منع تصرف در اموال / په مالونوکی د تصرف کولو مخنیوی</t>
  </si>
  <si>
    <t>مجروحیت ناشی از لت و کوب / د وهل او ټکول له کبله زخمی کیدل</t>
  </si>
  <si>
    <t>ممانعت از میراث / له میراث نه منع کول</t>
  </si>
  <si>
    <t>آزار و اذیت / عزبول  او ضرر رسول</t>
  </si>
  <si>
    <t>توهین و تحقیر / سپکاوی</t>
  </si>
  <si>
    <t>انزوای اجباری / اجباری انزوا</t>
  </si>
  <si>
    <t>مجبور نمودن به فحشا / فحشا ته مجبورول</t>
  </si>
  <si>
    <t>معتاد نمودن به مواد مخدر / په نښي توکو روږدی کول</t>
  </si>
  <si>
    <t>Forced Marriage</t>
  </si>
  <si>
    <t>‌Beating</t>
  </si>
  <si>
    <t xml:space="preserve">No Custody </t>
  </si>
  <si>
    <t>Non payment of dower</t>
  </si>
  <si>
    <t xml:space="preserve">Prohibition of marrige </t>
  </si>
  <si>
    <t>prevent to seized of property</t>
  </si>
  <si>
    <t>Injuries caused by beating</t>
  </si>
  <si>
    <t>Prevetion of heritage</t>
  </si>
  <si>
    <t>Harassment</t>
  </si>
  <si>
    <t>Humiliation</t>
  </si>
  <si>
    <t>Forced isolation</t>
  </si>
  <si>
    <t>Forcing in to protitution</t>
  </si>
  <si>
    <t>Addicted to drugs</t>
  </si>
  <si>
    <t xml:space="preserve">Other </t>
  </si>
  <si>
    <t>سایر / نور</t>
  </si>
  <si>
    <t xml:space="preserve"> سرچینه : د ښځو چارو وزارت</t>
  </si>
  <si>
    <t>Source: Ministry of Wome Affairs</t>
  </si>
  <si>
    <t>…</t>
  </si>
  <si>
    <t>تعداد کتاب خانه های عامه /  دعامه کتابتونونو شمیر</t>
  </si>
  <si>
    <t xml:space="preserve">تعداد کتب در کتاب خانه های عامه / د کتا بونو شمیر په کتابتونونو کښي </t>
  </si>
  <si>
    <t>تیراژ عمومی آنها / د چاپ شمير</t>
  </si>
  <si>
    <t>مجموع موزیم ها / د موزیمونو  شمير</t>
  </si>
  <si>
    <t>مراجعین موزیم ها / د موزیمونو د نندارچیانو  شمير</t>
  </si>
  <si>
    <t>نسخه خطی ارشیف ملی / د ملی آرشیف  ليکل شوی  پا ڼی</t>
  </si>
  <si>
    <t xml:space="preserve">اسناد با ارزش / ا رزښت لرونکي سندو نه </t>
  </si>
  <si>
    <t>فوتو های تاریخی / تاریخی  انځورونه</t>
  </si>
  <si>
    <t xml:space="preserve">قطعه خط ها / د قطعه ليکونو شمير </t>
  </si>
  <si>
    <t xml:space="preserve">موسسات تولید فلم / د فلمونو توليدي موسسي </t>
  </si>
  <si>
    <t>از جمله : / له دي جملي نه:</t>
  </si>
  <si>
    <t xml:space="preserve">مجموع تولید فلم / ټول  تولید شوي  فلمونه </t>
  </si>
  <si>
    <t xml:space="preserve">فلم های دراز میترای سینمائی / سینمائی اوږده  فلمو نه  </t>
  </si>
  <si>
    <t xml:space="preserve">فلم های کوتاه / لنډ سینمائی  فلمونه </t>
  </si>
  <si>
    <t xml:space="preserve">ــ فلم های هنری / هنری  فلمونه </t>
  </si>
  <si>
    <t>Table4-33: Production of Movies , Films</t>
  </si>
  <si>
    <t>نشرات رادیو های دولتی  در شبانه روز / دولتی رادیوئی خپرونۍ  په شپه او ورځ کښي</t>
  </si>
  <si>
    <t>نشرات رادیو های خصوصی در شبانه روز / خصوصی رادیوئی خپرونۍ  په شپه او ورځ کښي</t>
  </si>
  <si>
    <t>نشرات تلویزیون های دولتی  در شبا نه روز / دولتی تلویزیوني خپرونۍ  په شپه او ورځ کښي</t>
  </si>
  <si>
    <t>نشرات تلویزیون های خصوصی در شبا نه روز / خصوصی تلویزیوني خپرونۍ  په شپه او ورځ کښي</t>
  </si>
  <si>
    <t>مجموع  / ټول</t>
  </si>
  <si>
    <t xml:space="preserve"> اتحادیۀ  ملی کارکنان افغانستان / د افغانستان د کارکوونکو ملې اتحاديه  </t>
  </si>
  <si>
    <t>شورای  ژورنالیستان افغانستان / د افغانستان د ژورنالیستانو شورا</t>
  </si>
  <si>
    <t>اتحادیۀ  پیشه وران افغانستان / د افغانستان د کسب ګرو اتحادیه</t>
  </si>
  <si>
    <t>اتحادیۀ  جوانان افغانستان / د افغانستان د ځوانانو اتحادیه</t>
  </si>
  <si>
    <t>اتحادیۀ  دهقانان افغانستان / د افغانستان د بزګرانو اتحادیه</t>
  </si>
  <si>
    <t>اتحادیۀ  همبستگی  دفاع از حقوق و کرامت انسانی معلولین و ورثه شهدا / د شهیدانو د ورثو او معلولینو له حقوقو او انسانی کرامتونو څخه د دفاع اتحادیه</t>
  </si>
  <si>
    <t xml:space="preserve">اتحادیۀ  دوکتوران و کارکنان صحی افغانستان / د افغانستان د داکترانو او روغتیائی کارکوونکو اتحادیه </t>
  </si>
  <si>
    <t>شورای متقاعدین افغانستان / د افغانستان د متقاعدینو شورا</t>
  </si>
  <si>
    <t>اتحادیۀ  سراسری کتابفروشان افغانستان / د کتاب پلورونکو سرتاسری اتحادیه</t>
  </si>
  <si>
    <t>اتحادیۀ  بهزاد افغانستان / د افغانستان بهزاد اتحادیه</t>
  </si>
  <si>
    <t>ازدواج زیر سن / په ټیټ عمر کی واده</t>
  </si>
  <si>
    <t>قتل/ وژنی</t>
  </si>
  <si>
    <t xml:space="preserve">تعین سرنوشت اجباری / د جبري سرنوشت برخلیک ټاکل </t>
  </si>
  <si>
    <t>ازدواج بدل / بدل ودونه</t>
  </si>
  <si>
    <t>نامزادی اجباری / جبري کوژده کول</t>
  </si>
  <si>
    <t>طلاق / طلاق</t>
  </si>
  <si>
    <t>خود سوزی / ځان سوځونه</t>
  </si>
  <si>
    <t>Non payment of Alimony</t>
  </si>
  <si>
    <t>Rape</t>
  </si>
  <si>
    <t>Underage marriage</t>
  </si>
  <si>
    <t xml:space="preserve">Determine the Fate of mandatory </t>
  </si>
  <si>
    <t xml:space="preserve">Exchage marrige </t>
  </si>
  <si>
    <t>Forced engagement</t>
  </si>
  <si>
    <t>خشونت / تاو تریخوال</t>
  </si>
  <si>
    <t>فسخ نامزادی / د کوژدی فسخ کول</t>
  </si>
  <si>
    <t xml:space="preserve"> جلد / ټوک</t>
  </si>
  <si>
    <t>جدول 4 - 47 : تعداد واقعات خشونت علیه زنان و دختران</t>
  </si>
  <si>
    <t>جدول 4 - 47 : د ښځو او نجونو د تاوتريخوالو شمير</t>
  </si>
  <si>
    <t>Table 4 - 47 : Number of Violence Women &amp; Girls</t>
  </si>
  <si>
    <t>The Institutions of Production of Movies Films not include because not paid guaranty  money .</t>
  </si>
  <si>
    <t>کنرها / کڼرونه</t>
  </si>
  <si>
    <t>Maidan wardak</t>
  </si>
  <si>
    <t>Mine contaminated Areas</t>
  </si>
  <si>
    <t>Unexploded Ordnance Areas Remaining From war</t>
  </si>
  <si>
    <t>Military Drills Areas</t>
  </si>
  <si>
    <t>په ماینونو ککړی سیمي</t>
  </si>
  <si>
    <t>د جګړی پر پاتی شوو  مهماتو ککړی سیمي</t>
  </si>
  <si>
    <t xml:space="preserve"> د نړیوالو ځواکونو د نظامی تطبیقاتو سيمی</t>
  </si>
  <si>
    <t>اناث / ښځینه</t>
  </si>
  <si>
    <t xml:space="preserve">ساحات ملوث با ماین </t>
  </si>
  <si>
    <t>ساحات ملوث با مهمات باقیمانده از جنگ</t>
  </si>
  <si>
    <t xml:space="preserve">ساحات تطبیقات نظامی نیرو های بین المللی
</t>
  </si>
  <si>
    <t>مرگ / مړینه / Death</t>
  </si>
  <si>
    <t>تلویزیون</t>
  </si>
  <si>
    <t>رادیو</t>
  </si>
  <si>
    <t>تعداد مجلات</t>
  </si>
  <si>
    <t>ساحات تثبیت شده ملوث با ماین ومهمات منفلق ناشده به مترمربع              په ماینونو او ناچاوده مهماتو تثبیت شوی ککړی سیمی</t>
  </si>
  <si>
    <t>Identfyed Areas contaminated by Mines , Unexploded ordnance m2</t>
  </si>
  <si>
    <t xml:space="preserve">       ساحات پاک شده به مترمربع /  پاکې شوی سیمي په مترمربع      </t>
  </si>
  <si>
    <t xml:space="preserve">  Clean Areas m2 </t>
  </si>
  <si>
    <t>2017-18</t>
  </si>
  <si>
    <t>جدول :4-36: مجلات به تفکیک موعد نشر و ولایت  -  1396</t>
  </si>
  <si>
    <t>جدول 4-36: مجلی د خپریدو د وخت او ولایت په توپیر - 1396</t>
  </si>
  <si>
    <t>Table 4-36: Magazines by Periodicity and Province -2017- 18</t>
  </si>
  <si>
    <t xml:space="preserve">  جدول 4-38: تعداد اعضای اتحادیۀ  ملی کارکنان افغانستان  - 1396</t>
  </si>
  <si>
    <t xml:space="preserve">  جدول 4-38: د افغانستان د کارکوونکو د ملي اتحاديې د غړو شمير -1396</t>
  </si>
  <si>
    <t>Table:4-38:Members of National Employees Union of Afghanistan  - 2017-18</t>
  </si>
  <si>
    <t>جدول 4 -39: اعضای اتحادیۀ  ها در افغانستان -1396</t>
  </si>
  <si>
    <t xml:space="preserve">  جدول 4-39: په افغانستان کی د اتحاديو د غړو شمير -1396</t>
  </si>
  <si>
    <t>Table 4 - 39:Unions Members in Afganistan - 2017-18</t>
  </si>
  <si>
    <t>2017-18   1396</t>
  </si>
  <si>
    <t>2015-16 - 1394</t>
  </si>
  <si>
    <t>2016-17 - 1395</t>
  </si>
  <si>
    <t>2017-18 - 1396</t>
  </si>
  <si>
    <t>جدول 4-42: نشرات شبانه روزی رادیو و تلویزیون به تفکیک ولایت - 1396</t>
  </si>
  <si>
    <t>جدول 4-42: د رادیو او تلویزیون خپرونۍ په شپه او ورځ کې د ولایت په توپیر - 1396</t>
  </si>
  <si>
    <t>جدول 4-43: تعداد محابس و محبوسین به تفکیک ولایت - 1396</t>
  </si>
  <si>
    <t>جدول 4-43: د محبسونو او بندیانو شمیر د ولایت په توپیر  - 1396</t>
  </si>
  <si>
    <t xml:space="preserve">Table 4-43: Number of  Prisons and Prisoners by Province - 2017-18 </t>
  </si>
  <si>
    <t>Table 4-45 : Number of Mosques 2017-18</t>
  </si>
  <si>
    <t>جدول 4 - 46 : تعداد ورزشکاران ، مربیان و داوران  ریاست تربیت بدنی و سپورت به تفکیک ولایت -1396</t>
  </si>
  <si>
    <t>جدول 4 - 46 : د بدنی روزنی او سپورت ریاست د ورزشکارانو ، مربیانو او داورانو شمیرد ولایت په توپیر - 1396</t>
  </si>
  <si>
    <t>قتل / وژل</t>
  </si>
  <si>
    <t>اختلاس</t>
  </si>
  <si>
    <t>رشوه  / بډي</t>
  </si>
  <si>
    <t>لواطت</t>
  </si>
  <si>
    <t xml:space="preserve">جعل  </t>
  </si>
  <si>
    <t>سایر/ نور</t>
  </si>
  <si>
    <t>قمار</t>
  </si>
  <si>
    <t>جدول4-48: ساحات ملوث با ماین، مهمات منفلق ناشده وتلفات ناشی ازان سال 1396</t>
  </si>
  <si>
    <t>جدول4-48: په ماینونو ، نا چاوده مهماتو ککړی سیمی او د هغو نه رامینځ ته شوي تلفات 1396</t>
  </si>
  <si>
    <t>Table4-48: Areas contaminated by Mines , Unexploded ordnance and Losses -2017-18</t>
  </si>
  <si>
    <t>کم است</t>
  </si>
  <si>
    <t>ـــ محبس پلچرخی و محبس مواد مخدر/ د پلچرخی او نښي توکو محبس</t>
  </si>
  <si>
    <t xml:space="preserve">سکتور خصوصی پارکهای صنعتی </t>
  </si>
  <si>
    <t>د صنعتی پارکونو خصوصی سکتور</t>
  </si>
  <si>
    <t>په مرکز کی د وسله والو قواو برخه (خدماتی کارکوونکی)</t>
  </si>
  <si>
    <t>Source : Central Council of National Union of Afghanistan Employees</t>
  </si>
  <si>
    <t xml:space="preserve">ــ مواد مخدر / نشه ئی توکی </t>
  </si>
  <si>
    <t>جدول 4 -41: ترافیکي پيښی د موټر د ډول  په توپیر</t>
  </si>
  <si>
    <t>تیز رفتار / ګړندی موټر</t>
  </si>
  <si>
    <t>موټر سایکل</t>
  </si>
  <si>
    <t>گراف 4-14: حوادث ترافیکی در کشور به تفکیک نوع وسایط    /    د 4 - 14 ګراف : په هيواد کی ترافیکی پيښی    /     Graph 4 - 13 : Traffic Accidents in Country</t>
  </si>
  <si>
    <t>تیز رفتار / ګړندی موټر- Car</t>
  </si>
  <si>
    <t xml:space="preserve">موټر سایکل -Motorcycle </t>
  </si>
  <si>
    <t>جدول 4-44 : مراكز اصلاح و تربيت اطفال و تعداد اطفال درین مراکز به تفکیک ولايت - 1396</t>
  </si>
  <si>
    <t>جدول 4-44 : د ماشومانو د اصلاح او روزنې مركزونه او په دی مرکزونو کی د ماشومانو شمیر د ولايت په توپير - 1396</t>
  </si>
  <si>
    <t>Table 4-44 : Rehabilitation centers for children and the number of children in these centers by province - 2017-18</t>
  </si>
  <si>
    <t>تعداد مراكز اصلاح و تربيت اطفال</t>
  </si>
  <si>
    <t>د ماشومانو د اصلاح او روزنې مركزونو شمیر</t>
  </si>
  <si>
    <t xml:space="preserve"> رسمی </t>
  </si>
  <si>
    <t xml:space="preserve">Formal </t>
  </si>
  <si>
    <t xml:space="preserve">Comprehensive and  Incomprehensive </t>
  </si>
  <si>
    <t>Source : Department of Physical Education and Sport</t>
  </si>
  <si>
    <t>Table 4 - 46 : Number of Sportsmen , Trianers and Referees In Department of Physical Education and Sport by Provinces- 2017-18</t>
  </si>
  <si>
    <t xml:space="preserve">No . Rehabilitation Centers for Children </t>
  </si>
  <si>
    <t>جدول 4-37: تعداد روزنامه ها، جراید و نشرات دوره ئی به تفکیک ولایت  - 1396</t>
  </si>
  <si>
    <t xml:space="preserve">جدول 4-37: د ورځپاني، جريدې او دوره ئي خپرونې شمیر د ولایت په توپير -1396  </t>
  </si>
  <si>
    <t>Table 4 - 37 : Number of Newspapers  and periodicals  by Province-2017-18</t>
  </si>
  <si>
    <t>تعداد تلفات /  د تلفاتو شمیر / Casualties</t>
  </si>
  <si>
    <t>مجروحیت / ژوبل / Injured</t>
  </si>
  <si>
    <t>─ Detention Center of Kabul</t>
  </si>
  <si>
    <t>─ Females Prison</t>
  </si>
  <si>
    <t>─ Pulcharkhy and Counter           Narcotic Prisons</t>
  </si>
  <si>
    <t xml:space="preserve">─ Counter Narcotic Detention      Center </t>
  </si>
  <si>
    <t xml:space="preserve">  منبع : ریاست انسجام و هماهنگی تطهیر ماین</t>
  </si>
  <si>
    <t>Source: Directorate of Mine Action Coordination</t>
  </si>
  <si>
    <t>سرچینه :  د ماین پاکونوانسجام او د همغږګی ریاست</t>
  </si>
  <si>
    <t>یادونه : د فلم هغه تولیدی موسسی له دی کبله چی حاضری شوي ندی یوه اندازه پیسی چی د ضمانت په ډول ورباندی وضع شوي ورکړی په سږنی کال کی ندی شاملي .</t>
  </si>
  <si>
    <t>نوت : موسسات تولید فلم که امسال شامل نیستند بخاطرجوازشان مبلغ پول که طور تضمین بالای شان گذاشته شده تحویل نکرده اند .</t>
  </si>
  <si>
    <t>د ورځپانو ، جریدو ، خپرونو او د مجلو شمیر   ( مرکز)</t>
  </si>
  <si>
    <t>شماره</t>
  </si>
  <si>
    <t>NO</t>
  </si>
  <si>
    <t xml:space="preserve">شماره </t>
  </si>
  <si>
    <t xml:space="preserve"> Hour                                       Table 4-34:Government &amp; Private TV &amp; Radio  Broadcast                                              ساعت </t>
  </si>
  <si>
    <t>Figures  - Event                            Table 4-40:Crimes Statistics by type                          ارقام به واقعه  / ارقام په پیښه</t>
  </si>
  <si>
    <t xml:space="preserve"> Hour                                 Table 4-42: Radio &amp;TV Broadcast by Province  -2017-18                                 ساعت</t>
  </si>
  <si>
    <t>جدول 4-45 : تعداد مساجد - 1396</t>
  </si>
  <si>
    <t>جدول 4-45 : د جوماتونو شمیر - 1396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</si>
</sst>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0.0"/>
  </numFmts>
  <fonts count="5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8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name val="Arial"/>
      <family val="2"/>
    </font>
    <font>
      <b/>
      <sz val="12"/>
      <color rgb="FFFF0000"/>
      <name val="Times New Roman"/>
      <family val="1"/>
    </font>
    <font>
      <sz val="20"/>
      <color theme="1"/>
      <name val="Calibri"/>
      <family val="2"/>
      <charset val="178"/>
      <scheme val="minor"/>
    </font>
    <font>
      <sz val="24"/>
      <color theme="1"/>
      <name val="Calibri"/>
      <family val="2"/>
      <charset val="178"/>
      <scheme val="minor"/>
    </font>
    <font>
      <b/>
      <sz val="20"/>
      <name val="Times New Roman"/>
      <family val="1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sz val="10"/>
      <name val="Arial"/>
      <family val="2"/>
    </font>
    <font>
      <sz val="26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charset val="178"/>
      <scheme val="minor"/>
    </font>
    <font>
      <b/>
      <sz val="10"/>
      <color theme="1"/>
      <name val="Calibri"/>
      <family val="2"/>
      <charset val="178"/>
      <scheme val="minor"/>
    </font>
    <font>
      <sz val="11"/>
      <color theme="1"/>
      <name val="Calibri"/>
      <family val="2"/>
      <charset val="1"/>
      <scheme val="minor"/>
    </font>
    <font>
      <b/>
      <sz val="13"/>
      <color theme="1"/>
      <name val="Times New Roman"/>
      <family val="1"/>
    </font>
    <font>
      <sz val="11"/>
      <color rgb="FFFF0000"/>
      <name val="Calibri"/>
      <family val="2"/>
      <charset val="1"/>
      <scheme val="minor"/>
    </font>
    <font>
      <b/>
      <sz val="12"/>
      <color theme="1"/>
      <name val="Cambria"/>
      <family val="1"/>
      <scheme val="major"/>
    </font>
    <font>
      <sz val="11"/>
      <name val="Calibri"/>
      <family val="2"/>
      <charset val="178"/>
      <scheme val="minor"/>
    </font>
    <font>
      <b/>
      <sz val="11"/>
      <name val="Times New Roman"/>
      <family val="1"/>
    </font>
    <font>
      <b/>
      <sz val="12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rgb="FFC00000"/>
      <name val="Cambria"/>
      <family val="1"/>
      <scheme val="major"/>
    </font>
    <font>
      <b/>
      <sz val="12"/>
      <color rgb="FFC00000"/>
      <name val="Times New Roman"/>
      <family val="1"/>
    </font>
    <font>
      <sz val="11"/>
      <color rgb="FFC00000"/>
      <name val="Calibri"/>
      <family val="2"/>
      <charset val="178"/>
      <scheme val="minor"/>
    </font>
    <font>
      <b/>
      <sz val="12"/>
      <color rgb="FF6600CC"/>
      <name val="Times New Roman"/>
      <family val="1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charset val="1"/>
      <scheme val="minor"/>
    </font>
    <font>
      <sz val="14"/>
      <color theme="1"/>
      <name val="Calibri"/>
      <family val="2"/>
      <charset val="178"/>
      <scheme val="minor"/>
    </font>
    <font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9" fontId="2" fillId="0" borderId="0" applyFont="0" applyFill="0" applyBorder="0" applyAlignment="0" applyProtection="0"/>
    <xf numFmtId="0" fontId="10" fillId="0" borderId="0"/>
    <xf numFmtId="0" fontId="19" fillId="0" borderId="0"/>
    <xf numFmtId="9" fontId="10" fillId="0" borderId="0" applyFont="0" applyFill="0" applyBorder="0" applyAlignment="0" applyProtection="0"/>
    <xf numFmtId="0" fontId="21" fillId="0" borderId="0"/>
    <xf numFmtId="0" fontId="2" fillId="0" borderId="0"/>
    <xf numFmtId="0" fontId="10" fillId="0" borderId="0"/>
    <xf numFmtId="0" fontId="21" fillId="0" borderId="0"/>
    <xf numFmtId="0" fontId="2" fillId="0" borderId="0"/>
    <xf numFmtId="0" fontId="23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8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938">
    <xf numFmtId="0" fontId="0" fillId="0" borderId="0" xfId="0"/>
    <xf numFmtId="0" fontId="4" fillId="0" borderId="0" xfId="0" applyFont="1" applyBorder="1" applyAlignment="1">
      <alignment horizontal="right" vertical="center" indent="1"/>
    </xf>
    <xf numFmtId="0" fontId="4" fillId="0" borderId="0" xfId="0" applyFont="1" applyFill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 indent="2"/>
    </xf>
    <xf numFmtId="165" fontId="4" fillId="0" borderId="0" xfId="0" applyNumberFormat="1" applyFont="1" applyBorder="1" applyAlignment="1">
      <alignment horizontal="right" vertical="center" indent="1"/>
    </xf>
    <xf numFmtId="0" fontId="6" fillId="2" borderId="2" xfId="0" applyFont="1" applyFill="1" applyBorder="1" applyAlignment="1">
      <alignment horizontal="center" vertical="center" wrapText="1"/>
    </xf>
    <xf numFmtId="49" fontId="10" fillId="0" borderId="0" xfId="0" applyNumberFormat="1" applyFont="1"/>
    <xf numFmtId="0" fontId="10" fillId="0" borderId="0" xfId="0" applyFont="1"/>
    <xf numFmtId="0" fontId="4" fillId="0" borderId="11" xfId="0" applyFont="1" applyBorder="1" applyAlignment="1">
      <alignment horizontal="right" vertical="center" inden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2"/>
    </xf>
    <xf numFmtId="0" fontId="15" fillId="0" borderId="0" xfId="0" applyFont="1"/>
    <xf numFmtId="0" fontId="14" fillId="0" borderId="0" xfId="0" applyFont="1"/>
    <xf numFmtId="0" fontId="16" fillId="0" borderId="9" xfId="0" applyFont="1" applyBorder="1" applyAlignment="1">
      <alignment horizontal="right" vertical="center" indent="1"/>
    </xf>
    <xf numFmtId="0" fontId="16" fillId="0" borderId="11" xfId="0" applyFont="1" applyBorder="1" applyAlignment="1">
      <alignment horizontal="right" vertical="center" indent="1"/>
    </xf>
    <xf numFmtId="0" fontId="17" fillId="0" borderId="0" xfId="0" applyFont="1"/>
    <xf numFmtId="0" fontId="18" fillId="0" borderId="0" xfId="0" applyFont="1"/>
    <xf numFmtId="0" fontId="0" fillId="0" borderId="0" xfId="0" applyBorder="1"/>
    <xf numFmtId="165" fontId="0" fillId="0" borderId="0" xfId="0" applyNumberFormat="1"/>
    <xf numFmtId="0" fontId="4" fillId="0" borderId="0" xfId="0" applyNumberFormat="1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 readingOrder="1"/>
    </xf>
    <xf numFmtId="0" fontId="20" fillId="0" borderId="0" xfId="0" applyFont="1"/>
    <xf numFmtId="0" fontId="11" fillId="0" borderId="0" xfId="3" applyFont="1" applyBorder="1" applyAlignment="1">
      <alignment horizontal="right" vertical="center" indent="1"/>
    </xf>
    <xf numFmtId="0" fontId="12" fillId="0" borderId="0" xfId="3" applyFont="1" applyBorder="1" applyAlignment="1">
      <alignment horizontal="right" vertical="center" indent="1"/>
    </xf>
    <xf numFmtId="2" fontId="0" fillId="0" borderId="0" xfId="0" applyNumberFormat="1"/>
    <xf numFmtId="0" fontId="4" fillId="0" borderId="2" xfId="0" applyFont="1" applyBorder="1" applyAlignment="1">
      <alignment horizontal="center" vertical="center" readingOrder="2"/>
    </xf>
    <xf numFmtId="0" fontId="4" fillId="0" borderId="0" xfId="0" applyFont="1" applyBorder="1" applyAlignment="1">
      <alignment vertical="center" wrapText="1"/>
    </xf>
    <xf numFmtId="17" fontId="4" fillId="0" borderId="0" xfId="0" applyNumberFormat="1" applyFont="1" applyBorder="1" applyAlignment="1">
      <alignment vertical="center" wrapText="1"/>
    </xf>
    <xf numFmtId="49" fontId="10" fillId="0" borderId="0" xfId="0" applyNumberFormat="1" applyFont="1" applyBorder="1"/>
    <xf numFmtId="49" fontId="10" fillId="0" borderId="0" xfId="0" applyNumberFormat="1" applyFont="1" applyBorder="1" applyAlignment="1">
      <alignment vertical="center"/>
    </xf>
    <xf numFmtId="0" fontId="2" fillId="0" borderId="0" xfId="6"/>
    <xf numFmtId="0" fontId="6" fillId="0" borderId="9" xfId="7" applyFont="1" applyBorder="1" applyAlignment="1">
      <alignment horizontal="right" vertical="center" wrapText="1" indent="1"/>
    </xf>
    <xf numFmtId="0" fontId="6" fillId="0" borderId="8" xfId="7" applyNumberFormat="1" applyFont="1" applyBorder="1" applyAlignment="1">
      <alignment horizontal="left" vertical="center" wrapText="1" indent="1"/>
    </xf>
    <xf numFmtId="0" fontId="11" fillId="0" borderId="3" xfId="6" applyFont="1" applyBorder="1" applyAlignment="1">
      <alignment horizontal="center" vertical="center"/>
    </xf>
    <xf numFmtId="0" fontId="21" fillId="0" borderId="0" xfId="8"/>
    <xf numFmtId="0" fontId="25" fillId="0" borderId="2" xfId="8" applyFont="1" applyBorder="1" applyAlignment="1">
      <alignment horizontal="center" vertical="center" wrapText="1"/>
    </xf>
    <xf numFmtId="0" fontId="21" fillId="0" borderId="0" xfId="8" applyBorder="1"/>
    <xf numFmtId="0" fontId="22" fillId="0" borderId="0" xfId="8" applyFont="1" applyBorder="1" applyAlignment="1">
      <alignment vertical="center"/>
    </xf>
    <xf numFmtId="0" fontId="4" fillId="0" borderId="8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right" vertical="center" wrapText="1" indent="2"/>
    </xf>
    <xf numFmtId="49" fontId="4" fillId="0" borderId="0" xfId="0" applyNumberFormat="1" applyFont="1"/>
    <xf numFmtId="49" fontId="4" fillId="0" borderId="13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4" xfId="8" applyFont="1" applyBorder="1" applyAlignment="1">
      <alignment horizontal="left" vertical="center" wrapText="1" indent="1"/>
    </xf>
    <xf numFmtId="0" fontId="4" fillId="0" borderId="4" xfId="8" applyFont="1" applyBorder="1" applyAlignment="1">
      <alignment horizontal="left" vertical="center" indent="1"/>
    </xf>
    <xf numFmtId="0" fontId="4" fillId="0" borderId="4" xfId="8" applyFont="1" applyFill="1" applyBorder="1" applyAlignment="1">
      <alignment horizontal="left" vertical="center" indent="1"/>
    </xf>
    <xf numFmtId="1" fontId="0" fillId="0" borderId="0" xfId="0" applyNumberFormat="1"/>
    <xf numFmtId="0" fontId="5" fillId="0" borderId="6" xfId="0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26" fillId="0" borderId="0" xfId="0" applyFont="1"/>
    <xf numFmtId="1" fontId="0" fillId="0" borderId="0" xfId="0" applyNumberForma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15" fillId="0" borderId="0" xfId="0" applyNumberFormat="1" applyFont="1"/>
    <xf numFmtId="2" fontId="11" fillId="0" borderId="0" xfId="3" applyNumberFormat="1" applyFont="1" applyBorder="1" applyAlignment="1">
      <alignment horizontal="right" vertical="center" indent="1"/>
    </xf>
    <xf numFmtId="0" fontId="13" fillId="0" borderId="0" xfId="0" applyNumberFormat="1" applyFont="1" applyBorder="1" applyAlignment="1">
      <alignment horizontal="right" vertical="center" indent="1"/>
    </xf>
    <xf numFmtId="0" fontId="13" fillId="0" borderId="0" xfId="0" applyFont="1" applyBorder="1" applyAlignment="1">
      <alignment horizontal="right" vertical="center" indent="1" readingOrder="1"/>
    </xf>
    <xf numFmtId="0" fontId="4" fillId="0" borderId="5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49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 indent="2"/>
    </xf>
    <xf numFmtId="0" fontId="11" fillId="0" borderId="4" xfId="0" applyFont="1" applyBorder="1" applyAlignment="1">
      <alignment horizontal="right" vertical="center" wrapText="1" indent="2"/>
    </xf>
    <xf numFmtId="0" fontId="4" fillId="0" borderId="0" xfId="14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center"/>
    </xf>
    <xf numFmtId="0" fontId="4" fillId="0" borderId="4" xfId="14" applyFont="1" applyBorder="1" applyAlignment="1">
      <alignment horizontal="center" vertical="center"/>
    </xf>
    <xf numFmtId="0" fontId="4" fillId="0" borderId="4" xfId="14" applyFont="1" applyBorder="1" applyAlignment="1">
      <alignment horizontal="center" vertical="center" readingOrder="2"/>
    </xf>
    <xf numFmtId="0" fontId="6" fillId="2" borderId="6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indent="1"/>
    </xf>
    <xf numFmtId="0" fontId="25" fillId="0" borderId="2" xfId="8" applyFont="1" applyBorder="1" applyAlignment="1">
      <alignment horizontal="center" vertical="center"/>
    </xf>
    <xf numFmtId="0" fontId="25" fillId="0" borderId="3" xfId="8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5" fillId="0" borderId="1" xfId="8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left" vertical="center" wrapText="1" indent="1"/>
    </xf>
    <xf numFmtId="0" fontId="4" fillId="0" borderId="9" xfId="8" applyFont="1" applyFill="1" applyBorder="1" applyAlignment="1">
      <alignment horizontal="right" vertical="center" indent="1"/>
    </xf>
    <xf numFmtId="0" fontId="4" fillId="0" borderId="9" xfId="8" applyFont="1" applyFill="1" applyBorder="1" applyAlignment="1">
      <alignment horizontal="right" vertical="center" wrapText="1" indent="1"/>
    </xf>
    <xf numFmtId="0" fontId="5" fillId="0" borderId="0" xfId="0" applyFont="1" applyAlignment="1">
      <alignment vertical="center"/>
    </xf>
    <xf numFmtId="0" fontId="4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11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 wrapText="1" indent="1"/>
    </xf>
    <xf numFmtId="0" fontId="11" fillId="0" borderId="2" xfId="3" applyFont="1" applyBorder="1" applyAlignment="1">
      <alignment horizontal="center" vertical="center"/>
    </xf>
    <xf numFmtId="0" fontId="11" fillId="0" borderId="9" xfId="11" applyFont="1" applyBorder="1" applyAlignment="1">
      <alignment horizontal="center" vertical="center" wrapText="1"/>
    </xf>
    <xf numFmtId="0" fontId="11" fillId="0" borderId="9" xfId="0" applyFont="1" applyBorder="1" applyAlignment="1">
      <alignment horizontal="right" vertical="center" wrapText="1" indent="2"/>
    </xf>
    <xf numFmtId="0" fontId="4" fillId="0" borderId="4" xfId="8" applyFont="1" applyFill="1" applyBorder="1" applyAlignment="1">
      <alignment horizontal="right" vertical="center" indent="1"/>
    </xf>
    <xf numFmtId="0" fontId="28" fillId="0" borderId="0" xfId="16"/>
    <xf numFmtId="0" fontId="4" fillId="0" borderId="4" xfId="16" applyNumberFormat="1" applyFont="1" applyBorder="1" applyAlignment="1">
      <alignment horizontal="left" vertical="center" wrapText="1" indent="1"/>
    </xf>
    <xf numFmtId="0" fontId="11" fillId="0" borderId="9" xfId="16" applyFont="1" applyBorder="1" applyAlignment="1">
      <alignment horizontal="right" vertical="center" indent="1"/>
    </xf>
    <xf numFmtId="0" fontId="11" fillId="0" borderId="5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4" fillId="0" borderId="8" xfId="16" applyNumberFormat="1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right" vertical="center" indent="1"/>
    </xf>
    <xf numFmtId="0" fontId="4" fillId="0" borderId="4" xfId="0" applyFont="1" applyBorder="1" applyAlignment="1">
      <alignment horizontal="right" vertical="center" indent="1"/>
    </xf>
    <xf numFmtId="0" fontId="11" fillId="0" borderId="0" xfId="0" applyFont="1" applyBorder="1" applyAlignment="1">
      <alignment horizontal="right" vertical="center" indent="1"/>
    </xf>
    <xf numFmtId="12" fontId="0" fillId="0" borderId="0" xfId="0" applyNumberFormat="1"/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7" xfId="16" applyFont="1" applyBorder="1" applyAlignment="1">
      <alignment horizontal="right" vertical="center" wrapText="1" indent="1"/>
    </xf>
    <xf numFmtId="0" fontId="11" fillId="0" borderId="9" xfId="16" applyFont="1" applyBorder="1" applyAlignment="1">
      <alignment horizontal="right" vertical="center" wrapText="1" indent="1"/>
    </xf>
    <xf numFmtId="0" fontId="11" fillId="0" borderId="11" xfId="16" applyFont="1" applyBorder="1" applyAlignment="1">
      <alignment horizontal="right" vertical="center" wrapText="1" indent="1"/>
    </xf>
    <xf numFmtId="0" fontId="11" fillId="0" borderId="6" xfId="16" applyFont="1" applyBorder="1" applyAlignment="1">
      <alignment horizontal="center" vertical="center" wrapText="1"/>
    </xf>
    <xf numFmtId="0" fontId="30" fillId="0" borderId="0" xfId="16" applyFont="1"/>
    <xf numFmtId="165" fontId="28" fillId="0" borderId="0" xfId="16" applyNumberFormat="1"/>
    <xf numFmtId="0" fontId="11" fillId="0" borderId="0" xfId="0" applyFont="1" applyBorder="1" applyAlignment="1">
      <alignment horizontal="right" vertical="center" indent="2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right" vertical="center" indent="1"/>
    </xf>
    <xf numFmtId="0" fontId="2" fillId="0" borderId="0" xfId="6" applyBorder="1"/>
    <xf numFmtId="0" fontId="0" fillId="0" borderId="0" xfId="6" applyFont="1" applyBorder="1"/>
    <xf numFmtId="0" fontId="6" fillId="0" borderId="0" xfId="7" applyNumberFormat="1" applyFont="1" applyBorder="1" applyAlignment="1">
      <alignment horizontal="left" vertical="center" wrapText="1" indent="1"/>
    </xf>
    <xf numFmtId="0" fontId="6" fillId="0" borderId="0" xfId="7" applyFont="1" applyBorder="1" applyAlignment="1">
      <alignment horizontal="right" vertical="center" wrapText="1" indent="1"/>
    </xf>
    <xf numFmtId="165" fontId="11" fillId="0" borderId="0" xfId="3" applyNumberFormat="1" applyFont="1" applyBorder="1" applyAlignment="1">
      <alignment horizontal="right" vertical="center" indent="1"/>
    </xf>
    <xf numFmtId="0" fontId="4" fillId="0" borderId="9" xfId="0" applyFont="1" applyBorder="1" applyAlignment="1">
      <alignment horizontal="right" vertical="center" indent="2"/>
    </xf>
    <xf numFmtId="0" fontId="13" fillId="0" borderId="8" xfId="0" applyFont="1" applyBorder="1" applyAlignment="1">
      <alignment horizontal="right" vertical="center" indent="2"/>
    </xf>
    <xf numFmtId="0" fontId="11" fillId="0" borderId="0" xfId="13" applyFont="1" applyBorder="1" applyAlignment="1">
      <alignment horizontal="center" vertical="center" readingOrder="2"/>
    </xf>
    <xf numFmtId="0" fontId="11" fillId="0" borderId="4" xfId="13" applyFont="1" applyBorder="1" applyAlignment="1">
      <alignment horizontal="center" vertical="center" readingOrder="2"/>
    </xf>
    <xf numFmtId="0" fontId="4" fillId="0" borderId="4" xfId="15" applyFont="1" applyBorder="1" applyAlignment="1">
      <alignment horizontal="center" vertical="center"/>
    </xf>
    <xf numFmtId="0" fontId="11" fillId="0" borderId="8" xfId="0" applyFont="1" applyBorder="1" applyAlignment="1">
      <alignment horizontal="right" vertical="center" indent="2"/>
    </xf>
    <xf numFmtId="0" fontId="11" fillId="0" borderId="0" xfId="0" applyFont="1" applyBorder="1" applyAlignment="1">
      <alignment horizontal="right" vertical="center" indent="2"/>
    </xf>
    <xf numFmtId="0" fontId="11" fillId="0" borderId="9" xfId="0" applyFont="1" applyBorder="1" applyAlignment="1">
      <alignment horizontal="right" vertical="center" indent="2"/>
    </xf>
    <xf numFmtId="12" fontId="11" fillId="0" borderId="8" xfId="0" applyNumberFormat="1" applyFont="1" applyBorder="1" applyAlignment="1">
      <alignment horizontal="right" vertical="center" wrapText="1" indent="1"/>
    </xf>
    <xf numFmtId="12" fontId="11" fillId="0" borderId="9" xfId="0" applyNumberFormat="1" applyFont="1" applyBorder="1" applyAlignment="1">
      <alignment horizontal="right" vertical="center" wrapText="1" indent="1"/>
    </xf>
    <xf numFmtId="0" fontId="4" fillId="2" borderId="9" xfId="0" applyFont="1" applyFill="1" applyBorder="1" applyAlignment="1">
      <alignment horizontal="right" vertical="center" wrapText="1" indent="1"/>
    </xf>
    <xf numFmtId="1" fontId="4" fillId="0" borderId="1" xfId="0" applyNumberFormat="1" applyFont="1" applyBorder="1" applyAlignment="1">
      <alignment horizontal="right" vertical="center" indent="1"/>
    </xf>
    <xf numFmtId="0" fontId="4" fillId="0" borderId="9" xfId="0" applyFont="1" applyBorder="1" applyAlignment="1">
      <alignment horizontal="right" vertical="center" wrapText="1" indent="1"/>
    </xf>
    <xf numFmtId="0" fontId="13" fillId="2" borderId="0" xfId="0" applyFont="1" applyFill="1" applyBorder="1" applyAlignment="1">
      <alignment horizontal="right" vertical="center" wrapText="1" indent="1"/>
    </xf>
    <xf numFmtId="0" fontId="20" fillId="0" borderId="0" xfId="0" applyFont="1" applyBorder="1"/>
    <xf numFmtId="0" fontId="32" fillId="0" borderId="0" xfId="0" applyFont="1"/>
    <xf numFmtId="1" fontId="4" fillId="0" borderId="0" xfId="0" applyNumberFormat="1" applyFont="1" applyBorder="1" applyAlignment="1">
      <alignment horizontal="right" vertical="center" indent="2"/>
    </xf>
    <xf numFmtId="2" fontId="4" fillId="0" borderId="0" xfId="3" applyNumberFormat="1" applyFont="1" applyBorder="1" applyAlignment="1">
      <alignment horizontal="right" vertical="center" indent="2"/>
    </xf>
    <xf numFmtId="0" fontId="11" fillId="0" borderId="0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right" vertical="center" indent="2"/>
    </xf>
    <xf numFmtId="1" fontId="4" fillId="0" borderId="0" xfId="3" applyNumberFormat="1" applyFont="1" applyBorder="1" applyAlignment="1">
      <alignment horizontal="right" vertical="center" indent="1"/>
    </xf>
    <xf numFmtId="2" fontId="4" fillId="0" borderId="0" xfId="0" applyNumberFormat="1" applyFont="1" applyBorder="1" applyAlignment="1">
      <alignment horizontal="right" vertical="center" indent="1"/>
    </xf>
    <xf numFmtId="0" fontId="4" fillId="0" borderId="0" xfId="16" applyFont="1" applyBorder="1" applyAlignment="1">
      <alignment horizontal="right" vertical="center" wrapText="1" indent="1"/>
    </xf>
    <xf numFmtId="0" fontId="4" fillId="0" borderId="8" xfId="16" applyFont="1" applyBorder="1" applyAlignment="1">
      <alignment horizontal="right" vertical="center" wrapText="1" indent="1"/>
    </xf>
    <xf numFmtId="0" fontId="4" fillId="0" borderId="8" xfId="16" applyFont="1" applyBorder="1" applyAlignment="1">
      <alignment horizontal="right" vertical="center" wrapText="1" indent="2"/>
    </xf>
    <xf numFmtId="0" fontId="4" fillId="0" borderId="0" xfId="16" applyFont="1" applyBorder="1" applyAlignment="1">
      <alignment horizontal="right" vertical="center" wrapText="1" indent="2"/>
    </xf>
    <xf numFmtId="0" fontId="11" fillId="0" borderId="0" xfId="0" applyFont="1" applyBorder="1" applyAlignment="1">
      <alignment horizontal="right" vertical="center" wrapText="1" indent="1"/>
    </xf>
    <xf numFmtId="1" fontId="4" fillId="0" borderId="0" xfId="0" applyNumberFormat="1" applyFont="1" applyBorder="1" applyAlignment="1">
      <alignment horizontal="right" vertical="center" indent="1"/>
    </xf>
    <xf numFmtId="0" fontId="4" fillId="0" borderId="0" xfId="0" applyFont="1" applyFill="1" applyBorder="1" applyAlignment="1">
      <alignment horizontal="right" vertical="center" indent="2"/>
    </xf>
    <xf numFmtId="0" fontId="4" fillId="0" borderId="9" xfId="0" applyFont="1" applyFill="1" applyBorder="1" applyAlignment="1">
      <alignment horizontal="right" vertical="center" indent="2"/>
    </xf>
    <xf numFmtId="0" fontId="4" fillId="0" borderId="0" xfId="0" applyFont="1" applyBorder="1" applyAlignment="1">
      <alignment horizontal="right" vertical="center" indent="2"/>
    </xf>
    <xf numFmtId="0" fontId="4" fillId="0" borderId="9" xfId="0" applyFont="1" applyBorder="1" applyAlignment="1">
      <alignment horizontal="right" vertical="center" indent="2"/>
    </xf>
    <xf numFmtId="0" fontId="4" fillId="0" borderId="0" xfId="0" applyFont="1" applyFill="1" applyBorder="1" applyAlignment="1">
      <alignment horizontal="right" vertical="center" indent="1"/>
    </xf>
    <xf numFmtId="0" fontId="4" fillId="0" borderId="8" xfId="0" applyFont="1" applyFill="1" applyBorder="1" applyAlignment="1">
      <alignment horizontal="right" vertical="center" indent="1"/>
    </xf>
    <xf numFmtId="0" fontId="4" fillId="0" borderId="10" xfId="0" applyFont="1" applyBorder="1" applyAlignment="1">
      <alignment horizontal="right" vertical="center" indent="1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indent="1"/>
    </xf>
    <xf numFmtId="0" fontId="4" fillId="0" borderId="8" xfId="0" applyFont="1" applyBorder="1" applyAlignment="1">
      <alignment horizontal="left" vertical="center" wrapText="1" indent="1"/>
    </xf>
    <xf numFmtId="0" fontId="4" fillId="2" borderId="9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wrapText="1" indent="1"/>
    </xf>
    <xf numFmtId="0" fontId="4" fillId="2" borderId="8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center" vertical="center"/>
    </xf>
    <xf numFmtId="0" fontId="11" fillId="0" borderId="0" xfId="16" applyFont="1" applyFill="1" applyBorder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4" fillId="0" borderId="9" xfId="0" applyFont="1" applyFill="1" applyBorder="1" applyAlignment="1">
      <alignment horizontal="right" vertical="center" indent="1"/>
    </xf>
    <xf numFmtId="0" fontId="4" fillId="0" borderId="8" xfId="0" applyFont="1" applyBorder="1" applyAlignment="1">
      <alignment horizontal="right" vertical="center" indent="4"/>
    </xf>
    <xf numFmtId="0" fontId="4" fillId="0" borderId="0" xfId="0" applyFont="1" applyBorder="1" applyAlignment="1">
      <alignment horizontal="right" vertical="center" indent="4"/>
    </xf>
    <xf numFmtId="0" fontId="4" fillId="0" borderId="9" xfId="0" applyFont="1" applyBorder="1" applyAlignment="1">
      <alignment horizontal="right" vertical="center" indent="4"/>
    </xf>
    <xf numFmtId="165" fontId="0" fillId="0" borderId="0" xfId="0" applyNumberFormat="1" applyBorder="1"/>
    <xf numFmtId="0" fontId="11" fillId="0" borderId="0" xfId="0" applyFont="1" applyBorder="1" applyAlignment="1">
      <alignment horizontal="left" vertical="center" wrapText="1" indent="1"/>
    </xf>
    <xf numFmtId="0" fontId="11" fillId="0" borderId="0" xfId="0" applyFont="1" applyBorder="1" applyAlignment="1">
      <alignment horizontal="right" vertical="center" wrapText="1" indent="1"/>
    </xf>
    <xf numFmtId="0" fontId="4" fillId="0" borderId="0" xfId="0" applyFont="1" applyBorder="1" applyAlignment="1">
      <alignment horizontal="right" vertical="center" indent="1"/>
    </xf>
    <xf numFmtId="0" fontId="5" fillId="0" borderId="0" xfId="0" applyFont="1" applyBorder="1" applyAlignment="1">
      <alignment horizontal="center" vertical="center"/>
    </xf>
    <xf numFmtId="0" fontId="34" fillId="0" borderId="15" xfId="7" applyFont="1" applyBorder="1" applyAlignment="1">
      <alignment horizontal="right" vertical="center" wrapText="1" indent="1"/>
    </xf>
    <xf numFmtId="0" fontId="34" fillId="0" borderId="13" xfId="7" applyNumberFormat="1" applyFont="1" applyBorder="1" applyAlignment="1">
      <alignment horizontal="left" vertical="center" wrapText="1" indent="1"/>
    </xf>
    <xf numFmtId="0" fontId="34" fillId="0" borderId="15" xfId="7" applyNumberFormat="1" applyFont="1" applyBorder="1" applyAlignment="1">
      <alignment horizontal="right" vertical="center" wrapText="1" indent="1"/>
    </xf>
    <xf numFmtId="0" fontId="34" fillId="0" borderId="15" xfId="0" applyFont="1" applyFill="1" applyBorder="1" applyAlignment="1">
      <alignment horizontal="right" vertical="center" indent="1"/>
    </xf>
    <xf numFmtId="0" fontId="31" fillId="0" borderId="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top" wrapText="1"/>
    </xf>
    <xf numFmtId="0" fontId="31" fillId="0" borderId="3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4" fillId="0" borderId="0" xfId="0" applyFont="1" applyBorder="1" applyAlignment="1">
      <alignment horizontal="right" vertical="center" indent="1"/>
    </xf>
    <xf numFmtId="1" fontId="4" fillId="0" borderId="9" xfId="0" applyNumberFormat="1" applyFont="1" applyBorder="1" applyAlignment="1">
      <alignment horizontal="right" vertical="center" indent="1"/>
    </xf>
    <xf numFmtId="1" fontId="4" fillId="0" borderId="11" xfId="0" applyNumberFormat="1" applyFont="1" applyBorder="1" applyAlignment="1">
      <alignment horizontal="right" vertical="center" indent="1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right" vertical="center" indent="1"/>
    </xf>
    <xf numFmtId="2" fontId="4" fillId="0" borderId="0" xfId="3" applyNumberFormat="1" applyFont="1" applyBorder="1" applyAlignment="1">
      <alignment horizontal="right" vertical="center" indent="1"/>
    </xf>
    <xf numFmtId="0" fontId="4" fillId="0" borderId="8" xfId="0" applyFont="1" applyBorder="1" applyAlignment="1">
      <alignment horizontal="right" vertical="center" indent="2" readingOrder="1"/>
    </xf>
    <xf numFmtId="0" fontId="4" fillId="0" borderId="0" xfId="0" applyFont="1" applyBorder="1" applyAlignment="1">
      <alignment horizontal="right" vertical="center" indent="2" readingOrder="1"/>
    </xf>
    <xf numFmtId="0" fontId="4" fillId="0" borderId="9" xfId="0" applyFont="1" applyBorder="1" applyAlignment="1">
      <alignment horizontal="right" vertical="center" indent="2" readingOrder="1"/>
    </xf>
    <xf numFmtId="0" fontId="4" fillId="0" borderId="0" xfId="0" applyNumberFormat="1" applyFont="1" applyBorder="1" applyAlignment="1">
      <alignment horizontal="right" vertical="center" indent="2"/>
    </xf>
    <xf numFmtId="0" fontId="4" fillId="0" borderId="8" xfId="0" applyNumberFormat="1" applyFont="1" applyBorder="1" applyAlignment="1">
      <alignment horizontal="right" vertical="center" indent="2"/>
    </xf>
    <xf numFmtId="0" fontId="4" fillId="0" borderId="9" xfId="0" applyNumberFormat="1" applyFont="1" applyBorder="1" applyAlignment="1">
      <alignment horizontal="right" vertical="center" indent="2"/>
    </xf>
    <xf numFmtId="0" fontId="4" fillId="0" borderId="10" xfId="0" applyNumberFormat="1" applyFont="1" applyBorder="1" applyAlignment="1">
      <alignment horizontal="right" vertical="center" indent="2"/>
    </xf>
    <xf numFmtId="0" fontId="4" fillId="0" borderId="1" xfId="0" applyNumberFormat="1" applyFont="1" applyBorder="1" applyAlignment="1">
      <alignment horizontal="right" vertical="center" indent="2"/>
    </xf>
    <xf numFmtId="0" fontId="4" fillId="0" borderId="11" xfId="0" applyNumberFormat="1" applyFont="1" applyBorder="1" applyAlignment="1">
      <alignment horizontal="right" vertical="center" indent="2"/>
    </xf>
    <xf numFmtId="0" fontId="4" fillId="0" borderId="8" xfId="0" applyFont="1" applyFill="1" applyBorder="1" applyAlignment="1">
      <alignment horizontal="right" vertical="center" indent="2"/>
    </xf>
    <xf numFmtId="0" fontId="11" fillId="0" borderId="9" xfId="16" applyFont="1" applyBorder="1" applyAlignment="1">
      <alignment horizontal="right" vertical="center" indent="3"/>
    </xf>
    <xf numFmtId="0" fontId="4" fillId="0" borderId="8" xfId="16" applyFont="1" applyBorder="1" applyAlignment="1">
      <alignment horizontal="right" vertical="center" indent="3"/>
    </xf>
    <xf numFmtId="0" fontId="4" fillId="0" borderId="9" xfId="16" applyFont="1" applyBorder="1" applyAlignment="1">
      <alignment horizontal="right" vertical="center" indent="3"/>
    </xf>
    <xf numFmtId="0" fontId="4" fillId="0" borderId="9" xfId="16" applyFont="1" applyBorder="1" applyAlignment="1">
      <alignment horizontal="right" vertical="center" indent="2"/>
    </xf>
    <xf numFmtId="0" fontId="4" fillId="0" borderId="4" xfId="16" applyFont="1" applyBorder="1" applyAlignment="1">
      <alignment horizontal="right" vertical="center" indent="3"/>
    </xf>
    <xf numFmtId="0" fontId="34" fillId="0" borderId="2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4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6" fillId="0" borderId="4" xfId="14" applyFont="1" applyBorder="1" applyAlignment="1">
      <alignment horizontal="right" vertical="center" indent="1"/>
    </xf>
    <xf numFmtId="0" fontId="6" fillId="0" borderId="3" xfId="14" applyFont="1" applyBorder="1" applyAlignment="1">
      <alignment horizontal="right" vertical="center" indent="1"/>
    </xf>
    <xf numFmtId="0" fontId="36" fillId="0" borderId="4" xfId="0" applyFont="1" applyBorder="1" applyAlignment="1">
      <alignment horizontal="center" vertical="center"/>
    </xf>
    <xf numFmtId="0" fontId="37" fillId="0" borderId="4" xfId="2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/>
    </xf>
    <xf numFmtId="0" fontId="37" fillId="0" borderId="0" xfId="2" applyFont="1" applyBorder="1" applyAlignment="1">
      <alignment horizontal="center" vertical="center"/>
    </xf>
    <xf numFmtId="0" fontId="38" fillId="0" borderId="0" xfId="0" applyFont="1"/>
    <xf numFmtId="0" fontId="38" fillId="0" borderId="0" xfId="0" applyFont="1" applyFill="1" applyBorder="1"/>
    <xf numFmtId="0" fontId="37" fillId="0" borderId="2" xfId="14" applyFont="1" applyBorder="1" applyAlignment="1">
      <alignment horizontal="right" vertical="center" wrapText="1" indent="1"/>
    </xf>
    <xf numFmtId="0" fontId="37" fillId="0" borderId="4" xfId="14" applyFont="1" applyBorder="1" applyAlignment="1">
      <alignment horizontal="right" vertical="center" wrapText="1" indent="1"/>
    </xf>
    <xf numFmtId="0" fontId="37" fillId="0" borderId="4" xfId="0" applyFont="1" applyBorder="1" applyAlignment="1">
      <alignment horizontal="right" vertical="center" indent="1"/>
    </xf>
    <xf numFmtId="0" fontId="37" fillId="0" borderId="4" xfId="0" applyFont="1" applyBorder="1" applyAlignment="1">
      <alignment horizontal="right" vertical="center" wrapText="1" indent="1"/>
    </xf>
    <xf numFmtId="0" fontId="37" fillId="0" borderId="4" xfId="0" applyFont="1" applyFill="1" applyBorder="1" applyAlignment="1">
      <alignment horizontal="right" vertical="center" indent="1"/>
    </xf>
    <xf numFmtId="0" fontId="37" fillId="0" borderId="4" xfId="14" applyFont="1" applyBorder="1" applyAlignment="1">
      <alignment horizontal="right" vertical="center" indent="1"/>
    </xf>
    <xf numFmtId="0" fontId="4" fillId="3" borderId="8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31" fillId="0" borderId="13" xfId="0" applyNumberFormat="1" applyFont="1" applyBorder="1" applyAlignment="1">
      <alignment horizontal="right" vertical="center" indent="1"/>
    </xf>
    <xf numFmtId="0" fontId="31" fillId="0" borderId="13" xfId="17" applyNumberFormat="1" applyFont="1" applyBorder="1" applyAlignment="1">
      <alignment horizontal="right" vertical="center" indent="1"/>
    </xf>
    <xf numFmtId="0" fontId="31" fillId="0" borderId="14" xfId="17" applyNumberFormat="1" applyFont="1" applyBorder="1" applyAlignment="1">
      <alignment horizontal="right" vertical="center" indent="1"/>
    </xf>
    <xf numFmtId="1" fontId="39" fillId="0" borderId="8" xfId="0" applyNumberFormat="1" applyFont="1" applyBorder="1" applyAlignment="1">
      <alignment horizontal="right" vertical="center" indent="1"/>
    </xf>
    <xf numFmtId="0" fontId="11" fillId="0" borderId="9" xfId="8" applyFont="1" applyBorder="1" applyAlignment="1">
      <alignment horizontal="right" vertical="center" wrapText="1" indent="1"/>
    </xf>
    <xf numFmtId="0" fontId="11" fillId="0" borderId="0" xfId="8" applyFont="1" applyBorder="1" applyAlignment="1">
      <alignment horizontal="right" vertical="center" wrapText="1" indent="1"/>
    </xf>
    <xf numFmtId="0" fontId="11" fillId="0" borderId="8" xfId="8" applyFont="1" applyBorder="1" applyAlignment="1">
      <alignment horizontal="right" vertical="center" wrapText="1" inden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2" fontId="3" fillId="0" borderId="0" xfId="3" applyNumberFormat="1" applyFont="1" applyAlignment="1">
      <alignment horizontal="center" vertical="center"/>
    </xf>
    <xf numFmtId="1" fontId="26" fillId="0" borderId="0" xfId="0" applyNumberFormat="1" applyFont="1"/>
    <xf numFmtId="2" fontId="26" fillId="0" borderId="0" xfId="0" applyNumberFormat="1" applyFont="1"/>
    <xf numFmtId="0" fontId="11" fillId="0" borderId="4" xfId="8" applyFont="1" applyBorder="1" applyAlignment="1">
      <alignment horizontal="left" vertical="center" indent="1"/>
    </xf>
    <xf numFmtId="0" fontId="34" fillId="0" borderId="0" xfId="7" applyNumberFormat="1" applyFont="1" applyFill="1" applyBorder="1" applyAlignment="1">
      <alignment horizontal="left" vertical="center" wrapText="1" indent="1"/>
    </xf>
    <xf numFmtId="0" fontId="34" fillId="4" borderId="13" xfId="7" applyNumberFormat="1" applyFont="1" applyFill="1" applyBorder="1" applyAlignment="1">
      <alignment horizontal="left" vertical="center" wrapText="1" indent="1"/>
    </xf>
    <xf numFmtId="0" fontId="31" fillId="4" borderId="13" xfId="0" applyNumberFormat="1" applyFont="1" applyFill="1" applyBorder="1" applyAlignment="1">
      <alignment horizontal="right" vertical="center" indent="1"/>
    </xf>
    <xf numFmtId="0" fontId="31" fillId="4" borderId="13" xfId="17" applyNumberFormat="1" applyFont="1" applyFill="1" applyBorder="1" applyAlignment="1">
      <alignment horizontal="right" vertical="center" indent="1"/>
    </xf>
    <xf numFmtId="0" fontId="31" fillId="4" borderId="14" xfId="17" applyNumberFormat="1" applyFont="1" applyFill="1" applyBorder="1" applyAlignment="1">
      <alignment horizontal="right" vertical="center" indent="1"/>
    </xf>
    <xf numFmtId="0" fontId="34" fillId="4" borderId="15" xfId="7" applyFont="1" applyFill="1" applyBorder="1" applyAlignment="1">
      <alignment horizontal="right" vertical="center" wrapText="1" indent="1"/>
    </xf>
    <xf numFmtId="0" fontId="34" fillId="4" borderId="15" xfId="7" applyNumberFormat="1" applyFont="1" applyFill="1" applyBorder="1" applyAlignment="1">
      <alignment horizontal="right" vertical="center" wrapText="1" indent="1"/>
    </xf>
    <xf numFmtId="0" fontId="4" fillId="4" borderId="5" xfId="0" applyFont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right" vertical="center" indent="1"/>
    </xf>
    <xf numFmtId="0" fontId="4" fillId="4" borderId="6" xfId="0" applyFont="1" applyFill="1" applyBorder="1" applyAlignment="1">
      <alignment horizontal="right" vertical="center" indent="1"/>
    </xf>
    <xf numFmtId="0" fontId="4" fillId="4" borderId="7" xfId="0" applyFont="1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right" vertical="center" indent="1"/>
    </xf>
    <xf numFmtId="0" fontId="4" fillId="4" borderId="10" xfId="2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right" vertical="center" indent="1"/>
    </xf>
    <xf numFmtId="0" fontId="4" fillId="4" borderId="1" xfId="0" applyFont="1" applyFill="1" applyBorder="1" applyAlignment="1">
      <alignment horizontal="right" vertical="center" indent="1"/>
    </xf>
    <xf numFmtId="0" fontId="4" fillId="4" borderId="11" xfId="0" applyFont="1" applyFill="1" applyBorder="1" applyAlignment="1">
      <alignment horizontal="right" vertical="center" indent="1"/>
    </xf>
    <xf numFmtId="0" fontId="11" fillId="4" borderId="8" xfId="16" applyFont="1" applyFill="1" applyBorder="1" applyAlignment="1">
      <alignment horizontal="right" vertical="center" wrapText="1" indent="2"/>
    </xf>
    <xf numFmtId="0" fontId="11" fillId="4" borderId="0" xfId="16" applyFont="1" applyFill="1" applyBorder="1" applyAlignment="1">
      <alignment horizontal="right" vertical="center" wrapText="1" indent="2"/>
    </xf>
    <xf numFmtId="0" fontId="4" fillId="4" borderId="8" xfId="16" applyNumberFormat="1" applyFont="1" applyFill="1" applyBorder="1" applyAlignment="1">
      <alignment horizontal="left" vertical="center" wrapText="1" indent="1"/>
    </xf>
    <xf numFmtId="0" fontId="4" fillId="4" borderId="8" xfId="16" applyFont="1" applyFill="1" applyBorder="1" applyAlignment="1">
      <alignment horizontal="right" vertical="center" wrapText="1" indent="2"/>
    </xf>
    <xf numFmtId="0" fontId="4" fillId="4" borderId="0" xfId="16" applyFont="1" applyFill="1" applyBorder="1" applyAlignment="1">
      <alignment horizontal="right" vertical="center" wrapText="1" indent="2"/>
    </xf>
    <xf numFmtId="0" fontId="4" fillId="4" borderId="8" xfId="16" applyFont="1" applyFill="1" applyBorder="1" applyAlignment="1">
      <alignment horizontal="right" vertical="center" wrapText="1" indent="1"/>
    </xf>
    <xf numFmtId="0" fontId="4" fillId="4" borderId="0" xfId="16" applyFont="1" applyFill="1" applyBorder="1" applyAlignment="1">
      <alignment horizontal="right" vertical="center" wrapText="1" indent="1"/>
    </xf>
    <xf numFmtId="0" fontId="11" fillId="4" borderId="9" xfId="16" applyFont="1" applyFill="1" applyBorder="1" applyAlignment="1">
      <alignment horizontal="right" vertical="center" wrapText="1" indent="1"/>
    </xf>
    <xf numFmtId="0" fontId="11" fillId="4" borderId="9" xfId="16" applyFont="1" applyFill="1" applyBorder="1" applyAlignment="1">
      <alignment horizontal="right" vertical="center" indent="1"/>
    </xf>
    <xf numFmtId="0" fontId="4" fillId="4" borderId="8" xfId="16" applyNumberFormat="1" applyFont="1" applyFill="1" applyBorder="1" applyAlignment="1">
      <alignment horizontal="left" vertical="center" indent="1"/>
    </xf>
    <xf numFmtId="0" fontId="11" fillId="4" borderId="11" xfId="16" applyFont="1" applyFill="1" applyBorder="1" applyAlignment="1">
      <alignment horizontal="right" vertical="center" indent="1"/>
    </xf>
    <xf numFmtId="0" fontId="4" fillId="4" borderId="9" xfId="16" applyFont="1" applyFill="1" applyBorder="1" applyAlignment="1">
      <alignment horizontal="right" vertical="center" indent="3"/>
    </xf>
    <xf numFmtId="0" fontId="4" fillId="4" borderId="4" xfId="16" applyNumberFormat="1" applyFont="1" applyFill="1" applyBorder="1" applyAlignment="1">
      <alignment horizontal="left" vertical="center" wrapText="1" indent="1"/>
    </xf>
    <xf numFmtId="0" fontId="4" fillId="4" borderId="8" xfId="16" applyFont="1" applyFill="1" applyBorder="1" applyAlignment="1">
      <alignment horizontal="right" vertical="center" indent="3"/>
    </xf>
    <xf numFmtId="0" fontId="4" fillId="4" borderId="4" xfId="16" applyFont="1" applyFill="1" applyBorder="1" applyAlignment="1">
      <alignment horizontal="right" vertical="center" indent="3"/>
    </xf>
    <xf numFmtId="0" fontId="11" fillId="4" borderId="9" xfId="16" applyFont="1" applyFill="1" applyBorder="1" applyAlignment="1">
      <alignment horizontal="right" vertical="center" indent="3"/>
    </xf>
    <xf numFmtId="0" fontId="4" fillId="4" borderId="9" xfId="16" applyFont="1" applyFill="1" applyBorder="1" applyAlignment="1">
      <alignment horizontal="right" vertical="center" indent="2"/>
    </xf>
    <xf numFmtId="0" fontId="4" fillId="4" borderId="4" xfId="16" applyNumberFormat="1" applyFont="1" applyFill="1" applyBorder="1" applyAlignment="1">
      <alignment horizontal="left" vertical="center" indent="1"/>
    </xf>
    <xf numFmtId="0" fontId="4" fillId="4" borderId="3" xfId="16" applyNumberFormat="1" applyFont="1" applyFill="1" applyBorder="1" applyAlignment="1">
      <alignment horizontal="left" vertical="center" wrapText="1" indent="1"/>
    </xf>
    <xf numFmtId="0" fontId="4" fillId="4" borderId="10" xfId="16" applyFont="1" applyFill="1" applyBorder="1" applyAlignment="1">
      <alignment horizontal="right" vertical="center" indent="3"/>
    </xf>
    <xf numFmtId="0" fontId="4" fillId="4" borderId="3" xfId="16" applyFont="1" applyFill="1" applyBorder="1" applyAlignment="1">
      <alignment horizontal="right" vertical="center" indent="3"/>
    </xf>
    <xf numFmtId="0" fontId="4" fillId="4" borderId="11" xfId="16" applyFont="1" applyFill="1" applyBorder="1" applyAlignment="1">
      <alignment horizontal="right" vertical="center" indent="3"/>
    </xf>
    <xf numFmtId="0" fontId="11" fillId="4" borderId="3" xfId="16" applyFont="1" applyFill="1" applyBorder="1" applyAlignment="1">
      <alignment horizontal="right" vertical="center" indent="3"/>
    </xf>
    <xf numFmtId="0" fontId="4" fillId="4" borderId="11" xfId="16" applyFont="1" applyFill="1" applyBorder="1" applyAlignment="1">
      <alignment horizontal="right" vertical="center" indent="2"/>
    </xf>
    <xf numFmtId="0" fontId="11" fillId="4" borderId="8" xfId="0" applyFont="1" applyFill="1" applyBorder="1" applyAlignment="1">
      <alignment horizontal="left" vertical="center" indent="1"/>
    </xf>
    <xf numFmtId="0" fontId="4" fillId="4" borderId="8" xfId="0" applyFont="1" applyFill="1" applyBorder="1" applyAlignment="1">
      <alignment horizontal="right" vertical="center" indent="4"/>
    </xf>
    <xf numFmtId="0" fontId="4" fillId="4" borderId="0" xfId="0" applyFont="1" applyFill="1" applyBorder="1" applyAlignment="1">
      <alignment horizontal="right" vertical="center" indent="4"/>
    </xf>
    <xf numFmtId="0" fontId="4" fillId="4" borderId="9" xfId="0" applyFont="1" applyFill="1" applyBorder="1" applyAlignment="1">
      <alignment horizontal="right" vertical="center" indent="4"/>
    </xf>
    <xf numFmtId="0" fontId="4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right" vertical="center" indent="1"/>
    </xf>
    <xf numFmtId="0" fontId="6" fillId="4" borderId="8" xfId="7" applyNumberFormat="1" applyFont="1" applyFill="1" applyBorder="1" applyAlignment="1">
      <alignment horizontal="left" vertical="center" wrapText="1" indent="1"/>
    </xf>
    <xf numFmtId="0" fontId="6" fillId="4" borderId="9" xfId="7" applyFont="1" applyFill="1" applyBorder="1" applyAlignment="1">
      <alignment horizontal="right" vertical="center" wrapText="1" indent="1"/>
    </xf>
    <xf numFmtId="0" fontId="6" fillId="4" borderId="10" xfId="7" applyNumberFormat="1" applyFont="1" applyFill="1" applyBorder="1" applyAlignment="1">
      <alignment horizontal="left" vertical="center" wrapText="1" indent="1"/>
    </xf>
    <xf numFmtId="0" fontId="4" fillId="4" borderId="10" xfId="0" applyFont="1" applyFill="1" applyBorder="1" applyAlignment="1">
      <alignment horizontal="right" vertical="center" indent="4"/>
    </xf>
    <xf numFmtId="0" fontId="4" fillId="4" borderId="1" xfId="0" applyFont="1" applyFill="1" applyBorder="1" applyAlignment="1">
      <alignment horizontal="right" vertical="center" indent="4"/>
    </xf>
    <xf numFmtId="0" fontId="4" fillId="4" borderId="11" xfId="0" applyFont="1" applyFill="1" applyBorder="1" applyAlignment="1">
      <alignment horizontal="right" vertical="center" indent="4"/>
    </xf>
    <xf numFmtId="0" fontId="4" fillId="4" borderId="11" xfId="0" applyFont="1" applyFill="1" applyBorder="1" applyAlignment="1">
      <alignment horizontal="center" vertical="center"/>
    </xf>
    <xf numFmtId="0" fontId="6" fillId="4" borderId="11" xfId="7" applyFont="1" applyFill="1" applyBorder="1" applyAlignment="1">
      <alignment horizontal="right" vertical="center" wrapText="1" indent="1"/>
    </xf>
    <xf numFmtId="0" fontId="11" fillId="4" borderId="4" xfId="8" applyFont="1" applyFill="1" applyBorder="1" applyAlignment="1">
      <alignment horizontal="right" vertical="center" indent="1"/>
    </xf>
    <xf numFmtId="0" fontId="4" fillId="4" borderId="9" xfId="8" applyFont="1" applyFill="1" applyBorder="1" applyAlignment="1">
      <alignment horizontal="right" vertical="center" wrapText="1" indent="1"/>
    </xf>
    <xf numFmtId="0" fontId="4" fillId="4" borderId="9" xfId="8" applyFont="1" applyFill="1" applyBorder="1" applyAlignment="1">
      <alignment horizontal="right" vertical="center" indent="1"/>
    </xf>
    <xf numFmtId="0" fontId="4" fillId="4" borderId="4" xfId="8" applyFont="1" applyFill="1" applyBorder="1" applyAlignment="1">
      <alignment horizontal="left" vertical="center" indent="1"/>
    </xf>
    <xf numFmtId="0" fontId="4" fillId="4" borderId="4" xfId="8" applyFont="1" applyFill="1" applyBorder="1" applyAlignment="1">
      <alignment horizontal="left" vertical="center" wrapText="1" indent="1"/>
    </xf>
    <xf numFmtId="0" fontId="4" fillId="4" borderId="3" xfId="8" applyFont="1" applyFill="1" applyBorder="1" applyAlignment="1">
      <alignment horizontal="left" vertical="center" indent="1"/>
    </xf>
    <xf numFmtId="0" fontId="11" fillId="4" borderId="10" xfId="8" applyFont="1" applyFill="1" applyBorder="1" applyAlignment="1">
      <alignment horizontal="right" vertical="center" wrapText="1" indent="1"/>
    </xf>
    <xf numFmtId="0" fontId="11" fillId="4" borderId="1" xfId="8" applyFont="1" applyFill="1" applyBorder="1" applyAlignment="1">
      <alignment horizontal="right" vertical="center" wrapText="1" indent="1"/>
    </xf>
    <xf numFmtId="0" fontId="11" fillId="4" borderId="11" xfId="8" applyFont="1" applyFill="1" applyBorder="1" applyAlignment="1">
      <alignment horizontal="right" vertical="center" wrapText="1" indent="1"/>
    </xf>
    <xf numFmtId="0" fontId="4" fillId="4" borderId="11" xfId="8" applyFont="1" applyFill="1" applyBorder="1" applyAlignment="1">
      <alignment horizontal="right" vertical="center" indent="1"/>
    </xf>
    <xf numFmtId="2" fontId="4" fillId="4" borderId="6" xfId="3" applyNumberFormat="1" applyFont="1" applyFill="1" applyBorder="1" applyAlignment="1">
      <alignment horizontal="right" vertical="center" indent="1"/>
    </xf>
    <xf numFmtId="2" fontId="4" fillId="4" borderId="6" xfId="3" applyNumberFormat="1" applyFont="1" applyFill="1" applyBorder="1" applyAlignment="1">
      <alignment horizontal="right" vertical="center" indent="2"/>
    </xf>
    <xf numFmtId="1" fontId="4" fillId="4" borderId="0" xfId="0" applyNumberFormat="1" applyFont="1" applyFill="1" applyBorder="1" applyAlignment="1">
      <alignment horizontal="right" vertical="center" indent="1"/>
    </xf>
    <xf numFmtId="1" fontId="4" fillId="4" borderId="0" xfId="3" applyNumberFormat="1" applyFont="1" applyFill="1" applyBorder="1" applyAlignment="1">
      <alignment horizontal="right" vertical="center" indent="1"/>
    </xf>
    <xf numFmtId="1" fontId="4" fillId="4" borderId="0" xfId="0" applyNumberFormat="1" applyFont="1" applyFill="1" applyBorder="1" applyAlignment="1">
      <alignment horizontal="right" vertical="center" indent="2"/>
    </xf>
    <xf numFmtId="2" fontId="4" fillId="4" borderId="0" xfId="0" applyNumberFormat="1" applyFont="1" applyFill="1" applyBorder="1" applyAlignment="1">
      <alignment horizontal="right" vertical="center" indent="1"/>
    </xf>
    <xf numFmtId="2" fontId="4" fillId="4" borderId="0" xfId="3" applyNumberFormat="1" applyFont="1" applyFill="1" applyBorder="1" applyAlignment="1">
      <alignment horizontal="right" vertical="center" indent="1"/>
    </xf>
    <xf numFmtId="2" fontId="4" fillId="4" borderId="0" xfId="0" applyNumberFormat="1" applyFont="1" applyFill="1" applyBorder="1" applyAlignment="1">
      <alignment horizontal="right" vertical="center" indent="2"/>
    </xf>
    <xf numFmtId="1" fontId="4" fillId="4" borderId="1" xfId="0" applyNumberFormat="1" applyFont="1" applyFill="1" applyBorder="1" applyAlignment="1">
      <alignment horizontal="right" vertical="center" indent="1"/>
    </xf>
    <xf numFmtId="1" fontId="4" fillId="4" borderId="1" xfId="3" applyNumberFormat="1" applyFont="1" applyFill="1" applyBorder="1" applyAlignment="1">
      <alignment horizontal="right" vertical="center" indent="1"/>
    </xf>
    <xf numFmtId="1" fontId="4" fillId="4" borderId="1" xfId="0" applyNumberFormat="1" applyFont="1" applyFill="1" applyBorder="1" applyAlignment="1">
      <alignment horizontal="right" vertical="center" indent="2"/>
    </xf>
    <xf numFmtId="0" fontId="4" fillId="4" borderId="2" xfId="0" applyFont="1" applyFill="1" applyBorder="1" applyAlignment="1">
      <alignment horizontal="right" vertical="center" indent="1"/>
    </xf>
    <xf numFmtId="0" fontId="4" fillId="4" borderId="4" xfId="0" applyFont="1" applyFill="1" applyBorder="1" applyAlignment="1">
      <alignment horizontal="right" vertical="center" indent="1"/>
    </xf>
    <xf numFmtId="0" fontId="4" fillId="4" borderId="10" xfId="0" applyFont="1" applyFill="1" applyBorder="1" applyAlignment="1">
      <alignment horizontal="left" vertical="center" indent="1"/>
    </xf>
    <xf numFmtId="0" fontId="4" fillId="4" borderId="3" xfId="0" applyFont="1" applyFill="1" applyBorder="1" applyAlignment="1">
      <alignment horizontal="right" vertical="center" indent="1"/>
    </xf>
    <xf numFmtId="0" fontId="11" fillId="4" borderId="5" xfId="0" applyFont="1" applyFill="1" applyBorder="1" applyAlignment="1">
      <alignment horizontal="right" vertical="center" indent="2"/>
    </xf>
    <xf numFmtId="0" fontId="11" fillId="4" borderId="6" xfId="0" applyFont="1" applyFill="1" applyBorder="1" applyAlignment="1">
      <alignment horizontal="right" vertical="center" indent="2"/>
    </xf>
    <xf numFmtId="0" fontId="11" fillId="4" borderId="7" xfId="0" applyFont="1" applyFill="1" applyBorder="1" applyAlignment="1">
      <alignment horizontal="right" vertical="center" indent="2"/>
    </xf>
    <xf numFmtId="0" fontId="11" fillId="4" borderId="8" xfId="0" applyFont="1" applyFill="1" applyBorder="1" applyAlignment="1">
      <alignment horizontal="right" vertical="center" indent="2"/>
    </xf>
    <xf numFmtId="0" fontId="11" fillId="4" borderId="0" xfId="0" applyFont="1" applyFill="1" applyBorder="1" applyAlignment="1">
      <alignment horizontal="right" vertical="center" indent="2"/>
    </xf>
    <xf numFmtId="0" fontId="11" fillId="4" borderId="9" xfId="0" applyFont="1" applyFill="1" applyBorder="1" applyAlignment="1">
      <alignment horizontal="right" vertical="center" indent="2"/>
    </xf>
    <xf numFmtId="0" fontId="4" fillId="4" borderId="8" xfId="0" applyFont="1" applyFill="1" applyBorder="1" applyAlignment="1">
      <alignment horizontal="right" vertical="center" indent="2"/>
    </xf>
    <xf numFmtId="0" fontId="4" fillId="4" borderId="0" xfId="0" applyFont="1" applyFill="1" applyBorder="1" applyAlignment="1">
      <alignment horizontal="right" vertical="center" indent="2"/>
    </xf>
    <xf numFmtId="0" fontId="4" fillId="4" borderId="9" xfId="0" applyFont="1" applyFill="1" applyBorder="1" applyAlignment="1">
      <alignment horizontal="right" vertical="center" indent="2"/>
    </xf>
    <xf numFmtId="0" fontId="11" fillId="4" borderId="10" xfId="0" applyFont="1" applyFill="1" applyBorder="1" applyAlignment="1">
      <alignment horizontal="right" vertical="center" indent="2"/>
    </xf>
    <xf numFmtId="0" fontId="11" fillId="4" borderId="1" xfId="0" applyFont="1" applyFill="1" applyBorder="1" applyAlignment="1">
      <alignment horizontal="right" vertical="center" indent="2"/>
    </xf>
    <xf numFmtId="0" fontId="11" fillId="4" borderId="11" xfId="0" applyFont="1" applyFill="1" applyBorder="1" applyAlignment="1">
      <alignment horizontal="right" vertical="center" indent="2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/>
    </xf>
    <xf numFmtId="0" fontId="4" fillId="4" borderId="6" xfId="0" applyNumberFormat="1" applyFont="1" applyFill="1" applyBorder="1" applyAlignment="1">
      <alignment horizontal="center" vertical="center"/>
    </xf>
    <xf numFmtId="0" fontId="4" fillId="4" borderId="8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0" fontId="4" fillId="4" borderId="9" xfId="0" applyNumberFormat="1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2" fontId="11" fillId="4" borderId="5" xfId="0" applyNumberFormat="1" applyFont="1" applyFill="1" applyBorder="1" applyAlignment="1">
      <alignment horizontal="right" vertical="center" wrapText="1" indent="1"/>
    </xf>
    <xf numFmtId="12" fontId="11" fillId="4" borderId="6" xfId="0" applyNumberFormat="1" applyFont="1" applyFill="1" applyBorder="1" applyAlignment="1">
      <alignment horizontal="right" vertical="center" wrapText="1" indent="1"/>
    </xf>
    <xf numFmtId="0" fontId="11" fillId="4" borderId="4" xfId="0" applyFont="1" applyFill="1" applyBorder="1" applyAlignment="1">
      <alignment horizontal="right" vertical="center" wrapText="1" indent="2"/>
    </xf>
    <xf numFmtId="0" fontId="11" fillId="4" borderId="4" xfId="0" applyFont="1" applyFill="1" applyBorder="1" applyAlignment="1">
      <alignment horizontal="right" vertical="center" indent="2"/>
    </xf>
    <xf numFmtId="0" fontId="4" fillId="4" borderId="10" xfId="0" applyFont="1" applyFill="1" applyBorder="1" applyAlignment="1">
      <alignment horizontal="right" vertical="center" indent="2" readingOrder="1"/>
    </xf>
    <xf numFmtId="0" fontId="4" fillId="4" borderId="1" xfId="0" applyFont="1" applyFill="1" applyBorder="1" applyAlignment="1">
      <alignment horizontal="right" vertical="center" indent="2" readingOrder="1"/>
    </xf>
    <xf numFmtId="0" fontId="11" fillId="4" borderId="3" xfId="0" applyFont="1" applyFill="1" applyBorder="1" applyAlignment="1">
      <alignment horizontal="right" vertical="center" indent="2"/>
    </xf>
    <xf numFmtId="0" fontId="11" fillId="4" borderId="5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right" vertical="center" wrapText="1" indent="1"/>
    </xf>
    <xf numFmtId="0" fontId="4" fillId="4" borderId="5" xfId="0" applyFont="1" applyFill="1" applyBorder="1" applyAlignment="1">
      <alignment horizontal="right" vertical="center" indent="2"/>
    </xf>
    <xf numFmtId="0" fontId="4" fillId="4" borderId="6" xfId="0" applyFont="1" applyFill="1" applyBorder="1" applyAlignment="1">
      <alignment horizontal="right" vertical="center" indent="2"/>
    </xf>
    <xf numFmtId="0" fontId="4" fillId="4" borderId="7" xfId="0" applyFont="1" applyFill="1" applyBorder="1" applyAlignment="1">
      <alignment horizontal="right" vertical="center" indent="2"/>
    </xf>
    <xf numFmtId="0" fontId="11" fillId="4" borderId="10" xfId="0" applyFont="1" applyFill="1" applyBorder="1" applyAlignment="1">
      <alignment horizontal="left" vertical="center" wrapText="1" indent="1"/>
    </xf>
    <xf numFmtId="0" fontId="11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right" vertical="center" indent="2"/>
    </xf>
    <xf numFmtId="0" fontId="4" fillId="4" borderId="1" xfId="0" applyFont="1" applyFill="1" applyBorder="1" applyAlignment="1">
      <alignment horizontal="right" vertical="center" indent="2"/>
    </xf>
    <xf numFmtId="0" fontId="4" fillId="4" borderId="11" xfId="0" applyFont="1" applyFill="1" applyBorder="1" applyAlignment="1">
      <alignment horizontal="right" vertical="center" indent="2"/>
    </xf>
    <xf numFmtId="0" fontId="11" fillId="4" borderId="1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right" vertical="center" wrapText="1" indent="1"/>
    </xf>
    <xf numFmtId="2" fontId="4" fillId="4" borderId="5" xfId="0" applyNumberFormat="1" applyFont="1" applyFill="1" applyBorder="1" applyAlignment="1">
      <alignment horizontal="right" vertical="center" indent="1"/>
    </xf>
    <xf numFmtId="2" fontId="4" fillId="4" borderId="6" xfId="0" applyNumberFormat="1" applyFont="1" applyFill="1" applyBorder="1" applyAlignment="1">
      <alignment horizontal="right" vertical="center" indent="1"/>
    </xf>
    <xf numFmtId="1" fontId="4" fillId="4" borderId="7" xfId="0" applyNumberFormat="1" applyFont="1" applyFill="1" applyBorder="1" applyAlignment="1">
      <alignment horizontal="right" vertical="center" indent="1"/>
    </xf>
    <xf numFmtId="2" fontId="4" fillId="4" borderId="8" xfId="0" applyNumberFormat="1" applyFont="1" applyFill="1" applyBorder="1" applyAlignment="1">
      <alignment horizontal="right" vertical="center" indent="1"/>
    </xf>
    <xf numFmtId="1" fontId="4" fillId="4" borderId="9" xfId="0" applyNumberFormat="1" applyFont="1" applyFill="1" applyBorder="1" applyAlignment="1">
      <alignment horizontal="right" vertical="center" indent="1"/>
    </xf>
    <xf numFmtId="1" fontId="4" fillId="4" borderId="8" xfId="0" applyNumberFormat="1" applyFont="1" applyFill="1" applyBorder="1" applyAlignment="1">
      <alignment horizontal="right" vertical="center" indent="1"/>
    </xf>
    <xf numFmtId="165" fontId="4" fillId="4" borderId="8" xfId="0" applyNumberFormat="1" applyFont="1" applyFill="1" applyBorder="1" applyAlignment="1">
      <alignment horizontal="right" vertical="center" indent="1"/>
    </xf>
    <xf numFmtId="1" fontId="4" fillId="0" borderId="10" xfId="0" applyNumberFormat="1" applyFont="1" applyBorder="1" applyAlignment="1">
      <alignment horizontal="right" vertical="center" indent="1"/>
    </xf>
    <xf numFmtId="0" fontId="11" fillId="4" borderId="8" xfId="0" applyFont="1" applyFill="1" applyBorder="1" applyAlignment="1">
      <alignment horizontal="center" vertical="center" wrapText="1"/>
    </xf>
    <xf numFmtId="165" fontId="33" fillId="4" borderId="8" xfId="0" applyNumberFormat="1" applyFont="1" applyFill="1" applyBorder="1" applyAlignment="1">
      <alignment horizontal="right" vertical="center" indent="2"/>
    </xf>
    <xf numFmtId="165" fontId="33" fillId="4" borderId="0" xfId="0" applyNumberFormat="1" applyFont="1" applyFill="1" applyBorder="1" applyAlignment="1">
      <alignment horizontal="right" vertical="center" indent="2"/>
    </xf>
    <xf numFmtId="165" fontId="33" fillId="4" borderId="9" xfId="0" applyNumberFormat="1" applyFont="1" applyFill="1" applyBorder="1" applyAlignment="1">
      <alignment horizontal="right" vertical="center" indent="2"/>
    </xf>
    <xf numFmtId="0" fontId="4" fillId="4" borderId="0" xfId="0" applyFont="1" applyFill="1" applyBorder="1" applyAlignment="1">
      <alignment horizontal="right" vertical="center" wrapText="1" indent="1"/>
    </xf>
    <xf numFmtId="0" fontId="4" fillId="4" borderId="9" xfId="0" applyFont="1" applyFill="1" applyBorder="1" applyAlignment="1">
      <alignment horizontal="right" vertical="center" wrapText="1" indent="1"/>
    </xf>
    <xf numFmtId="0" fontId="11" fillId="4" borderId="7" xfId="0" applyFont="1" applyFill="1" applyBorder="1" applyAlignment="1">
      <alignment horizontal="right" vertical="center" wrapText="1" indent="1"/>
    </xf>
    <xf numFmtId="0" fontId="0" fillId="0" borderId="0" xfId="0" applyAlignment="1">
      <alignment horizontal="center"/>
    </xf>
    <xf numFmtId="0" fontId="4" fillId="4" borderId="8" xfId="0" applyFont="1" applyFill="1" applyBorder="1" applyAlignment="1">
      <alignment horizontal="left" vertical="center" wrapText="1" indent="1"/>
    </xf>
    <xf numFmtId="0" fontId="4" fillId="0" borderId="5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1" fillId="0" borderId="1" xfId="16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right" vertical="center" wrapText="1" indent="1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left" vertical="center" wrapText="1" indent="2"/>
    </xf>
    <xf numFmtId="0" fontId="11" fillId="4" borderId="0" xfId="0" applyFont="1" applyFill="1" applyBorder="1" applyAlignment="1">
      <alignment horizontal="left" vertical="center" indent="2"/>
    </xf>
    <xf numFmtId="0" fontId="11" fillId="4" borderId="0" xfId="0" applyFont="1" applyFill="1" applyBorder="1" applyAlignment="1">
      <alignment horizontal="left" vertical="center" wrapText="1" indent="2"/>
    </xf>
    <xf numFmtId="0" fontId="11" fillId="0" borderId="0" xfId="0" applyFont="1" applyBorder="1" applyAlignment="1">
      <alignment horizontal="left" vertical="center" indent="2"/>
    </xf>
    <xf numFmtId="0" fontId="11" fillId="0" borderId="1" xfId="0" applyFont="1" applyBorder="1" applyAlignment="1">
      <alignment horizontal="left" vertical="center" indent="2"/>
    </xf>
    <xf numFmtId="0" fontId="44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right" vertical="center" indent="2"/>
    </xf>
    <xf numFmtId="0" fontId="4" fillId="3" borderId="0" xfId="0" applyFont="1" applyFill="1" applyBorder="1" applyAlignment="1">
      <alignment horizontal="right" vertical="center" indent="2"/>
    </xf>
    <xf numFmtId="0" fontId="4" fillId="3" borderId="9" xfId="0" applyFont="1" applyFill="1" applyBorder="1" applyAlignment="1">
      <alignment horizontal="right" vertical="center" indent="2"/>
    </xf>
    <xf numFmtId="0" fontId="11" fillId="3" borderId="9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left" vertical="center" wrapText="1" indent="1"/>
    </xf>
    <xf numFmtId="1" fontId="13" fillId="4" borderId="8" xfId="0" applyNumberFormat="1" applyFont="1" applyFill="1" applyBorder="1" applyAlignment="1">
      <alignment horizontal="right" vertical="center" indent="1"/>
    </xf>
    <xf numFmtId="1" fontId="13" fillId="4" borderId="0" xfId="0" applyNumberFormat="1" applyFont="1" applyFill="1" applyBorder="1" applyAlignment="1">
      <alignment horizontal="right" vertical="center" indent="1"/>
    </xf>
    <xf numFmtId="2" fontId="4" fillId="3" borderId="8" xfId="0" applyNumberFormat="1" applyFont="1" applyFill="1" applyBorder="1" applyAlignment="1">
      <alignment horizontal="right" vertical="center" indent="1"/>
    </xf>
    <xf numFmtId="2" fontId="4" fillId="3" borderId="0" xfId="0" applyNumberFormat="1" applyFont="1" applyFill="1" applyBorder="1" applyAlignment="1">
      <alignment horizontal="right" vertical="center" indent="1"/>
    </xf>
    <xf numFmtId="1" fontId="4" fillId="3" borderId="9" xfId="0" applyNumberFormat="1" applyFont="1" applyFill="1" applyBorder="1" applyAlignment="1">
      <alignment horizontal="right" vertical="center" indent="1"/>
    </xf>
    <xf numFmtId="1" fontId="4" fillId="3" borderId="8" xfId="0" applyNumberFormat="1" applyFont="1" applyFill="1" applyBorder="1" applyAlignment="1">
      <alignment horizontal="right" vertical="center" indent="1"/>
    </xf>
    <xf numFmtId="1" fontId="4" fillId="3" borderId="0" xfId="0" applyNumberFormat="1" applyFont="1" applyFill="1" applyBorder="1" applyAlignment="1">
      <alignment horizontal="right" vertical="center" indent="1"/>
    </xf>
    <xf numFmtId="0" fontId="43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right" vertical="center" indent="2"/>
    </xf>
    <xf numFmtId="165" fontId="11" fillId="4" borderId="9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165" fontId="33" fillId="3" borderId="8" xfId="0" applyNumberFormat="1" applyFont="1" applyFill="1" applyBorder="1" applyAlignment="1">
      <alignment horizontal="right" vertical="center" indent="2"/>
    </xf>
    <xf numFmtId="165" fontId="33" fillId="3" borderId="0" xfId="0" applyNumberFormat="1" applyFont="1" applyFill="1" applyBorder="1" applyAlignment="1">
      <alignment horizontal="right" vertical="center" indent="2"/>
    </xf>
    <xf numFmtId="165" fontId="33" fillId="3" borderId="9" xfId="0" applyNumberFormat="1" applyFont="1" applyFill="1" applyBorder="1" applyAlignment="1">
      <alignment horizontal="right" vertical="center" indent="2"/>
    </xf>
    <xf numFmtId="0" fontId="11" fillId="3" borderId="10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right" vertical="center" indent="2"/>
    </xf>
    <xf numFmtId="0" fontId="4" fillId="3" borderId="1" xfId="0" applyFont="1" applyFill="1" applyBorder="1" applyAlignment="1">
      <alignment horizontal="right" vertical="center" indent="2"/>
    </xf>
    <xf numFmtId="0" fontId="4" fillId="3" borderId="11" xfId="0" applyFont="1" applyFill="1" applyBorder="1" applyAlignment="1">
      <alignment horizontal="right" vertical="center" indent="2"/>
    </xf>
    <xf numFmtId="0" fontId="11" fillId="3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right" vertical="center" wrapText="1" indent="1"/>
    </xf>
    <xf numFmtId="0" fontId="44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 vertical="center" readingOrder="1"/>
    </xf>
    <xf numFmtId="0" fontId="4" fillId="4" borderId="11" xfId="0" applyFont="1" applyFill="1" applyBorder="1" applyAlignment="1">
      <alignment horizontal="right" vertical="center" indent="2" readingOrder="1"/>
    </xf>
    <xf numFmtId="0" fontId="11" fillId="0" borderId="0" xfId="0" applyFont="1" applyFill="1" applyBorder="1" applyAlignment="1">
      <alignment horizontal="right" vertical="center" wrapText="1" indent="1"/>
    </xf>
    <xf numFmtId="164" fontId="11" fillId="0" borderId="0" xfId="17" applyFont="1" applyBorder="1" applyAlignment="1">
      <alignment horizontal="right" vertical="center" wrapText="1" indent="1"/>
    </xf>
    <xf numFmtId="0" fontId="11" fillId="4" borderId="0" xfId="0" applyFont="1" applyFill="1" applyBorder="1" applyAlignment="1">
      <alignment horizontal="right" vertical="center" indent="1"/>
    </xf>
    <xf numFmtId="12" fontId="11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 indent="2"/>
    </xf>
    <xf numFmtId="0" fontId="11" fillId="4" borderId="9" xfId="0" applyFont="1" applyFill="1" applyBorder="1" applyAlignment="1">
      <alignment horizontal="left" vertical="center" indent="2"/>
    </xf>
    <xf numFmtId="0" fontId="11" fillId="0" borderId="9" xfId="0" applyFont="1" applyBorder="1" applyAlignment="1">
      <alignment horizontal="left" vertical="center" indent="2"/>
    </xf>
    <xf numFmtId="0" fontId="11" fillId="4" borderId="11" xfId="0" applyFont="1" applyFill="1" applyBorder="1" applyAlignment="1">
      <alignment horizontal="left" vertical="center" indent="2"/>
    </xf>
    <xf numFmtId="0" fontId="6" fillId="2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right" vertical="center" wrapText="1" indent="1"/>
    </xf>
    <xf numFmtId="49" fontId="11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vertical="top" wrapText="1"/>
    </xf>
    <xf numFmtId="0" fontId="13" fillId="4" borderId="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 indent="1"/>
    </xf>
    <xf numFmtId="1" fontId="4" fillId="4" borderId="0" xfId="3" applyNumberFormat="1" applyFont="1" applyFill="1" applyBorder="1" applyAlignment="1">
      <alignment horizontal="right" vertical="center" indent="2"/>
    </xf>
    <xf numFmtId="2" fontId="4" fillId="4" borderId="0" xfId="3" applyNumberFormat="1" applyFont="1" applyFill="1" applyBorder="1" applyAlignment="1">
      <alignment horizontal="right" vertical="center" indent="2"/>
    </xf>
    <xf numFmtId="0" fontId="11" fillId="0" borderId="0" xfId="0" applyNumberFormat="1" applyFont="1" applyBorder="1" applyAlignment="1">
      <alignment horizontal="left" vertical="center" wrapText="1" indent="1"/>
    </xf>
    <xf numFmtId="0" fontId="4" fillId="0" borderId="0" xfId="3" applyFont="1" applyBorder="1" applyAlignment="1">
      <alignment horizontal="right" vertical="center" indent="1"/>
    </xf>
    <xf numFmtId="1" fontId="4" fillId="0" borderId="0" xfId="3" applyNumberFormat="1" applyFont="1" applyBorder="1" applyAlignment="1">
      <alignment horizontal="right" vertical="center" indent="2"/>
    </xf>
    <xf numFmtId="0" fontId="11" fillId="4" borderId="0" xfId="0" applyNumberFormat="1" applyFont="1" applyFill="1" applyBorder="1" applyAlignment="1">
      <alignment horizontal="left" vertical="center" wrapText="1" indent="1"/>
    </xf>
    <xf numFmtId="0" fontId="4" fillId="4" borderId="0" xfId="3" applyFont="1" applyFill="1" applyBorder="1" applyAlignment="1">
      <alignment horizontal="right" vertical="center" indent="1"/>
    </xf>
    <xf numFmtId="0" fontId="11" fillId="4" borderId="0" xfId="0" applyNumberFormat="1" applyFont="1" applyFill="1" applyBorder="1" applyAlignment="1">
      <alignment horizontal="left" vertical="center" indent="1"/>
    </xf>
    <xf numFmtId="0" fontId="11" fillId="4" borderId="6" xfId="3" applyFont="1" applyFill="1" applyBorder="1" applyAlignment="1">
      <alignment horizontal="left" vertical="center" indent="1"/>
    </xf>
    <xf numFmtId="1" fontId="4" fillId="4" borderId="6" xfId="3" applyNumberFormat="1" applyFont="1" applyFill="1" applyBorder="1" applyAlignment="1">
      <alignment horizontal="right" vertical="center" indent="1"/>
    </xf>
    <xf numFmtId="1" fontId="4" fillId="4" borderId="6" xfId="3" applyNumberFormat="1" applyFont="1" applyFill="1" applyBorder="1" applyAlignment="1">
      <alignment horizontal="right" vertical="center" indent="2"/>
    </xf>
    <xf numFmtId="0" fontId="11" fillId="4" borderId="6" xfId="3" applyFont="1" applyFill="1" applyBorder="1" applyAlignment="1">
      <alignment horizontal="right" vertical="center" indent="1"/>
    </xf>
    <xf numFmtId="0" fontId="11" fillId="4" borderId="1" xfId="0" applyNumberFormat="1" applyFont="1" applyFill="1" applyBorder="1" applyAlignment="1">
      <alignment horizontal="left" vertical="center" wrapText="1" indent="1"/>
    </xf>
    <xf numFmtId="0" fontId="4" fillId="4" borderId="1" xfId="3" applyFont="1" applyFill="1" applyBorder="1" applyAlignment="1">
      <alignment horizontal="right" vertical="center" indent="1"/>
    </xf>
    <xf numFmtId="1" fontId="4" fillId="4" borderId="1" xfId="3" applyNumberFormat="1" applyFont="1" applyFill="1" applyBorder="1" applyAlignment="1">
      <alignment horizontal="right" vertical="center" indent="2"/>
    </xf>
    <xf numFmtId="0" fontId="11" fillId="4" borderId="1" xfId="0" applyFont="1" applyFill="1" applyBorder="1" applyAlignment="1">
      <alignment horizontal="right" vertical="center" indent="1"/>
    </xf>
    <xf numFmtId="0" fontId="4" fillId="0" borderId="6" xfId="0" applyFont="1" applyFill="1" applyBorder="1" applyAlignment="1">
      <alignment horizontal="center" vertical="center"/>
    </xf>
    <xf numFmtId="0" fontId="11" fillId="4" borderId="2" xfId="3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25" fillId="0" borderId="10" xfId="8" applyFont="1" applyBorder="1" applyAlignment="1">
      <alignment horizontal="center" vertical="center" wrapText="1"/>
    </xf>
    <xf numFmtId="0" fontId="25" fillId="0" borderId="3" xfId="8" applyFont="1" applyBorder="1" applyAlignment="1">
      <alignment horizontal="center" vertical="center" wrapText="1"/>
    </xf>
    <xf numFmtId="0" fontId="25" fillId="0" borderId="11" xfId="8" applyFont="1" applyBorder="1" applyAlignment="1">
      <alignment horizontal="center" vertical="center" wrapText="1"/>
    </xf>
    <xf numFmtId="0" fontId="42" fillId="0" borderId="0" xfId="8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0" borderId="2" xfId="6" applyFont="1" applyBorder="1" applyAlignment="1">
      <alignment horizontal="center" vertical="center"/>
    </xf>
    <xf numFmtId="0" fontId="45" fillId="0" borderId="0" xfId="16" applyFont="1" applyAlignment="1">
      <alignment horizontal="center" vertical="center"/>
    </xf>
    <xf numFmtId="0" fontId="11" fillId="4" borderId="8" xfId="16" applyFont="1" applyFill="1" applyBorder="1" applyAlignment="1">
      <alignment horizontal="right" vertical="center" wrapText="1" indent="1"/>
    </xf>
    <xf numFmtId="0" fontId="4" fillId="3" borderId="8" xfId="16" applyNumberFormat="1" applyFont="1" applyFill="1" applyBorder="1" applyAlignment="1">
      <alignment horizontal="left" vertical="center" wrapText="1" indent="1"/>
    </xf>
    <xf numFmtId="0" fontId="34" fillId="4" borderId="3" xfId="7" applyNumberFormat="1" applyFont="1" applyFill="1" applyBorder="1" applyAlignment="1">
      <alignment horizontal="left" vertical="center" wrapText="1" indent="1"/>
    </xf>
    <xf numFmtId="0" fontId="31" fillId="4" borderId="3" xfId="0" applyNumberFormat="1" applyFont="1" applyFill="1" applyBorder="1" applyAlignment="1">
      <alignment horizontal="right" vertical="center" indent="1"/>
    </xf>
    <xf numFmtId="0" fontId="31" fillId="4" borderId="3" xfId="17" applyNumberFormat="1" applyFont="1" applyFill="1" applyBorder="1" applyAlignment="1">
      <alignment horizontal="right" vertical="center" indent="1"/>
    </xf>
    <xf numFmtId="0" fontId="31" fillId="4" borderId="10" xfId="17" applyNumberFormat="1" applyFont="1" applyFill="1" applyBorder="1" applyAlignment="1">
      <alignment horizontal="right" vertical="center" indent="1"/>
    </xf>
    <xf numFmtId="0" fontId="34" fillId="4" borderId="11" xfId="7" applyFont="1" applyFill="1" applyBorder="1" applyAlignment="1">
      <alignment horizontal="right" vertical="center" wrapText="1" indent="1"/>
    </xf>
    <xf numFmtId="0" fontId="31" fillId="0" borderId="4" xfId="17" applyNumberFormat="1" applyFont="1" applyFill="1" applyBorder="1" applyAlignment="1">
      <alignment horizontal="center" vertical="center"/>
    </xf>
    <xf numFmtId="0" fontId="31" fillId="4" borderId="4" xfId="17" applyNumberFormat="1" applyFont="1" applyFill="1" applyBorder="1" applyAlignment="1">
      <alignment horizontal="center" vertical="center"/>
    </xf>
    <xf numFmtId="0" fontId="31" fillId="4" borderId="3" xfId="17" applyNumberFormat="1" applyFont="1" applyFill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right" vertical="center" wrapText="1" indent="1"/>
    </xf>
    <xf numFmtId="0" fontId="11" fillId="4" borderId="9" xfId="0" applyFont="1" applyFill="1" applyBorder="1" applyAlignment="1">
      <alignment horizontal="right" vertical="center" wrapText="1" indent="1"/>
    </xf>
    <xf numFmtId="0" fontId="4" fillId="3" borderId="8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3" borderId="9" xfId="0" applyFont="1" applyFill="1" applyBorder="1" applyAlignment="1">
      <alignment horizontal="right" vertical="center" wrapText="1" indent="1"/>
    </xf>
    <xf numFmtId="0" fontId="11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right" vertical="center" indent="1"/>
    </xf>
    <xf numFmtId="0" fontId="11" fillId="0" borderId="11" xfId="0" applyFont="1" applyBorder="1" applyAlignment="1">
      <alignment horizontal="right" vertical="center" wrapText="1" indent="1"/>
    </xf>
    <xf numFmtId="0" fontId="4" fillId="4" borderId="0" xfId="0" applyFont="1" applyFill="1" applyBorder="1" applyAlignment="1">
      <alignment horizontal="right" vertical="center" indent="1"/>
    </xf>
    <xf numFmtId="0" fontId="4" fillId="4" borderId="9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right" vertical="center" wrapText="1" inden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15" applyFont="1" applyBorder="1" applyAlignment="1">
      <alignment horizontal="center" vertical="center"/>
    </xf>
    <xf numFmtId="0" fontId="4" fillId="0" borderId="0" xfId="15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 indent="1"/>
    </xf>
    <xf numFmtId="12" fontId="11" fillId="4" borderId="8" xfId="0" applyNumberFormat="1" applyFont="1" applyFill="1" applyBorder="1" applyAlignment="1">
      <alignment horizontal="right" vertical="center" wrapText="1" indent="1"/>
    </xf>
    <xf numFmtId="12" fontId="11" fillId="4" borderId="0" xfId="0" applyNumberFormat="1" applyFont="1" applyFill="1" applyBorder="1" applyAlignment="1">
      <alignment horizontal="right" vertical="center" wrapText="1" indent="1"/>
    </xf>
    <xf numFmtId="12" fontId="11" fillId="0" borderId="8" xfId="0" applyNumberFormat="1" applyFont="1" applyFill="1" applyBorder="1" applyAlignment="1">
      <alignment horizontal="right" vertical="center" wrapText="1" indent="1"/>
    </xf>
    <xf numFmtId="12" fontId="11" fillId="4" borderId="9" xfId="0" applyNumberFormat="1" applyFont="1" applyFill="1" applyBorder="1" applyAlignment="1">
      <alignment horizontal="right" vertical="center" wrapText="1" indent="1"/>
    </xf>
    <xf numFmtId="12" fontId="11" fillId="4" borderId="4" xfId="0" applyNumberFormat="1" applyFont="1" applyFill="1" applyBorder="1" applyAlignment="1">
      <alignment horizontal="center" vertical="center" wrapText="1"/>
    </xf>
    <xf numFmtId="12" fontId="11" fillId="0" borderId="9" xfId="0" applyNumberFormat="1" applyFont="1" applyFill="1" applyBorder="1" applyAlignment="1">
      <alignment horizontal="right" vertical="center" wrapText="1" indent="1"/>
    </xf>
    <xf numFmtId="12" fontId="11" fillId="0" borderId="0" xfId="0" applyNumberFormat="1" applyFont="1" applyBorder="1" applyAlignment="1">
      <alignment horizontal="right" vertical="center" wrapText="1" indent="1"/>
    </xf>
    <xf numFmtId="12" fontId="11" fillId="0" borderId="0" xfId="0" applyNumberFormat="1" applyFont="1" applyFill="1" applyBorder="1" applyAlignment="1">
      <alignment horizontal="right" vertical="center" wrapText="1" inden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9" xfId="3" applyFont="1" applyBorder="1" applyAlignment="1">
      <alignment horizontal="center" vertical="center"/>
    </xf>
    <xf numFmtId="0" fontId="11" fillId="0" borderId="4" xfId="11" applyFont="1" applyBorder="1" applyAlignment="1">
      <alignment horizontal="center" vertical="center" wrapText="1"/>
    </xf>
    <xf numFmtId="0" fontId="11" fillId="4" borderId="8" xfId="8" applyFont="1" applyFill="1" applyBorder="1" applyAlignment="1">
      <alignment horizontal="right" vertical="center" wrapText="1" indent="1"/>
    </xf>
    <xf numFmtId="0" fontId="11" fillId="4" borderId="9" xfId="8" applyFont="1" applyFill="1" applyBorder="1" applyAlignment="1">
      <alignment horizontal="right" vertical="center" wrapText="1" indent="1"/>
    </xf>
    <xf numFmtId="0" fontId="11" fillId="4" borderId="0" xfId="8" applyFont="1" applyFill="1" applyBorder="1" applyAlignment="1">
      <alignment horizontal="right" vertical="center" wrapText="1" indent="1"/>
    </xf>
    <xf numFmtId="0" fontId="25" fillId="0" borderId="8" xfId="8" applyFont="1" applyBorder="1" applyAlignment="1">
      <alignment horizontal="center" vertical="center"/>
    </xf>
    <xf numFmtId="0" fontId="25" fillId="0" borderId="10" xfId="8" applyFont="1" applyBorder="1" applyAlignment="1">
      <alignment horizontal="center" vertical="center"/>
    </xf>
    <xf numFmtId="0" fontId="25" fillId="0" borderId="5" xfId="8" applyFont="1" applyBorder="1" applyAlignment="1">
      <alignment horizontal="center" vertical="center" wrapText="1"/>
    </xf>
    <xf numFmtId="0" fontId="25" fillId="0" borderId="7" xfId="8" applyFont="1" applyBorder="1" applyAlignment="1">
      <alignment horizontal="center" vertical="center" wrapText="1"/>
    </xf>
    <xf numFmtId="0" fontId="25" fillId="0" borderId="0" xfId="8" applyFont="1" applyBorder="1" applyAlignment="1">
      <alignment horizontal="center" vertical="center" wrapText="1"/>
    </xf>
    <xf numFmtId="0" fontId="11" fillId="4" borderId="4" xfId="8" applyFont="1" applyFill="1" applyBorder="1" applyAlignment="1">
      <alignment horizontal="left" vertical="center" wrapText="1" indent="1"/>
    </xf>
    <xf numFmtId="0" fontId="11" fillId="0" borderId="5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10" xfId="6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2" xfId="6" applyFont="1" applyBorder="1" applyAlignment="1">
      <alignment horizontal="center" vertical="center" wrapText="1"/>
    </xf>
    <xf numFmtId="0" fontId="11" fillId="0" borderId="2" xfId="16" applyFont="1" applyBorder="1" applyAlignment="1">
      <alignment horizontal="center" vertical="center" wrapText="1"/>
    </xf>
    <xf numFmtId="0" fontId="11" fillId="0" borderId="3" xfId="16" applyFont="1" applyBorder="1" applyAlignment="1">
      <alignment horizontal="center" vertical="center" wrapText="1"/>
    </xf>
    <xf numFmtId="0" fontId="11" fillId="0" borderId="4" xfId="16" applyFont="1" applyBorder="1" applyAlignment="1">
      <alignment horizontal="center" vertical="center"/>
    </xf>
    <xf numFmtId="0" fontId="11" fillId="0" borderId="3" xfId="16" applyFont="1" applyBorder="1" applyAlignment="1">
      <alignment horizontal="center" vertical="center"/>
    </xf>
    <xf numFmtId="0" fontId="11" fillId="0" borderId="7" xfId="16" applyFont="1" applyBorder="1" applyAlignment="1">
      <alignment horizontal="center" vertical="center" wrapText="1"/>
    </xf>
    <xf numFmtId="0" fontId="11" fillId="0" borderId="8" xfId="16" applyFont="1" applyBorder="1" applyAlignment="1">
      <alignment horizontal="center" vertical="center" wrapText="1"/>
    </xf>
    <xf numFmtId="0" fontId="11" fillId="0" borderId="10" xfId="16" applyFont="1" applyBorder="1" applyAlignment="1">
      <alignment horizontal="center" vertical="center" wrapText="1"/>
    </xf>
    <xf numFmtId="0" fontId="11" fillId="0" borderId="11" xfId="16" applyFont="1" applyBorder="1" applyAlignment="1">
      <alignment horizontal="center" vertical="center" wrapText="1"/>
    </xf>
    <xf numFmtId="0" fontId="11" fillId="0" borderId="0" xfId="16" applyFont="1" applyBorder="1" applyAlignment="1">
      <alignment horizontal="center" vertical="center" wrapText="1"/>
    </xf>
    <xf numFmtId="0" fontId="11" fillId="0" borderId="10" xfId="16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1" xfId="16" applyFont="1" applyBorder="1" applyAlignment="1">
      <alignment horizontal="center" vertical="center"/>
    </xf>
    <xf numFmtId="0" fontId="11" fillId="0" borderId="9" xfId="16" applyFont="1" applyBorder="1" applyAlignment="1">
      <alignment horizontal="center" vertical="center"/>
    </xf>
    <xf numFmtId="0" fontId="11" fillId="0" borderId="8" xfId="16" applyFont="1" applyBorder="1" applyAlignment="1">
      <alignment horizontal="center" vertical="center"/>
    </xf>
    <xf numFmtId="0" fontId="11" fillId="0" borderId="0" xfId="16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47" fillId="0" borderId="0" xfId="0" applyFont="1"/>
    <xf numFmtId="0" fontId="47" fillId="0" borderId="0" xfId="0" applyFont="1" applyBorder="1"/>
    <xf numFmtId="0" fontId="31" fillId="4" borderId="4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11" fillId="4" borderId="2" xfId="16" applyFont="1" applyFill="1" applyBorder="1" applyAlignment="1">
      <alignment horizontal="center" vertical="center"/>
    </xf>
    <xf numFmtId="0" fontId="11" fillId="4" borderId="0" xfId="16" applyFont="1" applyFill="1" applyBorder="1" applyAlignment="1">
      <alignment horizontal="right" vertical="center" indent="1"/>
    </xf>
    <xf numFmtId="0" fontId="11" fillId="4" borderId="4" xfId="16" applyFont="1" applyFill="1" applyBorder="1" applyAlignment="1">
      <alignment horizontal="center" vertical="center"/>
    </xf>
    <xf numFmtId="0" fontId="11" fillId="4" borderId="3" xfId="16" applyFont="1" applyFill="1" applyBorder="1" applyAlignment="1">
      <alignment horizontal="center" vertical="center"/>
    </xf>
    <xf numFmtId="0" fontId="11" fillId="4" borderId="2" xfId="6" applyFont="1" applyFill="1" applyBorder="1" applyAlignment="1">
      <alignment horizontal="center" vertical="center"/>
    </xf>
    <xf numFmtId="0" fontId="11" fillId="0" borderId="4" xfId="6" applyFont="1" applyBorder="1" applyAlignment="1">
      <alignment horizontal="center" vertical="center"/>
    </xf>
    <xf numFmtId="0" fontId="11" fillId="4" borderId="4" xfId="6" applyFont="1" applyFill="1" applyBorder="1" applyAlignment="1">
      <alignment horizontal="center" vertical="center"/>
    </xf>
    <xf numFmtId="0" fontId="11" fillId="4" borderId="3" xfId="6" applyFont="1" applyFill="1" applyBorder="1" applyAlignment="1">
      <alignment horizontal="center" vertical="center"/>
    </xf>
    <xf numFmtId="0" fontId="48" fillId="0" borderId="0" xfId="6" applyFont="1"/>
    <xf numFmtId="0" fontId="11" fillId="0" borderId="4" xfId="8" applyFont="1" applyBorder="1" applyAlignment="1">
      <alignment horizontal="center" vertical="center"/>
    </xf>
    <xf numFmtId="0" fontId="11" fillId="4" borderId="4" xfId="8" applyFont="1" applyFill="1" applyBorder="1" applyAlignment="1">
      <alignment horizontal="center" vertical="center"/>
    </xf>
    <xf numFmtId="0" fontId="11" fillId="4" borderId="3" xfId="8" applyFont="1" applyFill="1" applyBorder="1" applyAlignment="1">
      <alignment horizontal="center" vertical="center"/>
    </xf>
    <xf numFmtId="0" fontId="48" fillId="0" borderId="0" xfId="8" applyFont="1"/>
    <xf numFmtId="0" fontId="4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vertical="center"/>
    </xf>
    <xf numFmtId="0" fontId="49" fillId="4" borderId="2" xfId="0" applyFont="1" applyFill="1" applyBorder="1" applyAlignment="1">
      <alignment vertical="center"/>
    </xf>
    <xf numFmtId="0" fontId="48" fillId="0" borderId="0" xfId="0" applyFont="1"/>
    <xf numFmtId="0" fontId="48" fillId="0" borderId="0" xfId="0" applyFont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25" fillId="0" borderId="0" xfId="0" applyFont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50" fillId="4" borderId="8" xfId="0" applyFont="1" applyFill="1" applyBorder="1" applyAlignment="1">
      <alignment horizontal="right" vertical="center" indent="2"/>
    </xf>
    <xf numFmtId="0" fontId="50" fillId="4" borderId="0" xfId="0" applyFont="1" applyFill="1" applyBorder="1" applyAlignment="1">
      <alignment horizontal="right" vertical="center" indent="2"/>
    </xf>
    <xf numFmtId="0" fontId="50" fillId="4" borderId="9" xfId="0" applyFont="1" applyFill="1" applyBorder="1" applyAlignment="1">
      <alignment horizontal="right" vertical="center" indent="2"/>
    </xf>
    <xf numFmtId="0" fontId="11" fillId="3" borderId="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 indent="1"/>
    </xf>
    <xf numFmtId="0" fontId="11" fillId="3" borderId="8" xfId="0" applyFont="1" applyFill="1" applyBorder="1" applyAlignment="1">
      <alignment horizontal="left" vertical="center" wrapText="1" indent="1"/>
    </xf>
    <xf numFmtId="0" fontId="11" fillId="4" borderId="9" xfId="0" applyFont="1" applyFill="1" applyBorder="1" applyAlignment="1">
      <alignment horizontal="right" vertical="center" wrapText="1" indent="1"/>
    </xf>
    <xf numFmtId="0" fontId="4" fillId="3" borderId="8" xfId="0" applyFont="1" applyFill="1" applyBorder="1" applyAlignment="1">
      <alignment horizontal="lef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8" xfId="0" applyFont="1" applyBorder="1" applyAlignment="1">
      <alignment horizontal="left" vertical="center" wrapText="1" indent="1"/>
    </xf>
    <xf numFmtId="0" fontId="11" fillId="4" borderId="5" xfId="0" applyFont="1" applyFill="1" applyBorder="1" applyAlignment="1">
      <alignment horizontal="left" vertical="center" wrapText="1" indent="1"/>
    </xf>
    <xf numFmtId="0" fontId="4" fillId="4" borderId="8" xfId="0" applyFont="1" applyFill="1" applyBorder="1" applyAlignment="1">
      <alignment horizontal="right" vertical="center" indent="1"/>
    </xf>
    <xf numFmtId="0" fontId="4" fillId="4" borderId="0" xfId="0" applyFont="1" applyFill="1" applyBorder="1" applyAlignment="1">
      <alignment horizontal="right" vertical="center" indent="1"/>
    </xf>
    <xf numFmtId="0" fontId="11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 indent="1"/>
    </xf>
    <xf numFmtId="0" fontId="11" fillId="4" borderId="8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4" borderId="9" xfId="0" applyFont="1" applyFill="1" applyBorder="1" applyAlignment="1">
      <alignment horizontal="left" vertical="center" wrapText="1" indent="2"/>
    </xf>
    <xf numFmtId="0" fontId="4" fillId="4" borderId="8" xfId="0" applyNumberFormat="1" applyFont="1" applyFill="1" applyBorder="1" applyAlignment="1">
      <alignment horizontal="right" vertical="center" indent="2"/>
    </xf>
    <xf numFmtId="0" fontId="4" fillId="4" borderId="0" xfId="0" applyNumberFormat="1" applyFont="1" applyFill="1" applyBorder="1" applyAlignment="1">
      <alignment horizontal="right" vertical="center" indent="2"/>
    </xf>
    <xf numFmtId="0" fontId="11" fillId="0" borderId="6" xfId="0" applyFont="1" applyBorder="1" applyAlignment="1">
      <alignment horizontal="center" vertical="center" readingOrder="2"/>
    </xf>
    <xf numFmtId="0" fontId="11" fillId="0" borderId="2" xfId="0" applyFont="1" applyBorder="1" applyAlignment="1">
      <alignment horizontal="center" vertical="center" readingOrder="2"/>
    </xf>
    <xf numFmtId="0" fontId="4" fillId="4" borderId="9" xfId="0" applyNumberFormat="1" applyFont="1" applyFill="1" applyBorder="1" applyAlignment="1">
      <alignment horizontal="right" vertical="center" indent="2"/>
    </xf>
    <xf numFmtId="0" fontId="4" fillId="4" borderId="0" xfId="0" applyFont="1" applyFill="1" applyBorder="1" applyAlignment="1">
      <alignment horizontal="right" vertical="center" indent="2" readingOrder="1"/>
    </xf>
    <xf numFmtId="0" fontId="4" fillId="4" borderId="9" xfId="0" applyFont="1" applyFill="1" applyBorder="1" applyAlignment="1">
      <alignment horizontal="right" vertical="center" indent="2" readingOrder="1"/>
    </xf>
    <xf numFmtId="0" fontId="4" fillId="4" borderId="8" xfId="0" applyFont="1" applyFill="1" applyBorder="1" applyAlignment="1">
      <alignment horizontal="right" vertical="center" indent="2" readingOrder="1"/>
    </xf>
    <xf numFmtId="0" fontId="11" fillId="0" borderId="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2" fillId="0" borderId="0" xfId="7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4" fillId="0" borderId="6" xfId="0" applyFont="1" applyFill="1" applyBorder="1" applyAlignment="1">
      <alignment horizontal="right" vertical="center"/>
    </xf>
    <xf numFmtId="0" fontId="24" fillId="0" borderId="6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right" vertical="center" wrapText="1"/>
    </xf>
    <xf numFmtId="0" fontId="25" fillId="0" borderId="0" xfId="0" applyFont="1" applyAlignment="1">
      <alignment horizontal="left" vertical="center" wrapText="1"/>
    </xf>
    <xf numFmtId="0" fontId="11" fillId="4" borderId="0" xfId="0" applyFont="1" applyFill="1" applyBorder="1" applyAlignment="1">
      <alignment horizontal="right" vertical="center" wrapText="1" indent="1"/>
    </xf>
    <xf numFmtId="0" fontId="11" fillId="4" borderId="9" xfId="0" applyFont="1" applyFill="1" applyBorder="1" applyAlignment="1">
      <alignment horizontal="right" vertical="center" wrapText="1" indent="1"/>
    </xf>
    <xf numFmtId="0" fontId="4" fillId="3" borderId="0" xfId="0" applyFont="1" applyFill="1" applyBorder="1" applyAlignment="1">
      <alignment horizontal="right" vertical="center" wrapText="1" indent="1"/>
    </xf>
    <xf numFmtId="0" fontId="4" fillId="3" borderId="9" xfId="0" applyFont="1" applyFill="1" applyBorder="1" applyAlignment="1">
      <alignment horizontal="right" vertical="center" wrapText="1" indent="1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 indent="1"/>
    </xf>
    <xf numFmtId="0" fontId="11" fillId="0" borderId="11" xfId="0" applyFont="1" applyBorder="1" applyAlignment="1">
      <alignment horizontal="right" vertical="center" wrapText="1" indent="1"/>
    </xf>
    <xf numFmtId="0" fontId="11" fillId="0" borderId="0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3" borderId="0" xfId="0" applyFont="1" applyFill="1" applyBorder="1" applyAlignment="1">
      <alignment horizontal="right" vertical="center" wrapText="1" indent="1"/>
    </xf>
    <xf numFmtId="0" fontId="11" fillId="3" borderId="9" xfId="0" applyFont="1" applyFill="1" applyBorder="1" applyAlignment="1">
      <alignment horizontal="right" vertical="center" wrapText="1" indent="1"/>
    </xf>
    <xf numFmtId="0" fontId="0" fillId="0" borderId="0" xfId="0" applyAlignment="1">
      <alignment horizontal="center"/>
    </xf>
    <xf numFmtId="0" fontId="24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readingOrder="2"/>
    </xf>
    <xf numFmtId="0" fontId="4" fillId="0" borderId="9" xfId="0" applyFont="1" applyBorder="1" applyAlignment="1">
      <alignment horizontal="center" vertical="center" readingOrder="2"/>
    </xf>
    <xf numFmtId="0" fontId="4" fillId="0" borderId="8" xfId="0" applyFont="1" applyBorder="1" applyAlignment="1">
      <alignment horizontal="center" vertical="center" readingOrder="2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14" applyFont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12" fontId="11" fillId="4" borderId="4" xfId="0" applyNumberFormat="1" applyFont="1" applyFill="1" applyBorder="1" applyAlignment="1">
      <alignment horizontal="center" vertical="center" wrapText="1"/>
    </xf>
    <xf numFmtId="12" fontId="11" fillId="0" borderId="9" xfId="0" applyNumberFormat="1" applyFont="1" applyFill="1" applyBorder="1" applyAlignment="1">
      <alignment horizontal="right" vertical="center" wrapText="1" indent="1"/>
    </xf>
    <xf numFmtId="12" fontId="11" fillId="0" borderId="0" xfId="0" applyNumberFormat="1" applyFont="1" applyBorder="1" applyAlignment="1">
      <alignment horizontal="right" vertical="center" wrapText="1" indent="1"/>
    </xf>
    <xf numFmtId="12" fontId="11" fillId="0" borderId="0" xfId="0" applyNumberFormat="1" applyFont="1" applyFill="1" applyBorder="1" applyAlignment="1">
      <alignment horizontal="right" vertical="center" wrapText="1" indent="1"/>
    </xf>
    <xf numFmtId="0" fontId="3" fillId="0" borderId="0" xfId="15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15" applyFont="1" applyBorder="1" applyAlignment="1">
      <alignment horizontal="center" vertical="center"/>
    </xf>
    <xf numFmtId="0" fontId="4" fillId="0" borderId="0" xfId="15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12" fontId="11" fillId="4" borderId="8" xfId="0" applyNumberFormat="1" applyFont="1" applyFill="1" applyBorder="1" applyAlignment="1">
      <alignment horizontal="right" vertical="center" wrapText="1" indent="1"/>
    </xf>
    <xf numFmtId="12" fontId="11" fillId="4" borderId="0" xfId="0" applyNumberFormat="1" applyFont="1" applyFill="1" applyBorder="1" applyAlignment="1">
      <alignment horizontal="right" vertical="center" wrapText="1" indent="1"/>
    </xf>
    <xf numFmtId="12" fontId="11" fillId="0" borderId="8" xfId="0" applyNumberFormat="1" applyFont="1" applyFill="1" applyBorder="1" applyAlignment="1">
      <alignment horizontal="right" vertical="center" wrapText="1" indent="1"/>
    </xf>
    <xf numFmtId="12" fontId="11" fillId="4" borderId="9" xfId="0" applyNumberFormat="1" applyFont="1" applyFill="1" applyBorder="1" applyAlignment="1">
      <alignment horizontal="right" vertical="center" wrapText="1" indent="1"/>
    </xf>
    <xf numFmtId="0" fontId="5" fillId="0" borderId="6" xfId="0" applyFont="1" applyBorder="1" applyAlignment="1">
      <alignment horizontal="righ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right" vertical="center"/>
    </xf>
    <xf numFmtId="0" fontId="5" fillId="0" borderId="6" xfId="0" applyFont="1" applyFill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center" vertical="top"/>
    </xf>
    <xf numFmtId="0" fontId="3" fillId="0" borderId="0" xfId="9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7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/>
    </xf>
    <xf numFmtId="0" fontId="4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0" fontId="5" fillId="0" borderId="6" xfId="0" applyFont="1" applyFill="1" applyBorder="1" applyAlignment="1">
      <alignment horizontal="right" vertical="center"/>
    </xf>
    <xf numFmtId="0" fontId="22" fillId="0" borderId="0" xfId="3" applyFont="1" applyBorder="1" applyAlignment="1">
      <alignment horizontal="center" vertical="center"/>
    </xf>
    <xf numFmtId="0" fontId="22" fillId="0" borderId="0" xfId="5" applyFont="1" applyBorder="1" applyAlignment="1">
      <alignment horizontal="center" vertical="center"/>
    </xf>
    <xf numFmtId="0" fontId="22" fillId="0" borderId="1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1" fontId="4" fillId="0" borderId="5" xfId="11" applyNumberFormat="1" applyFont="1" applyBorder="1" applyAlignment="1">
      <alignment horizontal="center" vertical="center" wrapText="1"/>
    </xf>
    <xf numFmtId="1" fontId="4" fillId="0" borderId="8" xfId="11" applyNumberFormat="1" applyFont="1" applyBorder="1" applyAlignment="1">
      <alignment horizontal="center" vertical="center" wrapText="1"/>
    </xf>
    <xf numFmtId="0" fontId="11" fillId="0" borderId="2" xfId="11" applyFont="1" applyBorder="1" applyAlignment="1">
      <alignment horizontal="center" vertical="center" wrapText="1"/>
    </xf>
    <xf numFmtId="0" fontId="11" fillId="0" borderId="4" xfId="11" applyFont="1" applyBorder="1" applyAlignment="1">
      <alignment horizontal="center" vertical="center" wrapText="1"/>
    </xf>
    <xf numFmtId="1" fontId="11" fillId="0" borderId="2" xfId="11" applyNumberFormat="1" applyFont="1" applyBorder="1" applyAlignment="1">
      <alignment horizontal="center" vertical="center" wrapText="1"/>
    </xf>
    <xf numFmtId="1" fontId="11" fillId="0" borderId="4" xfId="11" applyNumberFormat="1" applyFont="1" applyBorder="1" applyAlignment="1">
      <alignment horizontal="center" vertical="center" wrapText="1"/>
    </xf>
    <xf numFmtId="0" fontId="11" fillId="0" borderId="6" xfId="11" applyFont="1" applyBorder="1" applyAlignment="1">
      <alignment horizontal="center" vertical="center" wrapText="1"/>
    </xf>
    <xf numFmtId="0" fontId="11" fillId="0" borderId="0" xfId="11" applyFont="1" applyBorder="1" applyAlignment="1">
      <alignment horizontal="center" vertical="center" wrapText="1"/>
    </xf>
    <xf numFmtId="0" fontId="11" fillId="4" borderId="2" xfId="8" applyFont="1" applyFill="1" applyBorder="1" applyAlignment="1">
      <alignment horizontal="center" vertical="center"/>
    </xf>
    <xf numFmtId="0" fontId="11" fillId="4" borderId="4" xfId="8" applyFont="1" applyFill="1" applyBorder="1" applyAlignment="1">
      <alignment horizontal="center" vertical="center"/>
    </xf>
    <xf numFmtId="0" fontId="5" fillId="0" borderId="6" xfId="12" applyFont="1" applyFill="1" applyBorder="1" applyAlignment="1">
      <alignment horizontal="left" vertical="center"/>
    </xf>
    <xf numFmtId="0" fontId="5" fillId="0" borderId="6" xfId="12" applyFont="1" applyBorder="1" applyAlignment="1">
      <alignment horizontal="right" vertical="center"/>
    </xf>
    <xf numFmtId="0" fontId="11" fillId="4" borderId="0" xfId="8" applyFont="1" applyFill="1" applyBorder="1" applyAlignment="1">
      <alignment horizontal="right" vertical="center" wrapText="1" indent="1"/>
    </xf>
    <xf numFmtId="0" fontId="11" fillId="4" borderId="4" xfId="8" applyFont="1" applyFill="1" applyBorder="1" applyAlignment="1">
      <alignment horizontal="left" vertical="center" wrapText="1" indent="1"/>
    </xf>
    <xf numFmtId="0" fontId="11" fillId="4" borderId="9" xfId="8" applyFont="1" applyFill="1" applyBorder="1" applyAlignment="1">
      <alignment horizontal="right" vertical="center" wrapText="1" indent="1"/>
    </xf>
    <xf numFmtId="0" fontId="11" fillId="4" borderId="8" xfId="8" applyFont="1" applyFill="1" applyBorder="1" applyAlignment="1">
      <alignment horizontal="right" vertical="center" wrapText="1" indent="1"/>
    </xf>
    <xf numFmtId="0" fontId="11" fillId="4" borderId="4" xfId="8" applyFont="1" applyFill="1" applyBorder="1" applyAlignment="1">
      <alignment horizontal="left" vertical="center" indent="1"/>
    </xf>
    <xf numFmtId="0" fontId="9" fillId="0" borderId="0" xfId="10" applyFont="1" applyBorder="1" applyAlignment="1">
      <alignment horizontal="center"/>
    </xf>
    <xf numFmtId="0" fontId="3" fillId="0" borderId="0" xfId="11" applyFont="1" applyBorder="1" applyAlignment="1">
      <alignment horizontal="center" vertical="center"/>
    </xf>
    <xf numFmtId="0" fontId="11" fillId="0" borderId="2" xfId="8" applyFont="1" applyBorder="1" applyAlignment="1">
      <alignment horizontal="center" vertical="center"/>
    </xf>
    <xf numFmtId="0" fontId="11" fillId="0" borderId="4" xfId="8" applyFont="1" applyBorder="1" applyAlignment="1">
      <alignment horizontal="center" vertical="center"/>
    </xf>
    <xf numFmtId="0" fontId="11" fillId="0" borderId="3" xfId="8" applyFont="1" applyBorder="1" applyAlignment="1">
      <alignment horizontal="center" vertical="center"/>
    </xf>
    <xf numFmtId="0" fontId="25" fillId="0" borderId="5" xfId="8" applyFont="1" applyBorder="1" applyAlignment="1">
      <alignment horizontal="center" vertical="center"/>
    </xf>
    <xf numFmtId="0" fontId="25" fillId="0" borderId="8" xfId="8" applyFont="1" applyBorder="1" applyAlignment="1">
      <alignment horizontal="center" vertical="center"/>
    </xf>
    <xf numFmtId="0" fontId="25" fillId="0" borderId="10" xfId="8" applyFont="1" applyBorder="1" applyAlignment="1">
      <alignment horizontal="center" vertical="center"/>
    </xf>
    <xf numFmtId="0" fontId="25" fillId="0" borderId="6" xfId="8" applyFont="1" applyBorder="1" applyAlignment="1">
      <alignment horizontal="center" vertical="center"/>
    </xf>
    <xf numFmtId="0" fontId="25" fillId="0" borderId="5" xfId="8" applyFont="1" applyBorder="1" applyAlignment="1">
      <alignment horizontal="center" vertical="center" wrapText="1"/>
    </xf>
    <xf numFmtId="0" fontId="25" fillId="0" borderId="6" xfId="8" applyFont="1" applyBorder="1" applyAlignment="1">
      <alignment horizontal="center" vertical="center" wrapText="1"/>
    </xf>
    <xf numFmtId="0" fontId="25" fillId="0" borderId="7" xfId="8" applyFont="1" applyBorder="1" applyAlignment="1">
      <alignment horizontal="center" vertical="center" wrapText="1"/>
    </xf>
    <xf numFmtId="0" fontId="25" fillId="0" borderId="7" xfId="8" applyFont="1" applyBorder="1" applyAlignment="1">
      <alignment horizontal="center" vertical="center"/>
    </xf>
    <xf numFmtId="0" fontId="25" fillId="0" borderId="9" xfId="8" applyFont="1" applyBorder="1" applyAlignment="1">
      <alignment horizontal="center" vertical="center"/>
    </xf>
    <xf numFmtId="0" fontId="25" fillId="0" borderId="11" xfId="8" applyFont="1" applyBorder="1" applyAlignment="1">
      <alignment horizontal="center" vertical="center"/>
    </xf>
    <xf numFmtId="0" fontId="25" fillId="0" borderId="8" xfId="8" applyFont="1" applyBorder="1" applyAlignment="1">
      <alignment horizontal="center" vertical="center" wrapText="1"/>
    </xf>
    <xf numFmtId="0" fontId="25" fillId="0" borderId="0" xfId="8" applyFont="1" applyBorder="1" applyAlignment="1">
      <alignment horizontal="center" vertical="center" wrapText="1"/>
    </xf>
    <xf numFmtId="0" fontId="25" fillId="0" borderId="9" xfId="8" applyFont="1" applyBorder="1" applyAlignment="1">
      <alignment horizontal="center" vertical="center" wrapText="1"/>
    </xf>
    <xf numFmtId="0" fontId="25" fillId="0" borderId="1" xfId="8" applyFont="1" applyBorder="1" applyAlignment="1">
      <alignment horizontal="center" vertical="center"/>
    </xf>
    <xf numFmtId="0" fontId="5" fillId="0" borderId="0" xfId="12" applyFont="1" applyFill="1" applyBorder="1" applyAlignment="1">
      <alignment horizontal="center" vertical="center"/>
    </xf>
    <xf numFmtId="0" fontId="11" fillId="0" borderId="2" xfId="6" applyFont="1" applyBorder="1" applyAlignment="1">
      <alignment horizontal="center" vertical="center"/>
    </xf>
    <xf numFmtId="0" fontId="11" fillId="0" borderId="4" xfId="6" applyFont="1" applyBorder="1" applyAlignment="1">
      <alignment horizontal="center" vertical="center"/>
    </xf>
    <xf numFmtId="0" fontId="11" fillId="0" borderId="3" xfId="6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0" fontId="11" fillId="0" borderId="5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7" xfId="6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4" xfId="6" applyFont="1" applyBorder="1" applyAlignment="1">
      <alignment horizontal="center" vertical="center"/>
    </xf>
    <xf numFmtId="0" fontId="11" fillId="0" borderId="15" xfId="6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6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1" xfId="6" applyFont="1" applyBorder="1" applyAlignment="1">
      <alignment horizontal="center" vertical="center"/>
    </xf>
    <xf numFmtId="0" fontId="11" fillId="0" borderId="2" xfId="6" applyFont="1" applyBorder="1" applyAlignment="1">
      <alignment horizontal="center" vertical="center" wrapText="1"/>
    </xf>
    <xf numFmtId="0" fontId="11" fillId="0" borderId="3" xfId="6" applyFont="1" applyBorder="1" applyAlignment="1">
      <alignment horizontal="center" vertical="center" wrapText="1"/>
    </xf>
    <xf numFmtId="0" fontId="4" fillId="0" borderId="6" xfId="16" applyNumberFormat="1" applyFont="1" applyFill="1" applyBorder="1" applyAlignment="1">
      <alignment horizontal="left" vertical="center" wrapText="1"/>
    </xf>
    <xf numFmtId="0" fontId="22" fillId="0" borderId="0" xfId="16" applyFont="1" applyBorder="1" applyAlignment="1">
      <alignment horizontal="center" vertical="center"/>
    </xf>
    <xf numFmtId="0" fontId="11" fillId="0" borderId="2" xfId="16" applyFont="1" applyBorder="1" applyAlignment="1">
      <alignment horizontal="center" vertical="center"/>
    </xf>
    <xf numFmtId="0" fontId="11" fillId="0" borderId="4" xfId="16" applyFont="1" applyBorder="1" applyAlignment="1">
      <alignment horizontal="center" vertical="center"/>
    </xf>
    <xf numFmtId="0" fontId="11" fillId="0" borderId="3" xfId="16" applyFont="1" applyBorder="1" applyAlignment="1">
      <alignment horizontal="center" vertical="center"/>
    </xf>
    <xf numFmtId="0" fontId="11" fillId="0" borderId="2" xfId="16" applyFont="1" applyBorder="1" applyAlignment="1">
      <alignment horizontal="center" vertical="center" wrapText="1"/>
    </xf>
    <xf numFmtId="0" fontId="11" fillId="0" borderId="4" xfId="16" applyFont="1" applyBorder="1" applyAlignment="1">
      <alignment horizontal="center" vertical="center" wrapText="1"/>
    </xf>
    <xf numFmtId="0" fontId="11" fillId="0" borderId="3" xfId="16" applyFont="1" applyBorder="1" applyAlignment="1">
      <alignment horizontal="center" vertical="center" wrapText="1"/>
    </xf>
    <xf numFmtId="0" fontId="11" fillId="0" borderId="6" xfId="16" applyFont="1" applyFill="1" applyBorder="1" applyAlignment="1">
      <alignment horizontal="right" vertical="center"/>
    </xf>
    <xf numFmtId="0" fontId="11" fillId="0" borderId="5" xfId="16" applyFont="1" applyBorder="1" applyAlignment="1">
      <alignment horizontal="center" vertical="center" wrapText="1"/>
    </xf>
    <xf numFmtId="0" fontId="11" fillId="0" borderId="7" xfId="16" applyFont="1" applyBorder="1" applyAlignment="1">
      <alignment horizontal="center" vertical="center" wrapText="1"/>
    </xf>
    <xf numFmtId="0" fontId="11" fillId="0" borderId="8" xfId="16" applyFont="1" applyBorder="1" applyAlignment="1">
      <alignment horizontal="center" vertical="center" wrapText="1"/>
    </xf>
    <xf numFmtId="0" fontId="11" fillId="0" borderId="10" xfId="16" applyFont="1" applyBorder="1" applyAlignment="1">
      <alignment horizontal="center" vertical="center" wrapText="1"/>
    </xf>
    <xf numFmtId="0" fontId="11" fillId="0" borderId="11" xfId="16" applyFont="1" applyBorder="1" applyAlignment="1">
      <alignment horizontal="center" vertical="center" wrapText="1"/>
    </xf>
    <xf numFmtId="0" fontId="25" fillId="0" borderId="6" xfId="16" applyFont="1" applyBorder="1" applyAlignment="1">
      <alignment horizontal="center" vertical="center"/>
    </xf>
    <xf numFmtId="0" fontId="25" fillId="0" borderId="6" xfId="16" applyFont="1" applyBorder="1" applyAlignment="1">
      <alignment horizontal="right" vertical="center"/>
    </xf>
    <xf numFmtId="0" fontId="11" fillId="0" borderId="10" xfId="16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1" xfId="16" applyFont="1" applyBorder="1" applyAlignment="1">
      <alignment horizontal="center" vertical="center"/>
    </xf>
    <xf numFmtId="0" fontId="11" fillId="0" borderId="7" xfId="16" applyFont="1" applyBorder="1" applyAlignment="1">
      <alignment horizontal="center" vertical="center"/>
    </xf>
    <xf numFmtId="0" fontId="11" fillId="0" borderId="9" xfId="16" applyFont="1" applyBorder="1" applyAlignment="1">
      <alignment horizontal="center" vertical="center"/>
    </xf>
    <xf numFmtId="0" fontId="11" fillId="0" borderId="5" xfId="16" applyFont="1" applyBorder="1" applyAlignment="1">
      <alignment horizontal="center" vertical="center"/>
    </xf>
    <xf numFmtId="0" fontId="11" fillId="0" borderId="6" xfId="16" applyFont="1" applyBorder="1" applyAlignment="1">
      <alignment horizontal="center" vertical="center"/>
    </xf>
    <xf numFmtId="0" fontId="11" fillId="0" borderId="8" xfId="16" applyFont="1" applyBorder="1" applyAlignment="1">
      <alignment horizontal="center" vertical="center"/>
    </xf>
    <xf numFmtId="0" fontId="11" fillId="0" borderId="0" xfId="16" applyFont="1" applyBorder="1" applyAlignment="1">
      <alignment horizontal="center" vertical="center"/>
    </xf>
    <xf numFmtId="0" fontId="11" fillId="0" borderId="0" xfId="16" applyFont="1" applyBorder="1" applyAlignment="1">
      <alignment horizontal="center" vertical="center" wrapText="1"/>
    </xf>
    <xf numFmtId="0" fontId="11" fillId="0" borderId="0" xfId="16" applyFont="1" applyBorder="1" applyAlignment="1">
      <alignment horizontal="right" vertical="center"/>
    </xf>
    <xf numFmtId="0" fontId="11" fillId="0" borderId="0" xfId="16" applyFont="1" applyFill="1" applyBorder="1" applyAlignment="1">
      <alignment horizontal="right" vertical="center"/>
    </xf>
    <xf numFmtId="0" fontId="11" fillId="0" borderId="9" xfId="16" applyFont="1" applyFill="1" applyBorder="1" applyAlignment="1">
      <alignment horizontal="right" vertical="center"/>
    </xf>
    <xf numFmtId="0" fontId="4" fillId="0" borderId="0" xfId="16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41" fillId="0" borderId="6" xfId="7" applyFont="1" applyFill="1" applyBorder="1" applyAlignment="1">
      <alignment horizontal="right" vertical="top" wrapText="1"/>
    </xf>
    <xf numFmtId="0" fontId="41" fillId="0" borderId="6" xfId="7" applyNumberFormat="1" applyFont="1" applyFill="1" applyBorder="1" applyAlignment="1">
      <alignment horizontal="left" vertical="top" wrapText="1"/>
    </xf>
    <xf numFmtId="0" fontId="40" fillId="0" borderId="6" xfId="0" applyFont="1" applyBorder="1" applyAlignment="1">
      <alignment horizontal="center" vertical="top"/>
    </xf>
    <xf numFmtId="0" fontId="31" fillId="0" borderId="1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11" fillId="4" borderId="5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11" fillId="4" borderId="8" xfId="0" applyFont="1" applyFill="1" applyBorder="1" applyAlignment="1">
      <alignment vertical="center" wrapText="1"/>
    </xf>
    <xf numFmtId="0" fontId="11" fillId="4" borderId="9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9" fontId="11" fillId="4" borderId="8" xfId="1" applyFont="1" applyFill="1" applyBorder="1" applyAlignment="1">
      <alignment vertical="center" wrapText="1"/>
    </xf>
    <xf numFmtId="9" fontId="11" fillId="4" borderId="9" xfId="1" applyFont="1" applyFill="1" applyBorder="1" applyAlignment="1">
      <alignment vertical="center" wrapText="1"/>
    </xf>
    <xf numFmtId="9" fontId="11" fillId="3" borderId="8" xfId="1" applyFont="1" applyFill="1" applyBorder="1" applyAlignment="1">
      <alignment vertical="center" wrapText="1"/>
    </xf>
    <xf numFmtId="9" fontId="11" fillId="3" borderId="9" xfId="1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4" borderId="4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readingOrder="1"/>
    </xf>
    <xf numFmtId="0" fontId="4" fillId="4" borderId="6" xfId="0" applyFont="1" applyFill="1" applyBorder="1" applyAlignment="1">
      <alignment vertical="center" readingOrder="1"/>
    </xf>
    <xf numFmtId="0" fontId="4" fillId="4" borderId="7" xfId="0" applyFont="1" applyFill="1" applyBorder="1" applyAlignment="1">
      <alignment vertical="center" readingOrder="1"/>
    </xf>
    <xf numFmtId="0" fontId="4" fillId="4" borderId="8" xfId="0" applyFont="1" applyFill="1" applyBorder="1" applyAlignment="1">
      <alignment vertical="center" readingOrder="1"/>
    </xf>
    <xf numFmtId="0" fontId="4" fillId="4" borderId="0" xfId="0" applyFont="1" applyFill="1" applyBorder="1" applyAlignment="1">
      <alignment vertical="center" readingOrder="1"/>
    </xf>
    <xf numFmtId="0" fontId="4" fillId="4" borderId="9" xfId="0" applyFont="1" applyFill="1" applyBorder="1" applyAlignment="1">
      <alignment vertical="center" readingOrder="1"/>
    </xf>
    <xf numFmtId="0" fontId="22" fillId="0" borderId="0" xfId="0" applyFont="1" applyBorder="1" applyAlignment="1">
      <alignment vertical="center"/>
    </xf>
    <xf numFmtId="0" fontId="22" fillId="0" borderId="0" xfId="13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14" xfId="0" applyFont="1" applyBorder="1" applyAlignment="1">
      <alignment vertical="center" readingOrder="2"/>
    </xf>
    <xf numFmtId="0" fontId="11" fillId="0" borderId="12" xfId="0" applyFont="1" applyBorder="1" applyAlignment="1">
      <alignment vertical="center" readingOrder="2"/>
    </xf>
    <xf numFmtId="0" fontId="11" fillId="0" borderId="15" xfId="0" applyFont="1" applyBorder="1" applyAlignment="1">
      <alignment vertical="center" readingOrder="2"/>
    </xf>
    <xf numFmtId="0" fontId="11" fillId="0" borderId="2" xfId="0" applyFont="1" applyBorder="1" applyAlignment="1">
      <alignment vertical="center" readingOrder="2"/>
    </xf>
    <xf numFmtId="0" fontId="11" fillId="0" borderId="4" xfId="0" applyFont="1" applyBorder="1" applyAlignment="1">
      <alignment vertical="center" readingOrder="2"/>
    </xf>
    <xf numFmtId="0" fontId="11" fillId="0" borderId="3" xfId="0" applyFont="1" applyBorder="1" applyAlignment="1">
      <alignment vertical="center"/>
    </xf>
    <xf numFmtId="0" fontId="4" fillId="4" borderId="5" xfId="0" applyNumberFormat="1" applyFont="1" applyFill="1" applyBorder="1" applyAlignment="1">
      <alignment vertical="center"/>
    </xf>
    <xf numFmtId="0" fontId="4" fillId="4" borderId="6" xfId="0" applyNumberFormat="1" applyFont="1" applyFill="1" applyBorder="1" applyAlignment="1">
      <alignment vertical="center"/>
    </xf>
    <xf numFmtId="0" fontId="4" fillId="4" borderId="7" xfId="0" applyNumberFormat="1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8" xfId="0" applyNumberFormat="1" applyFont="1" applyFill="1" applyBorder="1" applyAlignment="1">
      <alignment vertical="center"/>
    </xf>
    <xf numFmtId="0" fontId="4" fillId="4" borderId="0" xfId="0" applyNumberFormat="1" applyFont="1" applyFill="1" applyBorder="1" applyAlignment="1">
      <alignment vertical="center"/>
    </xf>
    <xf numFmtId="0" fontId="4" fillId="4" borderId="9" xfId="0" applyNumberFormat="1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</cellXfs>
  <cellStyles count="20">
    <cellStyle name="Comma" xfId="17" builtinId="3"/>
    <cellStyle name="Normal" xfId="0" builtinId="0"/>
    <cellStyle name="Normal 2" xfId="2"/>
    <cellStyle name="Normal 2 2" xfId="12"/>
    <cellStyle name="Normal 3" xfId="3"/>
    <cellStyle name="Normal 3 2" xfId="11"/>
    <cellStyle name="Normal 4" xfId="5"/>
    <cellStyle name="Normal 4 2" xfId="8"/>
    <cellStyle name="Normal 4 2 2" xfId="19"/>
    <cellStyle name="Normal 4 3" xfId="18"/>
    <cellStyle name="Normal 5" xfId="9"/>
    <cellStyle name="Normal 6" xfId="6"/>
    <cellStyle name="Normal 7" xfId="16"/>
    <cellStyle name="Normal_Sheet1 2" xfId="7"/>
    <cellStyle name="Normal_Sheet2" xfId="13"/>
    <cellStyle name="Normal_Sheet3" xfId="14"/>
    <cellStyle name="Normal_Sheet4" xfId="15"/>
    <cellStyle name="Normal_Sheet5" xfId="10"/>
    <cellStyle name="Percent" xfId="1" builtinId="5"/>
    <cellStyle name="Percent 2" xfId="4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00CC"/>
      <color rgb="FF000066"/>
      <color rgb="FFCCFFFF"/>
      <color rgb="FF9900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a-IR" sz="1200"/>
              <a:t>مجموع جرایم</a:t>
            </a:r>
          </a:p>
          <a:p>
            <a:pPr>
              <a:defRPr sz="1200"/>
            </a:pPr>
            <a:r>
              <a:rPr lang="ps-AF" sz="1200" b="1" i="0" u="none" strike="noStrike" baseline="0">
                <a:effectLst/>
              </a:rPr>
              <a:t>ټول جرمونه</a:t>
            </a:r>
            <a:r>
              <a:rPr lang="fa-IR" sz="1200" b="1" i="0" u="none" strike="noStrike" baseline="0">
                <a:effectLst/>
              </a:rPr>
              <a:t>  </a:t>
            </a:r>
            <a:endParaRPr lang="fa-IR" sz="1200"/>
          </a:p>
          <a:p>
            <a:pPr>
              <a:defRPr sz="1200"/>
            </a:pPr>
            <a:r>
              <a:rPr lang="en-US" sz="1200"/>
              <a:t>Total Crimes</a:t>
            </a:r>
          </a:p>
        </c:rich>
      </c:tx>
      <c:layout>
        <c:manualLayout>
          <c:xMode val="edge"/>
          <c:yMode val="edge"/>
          <c:x val="0.35055080208836731"/>
          <c:y val="1.5005732639571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205776173285197"/>
          <c:y val="8.2805272063410568E-2"/>
          <c:w val="0.7294344163658335"/>
          <c:h val="0.8359123271541096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00CC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</c:spPr>
          </c:dPt>
          <c:dLbls>
            <c:dLbl>
              <c:idx val="2"/>
              <c:layout>
                <c:manualLayout>
                  <c:x val="0"/>
                  <c:y val="2.29885078277224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'جرایم وقعات4-40'!$P$7:$R$8</c:f>
              <c:multiLvlStrCache>
                <c:ptCount val="3"/>
                <c:lvl>
                  <c:pt idx="0">
                    <c:v>1390</c:v>
                  </c:pt>
                  <c:pt idx="1">
                    <c:v>1391</c:v>
                  </c:pt>
                  <c:pt idx="2">
                    <c:v>1392</c:v>
                  </c:pt>
                </c:lvl>
                <c:lvl>
                  <c:pt idx="0">
                    <c:v>2011-12</c:v>
                  </c:pt>
                  <c:pt idx="1">
                    <c:v>2012-13</c:v>
                  </c:pt>
                  <c:pt idx="2">
                    <c:v>2013-14</c:v>
                  </c:pt>
                </c:lvl>
              </c:multiLvlStrCache>
            </c:multiLvlStrRef>
          </c:cat>
          <c:val>
            <c:numRef>
              <c:f>'جرایم وقعات4-40'!$P$9:$R$9</c:f>
              <c:numCache>
                <c:formatCode>General</c:formatCode>
                <c:ptCount val="3"/>
                <c:pt idx="0">
                  <c:v>6929</c:v>
                </c:pt>
                <c:pt idx="1">
                  <c:v>15593</c:v>
                </c:pt>
                <c:pt idx="2">
                  <c:v>27122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0528"/>
        <c:axId val="52472064"/>
      </c:barChart>
      <c:catAx>
        <c:axId val="5247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</c:spPr>
        <c:crossAx val="52472064"/>
        <c:crosses val="autoZero"/>
        <c:auto val="1"/>
        <c:lblAlgn val="ctr"/>
        <c:lblOffset val="0"/>
        <c:noMultiLvlLbl val="0"/>
      </c:catAx>
      <c:valAx>
        <c:axId val="524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70528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0420674801255E-2"/>
          <c:y val="3.0515999060886451E-2"/>
          <c:w val="0.9131653957390925"/>
          <c:h val="0.81193308758195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'حوادث ترفیکی4-41'!$S$26</c:f>
              <c:strCache>
                <c:ptCount val="1"/>
                <c:pt idx="0">
                  <c:v>2015-16 - 1394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'حوادث ترفیکی4-41'!$R$27:$R$30</c:f>
              <c:strCache>
                <c:ptCount val="4"/>
                <c:pt idx="0">
                  <c:v>Bus-بس</c:v>
                </c:pt>
                <c:pt idx="1">
                  <c:v>لاری- Truck</c:v>
                </c:pt>
                <c:pt idx="2">
                  <c:v>تیز رفتار / ګړندی موټر- Car</c:v>
                </c:pt>
                <c:pt idx="3">
                  <c:v>موټر سایکل -Motorcycle </c:v>
                </c:pt>
              </c:strCache>
            </c:strRef>
          </c:cat>
          <c:val>
            <c:numRef>
              <c:f>'حوادث ترفیکی4-41'!$S$27:$S$30</c:f>
              <c:numCache>
                <c:formatCode>General</c:formatCode>
                <c:ptCount val="4"/>
                <c:pt idx="0">
                  <c:v>235</c:v>
                </c:pt>
                <c:pt idx="1">
                  <c:v>360</c:v>
                </c:pt>
                <c:pt idx="2">
                  <c:v>1169</c:v>
                </c:pt>
                <c:pt idx="3">
                  <c:v>1163</c:v>
                </c:pt>
              </c:numCache>
            </c:numRef>
          </c:val>
        </c:ser>
        <c:ser>
          <c:idx val="1"/>
          <c:order val="1"/>
          <c:tx>
            <c:strRef>
              <c:f>'حوادث ترفیکی4-41'!$T$26</c:f>
              <c:strCache>
                <c:ptCount val="1"/>
                <c:pt idx="0">
                  <c:v>2016-17 - 1395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'حوادث ترفیکی4-41'!$R$27:$R$30</c:f>
              <c:strCache>
                <c:ptCount val="4"/>
                <c:pt idx="0">
                  <c:v>Bus-بس</c:v>
                </c:pt>
                <c:pt idx="1">
                  <c:v>لاری- Truck</c:v>
                </c:pt>
                <c:pt idx="2">
                  <c:v>تیز رفتار / ګړندی موټر- Car</c:v>
                </c:pt>
                <c:pt idx="3">
                  <c:v>موټر سایکل -Motorcycle </c:v>
                </c:pt>
              </c:strCache>
            </c:strRef>
          </c:cat>
          <c:val>
            <c:numRef>
              <c:f>'حوادث ترفیکی4-41'!$T$27:$T$30</c:f>
              <c:numCache>
                <c:formatCode>General</c:formatCode>
                <c:ptCount val="4"/>
                <c:pt idx="0">
                  <c:v>348</c:v>
                </c:pt>
                <c:pt idx="1">
                  <c:v>403</c:v>
                </c:pt>
                <c:pt idx="2">
                  <c:v>1048</c:v>
                </c:pt>
                <c:pt idx="3">
                  <c:v>1290</c:v>
                </c:pt>
              </c:numCache>
            </c:numRef>
          </c:val>
        </c:ser>
        <c:ser>
          <c:idx val="2"/>
          <c:order val="2"/>
          <c:tx>
            <c:strRef>
              <c:f>'حوادث ترفیکی4-41'!$U$26</c:f>
              <c:strCache>
                <c:ptCount val="1"/>
                <c:pt idx="0">
                  <c:v>2017-18 - 1396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'حوادث ترفیکی4-41'!$R$27:$R$30</c:f>
              <c:strCache>
                <c:ptCount val="4"/>
                <c:pt idx="0">
                  <c:v>Bus-بس</c:v>
                </c:pt>
                <c:pt idx="1">
                  <c:v>لاری- Truck</c:v>
                </c:pt>
                <c:pt idx="2">
                  <c:v>تیز رفتار / ګړندی موټر- Car</c:v>
                </c:pt>
                <c:pt idx="3">
                  <c:v>موټر سایکل -Motorcycle </c:v>
                </c:pt>
              </c:strCache>
            </c:strRef>
          </c:cat>
          <c:val>
            <c:numRef>
              <c:f>'حوادث ترفیکی4-41'!$U$27:$U$30</c:f>
              <c:numCache>
                <c:formatCode>General</c:formatCode>
                <c:ptCount val="4"/>
                <c:pt idx="0">
                  <c:v>269</c:v>
                </c:pt>
                <c:pt idx="1">
                  <c:v>443</c:v>
                </c:pt>
                <c:pt idx="2">
                  <c:v>1498</c:v>
                </c:pt>
                <c:pt idx="3">
                  <c:v>1031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5027584"/>
        <c:axId val="75029120"/>
      </c:barChart>
      <c:catAx>
        <c:axId val="7502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75029120"/>
        <c:crosses val="autoZero"/>
        <c:auto val="1"/>
        <c:lblAlgn val="ctr"/>
        <c:lblOffset val="100"/>
        <c:noMultiLvlLbl val="0"/>
      </c:catAx>
      <c:valAx>
        <c:axId val="75029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5027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5682804500922605E-3"/>
          <c:y val="0.93203084380081813"/>
          <c:w val="0.9536589485720226"/>
          <c:h val="5.175841830851799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238126</xdr:colOff>
      <xdr:row>7</xdr:row>
      <xdr:rowOff>176893</xdr:rowOff>
    </xdr:from>
    <xdr:to>
      <xdr:col>20</xdr:col>
      <xdr:colOff>1084490</xdr:colOff>
      <xdr:row>30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152400</xdr:rowOff>
    </xdr:from>
    <xdr:to>
      <xdr:col>12</xdr:col>
      <xdr:colOff>457200</xdr:colOff>
      <xdr:row>40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0" y="1219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0" y="1006792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</xdr:col>
      <xdr:colOff>9525</xdr:colOff>
      <xdr:row>37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0" y="1006792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us.f202.mail.yahoo.com/y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us.f202.mail.yahoo.com/y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us.f202.mail.yahoo.com/y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us.f202.mail.yahoo.com/y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Q80"/>
  <sheetViews>
    <sheetView view="pageBreakPreview" topLeftCell="A59" zoomScale="80" zoomScaleSheetLayoutView="80" workbookViewId="0">
      <selection activeCell="B67" sqref="B67:B79"/>
    </sheetView>
  </sheetViews>
  <sheetFormatPr defaultRowHeight="15.75"/>
  <cols>
    <col min="1" max="1" width="6.42578125" style="410" customWidth="1"/>
    <col min="2" max="2" width="25.85546875" customWidth="1"/>
    <col min="3" max="3" width="10.140625" customWidth="1"/>
    <col min="4" max="4" width="10.42578125" customWidth="1"/>
    <col min="5" max="5" width="10" customWidth="1"/>
    <col min="6" max="6" width="10.42578125" customWidth="1"/>
    <col min="7" max="7" width="10.140625" customWidth="1"/>
    <col min="8" max="8" width="33.140625" customWidth="1"/>
    <col min="9" max="9" width="7.7109375" style="424" customWidth="1"/>
    <col min="11" max="11" width="9.7109375" bestFit="1" customWidth="1"/>
    <col min="13" max="13" width="10.85546875" bestFit="1" customWidth="1"/>
  </cols>
  <sheetData>
    <row r="1" spans="1:17" ht="20.100000000000001" customHeight="1">
      <c r="A1" s="663" t="s">
        <v>401</v>
      </c>
      <c r="B1" s="663"/>
      <c r="C1" s="663"/>
      <c r="D1" s="663"/>
      <c r="E1" s="663"/>
      <c r="F1" s="663"/>
      <c r="G1" s="663"/>
      <c r="H1" s="663"/>
      <c r="I1" s="663"/>
    </row>
    <row r="2" spans="1:17" ht="20.100000000000001" hidden="1" customHeight="1">
      <c r="A2" s="670" t="s">
        <v>402</v>
      </c>
      <c r="B2" s="670"/>
      <c r="C2" s="670"/>
      <c r="D2" s="670"/>
      <c r="E2" s="670"/>
      <c r="F2" s="670"/>
      <c r="G2" s="670"/>
      <c r="H2" s="670"/>
      <c r="I2" s="670"/>
    </row>
    <row r="3" spans="1:17" ht="20.100000000000001" hidden="1" customHeight="1">
      <c r="A3" s="664" t="s">
        <v>403</v>
      </c>
      <c r="B3" s="664"/>
      <c r="C3" s="664"/>
      <c r="D3" s="664"/>
      <c r="E3" s="664"/>
      <c r="F3" s="664"/>
      <c r="G3" s="664"/>
      <c r="H3" s="664"/>
      <c r="I3" s="664"/>
    </row>
    <row r="4" spans="1:17" ht="20.100000000000001" customHeight="1">
      <c r="A4" s="671" t="s">
        <v>633</v>
      </c>
      <c r="B4" s="671" t="s">
        <v>221</v>
      </c>
      <c r="C4" s="671" t="s">
        <v>0</v>
      </c>
      <c r="D4" s="525">
        <v>1396</v>
      </c>
      <c r="E4" s="525">
        <v>1395</v>
      </c>
      <c r="F4" s="525">
        <v>1394</v>
      </c>
      <c r="G4" s="525" t="s">
        <v>1</v>
      </c>
      <c r="H4" s="671" t="s">
        <v>222</v>
      </c>
      <c r="I4" s="671" t="s">
        <v>632</v>
      </c>
      <c r="M4" s="694" t="s">
        <v>7</v>
      </c>
      <c r="N4" s="694"/>
    </row>
    <row r="5" spans="1:17" ht="20.100000000000001" customHeight="1">
      <c r="A5" s="672"/>
      <c r="B5" s="668"/>
      <c r="C5" s="668"/>
      <c r="D5" s="65" t="s">
        <v>561</v>
      </c>
      <c r="E5" s="65" t="s">
        <v>459</v>
      </c>
      <c r="F5" s="65" t="s">
        <v>449</v>
      </c>
      <c r="G5" s="524" t="s">
        <v>316</v>
      </c>
      <c r="H5" s="668"/>
      <c r="I5" s="672"/>
      <c r="M5">
        <v>95</v>
      </c>
      <c r="N5">
        <v>94</v>
      </c>
    </row>
    <row r="6" spans="1:17" s="55" customFormat="1" ht="36" customHeight="1">
      <c r="A6" s="641">
        <v>1</v>
      </c>
      <c r="B6" s="634" t="s">
        <v>2</v>
      </c>
      <c r="C6" s="366" t="s">
        <v>3</v>
      </c>
      <c r="D6" s="264">
        <v>82</v>
      </c>
      <c r="E6" s="265">
        <v>82</v>
      </c>
      <c r="F6" s="266">
        <v>82</v>
      </c>
      <c r="G6" s="367" t="s">
        <v>4</v>
      </c>
      <c r="H6" s="393" t="s">
        <v>490</v>
      </c>
      <c r="I6" s="532">
        <v>1</v>
      </c>
      <c r="M6" s="55">
        <f>D8+D11</f>
        <v>1336</v>
      </c>
      <c r="N6" s="55">
        <f>E8+E11</f>
        <v>1310</v>
      </c>
    </row>
    <row r="7" spans="1:17" s="55" customFormat="1" ht="36" customHeight="1">
      <c r="A7" s="637">
        <v>2</v>
      </c>
      <c r="B7" s="633" t="s">
        <v>5</v>
      </c>
      <c r="C7" s="157" t="s">
        <v>10</v>
      </c>
      <c r="D7" s="250">
        <v>500000</v>
      </c>
      <c r="E7" s="251">
        <v>301175</v>
      </c>
      <c r="F7" s="84">
        <v>295353</v>
      </c>
      <c r="G7" s="531" t="s">
        <v>536</v>
      </c>
      <c r="H7" s="517" t="s">
        <v>491</v>
      </c>
      <c r="I7" s="524">
        <v>2</v>
      </c>
      <c r="Q7" s="55">
        <v>1000</v>
      </c>
    </row>
    <row r="8" spans="1:17" ht="36" customHeight="1">
      <c r="A8" s="889">
        <v>3</v>
      </c>
      <c r="B8" s="908" t="s">
        <v>435</v>
      </c>
      <c r="C8" s="889" t="s">
        <v>6</v>
      </c>
      <c r="D8" s="909">
        <f>18+19+834</f>
        <v>871</v>
      </c>
      <c r="E8" s="910">
        <f>18+834</f>
        <v>852</v>
      </c>
      <c r="F8" s="911">
        <v>834</v>
      </c>
      <c r="G8" s="687" t="s">
        <v>7</v>
      </c>
      <c r="H8" s="514" t="s">
        <v>8</v>
      </c>
      <c r="I8" s="658">
        <v>3</v>
      </c>
      <c r="M8" s="694" t="s">
        <v>556</v>
      </c>
      <c r="N8" s="694"/>
      <c r="P8" s="55"/>
      <c r="Q8" s="55">
        <v>20000</v>
      </c>
    </row>
    <row r="9" spans="1:17" ht="36" hidden="1" customHeight="1">
      <c r="A9" s="889"/>
      <c r="B9" s="908"/>
      <c r="C9" s="889"/>
      <c r="D9" s="909"/>
      <c r="E9" s="910"/>
      <c r="F9" s="911"/>
      <c r="G9" s="687"/>
      <c r="H9" s="368" t="s">
        <v>631</v>
      </c>
      <c r="I9" s="658"/>
      <c r="J9">
        <f>D8+D11</f>
        <v>1336</v>
      </c>
      <c r="M9">
        <v>95</v>
      </c>
      <c r="N9">
        <v>94</v>
      </c>
      <c r="P9" s="55"/>
      <c r="Q9" s="55">
        <v>3500</v>
      </c>
    </row>
    <row r="10" spans="1:17" ht="36" customHeight="1">
      <c r="A10" s="637">
        <v>4</v>
      </c>
      <c r="B10" s="633" t="s">
        <v>9</v>
      </c>
      <c r="C10" s="646" t="s">
        <v>10</v>
      </c>
      <c r="D10" s="250">
        <f>873730+165000+41000</f>
        <v>1079730</v>
      </c>
      <c r="E10" s="251">
        <f>873730+165000</f>
        <v>1038730</v>
      </c>
      <c r="F10" s="84">
        <v>8737300</v>
      </c>
      <c r="G10" s="531" t="s">
        <v>11</v>
      </c>
      <c r="H10" s="517" t="s">
        <v>492</v>
      </c>
      <c r="I10" s="524">
        <v>4</v>
      </c>
      <c r="J10">
        <f>D10+D13</f>
        <v>1574180</v>
      </c>
      <c r="M10">
        <f>D10+D13</f>
        <v>1574180</v>
      </c>
      <c r="N10">
        <f>E10+E13</f>
        <v>1527180</v>
      </c>
      <c r="P10" s="55"/>
      <c r="Q10" s="55">
        <v>16500</v>
      </c>
    </row>
    <row r="11" spans="1:17" ht="36" customHeight="1">
      <c r="A11" s="889">
        <v>5</v>
      </c>
      <c r="B11" s="908" t="s">
        <v>436</v>
      </c>
      <c r="C11" s="889" t="s">
        <v>6</v>
      </c>
      <c r="D11" s="909">
        <f>7+458</f>
        <v>465</v>
      </c>
      <c r="E11" s="910">
        <v>458</v>
      </c>
      <c r="F11" s="911">
        <v>452</v>
      </c>
      <c r="G11" s="687" t="s">
        <v>7</v>
      </c>
      <c r="H11" s="514" t="s">
        <v>317</v>
      </c>
      <c r="I11" s="658">
        <v>5</v>
      </c>
      <c r="P11" s="55"/>
      <c r="Q11" s="55">
        <f>SUM(Q7:Q10)</f>
        <v>41000</v>
      </c>
    </row>
    <row r="12" spans="1:17" ht="36" hidden="1" customHeight="1">
      <c r="A12" s="889"/>
      <c r="B12" s="908"/>
      <c r="C12" s="889"/>
      <c r="D12" s="909"/>
      <c r="E12" s="910"/>
      <c r="F12" s="911"/>
      <c r="G12" s="687"/>
      <c r="H12" s="368" t="s">
        <v>318</v>
      </c>
      <c r="I12" s="658"/>
      <c r="P12" s="55"/>
      <c r="Q12" s="55"/>
    </row>
    <row r="13" spans="1:17" ht="36" customHeight="1">
      <c r="A13" s="637">
        <v>6</v>
      </c>
      <c r="B13" s="633" t="s">
        <v>9</v>
      </c>
      <c r="C13" s="646" t="s">
        <v>10</v>
      </c>
      <c r="D13" s="154">
        <f>6000+482450+6000</f>
        <v>494450</v>
      </c>
      <c r="E13" s="153">
        <f>6000+482450</f>
        <v>488450</v>
      </c>
      <c r="F13" s="168">
        <v>482450</v>
      </c>
      <c r="G13" s="531" t="s">
        <v>11</v>
      </c>
      <c r="H13" s="517" t="s">
        <v>492</v>
      </c>
      <c r="I13" s="524">
        <v>6</v>
      </c>
      <c r="P13" s="55"/>
      <c r="Q13" s="55"/>
    </row>
    <row r="14" spans="1:17" ht="36" customHeight="1">
      <c r="A14" s="642">
        <v>7</v>
      </c>
      <c r="B14" s="628" t="s">
        <v>12</v>
      </c>
      <c r="C14" s="639" t="s">
        <v>3</v>
      </c>
      <c r="D14" s="635">
        <v>4</v>
      </c>
      <c r="E14" s="636">
        <v>4</v>
      </c>
      <c r="F14" s="268">
        <v>4</v>
      </c>
      <c r="G14" s="519" t="s">
        <v>4</v>
      </c>
      <c r="H14" s="514" t="s">
        <v>493</v>
      </c>
      <c r="I14" s="533">
        <v>7</v>
      </c>
      <c r="P14" s="55"/>
      <c r="Q14" s="55"/>
    </row>
    <row r="15" spans="1:17" ht="36" customHeight="1">
      <c r="A15" s="637">
        <v>8</v>
      </c>
      <c r="B15" s="633" t="s">
        <v>13</v>
      </c>
      <c r="C15" s="646" t="s">
        <v>14</v>
      </c>
      <c r="D15" s="250">
        <v>16061</v>
      </c>
      <c r="E15" s="251">
        <v>45518</v>
      </c>
      <c r="F15" s="84">
        <v>18965</v>
      </c>
      <c r="G15" s="531" t="s">
        <v>15</v>
      </c>
      <c r="H15" s="517" t="s">
        <v>494</v>
      </c>
      <c r="I15" s="524">
        <v>8</v>
      </c>
      <c r="P15" s="55"/>
      <c r="Q15" s="55"/>
    </row>
    <row r="16" spans="1:17" ht="36" customHeight="1">
      <c r="A16" s="642">
        <v>9</v>
      </c>
      <c r="B16" s="628" t="s">
        <v>16</v>
      </c>
      <c r="C16" s="639" t="s">
        <v>10</v>
      </c>
      <c r="D16" s="635">
        <v>6633</v>
      </c>
      <c r="E16" s="636">
        <v>6608</v>
      </c>
      <c r="F16" s="268">
        <v>6583</v>
      </c>
      <c r="G16" s="519" t="s">
        <v>17</v>
      </c>
      <c r="H16" s="514" t="s">
        <v>495</v>
      </c>
      <c r="I16" s="533">
        <v>9</v>
      </c>
      <c r="J16" s="18"/>
      <c r="Q16" s="55"/>
    </row>
    <row r="17" spans="1:17" ht="36" customHeight="1">
      <c r="A17" s="637">
        <v>10</v>
      </c>
      <c r="B17" s="633" t="s">
        <v>18</v>
      </c>
      <c r="C17" s="646" t="s">
        <v>19</v>
      </c>
      <c r="D17" s="250">
        <v>50485</v>
      </c>
      <c r="E17" s="251">
        <v>50477</v>
      </c>
      <c r="F17" s="84">
        <v>50474</v>
      </c>
      <c r="G17" s="531" t="s">
        <v>20</v>
      </c>
      <c r="H17" s="517" t="s">
        <v>496</v>
      </c>
      <c r="I17" s="524">
        <v>10</v>
      </c>
      <c r="Q17" s="55"/>
    </row>
    <row r="18" spans="1:17" ht="36" customHeight="1">
      <c r="A18" s="642">
        <v>11</v>
      </c>
      <c r="B18" s="628" t="s">
        <v>21</v>
      </c>
      <c r="C18" s="639" t="s">
        <v>19</v>
      </c>
      <c r="D18" s="635">
        <v>53270</v>
      </c>
      <c r="E18" s="636">
        <v>52270</v>
      </c>
      <c r="F18" s="268">
        <v>53144</v>
      </c>
      <c r="G18" s="519" t="s">
        <v>20</v>
      </c>
      <c r="H18" s="514" t="s">
        <v>497</v>
      </c>
      <c r="I18" s="533">
        <v>11</v>
      </c>
      <c r="Q18" s="55"/>
    </row>
    <row r="19" spans="1:17" ht="36" customHeight="1">
      <c r="A19" s="640">
        <v>12</v>
      </c>
      <c r="B19" s="638" t="s">
        <v>22</v>
      </c>
      <c r="C19" s="644" t="s">
        <v>23</v>
      </c>
      <c r="D19" s="155">
        <v>1210</v>
      </c>
      <c r="E19" s="158">
        <v>1210</v>
      </c>
      <c r="F19" s="10">
        <v>1210</v>
      </c>
      <c r="G19" s="156" t="s">
        <v>20</v>
      </c>
      <c r="H19" s="521" t="s">
        <v>498</v>
      </c>
      <c r="I19" s="528">
        <v>12</v>
      </c>
      <c r="Q19" s="55"/>
    </row>
    <row r="20" spans="1:17" ht="20.100000000000001" customHeight="1">
      <c r="A20" s="674" t="s">
        <v>24</v>
      </c>
      <c r="B20" s="674"/>
      <c r="C20" s="674"/>
      <c r="D20" s="686" t="s">
        <v>319</v>
      </c>
      <c r="E20" s="686"/>
      <c r="F20" s="686"/>
      <c r="G20" s="673" t="s">
        <v>25</v>
      </c>
      <c r="H20" s="673"/>
      <c r="I20" s="673"/>
      <c r="Q20" s="55"/>
    </row>
    <row r="21" spans="1:17" ht="20.100000000000001" hidden="1" customHeight="1">
      <c r="A21" s="663" t="s">
        <v>404</v>
      </c>
      <c r="B21" s="663"/>
      <c r="C21" s="663"/>
      <c r="D21" s="663"/>
      <c r="E21" s="663"/>
      <c r="F21" s="663"/>
      <c r="G21" s="663"/>
      <c r="H21" s="663"/>
      <c r="I21" s="663"/>
      <c r="Q21" s="55"/>
    </row>
    <row r="22" spans="1:17" ht="20.100000000000001" hidden="1" customHeight="1">
      <c r="A22" s="684" t="s">
        <v>405</v>
      </c>
      <c r="B22" s="684"/>
      <c r="C22" s="684"/>
      <c r="D22" s="684"/>
      <c r="E22" s="684"/>
      <c r="F22" s="684"/>
      <c r="G22" s="684"/>
      <c r="H22" s="684"/>
      <c r="I22" s="684"/>
      <c r="Q22" s="55"/>
    </row>
    <row r="23" spans="1:17" ht="20.100000000000001" hidden="1" customHeight="1">
      <c r="A23" s="685" t="s">
        <v>505</v>
      </c>
      <c r="B23" s="685"/>
      <c r="C23" s="685"/>
      <c r="D23" s="685"/>
      <c r="E23" s="685"/>
      <c r="F23" s="685"/>
      <c r="G23" s="685"/>
      <c r="H23" s="685"/>
      <c r="I23" s="685"/>
      <c r="Q23" s="55"/>
    </row>
    <row r="24" spans="1:17" ht="20.100000000000001" customHeight="1">
      <c r="A24" s="671" t="s">
        <v>633</v>
      </c>
      <c r="B24" s="671" t="s">
        <v>221</v>
      </c>
      <c r="C24" s="671" t="s">
        <v>0</v>
      </c>
      <c r="D24" s="525">
        <v>1396</v>
      </c>
      <c r="E24" s="525">
        <v>1395</v>
      </c>
      <c r="F24" s="525">
        <v>1394</v>
      </c>
      <c r="G24" s="525" t="s">
        <v>1</v>
      </c>
      <c r="H24" s="671" t="s">
        <v>222</v>
      </c>
      <c r="I24" s="671" t="s">
        <v>632</v>
      </c>
      <c r="Q24" s="55"/>
    </row>
    <row r="25" spans="1:17" ht="20.100000000000001" customHeight="1">
      <c r="A25" s="672"/>
      <c r="B25" s="668"/>
      <c r="C25" s="668"/>
      <c r="D25" s="65" t="s">
        <v>561</v>
      </c>
      <c r="E25" s="65" t="s">
        <v>459</v>
      </c>
      <c r="F25" s="65" t="s">
        <v>449</v>
      </c>
      <c r="G25" s="524" t="s">
        <v>316</v>
      </c>
      <c r="H25" s="668"/>
      <c r="I25" s="672"/>
      <c r="Q25" s="55"/>
    </row>
    <row r="26" spans="1:17" ht="27.95" customHeight="1">
      <c r="A26" s="616">
        <v>1</v>
      </c>
      <c r="B26" s="634" t="s">
        <v>416</v>
      </c>
      <c r="C26" s="366" t="s">
        <v>3</v>
      </c>
      <c r="D26" s="369">
        <f>D28+D29</f>
        <v>2</v>
      </c>
      <c r="E26" s="370">
        <f>E28+E29</f>
        <v>3</v>
      </c>
      <c r="F26" s="371">
        <f>F28+F29</f>
        <v>253</v>
      </c>
      <c r="G26" s="367" t="s">
        <v>4</v>
      </c>
      <c r="H26" s="393" t="s">
        <v>499</v>
      </c>
      <c r="I26" s="665">
        <v>1</v>
      </c>
      <c r="Q26" s="55"/>
    </row>
    <row r="27" spans="1:17" ht="27.95" hidden="1" customHeight="1">
      <c r="A27" s="889"/>
      <c r="B27" s="628" t="s">
        <v>26</v>
      </c>
      <c r="C27" s="639"/>
      <c r="D27" s="342"/>
      <c r="E27" s="343"/>
      <c r="F27" s="344"/>
      <c r="G27" s="519"/>
      <c r="H27" s="514" t="s">
        <v>500</v>
      </c>
      <c r="I27" s="658"/>
    </row>
    <row r="28" spans="1:17" ht="27.95" customHeight="1">
      <c r="A28" s="643">
        <v>2</v>
      </c>
      <c r="B28" s="629" t="s">
        <v>27</v>
      </c>
      <c r="C28" s="411" t="s">
        <v>3</v>
      </c>
      <c r="D28" s="412">
        <v>1</v>
      </c>
      <c r="E28" s="413">
        <v>1</v>
      </c>
      <c r="F28" s="414">
        <v>1</v>
      </c>
      <c r="G28" s="415" t="s">
        <v>4</v>
      </c>
      <c r="H28" s="518" t="s">
        <v>28</v>
      </c>
      <c r="I28" s="527">
        <v>2</v>
      </c>
    </row>
    <row r="29" spans="1:17" ht="27.95" customHeight="1">
      <c r="A29" s="642">
        <v>3</v>
      </c>
      <c r="B29" s="628" t="s">
        <v>29</v>
      </c>
      <c r="C29" s="639" t="s">
        <v>3</v>
      </c>
      <c r="D29" s="342">
        <v>1</v>
      </c>
      <c r="E29" s="343">
        <v>2</v>
      </c>
      <c r="F29" s="344">
        <v>252</v>
      </c>
      <c r="G29" s="519" t="s">
        <v>4</v>
      </c>
      <c r="H29" s="514" t="s">
        <v>30</v>
      </c>
      <c r="I29" s="492">
        <v>3</v>
      </c>
      <c r="P29" s="26"/>
    </row>
    <row r="30" spans="1:17" ht="27.95" customHeight="1">
      <c r="A30" s="643">
        <v>4</v>
      </c>
      <c r="B30" s="416" t="s">
        <v>31</v>
      </c>
      <c r="C30" s="411" t="s">
        <v>32</v>
      </c>
      <c r="D30" s="412">
        <f>D33+D36</f>
        <v>4</v>
      </c>
      <c r="E30" s="413">
        <f>E31+E33+E34</f>
        <v>55</v>
      </c>
      <c r="F30" s="414">
        <f>F31+F33+F34</f>
        <v>23</v>
      </c>
      <c r="G30" s="415" t="s">
        <v>33</v>
      </c>
      <c r="H30" s="518" t="s">
        <v>501</v>
      </c>
      <c r="I30" s="527">
        <v>4</v>
      </c>
      <c r="P30" s="26"/>
    </row>
    <row r="31" spans="1:17" ht="32.1" customHeight="1">
      <c r="A31" s="642">
        <v>5</v>
      </c>
      <c r="B31" s="628" t="s">
        <v>34</v>
      </c>
      <c r="C31" s="639" t="s">
        <v>32</v>
      </c>
      <c r="D31" s="342" t="s">
        <v>35</v>
      </c>
      <c r="E31" s="343">
        <v>5</v>
      </c>
      <c r="F31" s="344">
        <v>7</v>
      </c>
      <c r="G31" s="519" t="s">
        <v>33</v>
      </c>
      <c r="H31" s="514" t="s">
        <v>502</v>
      </c>
      <c r="I31" s="492">
        <v>5</v>
      </c>
      <c r="P31" s="26"/>
    </row>
    <row r="32" spans="1:17" ht="30" hidden="1" customHeight="1">
      <c r="A32" s="643">
        <v>6</v>
      </c>
      <c r="B32" s="629" t="s">
        <v>26</v>
      </c>
      <c r="C32" s="411"/>
      <c r="D32" s="412"/>
      <c r="E32" s="413"/>
      <c r="F32" s="414"/>
      <c r="G32" s="415"/>
      <c r="H32" s="518" t="s">
        <v>500</v>
      </c>
      <c r="I32" s="527">
        <v>6</v>
      </c>
      <c r="P32" s="26"/>
    </row>
    <row r="33" spans="1:16" ht="30" customHeight="1">
      <c r="A33" s="642">
        <v>7</v>
      </c>
      <c r="B33" s="628" t="s">
        <v>36</v>
      </c>
      <c r="C33" s="639" t="s">
        <v>32</v>
      </c>
      <c r="D33" s="342">
        <v>2</v>
      </c>
      <c r="E33" s="343">
        <v>29</v>
      </c>
      <c r="F33" s="344">
        <v>6</v>
      </c>
      <c r="G33" s="519" t="s">
        <v>33</v>
      </c>
      <c r="H33" s="514" t="s">
        <v>504</v>
      </c>
      <c r="I33" s="492">
        <v>7</v>
      </c>
      <c r="P33" s="26"/>
    </row>
    <row r="34" spans="1:16" ht="30" customHeight="1">
      <c r="A34" s="897">
        <v>8</v>
      </c>
      <c r="B34" s="629" t="s">
        <v>37</v>
      </c>
      <c r="C34" s="411" t="s">
        <v>32</v>
      </c>
      <c r="D34" s="412">
        <f>D36</f>
        <v>2</v>
      </c>
      <c r="E34" s="413">
        <v>21</v>
      </c>
      <c r="F34" s="414">
        <v>10</v>
      </c>
      <c r="G34" s="415" t="s">
        <v>33</v>
      </c>
      <c r="H34" s="518" t="s">
        <v>503</v>
      </c>
      <c r="I34" s="657">
        <v>8</v>
      </c>
      <c r="P34" s="26"/>
    </row>
    <row r="35" spans="1:16" ht="30" hidden="1" customHeight="1">
      <c r="A35" s="897"/>
      <c r="B35" s="633" t="s">
        <v>26</v>
      </c>
      <c r="C35" s="646"/>
      <c r="D35" s="204"/>
      <c r="E35" s="149"/>
      <c r="F35" s="150"/>
      <c r="G35" s="531"/>
      <c r="H35" s="517" t="s">
        <v>500</v>
      </c>
      <c r="I35" s="657"/>
      <c r="P35" s="26"/>
    </row>
    <row r="36" spans="1:16" ht="30" customHeight="1">
      <c r="A36" s="481">
        <v>9</v>
      </c>
      <c r="B36" s="372" t="s">
        <v>38</v>
      </c>
      <c r="C36" s="373" t="s">
        <v>32</v>
      </c>
      <c r="D36" s="374">
        <v>2</v>
      </c>
      <c r="E36" s="375">
        <v>21</v>
      </c>
      <c r="F36" s="376">
        <v>10</v>
      </c>
      <c r="G36" s="377" t="s">
        <v>33</v>
      </c>
      <c r="H36" s="378" t="s">
        <v>504</v>
      </c>
      <c r="I36" s="493">
        <v>9</v>
      </c>
      <c r="P36" s="26"/>
    </row>
    <row r="37" spans="1:16" ht="27.95" customHeight="1">
      <c r="A37" s="674" t="s">
        <v>24</v>
      </c>
      <c r="B37" s="674"/>
      <c r="C37" s="674"/>
      <c r="D37" s="686" t="s">
        <v>319</v>
      </c>
      <c r="E37" s="686"/>
      <c r="F37" s="686"/>
      <c r="G37" s="673" t="s">
        <v>25</v>
      </c>
      <c r="H37" s="673"/>
      <c r="I37" s="673"/>
      <c r="P37" s="26"/>
    </row>
    <row r="38" spans="1:16" ht="31.5" hidden="1" customHeight="1">
      <c r="A38" s="676" t="s">
        <v>540</v>
      </c>
      <c r="B38" s="676"/>
      <c r="C38" s="676"/>
      <c r="D38" s="676"/>
      <c r="E38" s="675" t="s">
        <v>630</v>
      </c>
      <c r="F38" s="675"/>
      <c r="G38" s="675"/>
      <c r="H38" s="675"/>
      <c r="I38" s="675"/>
      <c r="P38" s="26"/>
    </row>
    <row r="39" spans="1:16" ht="31.5" hidden="1" customHeight="1">
      <c r="A39" s="676"/>
      <c r="B39" s="676"/>
      <c r="C39" s="676"/>
      <c r="D39" s="676"/>
      <c r="E39" s="675" t="s">
        <v>629</v>
      </c>
      <c r="F39" s="675"/>
      <c r="G39" s="675"/>
      <c r="H39" s="675"/>
      <c r="I39" s="675"/>
      <c r="P39" s="26"/>
    </row>
    <row r="40" spans="1:16" ht="21.95" hidden="1" customHeight="1">
      <c r="A40" s="663" t="s">
        <v>406</v>
      </c>
      <c r="B40" s="663"/>
      <c r="C40" s="663"/>
      <c r="D40" s="663"/>
      <c r="E40" s="663"/>
      <c r="F40" s="663"/>
      <c r="G40" s="663"/>
      <c r="H40" s="663"/>
      <c r="I40" s="663"/>
      <c r="P40" s="26"/>
    </row>
    <row r="41" spans="1:16" ht="21.95" hidden="1" customHeight="1">
      <c r="A41" s="670" t="s">
        <v>407</v>
      </c>
      <c r="B41" s="670"/>
      <c r="C41" s="670"/>
      <c r="D41" s="670"/>
      <c r="E41" s="670"/>
      <c r="F41" s="670"/>
      <c r="G41" s="670"/>
      <c r="H41" s="670"/>
      <c r="I41" s="670"/>
      <c r="P41" s="26"/>
    </row>
    <row r="42" spans="1:16" ht="21.95" hidden="1" customHeight="1">
      <c r="A42" s="664" t="s">
        <v>635</v>
      </c>
      <c r="B42" s="664"/>
      <c r="C42" s="664"/>
      <c r="D42" s="664"/>
      <c r="E42" s="664"/>
      <c r="F42" s="664"/>
      <c r="G42" s="664"/>
      <c r="H42" s="664"/>
      <c r="I42" s="664"/>
      <c r="L42" s="26"/>
      <c r="M42" s="51"/>
      <c r="P42" s="26"/>
    </row>
    <row r="43" spans="1:16" ht="21.95" customHeight="1">
      <c r="A43" s="671" t="s">
        <v>633</v>
      </c>
      <c r="B43" s="661" t="s">
        <v>221</v>
      </c>
      <c r="C43" s="666"/>
      <c r="D43" s="525">
        <v>1396</v>
      </c>
      <c r="E43" s="525">
        <v>1395</v>
      </c>
      <c r="F43" s="525">
        <v>1394</v>
      </c>
      <c r="G43" s="661" t="s">
        <v>222</v>
      </c>
      <c r="H43" s="681"/>
      <c r="I43" s="671" t="s">
        <v>632</v>
      </c>
      <c r="J43" s="20"/>
      <c r="K43" s="51"/>
      <c r="P43" s="26"/>
    </row>
    <row r="44" spans="1:16" ht="21.95" customHeight="1">
      <c r="A44" s="672"/>
      <c r="B44" s="683"/>
      <c r="C44" s="667"/>
      <c r="D44" s="65" t="s">
        <v>561</v>
      </c>
      <c r="E44" s="65" t="s">
        <v>459</v>
      </c>
      <c r="F44" s="65" t="s">
        <v>449</v>
      </c>
      <c r="G44" s="662"/>
      <c r="H44" s="682"/>
      <c r="I44" s="672"/>
      <c r="M44" s="253">
        <f>3042.9*365</f>
        <v>1110658.5</v>
      </c>
      <c r="N44" s="254">
        <f>E45+E49</f>
        <v>3042.9</v>
      </c>
      <c r="P44" s="26"/>
    </row>
    <row r="45" spans="1:16" ht="38.25" customHeight="1">
      <c r="A45" s="641">
        <v>1</v>
      </c>
      <c r="B45" s="891" t="s">
        <v>39</v>
      </c>
      <c r="C45" s="892"/>
      <c r="D45" s="379">
        <f>D47+D48</f>
        <v>460.90000000000003</v>
      </c>
      <c r="E45" s="380">
        <f>E47+E48</f>
        <v>450.90000000000003</v>
      </c>
      <c r="F45" s="381">
        <f>F47+F48</f>
        <v>337.3</v>
      </c>
      <c r="G45" s="677" t="s">
        <v>506</v>
      </c>
      <c r="H45" s="678"/>
      <c r="I45" s="665">
        <v>1</v>
      </c>
      <c r="J45" s="6"/>
      <c r="K45" s="6">
        <f>D45+D53</f>
        <v>815.1</v>
      </c>
      <c r="L45" s="1"/>
      <c r="M45" s="253">
        <f>3060.9*365</f>
        <v>1117228.5</v>
      </c>
      <c r="N45" s="254">
        <f>D45+D49</f>
        <v>3052.9</v>
      </c>
      <c r="P45" s="26"/>
    </row>
    <row r="46" spans="1:16" ht="30" hidden="1" customHeight="1">
      <c r="A46" s="642"/>
      <c r="B46" s="893" t="s">
        <v>26</v>
      </c>
      <c r="C46" s="894"/>
      <c r="D46" s="417"/>
      <c r="E46" s="418"/>
      <c r="F46" s="383"/>
      <c r="G46" s="677" t="s">
        <v>320</v>
      </c>
      <c r="H46" s="678"/>
      <c r="I46" s="658"/>
      <c r="J46" s="20"/>
      <c r="K46" s="6">
        <f>D49+D57</f>
        <v>3994</v>
      </c>
      <c r="M46">
        <f>1741.2*365</f>
        <v>635538</v>
      </c>
      <c r="N46" s="26">
        <f>E53+E57</f>
        <v>1741.2</v>
      </c>
      <c r="P46" s="26"/>
    </row>
    <row r="47" spans="1:16" ht="30" customHeight="1">
      <c r="A47" s="643">
        <v>2</v>
      </c>
      <c r="B47" s="895" t="s">
        <v>40</v>
      </c>
      <c r="C47" s="896"/>
      <c r="D47" s="419">
        <v>34.299999999999997</v>
      </c>
      <c r="E47" s="420">
        <v>34.299999999999997</v>
      </c>
      <c r="F47" s="421">
        <v>34.299999999999997</v>
      </c>
      <c r="G47" s="692" t="s">
        <v>321</v>
      </c>
      <c r="H47" s="693"/>
      <c r="I47" s="623">
        <v>2</v>
      </c>
      <c r="J47" s="20"/>
      <c r="K47" s="20"/>
      <c r="L47" s="51"/>
      <c r="M47">
        <f>1756.2*365</f>
        <v>641013</v>
      </c>
      <c r="N47" s="20">
        <f>D53+D57</f>
        <v>1756.2</v>
      </c>
      <c r="P47" s="26"/>
    </row>
    <row r="48" spans="1:16" ht="30" customHeight="1">
      <c r="A48" s="642">
        <v>3</v>
      </c>
      <c r="B48" s="893" t="s">
        <v>41</v>
      </c>
      <c r="C48" s="894"/>
      <c r="D48" s="382">
        <v>426.6</v>
      </c>
      <c r="E48" s="326">
        <v>416.6</v>
      </c>
      <c r="F48" s="383">
        <v>303</v>
      </c>
      <c r="G48" s="677" t="s">
        <v>322</v>
      </c>
      <c r="H48" s="678"/>
      <c r="I48" s="533">
        <v>3</v>
      </c>
      <c r="L48" s="26">
        <f>D47-D48</f>
        <v>-392.3</v>
      </c>
      <c r="P48" s="26"/>
    </row>
    <row r="49" spans="1:17" ht="36.75" customHeight="1">
      <c r="A49" s="897">
        <v>4</v>
      </c>
      <c r="B49" s="898" t="s">
        <v>42</v>
      </c>
      <c r="C49" s="899"/>
      <c r="D49" s="422">
        <f>D51+D52</f>
        <v>2592</v>
      </c>
      <c r="E49" s="423">
        <f>E51+E52</f>
        <v>2592</v>
      </c>
      <c r="F49" s="421">
        <f>F51+F52</f>
        <v>2191</v>
      </c>
      <c r="G49" s="679" t="s">
        <v>507</v>
      </c>
      <c r="H49" s="680"/>
      <c r="I49" s="669">
        <v>4</v>
      </c>
      <c r="L49" s="26">
        <f>432-31.3</f>
        <v>400.7</v>
      </c>
      <c r="M49" s="20">
        <f>M47/M46*100-100</f>
        <v>0.86147484493453419</v>
      </c>
      <c r="N49" s="20">
        <f>M45/M44*100-100</f>
        <v>0.59154096421177371</v>
      </c>
      <c r="P49" s="26"/>
    </row>
    <row r="50" spans="1:17" ht="30" hidden="1" customHeight="1">
      <c r="A50" s="897"/>
      <c r="B50" s="900" t="s">
        <v>26</v>
      </c>
      <c r="C50" s="901"/>
      <c r="D50" s="245"/>
      <c r="E50" s="148"/>
      <c r="F50" s="188"/>
      <c r="G50" s="690" t="s">
        <v>320</v>
      </c>
      <c r="H50" s="691"/>
      <c r="I50" s="669"/>
      <c r="L50">
        <f>312.2-24</f>
        <v>288.2</v>
      </c>
      <c r="P50" s="26"/>
      <c r="Q50" s="20"/>
    </row>
    <row r="51" spans="1:17" ht="30" customHeight="1">
      <c r="A51" s="642">
        <v>5</v>
      </c>
      <c r="B51" s="893" t="s">
        <v>40</v>
      </c>
      <c r="C51" s="894"/>
      <c r="D51" s="384">
        <v>864</v>
      </c>
      <c r="E51" s="323">
        <v>864</v>
      </c>
      <c r="F51" s="383">
        <v>787</v>
      </c>
      <c r="G51" s="677" t="s">
        <v>321</v>
      </c>
      <c r="H51" s="678"/>
      <c r="I51" s="533">
        <v>5</v>
      </c>
      <c r="J51" s="20"/>
      <c r="M51" s="20"/>
      <c r="P51" s="26"/>
    </row>
    <row r="52" spans="1:17" ht="30" customHeight="1">
      <c r="A52" s="642">
        <v>6</v>
      </c>
      <c r="B52" s="900" t="s">
        <v>41</v>
      </c>
      <c r="C52" s="901"/>
      <c r="D52" s="193">
        <v>1728</v>
      </c>
      <c r="E52" s="148">
        <v>1728</v>
      </c>
      <c r="F52" s="188">
        <v>1404</v>
      </c>
      <c r="G52" s="690" t="s">
        <v>322</v>
      </c>
      <c r="H52" s="691"/>
      <c r="I52" s="482">
        <v>6</v>
      </c>
      <c r="P52" s="26"/>
    </row>
    <row r="53" spans="1:17" ht="38.25" customHeight="1">
      <c r="A53" s="889">
        <v>7</v>
      </c>
      <c r="B53" s="902" t="s">
        <v>43</v>
      </c>
      <c r="C53" s="903"/>
      <c r="D53" s="385">
        <f>D55+D56</f>
        <v>354.2</v>
      </c>
      <c r="E53" s="326">
        <f>E55+E56</f>
        <v>371.2</v>
      </c>
      <c r="F53" s="383">
        <f>F55+F56</f>
        <v>303</v>
      </c>
      <c r="G53" s="677" t="s">
        <v>508</v>
      </c>
      <c r="H53" s="678"/>
      <c r="I53" s="658">
        <v>7</v>
      </c>
      <c r="L53" s="51"/>
      <c r="P53" s="26"/>
    </row>
    <row r="54" spans="1:17" ht="30" hidden="1" customHeight="1">
      <c r="A54" s="889"/>
      <c r="B54" s="893" t="s">
        <v>26</v>
      </c>
      <c r="C54" s="894"/>
      <c r="D54" s="384"/>
      <c r="E54" s="323"/>
      <c r="F54" s="383"/>
      <c r="G54" s="677" t="s">
        <v>320</v>
      </c>
      <c r="H54" s="678"/>
      <c r="I54" s="658"/>
      <c r="K54" s="13"/>
      <c r="L54">
        <f>752-1394</f>
        <v>-642</v>
      </c>
      <c r="P54" s="26"/>
    </row>
    <row r="55" spans="1:17" ht="30" customHeight="1">
      <c r="A55" s="643">
        <v>8</v>
      </c>
      <c r="B55" s="895" t="s">
        <v>40</v>
      </c>
      <c r="C55" s="896"/>
      <c r="D55" s="422">
        <v>64</v>
      </c>
      <c r="E55" s="423">
        <v>64</v>
      </c>
      <c r="F55" s="421">
        <v>24</v>
      </c>
      <c r="G55" s="692" t="s">
        <v>321</v>
      </c>
      <c r="H55" s="693"/>
      <c r="I55" s="623">
        <v>8</v>
      </c>
      <c r="J55" s="26"/>
      <c r="P55" s="26"/>
    </row>
    <row r="56" spans="1:17" ht="30" customHeight="1">
      <c r="A56" s="642">
        <v>9</v>
      </c>
      <c r="B56" s="893" t="s">
        <v>41</v>
      </c>
      <c r="C56" s="894"/>
      <c r="D56" s="382">
        <v>290.2</v>
      </c>
      <c r="E56" s="326">
        <v>307.2</v>
      </c>
      <c r="F56" s="383">
        <v>279</v>
      </c>
      <c r="G56" s="677" t="s">
        <v>322</v>
      </c>
      <c r="H56" s="678"/>
      <c r="I56" s="533">
        <v>9</v>
      </c>
      <c r="J56" s="20"/>
      <c r="K56" s="51"/>
      <c r="L56" s="51"/>
      <c r="P56" s="26"/>
    </row>
    <row r="57" spans="1:17" ht="37.5" customHeight="1">
      <c r="A57" s="897">
        <v>10</v>
      </c>
      <c r="B57" s="904" t="s">
        <v>44</v>
      </c>
      <c r="C57" s="905"/>
      <c r="D57" s="422">
        <f>D59+D60</f>
        <v>1402</v>
      </c>
      <c r="E57" s="423">
        <f>E59+E60</f>
        <v>1370</v>
      </c>
      <c r="F57" s="421">
        <f>F59+F60</f>
        <v>1210</v>
      </c>
      <c r="G57" s="692" t="s">
        <v>509</v>
      </c>
      <c r="H57" s="693"/>
      <c r="I57" s="669">
        <v>10</v>
      </c>
      <c r="J57" s="20"/>
      <c r="K57" s="20"/>
      <c r="P57" s="26"/>
    </row>
    <row r="58" spans="1:17" ht="30" hidden="1" customHeight="1">
      <c r="A58" s="897"/>
      <c r="B58" s="895" t="s">
        <v>26</v>
      </c>
      <c r="C58" s="896"/>
      <c r="D58" s="422"/>
      <c r="E58" s="423"/>
      <c r="F58" s="421"/>
      <c r="G58" s="692" t="s">
        <v>320</v>
      </c>
      <c r="H58" s="693"/>
      <c r="I58" s="669"/>
      <c r="J58" s="20"/>
      <c r="P58" s="26"/>
    </row>
    <row r="59" spans="1:17" ht="30" customHeight="1">
      <c r="A59" s="642">
        <v>11</v>
      </c>
      <c r="B59" s="893" t="s">
        <v>40</v>
      </c>
      <c r="C59" s="894"/>
      <c r="D59" s="384">
        <v>752</v>
      </c>
      <c r="E59" s="323">
        <v>752</v>
      </c>
      <c r="F59" s="383">
        <v>696</v>
      </c>
      <c r="G59" s="677" t="s">
        <v>321</v>
      </c>
      <c r="H59" s="678"/>
      <c r="I59" s="533">
        <v>11</v>
      </c>
      <c r="P59" s="26"/>
    </row>
    <row r="60" spans="1:17" ht="30" customHeight="1">
      <c r="A60" s="640">
        <v>12</v>
      </c>
      <c r="B60" s="906" t="s">
        <v>45</v>
      </c>
      <c r="C60" s="907"/>
      <c r="D60" s="386">
        <v>650</v>
      </c>
      <c r="E60" s="132">
        <v>618</v>
      </c>
      <c r="F60" s="189">
        <v>514</v>
      </c>
      <c r="G60" s="688" t="s">
        <v>322</v>
      </c>
      <c r="H60" s="689"/>
      <c r="I60" s="483">
        <v>12</v>
      </c>
      <c r="P60" s="26"/>
    </row>
    <row r="61" spans="1:17" ht="21" customHeight="1">
      <c r="A61" s="659" t="s">
        <v>324</v>
      </c>
      <c r="B61" s="659"/>
      <c r="C61" s="659"/>
      <c r="D61" s="686" t="s">
        <v>319</v>
      </c>
      <c r="E61" s="686"/>
      <c r="F61" s="686"/>
      <c r="G61" s="673" t="s">
        <v>323</v>
      </c>
      <c r="H61" s="673"/>
      <c r="I61" s="673"/>
      <c r="P61" s="26"/>
    </row>
    <row r="62" spans="1:17" ht="21" hidden="1" customHeight="1">
      <c r="A62" s="663" t="s">
        <v>415</v>
      </c>
      <c r="B62" s="663"/>
      <c r="C62" s="663"/>
      <c r="D62" s="663"/>
      <c r="E62" s="663"/>
      <c r="F62" s="663"/>
      <c r="G62" s="663"/>
      <c r="H62" s="663"/>
      <c r="I62" s="663"/>
      <c r="P62" s="26"/>
    </row>
    <row r="63" spans="1:17" ht="21" hidden="1" customHeight="1">
      <c r="A63" s="663" t="s">
        <v>408</v>
      </c>
      <c r="B63" s="663"/>
      <c r="C63" s="663"/>
      <c r="D63" s="663"/>
      <c r="E63" s="663"/>
      <c r="F63" s="663"/>
      <c r="G63" s="663"/>
      <c r="H63" s="663"/>
      <c r="I63" s="663"/>
      <c r="P63" s="20"/>
    </row>
    <row r="64" spans="1:17" ht="21" hidden="1" customHeight="1">
      <c r="A64" s="664" t="s">
        <v>409</v>
      </c>
      <c r="B64" s="664"/>
      <c r="C64" s="664"/>
      <c r="D64" s="664"/>
      <c r="E64" s="664"/>
      <c r="F64" s="664"/>
      <c r="G64" s="664"/>
      <c r="H64" s="664"/>
      <c r="I64" s="664"/>
      <c r="P64" s="26"/>
    </row>
    <row r="65" spans="1:15" ht="21" customHeight="1">
      <c r="A65" s="666" t="s">
        <v>633</v>
      </c>
      <c r="B65" s="668" t="s">
        <v>221</v>
      </c>
      <c r="C65" s="668" t="s">
        <v>0</v>
      </c>
      <c r="D65" s="524">
        <v>1396</v>
      </c>
      <c r="E65" s="524">
        <v>1395</v>
      </c>
      <c r="F65" s="524">
        <v>1394</v>
      </c>
      <c r="G65" s="524" t="s">
        <v>1</v>
      </c>
      <c r="H65" s="668" t="s">
        <v>222</v>
      </c>
      <c r="I65" s="661" t="s">
        <v>632</v>
      </c>
      <c r="J65" s="26"/>
    </row>
    <row r="66" spans="1:15" ht="21" customHeight="1">
      <c r="A66" s="667"/>
      <c r="B66" s="668"/>
      <c r="C66" s="668"/>
      <c r="D66" s="65" t="s">
        <v>561</v>
      </c>
      <c r="E66" s="65" t="s">
        <v>459</v>
      </c>
      <c r="F66" s="65" t="s">
        <v>449</v>
      </c>
      <c r="G66" s="86" t="s">
        <v>316</v>
      </c>
      <c r="H66" s="668"/>
      <c r="I66" s="662"/>
    </row>
    <row r="67" spans="1:15" ht="30" customHeight="1">
      <c r="A67" s="616">
        <v>1</v>
      </c>
      <c r="B67" s="634" t="s">
        <v>46</v>
      </c>
      <c r="C67" s="366" t="s">
        <v>3</v>
      </c>
      <c r="D67" s="369">
        <f>D69</f>
        <v>4</v>
      </c>
      <c r="E67" s="370">
        <f>E69</f>
        <v>4</v>
      </c>
      <c r="F67" s="338">
        <f>F69</f>
        <v>4</v>
      </c>
      <c r="G67" s="367" t="s">
        <v>4</v>
      </c>
      <c r="H67" s="393" t="s">
        <v>327</v>
      </c>
      <c r="I67" s="665">
        <v>1</v>
      </c>
    </row>
    <row r="68" spans="1:15" ht="30" hidden="1" customHeight="1">
      <c r="A68" s="889"/>
      <c r="B68" s="628" t="s">
        <v>26</v>
      </c>
      <c r="C68" s="639"/>
      <c r="D68" s="428"/>
      <c r="E68" s="343"/>
      <c r="F68" s="344"/>
      <c r="G68" s="519"/>
      <c r="H68" s="514" t="s">
        <v>325</v>
      </c>
      <c r="I68" s="658"/>
    </row>
    <row r="69" spans="1:15" ht="30" customHeight="1">
      <c r="A69" s="643">
        <v>2</v>
      </c>
      <c r="B69" s="629" t="s">
        <v>27</v>
      </c>
      <c r="C69" s="411" t="s">
        <v>3</v>
      </c>
      <c r="D69" s="412">
        <v>4</v>
      </c>
      <c r="E69" s="413">
        <v>4</v>
      </c>
      <c r="F69" s="414">
        <v>4</v>
      </c>
      <c r="G69" s="415" t="s">
        <v>4</v>
      </c>
      <c r="H69" s="518" t="s">
        <v>47</v>
      </c>
      <c r="I69" s="623">
        <v>2</v>
      </c>
    </row>
    <row r="70" spans="1:15" ht="30" customHeight="1">
      <c r="A70" s="642">
        <v>3</v>
      </c>
      <c r="B70" s="628" t="s">
        <v>48</v>
      </c>
      <c r="C70" s="639" t="s">
        <v>3</v>
      </c>
      <c r="D70" s="342" t="s">
        <v>35</v>
      </c>
      <c r="E70" s="343" t="s">
        <v>35</v>
      </c>
      <c r="F70" s="344" t="s">
        <v>35</v>
      </c>
      <c r="G70" s="519" t="s">
        <v>4</v>
      </c>
      <c r="H70" s="514" t="s">
        <v>30</v>
      </c>
      <c r="I70" s="533">
        <v>3</v>
      </c>
    </row>
    <row r="71" spans="1:15" ht="30" customHeight="1">
      <c r="A71" s="890">
        <v>4</v>
      </c>
      <c r="B71" s="631" t="s">
        <v>49</v>
      </c>
      <c r="C71" s="426" t="s">
        <v>50</v>
      </c>
      <c r="D71" s="412">
        <f>D73</f>
        <v>2180</v>
      </c>
      <c r="E71" s="413">
        <f>E73</f>
        <v>2267</v>
      </c>
      <c r="F71" s="414">
        <f>F73</f>
        <v>2030</v>
      </c>
      <c r="G71" s="427" t="s">
        <v>51</v>
      </c>
      <c r="H71" s="529" t="s">
        <v>328</v>
      </c>
      <c r="I71" s="657">
        <v>4</v>
      </c>
    </row>
    <row r="72" spans="1:15" ht="30" hidden="1" customHeight="1">
      <c r="A72" s="890"/>
      <c r="B72" s="631" t="s">
        <v>52</v>
      </c>
      <c r="C72" s="426"/>
      <c r="D72" s="412"/>
      <c r="E72" s="413"/>
      <c r="F72" s="414"/>
      <c r="G72" s="427"/>
      <c r="H72" s="529" t="s">
        <v>325</v>
      </c>
      <c r="I72" s="657"/>
    </row>
    <row r="73" spans="1:15" ht="30" customHeight="1">
      <c r="A73" s="642">
        <v>5</v>
      </c>
      <c r="B73" s="628" t="s">
        <v>53</v>
      </c>
      <c r="C73" s="639" t="s">
        <v>50</v>
      </c>
      <c r="D73" s="342">
        <f>580+700+400+500</f>
        <v>2180</v>
      </c>
      <c r="E73" s="343">
        <v>2267</v>
      </c>
      <c r="F73" s="344">
        <v>2030</v>
      </c>
      <c r="G73" s="519" t="s">
        <v>51</v>
      </c>
      <c r="H73" s="514" t="s">
        <v>47</v>
      </c>
      <c r="I73" s="533">
        <v>5</v>
      </c>
      <c r="L73">
        <v>36310</v>
      </c>
      <c r="M73">
        <v>58764</v>
      </c>
    </row>
    <row r="74" spans="1:15" ht="30" customHeight="1">
      <c r="A74" s="637">
        <v>6</v>
      </c>
      <c r="B74" s="633" t="s">
        <v>29</v>
      </c>
      <c r="C74" s="646" t="s">
        <v>50</v>
      </c>
      <c r="D74" s="140" t="s">
        <v>35</v>
      </c>
      <c r="E74" s="151" t="s">
        <v>35</v>
      </c>
      <c r="F74" s="152" t="s">
        <v>35</v>
      </c>
      <c r="G74" s="531" t="s">
        <v>51</v>
      </c>
      <c r="H74" s="517" t="s">
        <v>30</v>
      </c>
      <c r="I74" s="524">
        <v>6</v>
      </c>
      <c r="M74" s="20">
        <v>150</v>
      </c>
    </row>
    <row r="75" spans="1:15" ht="30" customHeight="1">
      <c r="A75" s="889">
        <v>7</v>
      </c>
      <c r="B75" s="628" t="s">
        <v>444</v>
      </c>
      <c r="C75" s="387" t="s">
        <v>54</v>
      </c>
      <c r="D75" s="388">
        <f>D77</f>
        <v>95.224000000000004</v>
      </c>
      <c r="E75" s="389">
        <f>E77</f>
        <v>92.456999999999994</v>
      </c>
      <c r="F75" s="390">
        <f>F77</f>
        <v>141.5</v>
      </c>
      <c r="G75" s="519" t="s">
        <v>55</v>
      </c>
      <c r="H75" s="514" t="s">
        <v>455</v>
      </c>
      <c r="I75" s="658">
        <v>7</v>
      </c>
      <c r="L75">
        <f>SUM(L73:L74)</f>
        <v>36310</v>
      </c>
      <c r="M75">
        <f>SUM(M73:M74)</f>
        <v>58914</v>
      </c>
    </row>
    <row r="76" spans="1:15" ht="30" hidden="1" customHeight="1">
      <c r="A76" s="889"/>
      <c r="B76" s="628" t="s">
        <v>56</v>
      </c>
      <c r="C76" s="639"/>
      <c r="D76" s="624"/>
      <c r="E76" s="625"/>
      <c r="F76" s="626"/>
      <c r="G76" s="429"/>
      <c r="H76" s="514" t="s">
        <v>325</v>
      </c>
      <c r="I76" s="658"/>
      <c r="K76" s="20"/>
      <c r="O76" s="20"/>
    </row>
    <row r="77" spans="1:15" ht="30" customHeight="1">
      <c r="A77" s="643">
        <v>8</v>
      </c>
      <c r="B77" s="629" t="s">
        <v>27</v>
      </c>
      <c r="C77" s="430" t="s">
        <v>54</v>
      </c>
      <c r="D77" s="431">
        <f>95224/1000</f>
        <v>95.224000000000004</v>
      </c>
      <c r="E77" s="432">
        <f>92457/1000</f>
        <v>92.456999999999994</v>
      </c>
      <c r="F77" s="433">
        <v>141.5</v>
      </c>
      <c r="G77" s="415" t="s">
        <v>55</v>
      </c>
      <c r="H77" s="518" t="s">
        <v>47</v>
      </c>
      <c r="I77" s="623">
        <v>8</v>
      </c>
      <c r="M77">
        <f>L75+M75</f>
        <v>95224</v>
      </c>
    </row>
    <row r="78" spans="1:15" ht="30" customHeight="1">
      <c r="A78" s="642">
        <v>9</v>
      </c>
      <c r="B78" s="628" t="s">
        <v>29</v>
      </c>
      <c r="C78" s="387" t="s">
        <v>54</v>
      </c>
      <c r="D78" s="342" t="s">
        <v>35</v>
      </c>
      <c r="E78" s="343" t="s">
        <v>35</v>
      </c>
      <c r="F78" s="344" t="s">
        <v>35</v>
      </c>
      <c r="G78" s="519" t="s">
        <v>55</v>
      </c>
      <c r="H78" s="514" t="s">
        <v>30</v>
      </c>
      <c r="I78" s="533">
        <v>9</v>
      </c>
    </row>
    <row r="79" spans="1:15" ht="30" customHeight="1">
      <c r="A79" s="627">
        <v>10</v>
      </c>
      <c r="B79" s="434" t="s">
        <v>223</v>
      </c>
      <c r="C79" s="435" t="s">
        <v>0</v>
      </c>
      <c r="D79" s="436">
        <v>8</v>
      </c>
      <c r="E79" s="437">
        <v>8</v>
      </c>
      <c r="F79" s="438">
        <v>8</v>
      </c>
      <c r="G79" s="439" t="s">
        <v>224</v>
      </c>
      <c r="H79" s="440" t="s">
        <v>326</v>
      </c>
      <c r="I79" s="627">
        <v>10</v>
      </c>
      <c r="J79" s="20"/>
    </row>
    <row r="80" spans="1:15" ht="20.100000000000001" customHeight="1">
      <c r="A80" s="659" t="s">
        <v>324</v>
      </c>
      <c r="B80" s="659"/>
      <c r="C80" s="659"/>
      <c r="D80" s="686" t="s">
        <v>319</v>
      </c>
      <c r="E80" s="686"/>
      <c r="F80" s="686"/>
      <c r="G80" s="660" t="s">
        <v>323</v>
      </c>
      <c r="H80" s="660"/>
      <c r="I80" s="660"/>
    </row>
  </sheetData>
  <autoFilter ref="D1:D80">
    <filterColumn colId="0">
      <customFilters>
        <customFilter operator="notEqual" val=" "/>
      </customFilters>
    </filterColumn>
  </autoFilter>
  <mergeCells count="77">
    <mergeCell ref="D37:F37"/>
    <mergeCell ref="G51:H51"/>
    <mergeCell ref="G52:H52"/>
    <mergeCell ref="G55:H55"/>
    <mergeCell ref="G56:H56"/>
    <mergeCell ref="G61:I61"/>
    <mergeCell ref="A61:C61"/>
    <mergeCell ref="M4:N4"/>
    <mergeCell ref="M8:N8"/>
    <mergeCell ref="G59:H59"/>
    <mergeCell ref="G46:H46"/>
    <mergeCell ref="G50:H50"/>
    <mergeCell ref="G47:H47"/>
    <mergeCell ref="G11:G12"/>
    <mergeCell ref="G58:H58"/>
    <mergeCell ref="B65:B66"/>
    <mergeCell ref="C65:C66"/>
    <mergeCell ref="D61:F61"/>
    <mergeCell ref="G60:H60"/>
    <mergeCell ref="G54:H54"/>
    <mergeCell ref="G53:H53"/>
    <mergeCell ref="G57:H57"/>
    <mergeCell ref="A1:I1"/>
    <mergeCell ref="A2:I2"/>
    <mergeCell ref="A3:I3"/>
    <mergeCell ref="B4:B5"/>
    <mergeCell ref="C4:C5"/>
    <mergeCell ref="H4:H5"/>
    <mergeCell ref="B24:B25"/>
    <mergeCell ref="C24:C25"/>
    <mergeCell ref="H24:H25"/>
    <mergeCell ref="G8:G9"/>
    <mergeCell ref="I4:I5"/>
    <mergeCell ref="A4:A5"/>
    <mergeCell ref="I24:I25"/>
    <mergeCell ref="I26:I27"/>
    <mergeCell ref="A24:A25"/>
    <mergeCell ref="I8:I9"/>
    <mergeCell ref="I11:I12"/>
    <mergeCell ref="G20:I20"/>
    <mergeCell ref="A20:C20"/>
    <mergeCell ref="A21:I21"/>
    <mergeCell ref="A22:I22"/>
    <mergeCell ref="A23:I23"/>
    <mergeCell ref="D20:F20"/>
    <mergeCell ref="I45:I46"/>
    <mergeCell ref="I49:I50"/>
    <mergeCell ref="I53:I54"/>
    <mergeCell ref="I57:I58"/>
    <mergeCell ref="I34:I35"/>
    <mergeCell ref="A40:I40"/>
    <mergeCell ref="A41:I41"/>
    <mergeCell ref="A42:I42"/>
    <mergeCell ref="I43:I44"/>
    <mergeCell ref="A43:A44"/>
    <mergeCell ref="G37:I37"/>
    <mergeCell ref="A37:C37"/>
    <mergeCell ref="E38:I38"/>
    <mergeCell ref="E39:I39"/>
    <mergeCell ref="A38:D39"/>
    <mergeCell ref="G48:H48"/>
    <mergeCell ref="G49:H49"/>
    <mergeCell ref="G43:H44"/>
    <mergeCell ref="B43:C44"/>
    <mergeCell ref="G45:H45"/>
    <mergeCell ref="I71:I72"/>
    <mergeCell ref="I75:I76"/>
    <mergeCell ref="A80:C80"/>
    <mergeCell ref="G80:I80"/>
    <mergeCell ref="I65:I66"/>
    <mergeCell ref="A62:I62"/>
    <mergeCell ref="A63:I63"/>
    <mergeCell ref="A64:I64"/>
    <mergeCell ref="I67:I68"/>
    <mergeCell ref="A65:A66"/>
    <mergeCell ref="H65:H66"/>
    <mergeCell ref="D80:F80"/>
  </mergeCells>
  <pageMargins left="0.74803149606299213" right="0.5" top="0.35433070866141736" bottom="0.74803149606299213" header="0.27559055118110237" footer="0.55118110236220474"/>
  <pageSetup paperSize="9" scale="65" orientation="portrait" horizontalDpi="300" verticalDpi="300" r:id="rId1"/>
  <headerFooter>
    <oddFooter xml:space="preserve">&amp;L&amp;"Times New Roman,Bold"Afghanistan Statistical Yearbook 2017-18&amp;R&amp;"Times New Roman,Bold"سالنامۀ احصائیوی / احصا ئيوي کالنی  1396 </oddFooter>
  </headerFooter>
  <rowBreaks count="1" manualBreakCount="1">
    <brk id="3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4"/>
  <sheetViews>
    <sheetView view="pageBreakPreview" zoomScale="75" zoomScaleSheetLayoutView="75" workbookViewId="0">
      <selection sqref="A1:H44"/>
    </sheetView>
  </sheetViews>
  <sheetFormatPr defaultColWidth="9.140625" defaultRowHeight="15"/>
  <cols>
    <col min="1" max="1" width="5.5703125" style="32" customWidth="1"/>
    <col min="2" max="2" width="19.140625" style="32" customWidth="1"/>
    <col min="3" max="3" width="14.7109375" style="32" customWidth="1"/>
    <col min="4" max="4" width="13.85546875" style="32" customWidth="1"/>
    <col min="5" max="5" width="14" style="32" customWidth="1"/>
    <col min="6" max="6" width="22.85546875" style="32" customWidth="1"/>
    <col min="7" max="7" width="17.42578125" style="32" customWidth="1"/>
    <col min="8" max="8" width="5.5703125" style="32" customWidth="1"/>
    <col min="9" max="16384" width="9.140625" style="32"/>
  </cols>
  <sheetData>
    <row r="1" spans="1:18" ht="27.95" customHeight="1">
      <c r="A1" s="821" t="s">
        <v>606</v>
      </c>
      <c r="B1" s="821"/>
      <c r="C1" s="821"/>
      <c r="D1" s="821"/>
      <c r="E1" s="821"/>
      <c r="F1" s="821"/>
      <c r="G1" s="821"/>
      <c r="H1" s="821"/>
    </row>
    <row r="2" spans="1:18" ht="27.95" customHeight="1">
      <c r="A2" s="821" t="s">
        <v>607</v>
      </c>
      <c r="B2" s="821"/>
      <c r="C2" s="821"/>
      <c r="D2" s="821"/>
      <c r="E2" s="821"/>
      <c r="F2" s="821"/>
      <c r="G2" s="821"/>
      <c r="H2" s="821"/>
    </row>
    <row r="3" spans="1:18" ht="27.95" customHeight="1">
      <c r="A3" s="682" t="s">
        <v>608</v>
      </c>
      <c r="B3" s="682"/>
      <c r="C3" s="682"/>
      <c r="D3" s="682"/>
      <c r="E3" s="682"/>
      <c r="F3" s="682"/>
      <c r="G3" s="682"/>
      <c r="H3" s="682"/>
    </row>
    <row r="4" spans="1:18" ht="21.95" customHeight="1">
      <c r="A4" s="818" t="s">
        <v>633</v>
      </c>
      <c r="B4" s="828" t="s">
        <v>227</v>
      </c>
      <c r="C4" s="824" t="s">
        <v>357</v>
      </c>
      <c r="D4" s="825"/>
      <c r="E4" s="826"/>
      <c r="F4" s="575" t="s">
        <v>609</v>
      </c>
      <c r="G4" s="829" t="s">
        <v>268</v>
      </c>
      <c r="H4" s="818" t="s">
        <v>632</v>
      </c>
    </row>
    <row r="5" spans="1:18" ht="21.95" customHeight="1">
      <c r="A5" s="819"/>
      <c r="B5" s="828"/>
      <c r="C5" s="683" t="s">
        <v>315</v>
      </c>
      <c r="D5" s="827"/>
      <c r="E5" s="667"/>
      <c r="F5" s="830" t="s">
        <v>610</v>
      </c>
      <c r="G5" s="829"/>
      <c r="H5" s="819"/>
    </row>
    <row r="6" spans="1:18" ht="21.95" customHeight="1">
      <c r="A6" s="819"/>
      <c r="B6" s="828"/>
      <c r="C6" s="832" t="s">
        <v>267</v>
      </c>
      <c r="D6" s="833"/>
      <c r="E6" s="834"/>
      <c r="F6" s="831"/>
      <c r="G6" s="829"/>
      <c r="H6" s="819"/>
    </row>
    <row r="7" spans="1:18" ht="21.95" customHeight="1">
      <c r="A7" s="819"/>
      <c r="B7" s="828"/>
      <c r="C7" s="571" t="s">
        <v>425</v>
      </c>
      <c r="D7" s="494" t="s">
        <v>424</v>
      </c>
      <c r="E7" s="572" t="s">
        <v>353</v>
      </c>
      <c r="F7" s="835" t="s">
        <v>616</v>
      </c>
      <c r="G7" s="829"/>
      <c r="H7" s="819"/>
    </row>
    <row r="8" spans="1:18" ht="21.95" customHeight="1">
      <c r="A8" s="820"/>
      <c r="B8" s="828"/>
      <c r="C8" s="573" t="s">
        <v>266</v>
      </c>
      <c r="D8" s="35" t="s">
        <v>265</v>
      </c>
      <c r="E8" s="574" t="s">
        <v>68</v>
      </c>
      <c r="F8" s="836"/>
      <c r="G8" s="829"/>
      <c r="H8" s="820"/>
    </row>
    <row r="9" spans="1:18" ht="23.1" customHeight="1">
      <c r="A9" s="606"/>
      <c r="B9" s="297" t="s">
        <v>68</v>
      </c>
      <c r="C9" s="298">
        <f>C10+C11+C12+C14+C15+C16+C18+C19+C20+C24+C26+C27+C28+C29+C30+C31+C32+C33+C36+C37+C38+C39+C40+C41+C42+C43</f>
        <v>266</v>
      </c>
      <c r="D9" s="299">
        <f>D10+D11+D12+D13+D14+D15+D16+D17+D18+D19+D20+D21+D22+D23+D24+D25+D26+D27+D28+D29+D30+D31+D32+D33+D34+D35+D36+D37+D38+D39+D40+D41+D42+D43</f>
        <v>2471</v>
      </c>
      <c r="E9" s="300">
        <f>E10+E11+E12+E13+E14+E15+E16+E17+E18+E19+E20+E21+E22+E23+E24+E25+E26+E27+E28+E29+E30+E31+E32+E33+E34+E35+E36+E37+E38+E39+E40+E41+E42+E43</f>
        <v>2737</v>
      </c>
      <c r="F9" s="301">
        <f>SUM(F10:F43)</f>
        <v>34</v>
      </c>
      <c r="G9" s="302" t="s">
        <v>353</v>
      </c>
      <c r="H9" s="606"/>
      <c r="L9" s="116"/>
      <c r="M9" s="116"/>
      <c r="N9" s="116"/>
      <c r="O9" s="116"/>
      <c r="P9" s="116"/>
      <c r="Q9" s="116"/>
      <c r="R9" s="116"/>
    </row>
    <row r="10" spans="1:18" ht="23.1" customHeight="1">
      <c r="A10" s="607">
        <v>1</v>
      </c>
      <c r="B10" s="73" t="s">
        <v>264</v>
      </c>
      <c r="C10" s="169">
        <v>48</v>
      </c>
      <c r="D10" s="170">
        <v>600</v>
      </c>
      <c r="E10" s="171">
        <f>D10+C10</f>
        <v>648</v>
      </c>
      <c r="F10" s="535">
        <v>1</v>
      </c>
      <c r="G10" s="115" t="s">
        <v>263</v>
      </c>
      <c r="H10" s="607">
        <v>1</v>
      </c>
      <c r="L10" s="117"/>
      <c r="M10" s="116"/>
      <c r="N10" s="116"/>
      <c r="O10" s="116"/>
      <c r="P10" s="116"/>
      <c r="Q10" s="116"/>
      <c r="R10" s="116"/>
    </row>
    <row r="11" spans="1:18" ht="23.1" customHeight="1">
      <c r="A11" s="608">
        <v>2</v>
      </c>
      <c r="B11" s="303" t="s">
        <v>71</v>
      </c>
      <c r="C11" s="298">
        <v>7</v>
      </c>
      <c r="D11" s="299">
        <v>46</v>
      </c>
      <c r="E11" s="300">
        <f t="shared" ref="E11:E12" si="0">D11+C11</f>
        <v>53</v>
      </c>
      <c r="F11" s="523">
        <v>1</v>
      </c>
      <c r="G11" s="304" t="s">
        <v>72</v>
      </c>
      <c r="H11" s="608">
        <v>2</v>
      </c>
      <c r="L11" s="116"/>
      <c r="M11" s="116"/>
      <c r="N11" s="116"/>
      <c r="O11" s="116"/>
      <c r="P11" s="116"/>
      <c r="Q11" s="116"/>
      <c r="R11" s="116"/>
    </row>
    <row r="12" spans="1:18" ht="23.1" customHeight="1">
      <c r="A12" s="607">
        <v>3</v>
      </c>
      <c r="B12" s="34" t="s">
        <v>73</v>
      </c>
      <c r="C12" s="169">
        <v>2</v>
      </c>
      <c r="D12" s="170">
        <v>44</v>
      </c>
      <c r="E12" s="171">
        <f t="shared" si="0"/>
        <v>46</v>
      </c>
      <c r="F12" s="535">
        <v>1</v>
      </c>
      <c r="G12" s="33" t="s">
        <v>74</v>
      </c>
      <c r="H12" s="607">
        <v>3</v>
      </c>
      <c r="L12" s="116"/>
      <c r="M12" s="116"/>
      <c r="N12" s="116"/>
      <c r="O12" s="116"/>
      <c r="P12" s="116"/>
      <c r="Q12" s="116"/>
      <c r="R12" s="116"/>
    </row>
    <row r="13" spans="1:18" ht="23.1" customHeight="1">
      <c r="A13" s="608">
        <v>4</v>
      </c>
      <c r="B13" s="303" t="s">
        <v>451</v>
      </c>
      <c r="C13" s="298" t="s">
        <v>35</v>
      </c>
      <c r="D13" s="299">
        <v>19</v>
      </c>
      <c r="E13" s="300">
        <f>D13</f>
        <v>19</v>
      </c>
      <c r="F13" s="523">
        <v>1</v>
      </c>
      <c r="G13" s="304" t="s">
        <v>370</v>
      </c>
      <c r="H13" s="608">
        <v>4</v>
      </c>
      <c r="L13" s="116"/>
      <c r="M13" s="116"/>
      <c r="N13" s="116"/>
      <c r="O13" s="116"/>
      <c r="P13" s="116"/>
      <c r="Q13" s="116"/>
      <c r="R13" s="116"/>
    </row>
    <row r="14" spans="1:18" ht="23.1" customHeight="1">
      <c r="A14" s="607">
        <v>5</v>
      </c>
      <c r="B14" s="34" t="s">
        <v>116</v>
      </c>
      <c r="C14" s="169">
        <v>1</v>
      </c>
      <c r="D14" s="170">
        <v>21</v>
      </c>
      <c r="E14" s="171">
        <f>D14+C14</f>
        <v>22</v>
      </c>
      <c r="F14" s="535">
        <v>1</v>
      </c>
      <c r="G14" s="33" t="s">
        <v>117</v>
      </c>
      <c r="H14" s="607">
        <v>5</v>
      </c>
      <c r="L14" s="116"/>
      <c r="M14" s="116"/>
      <c r="N14" s="116"/>
      <c r="O14" s="116"/>
      <c r="P14" s="116"/>
      <c r="Q14" s="116"/>
      <c r="R14" s="116"/>
    </row>
    <row r="15" spans="1:18" ht="23.1" customHeight="1">
      <c r="A15" s="608">
        <v>6</v>
      </c>
      <c r="B15" s="303" t="s">
        <v>77</v>
      </c>
      <c r="C15" s="298">
        <v>2</v>
      </c>
      <c r="D15" s="299">
        <v>171</v>
      </c>
      <c r="E15" s="300">
        <f t="shared" ref="E15:E16" si="1">D15+C15</f>
        <v>173</v>
      </c>
      <c r="F15" s="523">
        <v>1</v>
      </c>
      <c r="G15" s="304" t="s">
        <v>78</v>
      </c>
      <c r="H15" s="608">
        <v>6</v>
      </c>
      <c r="L15" s="116"/>
      <c r="M15" s="116"/>
      <c r="N15" s="116"/>
      <c r="O15" s="116"/>
      <c r="P15" s="116"/>
      <c r="Q15" s="116"/>
      <c r="R15" s="116"/>
    </row>
    <row r="16" spans="1:18" ht="23.1" customHeight="1">
      <c r="A16" s="607">
        <v>7</v>
      </c>
      <c r="B16" s="34" t="s">
        <v>262</v>
      </c>
      <c r="C16" s="169">
        <v>5</v>
      </c>
      <c r="D16" s="170">
        <v>46</v>
      </c>
      <c r="E16" s="171">
        <f t="shared" si="1"/>
        <v>51</v>
      </c>
      <c r="F16" s="535">
        <v>1</v>
      </c>
      <c r="G16" s="33" t="s">
        <v>80</v>
      </c>
      <c r="H16" s="607">
        <v>7</v>
      </c>
      <c r="L16" s="116"/>
      <c r="M16" s="116"/>
      <c r="N16" s="116"/>
      <c r="O16" s="116"/>
      <c r="P16" s="116"/>
      <c r="Q16" s="116"/>
      <c r="R16" s="116"/>
    </row>
    <row r="17" spans="1:18" ht="23.1" customHeight="1">
      <c r="A17" s="608">
        <v>8</v>
      </c>
      <c r="B17" s="303" t="s">
        <v>118</v>
      </c>
      <c r="C17" s="298" t="s">
        <v>35</v>
      </c>
      <c r="D17" s="299">
        <v>20</v>
      </c>
      <c r="E17" s="300">
        <f>D17</f>
        <v>20</v>
      </c>
      <c r="F17" s="523">
        <v>1</v>
      </c>
      <c r="G17" s="304" t="s">
        <v>119</v>
      </c>
      <c r="H17" s="608">
        <v>8</v>
      </c>
      <c r="L17" s="116"/>
      <c r="M17" s="116"/>
      <c r="N17" s="116"/>
      <c r="O17" s="116"/>
      <c r="P17" s="116"/>
      <c r="Q17" s="116"/>
      <c r="R17" s="116"/>
    </row>
    <row r="18" spans="1:18" ht="23.1" customHeight="1">
      <c r="A18" s="607">
        <v>9</v>
      </c>
      <c r="B18" s="34" t="s">
        <v>255</v>
      </c>
      <c r="C18" s="169">
        <v>7</v>
      </c>
      <c r="D18" s="170">
        <v>46</v>
      </c>
      <c r="E18" s="171">
        <f>D18+C18</f>
        <v>53</v>
      </c>
      <c r="F18" s="535">
        <v>1</v>
      </c>
      <c r="G18" s="33" t="s">
        <v>82</v>
      </c>
      <c r="H18" s="607">
        <v>9</v>
      </c>
      <c r="L18" s="116"/>
      <c r="M18" s="116"/>
      <c r="N18" s="116"/>
      <c r="O18" s="116"/>
      <c r="P18" s="116"/>
      <c r="Q18" s="116"/>
      <c r="R18" s="116"/>
    </row>
    <row r="19" spans="1:18" ht="23.1" customHeight="1">
      <c r="A19" s="608">
        <v>10</v>
      </c>
      <c r="B19" s="303" t="s">
        <v>261</v>
      </c>
      <c r="C19" s="298">
        <v>5</v>
      </c>
      <c r="D19" s="299">
        <v>32</v>
      </c>
      <c r="E19" s="300">
        <f t="shared" ref="E19:E20" si="2">D19+C19</f>
        <v>37</v>
      </c>
      <c r="F19" s="523">
        <v>1</v>
      </c>
      <c r="G19" s="304" t="s">
        <v>84</v>
      </c>
      <c r="H19" s="608">
        <v>10</v>
      </c>
      <c r="L19" s="116"/>
      <c r="M19" s="116"/>
      <c r="N19" s="116"/>
      <c r="O19" s="116"/>
      <c r="P19" s="116"/>
      <c r="Q19" s="116"/>
      <c r="R19" s="116"/>
    </row>
    <row r="20" spans="1:18" ht="23.1" customHeight="1">
      <c r="A20" s="607">
        <v>11</v>
      </c>
      <c r="B20" s="34" t="s">
        <v>85</v>
      </c>
      <c r="C20" s="169">
        <v>3</v>
      </c>
      <c r="D20" s="170">
        <v>62</v>
      </c>
      <c r="E20" s="171">
        <f t="shared" si="2"/>
        <v>65</v>
      </c>
      <c r="F20" s="535">
        <v>1</v>
      </c>
      <c r="G20" s="33" t="s">
        <v>86</v>
      </c>
      <c r="H20" s="607">
        <v>11</v>
      </c>
      <c r="L20" s="116"/>
      <c r="M20" s="116"/>
      <c r="N20" s="116"/>
      <c r="O20" s="116"/>
      <c r="P20" s="116"/>
      <c r="Q20" s="116"/>
      <c r="R20" s="116"/>
    </row>
    <row r="21" spans="1:18" ht="23.1" customHeight="1">
      <c r="A21" s="608">
        <v>12</v>
      </c>
      <c r="B21" s="303" t="s">
        <v>179</v>
      </c>
      <c r="C21" s="298" t="s">
        <v>35</v>
      </c>
      <c r="D21" s="299">
        <v>26</v>
      </c>
      <c r="E21" s="300">
        <f>D21</f>
        <v>26</v>
      </c>
      <c r="F21" s="523">
        <v>1</v>
      </c>
      <c r="G21" s="304" t="s">
        <v>180</v>
      </c>
      <c r="H21" s="608">
        <v>12</v>
      </c>
      <c r="L21" s="118"/>
      <c r="M21" s="113"/>
      <c r="N21" s="113"/>
      <c r="O21" s="113"/>
      <c r="P21" s="114"/>
      <c r="Q21" s="119"/>
      <c r="R21" s="116"/>
    </row>
    <row r="22" spans="1:18" ht="23.1" customHeight="1">
      <c r="A22" s="607">
        <v>13</v>
      </c>
      <c r="B22" s="34" t="s">
        <v>87</v>
      </c>
      <c r="C22" s="169" t="s">
        <v>35</v>
      </c>
      <c r="D22" s="170">
        <v>21</v>
      </c>
      <c r="E22" s="171">
        <f t="shared" ref="E22:E23" si="3">D22</f>
        <v>21</v>
      </c>
      <c r="F22" s="535">
        <v>1</v>
      </c>
      <c r="G22" s="33" t="s">
        <v>88</v>
      </c>
      <c r="H22" s="607">
        <v>13</v>
      </c>
      <c r="L22" s="116"/>
      <c r="M22" s="116"/>
      <c r="N22" s="116"/>
      <c r="O22" s="116"/>
      <c r="P22" s="116"/>
      <c r="Q22" s="116"/>
      <c r="R22" s="116"/>
    </row>
    <row r="23" spans="1:18" ht="23.1" customHeight="1">
      <c r="A23" s="608">
        <v>14</v>
      </c>
      <c r="B23" s="303" t="s">
        <v>89</v>
      </c>
      <c r="C23" s="298" t="s">
        <v>35</v>
      </c>
      <c r="D23" s="299">
        <v>30</v>
      </c>
      <c r="E23" s="300">
        <f t="shared" si="3"/>
        <v>30</v>
      </c>
      <c r="F23" s="523">
        <v>1</v>
      </c>
      <c r="G23" s="304" t="s">
        <v>90</v>
      </c>
      <c r="H23" s="608">
        <v>14</v>
      </c>
      <c r="L23" s="116"/>
      <c r="M23" s="116"/>
      <c r="N23" s="116"/>
      <c r="O23" s="116"/>
      <c r="P23" s="116"/>
      <c r="Q23" s="116"/>
      <c r="R23" s="116"/>
    </row>
    <row r="24" spans="1:18" ht="23.1" customHeight="1">
      <c r="A24" s="607">
        <v>15</v>
      </c>
      <c r="B24" s="34" t="s">
        <v>91</v>
      </c>
      <c r="C24" s="169">
        <v>4</v>
      </c>
      <c r="D24" s="170">
        <v>70</v>
      </c>
      <c r="E24" s="171">
        <f>D24+C24</f>
        <v>74</v>
      </c>
      <c r="F24" s="535">
        <v>1</v>
      </c>
      <c r="G24" s="517" t="s">
        <v>329</v>
      </c>
      <c r="H24" s="607">
        <v>15</v>
      </c>
    </row>
    <row r="25" spans="1:18" ht="23.1" customHeight="1">
      <c r="A25" s="608">
        <v>16</v>
      </c>
      <c r="B25" s="303" t="s">
        <v>278</v>
      </c>
      <c r="C25" s="298" t="s">
        <v>35</v>
      </c>
      <c r="D25" s="299">
        <v>7</v>
      </c>
      <c r="E25" s="300">
        <f>D25</f>
        <v>7</v>
      </c>
      <c r="F25" s="523">
        <v>1</v>
      </c>
      <c r="G25" s="514" t="s">
        <v>182</v>
      </c>
      <c r="H25" s="608">
        <v>16</v>
      </c>
    </row>
    <row r="26" spans="1:18" ht="23.1" customHeight="1">
      <c r="A26" s="607">
        <v>17</v>
      </c>
      <c r="B26" s="34" t="s">
        <v>92</v>
      </c>
      <c r="C26" s="169">
        <v>10</v>
      </c>
      <c r="D26" s="170">
        <v>67</v>
      </c>
      <c r="E26" s="171">
        <f>D26+C26</f>
        <v>77</v>
      </c>
      <c r="F26" s="535">
        <v>1</v>
      </c>
      <c r="G26" s="33" t="s">
        <v>93</v>
      </c>
      <c r="H26" s="607">
        <v>17</v>
      </c>
    </row>
    <row r="27" spans="1:18" ht="23.1" customHeight="1">
      <c r="A27" s="608">
        <v>18</v>
      </c>
      <c r="B27" s="303" t="s">
        <v>260</v>
      </c>
      <c r="C27" s="298">
        <v>28</v>
      </c>
      <c r="D27" s="299">
        <v>97</v>
      </c>
      <c r="E27" s="300">
        <f t="shared" ref="E27:E33" si="4">D27+C27</f>
        <v>125</v>
      </c>
      <c r="F27" s="523">
        <v>1</v>
      </c>
      <c r="G27" s="304" t="s">
        <v>95</v>
      </c>
      <c r="H27" s="608">
        <v>18</v>
      </c>
    </row>
    <row r="28" spans="1:18" ht="23.1" customHeight="1">
      <c r="A28" s="607">
        <v>19</v>
      </c>
      <c r="B28" s="34" t="s">
        <v>96</v>
      </c>
      <c r="C28" s="169">
        <v>7</v>
      </c>
      <c r="D28" s="170">
        <v>75</v>
      </c>
      <c r="E28" s="171">
        <f t="shared" si="4"/>
        <v>82</v>
      </c>
      <c r="F28" s="535">
        <v>1</v>
      </c>
      <c r="G28" s="33" t="s">
        <v>97</v>
      </c>
      <c r="H28" s="607">
        <v>19</v>
      </c>
    </row>
    <row r="29" spans="1:18" ht="23.1" customHeight="1">
      <c r="A29" s="608">
        <v>20</v>
      </c>
      <c r="B29" s="303" t="s">
        <v>120</v>
      </c>
      <c r="C29" s="298">
        <v>7</v>
      </c>
      <c r="D29" s="299">
        <v>47</v>
      </c>
      <c r="E29" s="300">
        <f t="shared" si="4"/>
        <v>54</v>
      </c>
      <c r="F29" s="523">
        <v>1</v>
      </c>
      <c r="G29" s="304" t="s">
        <v>121</v>
      </c>
      <c r="H29" s="608">
        <v>20</v>
      </c>
    </row>
    <row r="30" spans="1:18" ht="23.1" customHeight="1">
      <c r="A30" s="607">
        <v>21</v>
      </c>
      <c r="B30" s="34" t="s">
        <v>98</v>
      </c>
      <c r="C30" s="169">
        <v>31</v>
      </c>
      <c r="D30" s="170">
        <v>93</v>
      </c>
      <c r="E30" s="171">
        <f t="shared" si="4"/>
        <v>124</v>
      </c>
      <c r="F30" s="535">
        <v>1</v>
      </c>
      <c r="G30" s="33" t="s">
        <v>99</v>
      </c>
      <c r="H30" s="607">
        <v>21</v>
      </c>
    </row>
    <row r="31" spans="1:18" ht="23.1" customHeight="1">
      <c r="A31" s="608">
        <v>22</v>
      </c>
      <c r="B31" s="303" t="s">
        <v>259</v>
      </c>
      <c r="C31" s="298">
        <v>5</v>
      </c>
      <c r="D31" s="299">
        <v>16</v>
      </c>
      <c r="E31" s="300">
        <f t="shared" si="4"/>
        <v>21</v>
      </c>
      <c r="F31" s="523">
        <v>1</v>
      </c>
      <c r="G31" s="304" t="s">
        <v>101</v>
      </c>
      <c r="H31" s="608">
        <v>22</v>
      </c>
    </row>
    <row r="32" spans="1:18" ht="23.1" customHeight="1">
      <c r="A32" s="607">
        <v>23</v>
      </c>
      <c r="B32" s="34" t="s">
        <v>122</v>
      </c>
      <c r="C32" s="169">
        <v>4</v>
      </c>
      <c r="D32" s="170">
        <v>24</v>
      </c>
      <c r="E32" s="171">
        <f t="shared" si="4"/>
        <v>28</v>
      </c>
      <c r="F32" s="535">
        <v>1</v>
      </c>
      <c r="G32" s="33" t="s">
        <v>123</v>
      </c>
      <c r="H32" s="607">
        <v>23</v>
      </c>
    </row>
    <row r="33" spans="1:8" ht="23.1" customHeight="1">
      <c r="A33" s="608">
        <v>24</v>
      </c>
      <c r="B33" s="303" t="s">
        <v>241</v>
      </c>
      <c r="C33" s="298">
        <v>10</v>
      </c>
      <c r="D33" s="299">
        <v>24</v>
      </c>
      <c r="E33" s="300">
        <f t="shared" si="4"/>
        <v>34</v>
      </c>
      <c r="F33" s="523">
        <v>1</v>
      </c>
      <c r="G33" s="304" t="s">
        <v>125</v>
      </c>
      <c r="H33" s="608">
        <v>24</v>
      </c>
    </row>
    <row r="34" spans="1:8" ht="23.1" customHeight="1">
      <c r="A34" s="607">
        <v>25</v>
      </c>
      <c r="B34" s="79" t="s">
        <v>181</v>
      </c>
      <c r="C34" s="169" t="s">
        <v>35</v>
      </c>
      <c r="D34" s="170">
        <v>21</v>
      </c>
      <c r="E34" s="171">
        <f>D34</f>
        <v>21</v>
      </c>
      <c r="F34" s="535">
        <v>1</v>
      </c>
      <c r="G34" s="33" t="s">
        <v>183</v>
      </c>
      <c r="H34" s="607">
        <v>25</v>
      </c>
    </row>
    <row r="35" spans="1:8" ht="23.1" customHeight="1">
      <c r="A35" s="608">
        <v>26</v>
      </c>
      <c r="B35" s="303" t="s">
        <v>126</v>
      </c>
      <c r="C35" s="298" t="s">
        <v>35</v>
      </c>
      <c r="D35" s="299">
        <v>19</v>
      </c>
      <c r="E35" s="300">
        <f>D35</f>
        <v>19</v>
      </c>
      <c r="F35" s="523">
        <v>1</v>
      </c>
      <c r="G35" s="304" t="s">
        <v>127</v>
      </c>
      <c r="H35" s="608">
        <v>26</v>
      </c>
    </row>
    <row r="36" spans="1:8" ht="23.1" customHeight="1">
      <c r="A36" s="607">
        <v>27</v>
      </c>
      <c r="B36" s="34" t="s">
        <v>102</v>
      </c>
      <c r="C36" s="169">
        <v>8</v>
      </c>
      <c r="D36" s="170">
        <v>73</v>
      </c>
      <c r="E36" s="171">
        <f>D36+C36</f>
        <v>81</v>
      </c>
      <c r="F36" s="535">
        <v>1</v>
      </c>
      <c r="G36" s="33" t="s">
        <v>103</v>
      </c>
      <c r="H36" s="607">
        <v>27</v>
      </c>
    </row>
    <row r="37" spans="1:8" ht="23.1" customHeight="1">
      <c r="A37" s="608">
        <v>28</v>
      </c>
      <c r="B37" s="303" t="s">
        <v>258</v>
      </c>
      <c r="C37" s="298">
        <v>4</v>
      </c>
      <c r="D37" s="299">
        <v>45</v>
      </c>
      <c r="E37" s="300">
        <f t="shared" ref="E37:E42" si="5">D37+C37</f>
        <v>49</v>
      </c>
      <c r="F37" s="523">
        <v>1</v>
      </c>
      <c r="G37" s="304" t="s">
        <v>129</v>
      </c>
      <c r="H37" s="608">
        <v>28</v>
      </c>
    </row>
    <row r="38" spans="1:8" ht="23.1" customHeight="1">
      <c r="A38" s="607">
        <v>29</v>
      </c>
      <c r="B38" s="34" t="s">
        <v>104</v>
      </c>
      <c r="C38" s="169">
        <v>7</v>
      </c>
      <c r="D38" s="170">
        <v>24</v>
      </c>
      <c r="E38" s="171">
        <f t="shared" si="5"/>
        <v>31</v>
      </c>
      <c r="F38" s="535">
        <v>1</v>
      </c>
      <c r="G38" s="33" t="s">
        <v>105</v>
      </c>
      <c r="H38" s="607">
        <v>29</v>
      </c>
    </row>
    <row r="39" spans="1:8" ht="23.1" customHeight="1">
      <c r="A39" s="608">
        <v>30</v>
      </c>
      <c r="B39" s="303" t="s">
        <v>218</v>
      </c>
      <c r="C39" s="298">
        <v>11</v>
      </c>
      <c r="D39" s="299">
        <v>53</v>
      </c>
      <c r="E39" s="300">
        <f t="shared" si="5"/>
        <v>64</v>
      </c>
      <c r="F39" s="523">
        <v>1</v>
      </c>
      <c r="G39" s="304" t="s">
        <v>130</v>
      </c>
      <c r="H39" s="608">
        <v>30</v>
      </c>
    </row>
    <row r="40" spans="1:8" ht="23.1" customHeight="1">
      <c r="A40" s="607">
        <v>31</v>
      </c>
      <c r="B40" s="34" t="s">
        <v>245</v>
      </c>
      <c r="C40" s="169">
        <v>5</v>
      </c>
      <c r="D40" s="170">
        <v>28</v>
      </c>
      <c r="E40" s="171">
        <f t="shared" si="5"/>
        <v>33</v>
      </c>
      <c r="F40" s="535">
        <v>1</v>
      </c>
      <c r="G40" s="33" t="s">
        <v>107</v>
      </c>
      <c r="H40" s="607">
        <v>31</v>
      </c>
    </row>
    <row r="41" spans="1:8" ht="23.1" customHeight="1">
      <c r="A41" s="608">
        <v>32</v>
      </c>
      <c r="B41" s="303" t="s">
        <v>108</v>
      </c>
      <c r="C41" s="298">
        <v>35</v>
      </c>
      <c r="D41" s="299">
        <v>371</v>
      </c>
      <c r="E41" s="300">
        <f t="shared" si="5"/>
        <v>406</v>
      </c>
      <c r="F41" s="523">
        <v>1</v>
      </c>
      <c r="G41" s="304" t="s">
        <v>109</v>
      </c>
      <c r="H41" s="608">
        <v>32</v>
      </c>
    </row>
    <row r="42" spans="1:8" ht="23.1" customHeight="1">
      <c r="A42" s="607">
        <v>33</v>
      </c>
      <c r="B42" s="34" t="s">
        <v>131</v>
      </c>
      <c r="C42" s="169">
        <v>6</v>
      </c>
      <c r="D42" s="170">
        <v>58</v>
      </c>
      <c r="E42" s="171">
        <f t="shared" si="5"/>
        <v>64</v>
      </c>
      <c r="F42" s="535">
        <v>1</v>
      </c>
      <c r="G42" s="33" t="s">
        <v>132</v>
      </c>
      <c r="H42" s="607">
        <v>33</v>
      </c>
    </row>
    <row r="43" spans="1:8" ht="23.1" customHeight="1">
      <c r="A43" s="609">
        <v>34</v>
      </c>
      <c r="B43" s="305" t="s">
        <v>110</v>
      </c>
      <c r="C43" s="306">
        <v>4</v>
      </c>
      <c r="D43" s="307">
        <v>75</v>
      </c>
      <c r="E43" s="308">
        <f>D43+C43</f>
        <v>79</v>
      </c>
      <c r="F43" s="309">
        <v>1</v>
      </c>
      <c r="G43" s="310" t="s">
        <v>111</v>
      </c>
      <c r="H43" s="609">
        <v>34</v>
      </c>
    </row>
    <row r="44" spans="1:8" ht="21.95" customHeight="1">
      <c r="A44" s="610"/>
      <c r="B44" s="822" t="s">
        <v>257</v>
      </c>
      <c r="C44" s="822"/>
      <c r="D44" s="823" t="s">
        <v>358</v>
      </c>
      <c r="E44" s="823"/>
      <c r="F44" s="747" t="s">
        <v>256</v>
      </c>
      <c r="G44" s="747"/>
      <c r="H44" s="747"/>
    </row>
  </sheetData>
  <mergeCells count="15">
    <mergeCell ref="A4:A8"/>
    <mergeCell ref="H4:H8"/>
    <mergeCell ref="A1:H1"/>
    <mergeCell ref="A2:H2"/>
    <mergeCell ref="F44:H44"/>
    <mergeCell ref="A3:H3"/>
    <mergeCell ref="B44:C44"/>
    <mergeCell ref="D44:E44"/>
    <mergeCell ref="C4:E4"/>
    <mergeCell ref="C5:E5"/>
    <mergeCell ref="B4:B8"/>
    <mergeCell ref="G4:G8"/>
    <mergeCell ref="F5:F6"/>
    <mergeCell ref="C6:E6"/>
    <mergeCell ref="F7:F8"/>
  </mergeCells>
  <hyperlinks>
    <hyperlink ref="B34" r:id="rId1" location="FNote1" display="FNote1"/>
  </hyperlinks>
  <pageMargins left="0.43307086614173229" right="0.43307086614173229" top="0.39370078740157483" bottom="0.51181102362204722" header="0.19685039370078741" footer="0.35433070866141736"/>
  <pageSetup paperSize="9" scale="76" orientation="portrait" r:id="rId2"/>
  <headerFooter>
    <oddFooter>&amp;L&amp;"Times New Roman,Bold"Afghanistan Statistical Yearbook  2017-18&amp;R&amp;"Times New Roman,Bold" سالنامۀ احصائیوی / احصا ئيوي کالنی  1396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view="pageBreakPreview" zoomScale="80" zoomScaleSheetLayoutView="80" workbookViewId="0">
      <selection sqref="A1:I43"/>
    </sheetView>
  </sheetViews>
  <sheetFormatPr defaultColWidth="9" defaultRowHeight="15.75"/>
  <cols>
    <col min="1" max="1" width="8" style="495" customWidth="1"/>
    <col min="2" max="2" width="14.28515625" style="92" customWidth="1"/>
    <col min="3" max="3" width="13.42578125" style="92" customWidth="1"/>
    <col min="4" max="4" width="14.7109375" style="92" customWidth="1"/>
    <col min="5" max="5" width="14.28515625" style="92" customWidth="1"/>
    <col min="6" max="6" width="14.42578125" style="92" customWidth="1"/>
    <col min="7" max="7" width="13.7109375" style="92" customWidth="1"/>
    <col min="8" max="8" width="14.42578125" style="92" customWidth="1"/>
    <col min="9" max="9" width="10" style="495" customWidth="1"/>
    <col min="10" max="16384" width="9" style="92"/>
  </cols>
  <sheetData>
    <row r="1" spans="1:14" ht="23.1" customHeight="1">
      <c r="A1" s="838" t="s">
        <v>638</v>
      </c>
      <c r="B1" s="838"/>
      <c r="C1" s="838"/>
      <c r="D1" s="838"/>
      <c r="E1" s="838"/>
      <c r="F1" s="838"/>
      <c r="G1" s="838"/>
      <c r="H1" s="838"/>
      <c r="I1" s="838"/>
    </row>
    <row r="2" spans="1:14" ht="23.1" customHeight="1">
      <c r="A2" s="838" t="s">
        <v>639</v>
      </c>
      <c r="B2" s="838"/>
      <c r="C2" s="838"/>
      <c r="D2" s="838"/>
      <c r="E2" s="838"/>
      <c r="F2" s="838"/>
      <c r="G2" s="838"/>
      <c r="H2" s="838"/>
      <c r="I2" s="838"/>
    </row>
    <row r="3" spans="1:14" ht="23.1" customHeight="1">
      <c r="A3" s="838" t="s">
        <v>580</v>
      </c>
      <c r="B3" s="838"/>
      <c r="C3" s="838"/>
      <c r="D3" s="838"/>
      <c r="E3" s="838"/>
      <c r="F3" s="838"/>
      <c r="G3" s="838"/>
      <c r="H3" s="838"/>
      <c r="I3" s="838"/>
      <c r="M3" s="92" t="s">
        <v>593</v>
      </c>
      <c r="N3" s="92">
        <f>86682-91213</f>
        <v>-4531</v>
      </c>
    </row>
    <row r="4" spans="1:14" ht="28.5" customHeight="1">
      <c r="A4" s="839" t="s">
        <v>633</v>
      </c>
      <c r="B4" s="839" t="s">
        <v>227</v>
      </c>
      <c r="C4" s="842" t="s">
        <v>442</v>
      </c>
      <c r="D4" s="110" t="s">
        <v>361</v>
      </c>
      <c r="E4" s="846" t="s">
        <v>611</v>
      </c>
      <c r="F4" s="847"/>
      <c r="G4" s="846" t="s">
        <v>362</v>
      </c>
      <c r="H4" s="839" t="s">
        <v>225</v>
      </c>
      <c r="I4" s="839" t="s">
        <v>632</v>
      </c>
    </row>
    <row r="5" spans="1:14" ht="29.25" customHeight="1">
      <c r="A5" s="840"/>
      <c r="B5" s="840"/>
      <c r="C5" s="843"/>
      <c r="D5" s="400" t="s">
        <v>445</v>
      </c>
      <c r="E5" s="849" t="s">
        <v>612</v>
      </c>
      <c r="F5" s="850"/>
      <c r="G5" s="848"/>
      <c r="H5" s="840"/>
      <c r="I5" s="840"/>
    </row>
    <row r="6" spans="1:14" ht="20.100000000000001" customHeight="1">
      <c r="A6" s="840"/>
      <c r="B6" s="840"/>
      <c r="C6" s="843" t="s">
        <v>446</v>
      </c>
      <c r="D6" s="580" t="s">
        <v>453</v>
      </c>
      <c r="E6" s="584" t="s">
        <v>363</v>
      </c>
      <c r="F6" s="576" t="s">
        <v>364</v>
      </c>
      <c r="G6" s="581" t="s">
        <v>365</v>
      </c>
      <c r="H6" s="840"/>
      <c r="I6" s="840"/>
    </row>
    <row r="7" spans="1:14" ht="51" customHeight="1">
      <c r="A7" s="841"/>
      <c r="B7" s="841"/>
      <c r="C7" s="844"/>
      <c r="D7" s="583" t="s">
        <v>613</v>
      </c>
      <c r="E7" s="400" t="s">
        <v>366</v>
      </c>
      <c r="F7" s="577" t="s">
        <v>367</v>
      </c>
      <c r="G7" s="582" t="s">
        <v>368</v>
      </c>
      <c r="H7" s="841"/>
      <c r="I7" s="841"/>
    </row>
    <row r="8" spans="1:14" ht="23.1" customHeight="1">
      <c r="A8" s="602"/>
      <c r="B8" s="285" t="s">
        <v>68</v>
      </c>
      <c r="C8" s="284">
        <v>1076</v>
      </c>
      <c r="D8" s="284">
        <f>SUM(D9:D42)</f>
        <v>81057</v>
      </c>
      <c r="E8" s="284">
        <f>SUM(E9:E42)</f>
        <v>3665</v>
      </c>
      <c r="F8" s="288">
        <f>SUM(F9:F42)</f>
        <v>1960</v>
      </c>
      <c r="G8" s="289">
        <f>SUM(G9:G42)</f>
        <v>86682</v>
      </c>
      <c r="H8" s="281" t="s">
        <v>354</v>
      </c>
      <c r="I8" s="602"/>
      <c r="K8" s="92">
        <f>F8+E8+D8</f>
        <v>86682</v>
      </c>
    </row>
    <row r="9" spans="1:14" ht="23.1" customHeight="1">
      <c r="A9" s="578">
        <v>1</v>
      </c>
      <c r="B9" s="93" t="s">
        <v>264</v>
      </c>
      <c r="C9" s="206">
        <v>1048</v>
      </c>
      <c r="D9" s="209">
        <f>480+314+92+89+437+1579+3</f>
        <v>2994</v>
      </c>
      <c r="E9" s="207">
        <f>622+109+23</f>
        <v>754</v>
      </c>
      <c r="F9" s="205">
        <f>378+75</f>
        <v>453</v>
      </c>
      <c r="G9" s="208">
        <f>F9+E9+D9</f>
        <v>4201</v>
      </c>
      <c r="H9" s="94" t="s">
        <v>70</v>
      </c>
      <c r="I9" s="578">
        <v>1</v>
      </c>
    </row>
    <row r="10" spans="1:14" ht="23.1" customHeight="1">
      <c r="A10" s="604">
        <v>2</v>
      </c>
      <c r="B10" s="285" t="s">
        <v>71</v>
      </c>
      <c r="C10" s="286" t="s">
        <v>489</v>
      </c>
      <c r="D10" s="287">
        <f>266+1358</f>
        <v>1624</v>
      </c>
      <c r="E10" s="284">
        <v>61</v>
      </c>
      <c r="F10" s="288">
        <v>42</v>
      </c>
      <c r="G10" s="289">
        <f t="shared" ref="G10:G41" si="0">F10+E10+D10</f>
        <v>1727</v>
      </c>
      <c r="H10" s="281" t="s">
        <v>72</v>
      </c>
      <c r="I10" s="604">
        <v>2</v>
      </c>
    </row>
    <row r="11" spans="1:14" ht="23.1" customHeight="1">
      <c r="A11" s="578">
        <v>3</v>
      </c>
      <c r="B11" s="93" t="s">
        <v>73</v>
      </c>
      <c r="C11" s="206" t="s">
        <v>489</v>
      </c>
      <c r="D11" s="209">
        <f>168+329+1568</f>
        <v>2065</v>
      </c>
      <c r="E11" s="207">
        <v>68</v>
      </c>
      <c r="F11" s="205">
        <v>32</v>
      </c>
      <c r="G11" s="208">
        <f t="shared" si="0"/>
        <v>2165</v>
      </c>
      <c r="H11" s="94" t="s">
        <v>369</v>
      </c>
      <c r="I11" s="578">
        <v>3</v>
      </c>
      <c r="L11" s="111"/>
    </row>
    <row r="12" spans="1:14" ht="23.1" customHeight="1">
      <c r="A12" s="604">
        <v>4</v>
      </c>
      <c r="B12" s="285" t="s">
        <v>75</v>
      </c>
      <c r="C12" s="286" t="s">
        <v>489</v>
      </c>
      <c r="D12" s="287">
        <f>91+1623+39+428</f>
        <v>2181</v>
      </c>
      <c r="E12" s="284">
        <v>60</v>
      </c>
      <c r="F12" s="288">
        <v>36</v>
      </c>
      <c r="G12" s="289">
        <f t="shared" si="0"/>
        <v>2277</v>
      </c>
      <c r="H12" s="281" t="s">
        <v>370</v>
      </c>
      <c r="I12" s="604">
        <v>4</v>
      </c>
      <c r="M12" s="112"/>
    </row>
    <row r="13" spans="1:14" ht="23.1" customHeight="1">
      <c r="A13" s="578">
        <v>5</v>
      </c>
      <c r="B13" s="93" t="s">
        <v>116</v>
      </c>
      <c r="C13" s="206" t="s">
        <v>489</v>
      </c>
      <c r="D13" s="209">
        <f>57+559</f>
        <v>616</v>
      </c>
      <c r="E13" s="207">
        <v>39</v>
      </c>
      <c r="F13" s="205">
        <v>21</v>
      </c>
      <c r="G13" s="208">
        <f t="shared" si="0"/>
        <v>676</v>
      </c>
      <c r="H13" s="94" t="s">
        <v>117</v>
      </c>
      <c r="I13" s="578">
        <v>5</v>
      </c>
    </row>
    <row r="14" spans="1:14" ht="23.1" customHeight="1">
      <c r="A14" s="604">
        <v>6</v>
      </c>
      <c r="B14" s="285" t="s">
        <v>142</v>
      </c>
      <c r="C14" s="286" t="s">
        <v>489</v>
      </c>
      <c r="D14" s="287">
        <f>1354+2880</f>
        <v>4234</v>
      </c>
      <c r="E14" s="284">
        <v>144</v>
      </c>
      <c r="F14" s="288">
        <v>21</v>
      </c>
      <c r="G14" s="289">
        <f t="shared" si="0"/>
        <v>4399</v>
      </c>
      <c r="H14" s="281" t="s">
        <v>371</v>
      </c>
      <c r="I14" s="604">
        <v>6</v>
      </c>
    </row>
    <row r="15" spans="1:14" ht="23.1" customHeight="1">
      <c r="A15" s="578">
        <v>7</v>
      </c>
      <c r="B15" s="93" t="s">
        <v>246</v>
      </c>
      <c r="C15" s="206" t="s">
        <v>489</v>
      </c>
      <c r="D15" s="209">
        <f>298+1694</f>
        <v>1992</v>
      </c>
      <c r="E15" s="207">
        <v>33</v>
      </c>
      <c r="F15" s="205">
        <v>87</v>
      </c>
      <c r="G15" s="208">
        <f t="shared" si="0"/>
        <v>2112</v>
      </c>
      <c r="H15" s="94" t="s">
        <v>372</v>
      </c>
      <c r="I15" s="578">
        <v>7</v>
      </c>
    </row>
    <row r="16" spans="1:14" ht="23.1" customHeight="1">
      <c r="A16" s="604">
        <v>8</v>
      </c>
      <c r="B16" s="285" t="s">
        <v>118</v>
      </c>
      <c r="C16" s="286" t="s">
        <v>489</v>
      </c>
      <c r="D16" s="287">
        <f>515+81</f>
        <v>596</v>
      </c>
      <c r="E16" s="284">
        <v>7</v>
      </c>
      <c r="F16" s="288">
        <v>44</v>
      </c>
      <c r="G16" s="289">
        <f t="shared" si="0"/>
        <v>647</v>
      </c>
      <c r="H16" s="281" t="s">
        <v>119</v>
      </c>
      <c r="I16" s="604">
        <v>8</v>
      </c>
    </row>
    <row r="17" spans="1:9" ht="23.1" customHeight="1">
      <c r="A17" s="578">
        <v>9</v>
      </c>
      <c r="B17" s="93" t="s">
        <v>144</v>
      </c>
      <c r="C17" s="206" t="s">
        <v>489</v>
      </c>
      <c r="D17" s="209">
        <f>349+2290</f>
        <v>2639</v>
      </c>
      <c r="E17" s="207">
        <v>43</v>
      </c>
      <c r="F17" s="205">
        <v>51</v>
      </c>
      <c r="G17" s="208">
        <f t="shared" si="0"/>
        <v>2733</v>
      </c>
      <c r="H17" s="94" t="s">
        <v>82</v>
      </c>
      <c r="I17" s="578">
        <v>9</v>
      </c>
    </row>
    <row r="18" spans="1:9" ht="23.1" customHeight="1">
      <c r="A18" s="604">
        <v>10</v>
      </c>
      <c r="B18" s="285" t="s">
        <v>83</v>
      </c>
      <c r="C18" s="286" t="s">
        <v>489</v>
      </c>
      <c r="D18" s="287">
        <f>289+374</f>
        <v>663</v>
      </c>
      <c r="E18" s="284">
        <v>20</v>
      </c>
      <c r="F18" s="288">
        <f>14+33</f>
        <v>47</v>
      </c>
      <c r="G18" s="289">
        <f t="shared" si="0"/>
        <v>730</v>
      </c>
      <c r="H18" s="281" t="s">
        <v>84</v>
      </c>
      <c r="I18" s="604">
        <v>10</v>
      </c>
    </row>
    <row r="19" spans="1:9" ht="23.1" customHeight="1">
      <c r="A19" s="578">
        <v>11</v>
      </c>
      <c r="B19" s="93" t="s">
        <v>85</v>
      </c>
      <c r="C19" s="206" t="s">
        <v>489</v>
      </c>
      <c r="D19" s="209">
        <f>126+2638+82+1328</f>
        <v>4174</v>
      </c>
      <c r="E19" s="207">
        <v>63</v>
      </c>
      <c r="F19" s="205">
        <v>51</v>
      </c>
      <c r="G19" s="208">
        <f t="shared" si="0"/>
        <v>4288</v>
      </c>
      <c r="H19" s="94" t="s">
        <v>86</v>
      </c>
      <c r="I19" s="578">
        <v>11</v>
      </c>
    </row>
    <row r="20" spans="1:9" ht="23.1" customHeight="1">
      <c r="A20" s="604">
        <v>12</v>
      </c>
      <c r="B20" s="285" t="s">
        <v>179</v>
      </c>
      <c r="C20" s="286" t="s">
        <v>489</v>
      </c>
      <c r="D20" s="287">
        <f>2224+77</f>
        <v>2301</v>
      </c>
      <c r="E20" s="284">
        <v>92</v>
      </c>
      <c r="F20" s="288">
        <v>33</v>
      </c>
      <c r="G20" s="289">
        <f t="shared" si="0"/>
        <v>2426</v>
      </c>
      <c r="H20" s="281" t="s">
        <v>180</v>
      </c>
      <c r="I20" s="604">
        <v>12</v>
      </c>
    </row>
    <row r="21" spans="1:9" ht="23.1" customHeight="1">
      <c r="A21" s="578">
        <v>13</v>
      </c>
      <c r="B21" s="93" t="s">
        <v>87</v>
      </c>
      <c r="C21" s="206" t="s">
        <v>489</v>
      </c>
      <c r="D21" s="209">
        <f>1741+321</f>
        <v>2062</v>
      </c>
      <c r="E21" s="207">
        <v>38</v>
      </c>
      <c r="F21" s="205">
        <v>35</v>
      </c>
      <c r="G21" s="208">
        <f t="shared" si="0"/>
        <v>2135</v>
      </c>
      <c r="H21" s="94" t="s">
        <v>88</v>
      </c>
      <c r="I21" s="578">
        <v>13</v>
      </c>
    </row>
    <row r="22" spans="1:9" ht="23.1" customHeight="1">
      <c r="A22" s="604">
        <v>14</v>
      </c>
      <c r="B22" s="285" t="s">
        <v>89</v>
      </c>
      <c r="C22" s="286" t="s">
        <v>489</v>
      </c>
      <c r="D22" s="287">
        <f>99+1715</f>
        <v>1814</v>
      </c>
      <c r="E22" s="284">
        <v>62</v>
      </c>
      <c r="F22" s="288">
        <v>39</v>
      </c>
      <c r="G22" s="289">
        <f t="shared" si="0"/>
        <v>1915</v>
      </c>
      <c r="H22" s="281" t="s">
        <v>90</v>
      </c>
      <c r="I22" s="604">
        <v>14</v>
      </c>
    </row>
    <row r="23" spans="1:9" ht="23.1" customHeight="1">
      <c r="A23" s="578">
        <v>15</v>
      </c>
      <c r="B23" s="93" t="s">
        <v>91</v>
      </c>
      <c r="C23" s="206" t="s">
        <v>489</v>
      </c>
      <c r="D23" s="209">
        <f>499+1193</f>
        <v>1692</v>
      </c>
      <c r="E23" s="207">
        <v>82</v>
      </c>
      <c r="F23" s="205">
        <v>50</v>
      </c>
      <c r="G23" s="208">
        <f t="shared" si="0"/>
        <v>1824</v>
      </c>
      <c r="H23" s="94" t="s">
        <v>373</v>
      </c>
      <c r="I23" s="578">
        <v>15</v>
      </c>
    </row>
    <row r="24" spans="1:9" ht="23.1" customHeight="1">
      <c r="A24" s="604">
        <v>16</v>
      </c>
      <c r="B24" s="285" t="s">
        <v>247</v>
      </c>
      <c r="C24" s="286" t="s">
        <v>489</v>
      </c>
      <c r="D24" s="287">
        <f>175+378</f>
        <v>553</v>
      </c>
      <c r="E24" s="284">
        <v>56</v>
      </c>
      <c r="F24" s="288">
        <v>28</v>
      </c>
      <c r="G24" s="289">
        <f t="shared" si="0"/>
        <v>637</v>
      </c>
      <c r="H24" s="281" t="s">
        <v>182</v>
      </c>
      <c r="I24" s="604">
        <v>16</v>
      </c>
    </row>
    <row r="25" spans="1:9" ht="23.1" customHeight="1">
      <c r="A25" s="578">
        <v>17</v>
      </c>
      <c r="B25" s="93" t="s">
        <v>146</v>
      </c>
      <c r="C25" s="206" t="s">
        <v>489</v>
      </c>
      <c r="D25" s="209">
        <f>724+2074</f>
        <v>2798</v>
      </c>
      <c r="E25" s="207">
        <v>121</v>
      </c>
      <c r="F25" s="205">
        <v>27</v>
      </c>
      <c r="G25" s="208">
        <f t="shared" si="0"/>
        <v>2946</v>
      </c>
      <c r="H25" s="94" t="s">
        <v>93</v>
      </c>
      <c r="I25" s="578">
        <v>17</v>
      </c>
    </row>
    <row r="26" spans="1:9" ht="23.1" customHeight="1">
      <c r="A26" s="604">
        <v>18</v>
      </c>
      <c r="B26" s="285" t="s">
        <v>94</v>
      </c>
      <c r="C26" s="286" t="s">
        <v>489</v>
      </c>
      <c r="D26" s="287">
        <f>799+2480</f>
        <v>3279</v>
      </c>
      <c r="E26" s="284">
        <v>32</v>
      </c>
      <c r="F26" s="288">
        <v>84</v>
      </c>
      <c r="G26" s="289">
        <f t="shared" si="0"/>
        <v>3395</v>
      </c>
      <c r="H26" s="281" t="s">
        <v>95</v>
      </c>
      <c r="I26" s="604">
        <v>18</v>
      </c>
    </row>
    <row r="27" spans="1:9" ht="23.1" customHeight="1">
      <c r="A27" s="578">
        <v>19</v>
      </c>
      <c r="B27" s="93" t="s">
        <v>248</v>
      </c>
      <c r="C27" s="206">
        <v>3</v>
      </c>
      <c r="D27" s="209">
        <f>433+2238+8</f>
        <v>2679</v>
      </c>
      <c r="E27" s="207">
        <v>72</v>
      </c>
      <c r="F27" s="205">
        <v>43</v>
      </c>
      <c r="G27" s="208">
        <f t="shared" si="0"/>
        <v>2794</v>
      </c>
      <c r="H27" s="94" t="s">
        <v>97</v>
      </c>
      <c r="I27" s="578">
        <v>19</v>
      </c>
    </row>
    <row r="28" spans="1:9" ht="23.1" customHeight="1">
      <c r="A28" s="604">
        <v>20</v>
      </c>
      <c r="B28" s="285" t="s">
        <v>151</v>
      </c>
      <c r="C28" s="286" t="s">
        <v>489</v>
      </c>
      <c r="D28" s="287">
        <f>166+1171+7+268</f>
        <v>1612</v>
      </c>
      <c r="E28" s="284">
        <v>85</v>
      </c>
      <c r="F28" s="288">
        <v>20</v>
      </c>
      <c r="G28" s="289">
        <f t="shared" si="0"/>
        <v>1717</v>
      </c>
      <c r="H28" s="281" t="s">
        <v>121</v>
      </c>
      <c r="I28" s="604">
        <v>20</v>
      </c>
    </row>
    <row r="29" spans="1:9" ht="23.1" customHeight="1">
      <c r="A29" s="578">
        <v>21</v>
      </c>
      <c r="B29" s="93" t="s">
        <v>153</v>
      </c>
      <c r="C29" s="206">
        <v>9</v>
      </c>
      <c r="D29" s="209">
        <v>2875</v>
      </c>
      <c r="E29" s="207">
        <v>68</v>
      </c>
      <c r="F29" s="207">
        <v>121</v>
      </c>
      <c r="G29" s="208">
        <v>3064</v>
      </c>
      <c r="H29" s="94" t="s">
        <v>99</v>
      </c>
      <c r="I29" s="578">
        <v>21</v>
      </c>
    </row>
    <row r="30" spans="1:9" ht="23.1" customHeight="1">
      <c r="A30" s="604">
        <v>22</v>
      </c>
      <c r="B30" s="285" t="s">
        <v>240</v>
      </c>
      <c r="C30" s="286">
        <v>2</v>
      </c>
      <c r="D30" s="287">
        <f>234+1011+23+167</f>
        <v>1435</v>
      </c>
      <c r="E30" s="284">
        <v>26</v>
      </c>
      <c r="F30" s="288">
        <v>17</v>
      </c>
      <c r="G30" s="289">
        <f t="shared" si="0"/>
        <v>1478</v>
      </c>
      <c r="H30" s="281" t="s">
        <v>101</v>
      </c>
      <c r="I30" s="604">
        <v>22</v>
      </c>
    </row>
    <row r="31" spans="1:9" ht="23.1" customHeight="1">
      <c r="A31" s="578">
        <v>23</v>
      </c>
      <c r="B31" s="93" t="s">
        <v>122</v>
      </c>
      <c r="C31" s="206" t="s">
        <v>489</v>
      </c>
      <c r="D31" s="209">
        <f>119+3744+5</f>
        <v>3868</v>
      </c>
      <c r="E31" s="207">
        <v>54</v>
      </c>
      <c r="F31" s="205">
        <v>33</v>
      </c>
      <c r="G31" s="208">
        <f t="shared" si="0"/>
        <v>3955</v>
      </c>
      <c r="H31" s="94" t="s">
        <v>123</v>
      </c>
      <c r="I31" s="578">
        <v>23</v>
      </c>
    </row>
    <row r="32" spans="1:9" ht="23.1" customHeight="1">
      <c r="A32" s="604">
        <v>24</v>
      </c>
      <c r="B32" s="290" t="s">
        <v>241</v>
      </c>
      <c r="C32" s="286" t="s">
        <v>489</v>
      </c>
      <c r="D32" s="287">
        <f>58+496</f>
        <v>554</v>
      </c>
      <c r="E32" s="284">
        <v>27</v>
      </c>
      <c r="F32" s="288">
        <v>23</v>
      </c>
      <c r="G32" s="289">
        <f t="shared" si="0"/>
        <v>604</v>
      </c>
      <c r="H32" s="281" t="s">
        <v>125</v>
      </c>
      <c r="I32" s="604">
        <v>24</v>
      </c>
    </row>
    <row r="33" spans="1:9" ht="23.1" customHeight="1">
      <c r="A33" s="578">
        <v>25</v>
      </c>
      <c r="B33" s="93" t="s">
        <v>181</v>
      </c>
      <c r="C33" s="206" t="s">
        <v>489</v>
      </c>
      <c r="D33" s="209">
        <f>57+3340+18</f>
        <v>3415</v>
      </c>
      <c r="E33" s="207">
        <v>41</v>
      </c>
      <c r="F33" s="205">
        <v>14</v>
      </c>
      <c r="G33" s="208">
        <f t="shared" si="0"/>
        <v>3470</v>
      </c>
      <c r="H33" s="94" t="s">
        <v>183</v>
      </c>
      <c r="I33" s="578">
        <v>25</v>
      </c>
    </row>
    <row r="34" spans="1:9" ht="23.1" customHeight="1">
      <c r="A34" s="604">
        <v>26</v>
      </c>
      <c r="B34" s="285" t="s">
        <v>242</v>
      </c>
      <c r="C34" s="286" t="s">
        <v>489</v>
      </c>
      <c r="D34" s="287">
        <f>2106+5</f>
        <v>2111</v>
      </c>
      <c r="E34" s="284">
        <v>47</v>
      </c>
      <c r="F34" s="288">
        <v>45</v>
      </c>
      <c r="G34" s="289">
        <f t="shared" si="0"/>
        <v>2203</v>
      </c>
      <c r="H34" s="281" t="s">
        <v>127</v>
      </c>
      <c r="I34" s="604">
        <v>26</v>
      </c>
    </row>
    <row r="35" spans="1:9" ht="23.1" customHeight="1">
      <c r="A35" s="578">
        <v>27</v>
      </c>
      <c r="B35" s="93" t="s">
        <v>243</v>
      </c>
      <c r="C35" s="206" t="s">
        <v>489</v>
      </c>
      <c r="D35" s="209">
        <f>439+4220+42</f>
        <v>4701</v>
      </c>
      <c r="E35" s="207">
        <v>100</v>
      </c>
      <c r="F35" s="205">
        <v>39</v>
      </c>
      <c r="G35" s="208">
        <f t="shared" si="0"/>
        <v>4840</v>
      </c>
      <c r="H35" s="94" t="s">
        <v>103</v>
      </c>
      <c r="I35" s="578">
        <v>27</v>
      </c>
    </row>
    <row r="36" spans="1:9" ht="23.1" customHeight="1">
      <c r="A36" s="604">
        <v>28</v>
      </c>
      <c r="B36" s="285" t="s">
        <v>155</v>
      </c>
      <c r="C36" s="286" t="s">
        <v>489</v>
      </c>
      <c r="D36" s="287">
        <f>353+1004</f>
        <v>1357</v>
      </c>
      <c r="E36" s="284">
        <v>53</v>
      </c>
      <c r="F36" s="288">
        <v>77</v>
      </c>
      <c r="G36" s="289">
        <f t="shared" si="0"/>
        <v>1487</v>
      </c>
      <c r="H36" s="281" t="s">
        <v>129</v>
      </c>
      <c r="I36" s="604">
        <v>28</v>
      </c>
    </row>
    <row r="37" spans="1:9" ht="23.1" customHeight="1">
      <c r="A37" s="578">
        <v>29</v>
      </c>
      <c r="B37" s="93" t="s">
        <v>244</v>
      </c>
      <c r="C37" s="206" t="s">
        <v>489</v>
      </c>
      <c r="D37" s="209">
        <f>430+2521</f>
        <v>2951</v>
      </c>
      <c r="E37" s="207">
        <v>65</v>
      </c>
      <c r="F37" s="205">
        <v>64</v>
      </c>
      <c r="G37" s="208">
        <f t="shared" si="0"/>
        <v>3080</v>
      </c>
      <c r="H37" s="94" t="s">
        <v>105</v>
      </c>
      <c r="I37" s="578">
        <v>29</v>
      </c>
    </row>
    <row r="38" spans="1:9" ht="23.1" customHeight="1">
      <c r="A38" s="604">
        <v>30</v>
      </c>
      <c r="B38" s="285" t="s">
        <v>157</v>
      </c>
      <c r="C38" s="286" t="s">
        <v>489</v>
      </c>
      <c r="D38" s="287">
        <f>3348+6</f>
        <v>3354</v>
      </c>
      <c r="E38" s="284">
        <v>31</v>
      </c>
      <c r="F38" s="288">
        <v>68</v>
      </c>
      <c r="G38" s="289">
        <f t="shared" si="0"/>
        <v>3453</v>
      </c>
      <c r="H38" s="281" t="s">
        <v>130</v>
      </c>
      <c r="I38" s="604">
        <v>30</v>
      </c>
    </row>
    <row r="39" spans="1:9" ht="23.1" customHeight="1">
      <c r="A39" s="578">
        <v>31</v>
      </c>
      <c r="B39" s="93" t="s">
        <v>245</v>
      </c>
      <c r="C39" s="206" t="s">
        <v>489</v>
      </c>
      <c r="D39" s="209">
        <v>2284</v>
      </c>
      <c r="E39" s="207">
        <v>83</v>
      </c>
      <c r="F39" s="205">
        <v>6</v>
      </c>
      <c r="G39" s="208">
        <f t="shared" si="0"/>
        <v>2373</v>
      </c>
      <c r="H39" s="94" t="s">
        <v>374</v>
      </c>
      <c r="I39" s="578">
        <v>31</v>
      </c>
    </row>
    <row r="40" spans="1:9" ht="23.1" customHeight="1">
      <c r="A40" s="604">
        <v>32</v>
      </c>
      <c r="B40" s="285" t="s">
        <v>108</v>
      </c>
      <c r="C40" s="286">
        <v>14</v>
      </c>
      <c r="D40" s="287">
        <f>1211+5541+4+291</f>
        <v>7047</v>
      </c>
      <c r="E40" s="284">
        <v>104</v>
      </c>
      <c r="F40" s="288">
        <v>144</v>
      </c>
      <c r="G40" s="289">
        <f t="shared" si="0"/>
        <v>7295</v>
      </c>
      <c r="H40" s="281" t="s">
        <v>375</v>
      </c>
      <c r="I40" s="604">
        <v>32</v>
      </c>
    </row>
    <row r="41" spans="1:9" ht="23.1" customHeight="1">
      <c r="A41" s="578">
        <v>33</v>
      </c>
      <c r="B41" s="93" t="s">
        <v>131</v>
      </c>
      <c r="C41" s="206" t="s">
        <v>489</v>
      </c>
      <c r="D41" s="209">
        <f>49+1411+8</f>
        <v>1468</v>
      </c>
      <c r="E41" s="207">
        <v>61</v>
      </c>
      <c r="F41" s="205">
        <v>44</v>
      </c>
      <c r="G41" s="208">
        <f t="shared" si="0"/>
        <v>1573</v>
      </c>
      <c r="H41" s="94" t="s">
        <v>132</v>
      </c>
      <c r="I41" s="578">
        <v>33</v>
      </c>
    </row>
    <row r="42" spans="1:9" ht="23.1" customHeight="1">
      <c r="A42" s="605">
        <v>34</v>
      </c>
      <c r="B42" s="291" t="s">
        <v>163</v>
      </c>
      <c r="C42" s="292" t="s">
        <v>489</v>
      </c>
      <c r="D42" s="293">
        <f>29+1030+10</f>
        <v>1069</v>
      </c>
      <c r="E42" s="294">
        <v>973</v>
      </c>
      <c r="F42" s="295">
        <v>21</v>
      </c>
      <c r="G42" s="296">
        <f>F42+E42+D42</f>
        <v>2063</v>
      </c>
      <c r="H42" s="283" t="s">
        <v>111</v>
      </c>
      <c r="I42" s="605">
        <v>34</v>
      </c>
    </row>
    <row r="43" spans="1:9" ht="23.1" customHeight="1">
      <c r="A43" s="837" t="s">
        <v>443</v>
      </c>
      <c r="B43" s="837"/>
      <c r="C43" s="837"/>
      <c r="D43" s="837"/>
      <c r="E43" s="851" t="s">
        <v>454</v>
      </c>
      <c r="F43" s="851"/>
      <c r="G43" s="845" t="s">
        <v>376</v>
      </c>
      <c r="H43" s="845"/>
      <c r="I43" s="845"/>
    </row>
  </sheetData>
  <mergeCells count="15">
    <mergeCell ref="A43:D43"/>
    <mergeCell ref="A1:I1"/>
    <mergeCell ref="A2:I2"/>
    <mergeCell ref="A3:I3"/>
    <mergeCell ref="A4:A7"/>
    <mergeCell ref="I4:I7"/>
    <mergeCell ref="C4:C5"/>
    <mergeCell ref="C6:C7"/>
    <mergeCell ref="B4:B7"/>
    <mergeCell ref="G43:I43"/>
    <mergeCell ref="E4:F4"/>
    <mergeCell ref="G4:G5"/>
    <mergeCell ref="E5:F5"/>
    <mergeCell ref="H4:H7"/>
    <mergeCell ref="E43:F43"/>
  </mergeCells>
  <hyperlinks>
    <hyperlink ref="B33" r:id="rId1" location="FNote1" display="FNote1"/>
  </hyperlinks>
  <pageMargins left="0.43307086614173229" right="0.43307086614173229" top="0.74803149606299213" bottom="0.74803149606299213" header="0.31496062992125984" footer="0.31496062992125984"/>
  <pageSetup paperSize="9" scale="74" orientation="portrait" r:id="rId2"/>
  <headerFooter>
    <oddFooter>&amp;L&amp;"Times New Roman,Bold"Afghanistan Statistical Yearbook  2017-18&amp;R&amp;"Times New Roman,Bold"    سالنامۀ احصائیوی / احصا ئيوي کالنی  1396</oddFooter>
  </headerFooter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5"/>
  <sheetViews>
    <sheetView view="pageBreakPreview" zoomScale="75" zoomScaleSheetLayoutView="75" workbookViewId="0">
      <selection sqref="A1:M44"/>
    </sheetView>
  </sheetViews>
  <sheetFormatPr defaultColWidth="9.140625" defaultRowHeight="15.75"/>
  <cols>
    <col min="1" max="1" width="6.42578125" style="495" customWidth="1"/>
    <col min="2" max="2" width="14.28515625" style="92" customWidth="1"/>
    <col min="3" max="3" width="8.7109375" style="92" customWidth="1"/>
    <col min="4" max="4" width="9.140625" style="92" customWidth="1"/>
    <col min="5" max="5" width="9.85546875" style="92" customWidth="1"/>
    <col min="6" max="7" width="8.85546875" style="92" customWidth="1"/>
    <col min="8" max="8" width="9" style="92" customWidth="1"/>
    <col min="9" max="9" width="9.42578125" style="92" customWidth="1"/>
    <col min="10" max="10" width="10.42578125" style="92" customWidth="1"/>
    <col min="11" max="11" width="10.7109375" style="92" customWidth="1"/>
    <col min="12" max="12" width="13.140625" style="92" customWidth="1"/>
    <col min="13" max="13" width="8.28515625" style="495" customWidth="1"/>
    <col min="14" max="16384" width="9.140625" style="92"/>
  </cols>
  <sheetData>
    <row r="1" spans="1:15" ht="26.1" customHeight="1">
      <c r="A1" s="838" t="s">
        <v>581</v>
      </c>
      <c r="B1" s="838"/>
      <c r="C1" s="838"/>
      <c r="D1" s="838"/>
      <c r="E1" s="838"/>
      <c r="F1" s="838"/>
      <c r="G1" s="838"/>
      <c r="H1" s="838"/>
      <c r="I1" s="838"/>
      <c r="J1" s="838"/>
      <c r="K1" s="838"/>
      <c r="L1" s="838"/>
      <c r="M1" s="838"/>
    </row>
    <row r="2" spans="1:15" ht="26.1" customHeight="1">
      <c r="A2" s="838" t="s">
        <v>582</v>
      </c>
      <c r="B2" s="838"/>
      <c r="C2" s="838"/>
      <c r="D2" s="838"/>
      <c r="E2" s="838"/>
      <c r="F2" s="838"/>
      <c r="G2" s="838"/>
      <c r="H2" s="838"/>
      <c r="I2" s="838"/>
      <c r="J2" s="838"/>
      <c r="K2" s="838"/>
      <c r="L2" s="838"/>
      <c r="M2" s="838"/>
    </row>
    <row r="3" spans="1:15" ht="26.1" customHeight="1">
      <c r="A3" s="862" t="s">
        <v>615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  <c r="M3" s="862"/>
    </row>
    <row r="4" spans="1:15" ht="24.95" customHeight="1">
      <c r="A4" s="839" t="s">
        <v>633</v>
      </c>
      <c r="B4" s="858" t="s">
        <v>227</v>
      </c>
      <c r="C4" s="858" t="s">
        <v>393</v>
      </c>
      <c r="D4" s="859"/>
      <c r="E4" s="859"/>
      <c r="F4" s="858" t="s">
        <v>394</v>
      </c>
      <c r="G4" s="859"/>
      <c r="H4" s="859"/>
      <c r="I4" s="858" t="s">
        <v>395</v>
      </c>
      <c r="J4" s="859"/>
      <c r="K4" s="856"/>
      <c r="L4" s="856" t="s">
        <v>225</v>
      </c>
      <c r="M4" s="839" t="s">
        <v>632</v>
      </c>
    </row>
    <row r="5" spans="1:15" ht="24.95" customHeight="1">
      <c r="A5" s="840"/>
      <c r="B5" s="860"/>
      <c r="C5" s="860" t="s">
        <v>400</v>
      </c>
      <c r="D5" s="861"/>
      <c r="E5" s="861"/>
      <c r="F5" s="860" t="s">
        <v>399</v>
      </c>
      <c r="G5" s="861"/>
      <c r="H5" s="861"/>
      <c r="I5" s="860" t="s">
        <v>398</v>
      </c>
      <c r="J5" s="861"/>
      <c r="K5" s="857"/>
      <c r="L5" s="857"/>
      <c r="M5" s="840"/>
    </row>
    <row r="6" spans="1:15" ht="24.95" customHeight="1">
      <c r="A6" s="840"/>
      <c r="B6" s="860"/>
      <c r="C6" s="853" t="s">
        <v>441</v>
      </c>
      <c r="D6" s="854"/>
      <c r="E6" s="855"/>
      <c r="F6" s="853" t="s">
        <v>440</v>
      </c>
      <c r="G6" s="854"/>
      <c r="H6" s="855"/>
      <c r="I6" s="853" t="s">
        <v>426</v>
      </c>
      <c r="J6" s="854"/>
      <c r="K6" s="855"/>
      <c r="L6" s="857"/>
      <c r="M6" s="840"/>
      <c r="O6" s="107">
        <v>389039</v>
      </c>
    </row>
    <row r="7" spans="1:15" ht="24.95" customHeight="1">
      <c r="A7" s="840"/>
      <c r="B7" s="840"/>
      <c r="C7" s="589" t="s">
        <v>397</v>
      </c>
      <c r="D7" s="578" t="s">
        <v>396</v>
      </c>
      <c r="E7" s="590" t="s">
        <v>354</v>
      </c>
      <c r="F7" s="589" t="s">
        <v>397</v>
      </c>
      <c r="G7" s="578" t="s">
        <v>396</v>
      </c>
      <c r="H7" s="588" t="s">
        <v>354</v>
      </c>
      <c r="I7" s="590" t="s">
        <v>397</v>
      </c>
      <c r="J7" s="578" t="s">
        <v>396</v>
      </c>
      <c r="K7" s="588" t="s">
        <v>354</v>
      </c>
      <c r="L7" s="840"/>
      <c r="M7" s="840"/>
      <c r="O7" s="108">
        <v>93549</v>
      </c>
    </row>
    <row r="8" spans="1:15" ht="24.95" customHeight="1">
      <c r="A8" s="841"/>
      <c r="B8" s="841"/>
      <c r="C8" s="585" t="s">
        <v>169</v>
      </c>
      <c r="D8" s="579" t="s">
        <v>276</v>
      </c>
      <c r="E8" s="586" t="s">
        <v>68</v>
      </c>
      <c r="F8" s="585" t="s">
        <v>169</v>
      </c>
      <c r="G8" s="579" t="s">
        <v>276</v>
      </c>
      <c r="H8" s="587" t="s">
        <v>68</v>
      </c>
      <c r="I8" s="586" t="s">
        <v>169</v>
      </c>
      <c r="J8" s="579" t="s">
        <v>276</v>
      </c>
      <c r="K8" s="587" t="s">
        <v>68</v>
      </c>
      <c r="L8" s="841"/>
      <c r="M8" s="841"/>
      <c r="O8" s="108">
        <v>5100</v>
      </c>
    </row>
    <row r="9" spans="1:15" ht="26.1" customHeight="1">
      <c r="A9" s="602"/>
      <c r="B9" s="275" t="s">
        <v>68</v>
      </c>
      <c r="C9" s="273">
        <f>C10+C19+C20+C33+C41</f>
        <v>70</v>
      </c>
      <c r="D9" s="274">
        <f>SUM(D10:D43)</f>
        <v>781</v>
      </c>
      <c r="E9" s="274">
        <f>SUM(E10:E43)</f>
        <v>851</v>
      </c>
      <c r="F9" s="273">
        <f>F10+F19+F20+F33+F41</f>
        <v>143</v>
      </c>
      <c r="G9" s="274">
        <f>SUM(G10:G43)</f>
        <v>2768</v>
      </c>
      <c r="H9" s="274">
        <f>SUM(H10:H43)</f>
        <v>2911</v>
      </c>
      <c r="I9" s="496">
        <f>I10+I13+I14+I19+I20+I29+I30+I32+I33+I36+I37+I41</f>
        <v>4882</v>
      </c>
      <c r="J9" s="603">
        <f>J10+J11+J12+J13+J14+J15+J16+J17+J18+J19+J20+J21+J22+J23+J25+J24+J26+J27+J28+J29+J30+J31+J32+J33+J34+J35+J36+J37+J38+J39+J40+J41+J42+J43</f>
        <v>354525</v>
      </c>
      <c r="K9" s="281">
        <f>K10+K11+K12+K13+K14+K15+K16+K17+K18+K19+K20+K21+K22+K23+K25+K24+K26+K27+K28+K29+K30+K31+K32+K33+K34+K35+K36+K37+K38+K39+K40+K41+K42+K43</f>
        <v>359407</v>
      </c>
      <c r="L9" s="281" t="s">
        <v>354</v>
      </c>
      <c r="M9" s="602"/>
      <c r="O9" s="108">
        <v>10150</v>
      </c>
    </row>
    <row r="10" spans="1:15" ht="26.1" customHeight="1">
      <c r="A10" s="578">
        <v>1</v>
      </c>
      <c r="B10" s="97" t="s">
        <v>264</v>
      </c>
      <c r="C10" s="145">
        <v>55</v>
      </c>
      <c r="D10" s="146">
        <v>200</v>
      </c>
      <c r="E10" s="146">
        <f>D10+C10</f>
        <v>255</v>
      </c>
      <c r="F10" s="145">
        <v>119</v>
      </c>
      <c r="G10" s="146">
        <v>1550</v>
      </c>
      <c r="H10" s="146">
        <f>G10+F10</f>
        <v>1669</v>
      </c>
      <c r="I10" s="144">
        <v>1601</v>
      </c>
      <c r="J10" s="143">
        <v>94149</v>
      </c>
      <c r="K10" s="108">
        <f>J10+I10</f>
        <v>95750</v>
      </c>
      <c r="L10" s="94" t="s">
        <v>70</v>
      </c>
      <c r="M10" s="578">
        <v>1</v>
      </c>
      <c r="O10" s="108">
        <v>6489</v>
      </c>
    </row>
    <row r="11" spans="1:15" ht="26.1" customHeight="1">
      <c r="A11" s="604">
        <v>2</v>
      </c>
      <c r="B11" s="275" t="s">
        <v>71</v>
      </c>
      <c r="C11" s="276" t="s">
        <v>35</v>
      </c>
      <c r="D11" s="277">
        <v>11</v>
      </c>
      <c r="E11" s="277">
        <f>D11</f>
        <v>11</v>
      </c>
      <c r="F11" s="276" t="s">
        <v>35</v>
      </c>
      <c r="G11" s="277">
        <v>50</v>
      </c>
      <c r="H11" s="277">
        <f>G11</f>
        <v>50</v>
      </c>
      <c r="I11" s="278" t="s">
        <v>35</v>
      </c>
      <c r="J11" s="279">
        <v>7620</v>
      </c>
      <c r="K11" s="280">
        <f>J11</f>
        <v>7620</v>
      </c>
      <c r="L11" s="281" t="s">
        <v>72</v>
      </c>
      <c r="M11" s="604">
        <v>2</v>
      </c>
      <c r="O11" s="108">
        <v>7060</v>
      </c>
    </row>
    <row r="12" spans="1:15" ht="26.1" customHeight="1">
      <c r="A12" s="578">
        <v>3</v>
      </c>
      <c r="B12" s="97" t="s">
        <v>73</v>
      </c>
      <c r="C12" s="145" t="s">
        <v>35</v>
      </c>
      <c r="D12" s="146">
        <v>10</v>
      </c>
      <c r="E12" s="146">
        <f t="shared" ref="E12:E43" si="0">D12</f>
        <v>10</v>
      </c>
      <c r="F12" s="145" t="s">
        <v>35</v>
      </c>
      <c r="G12" s="146">
        <v>25</v>
      </c>
      <c r="H12" s="146">
        <f t="shared" ref="H12:H18" si="1">G12</f>
        <v>25</v>
      </c>
      <c r="I12" s="144" t="s">
        <v>35</v>
      </c>
      <c r="J12" s="143">
        <v>1840</v>
      </c>
      <c r="K12" s="108">
        <f>J12</f>
        <v>1840</v>
      </c>
      <c r="L12" s="94" t="s">
        <v>369</v>
      </c>
      <c r="M12" s="578">
        <v>3</v>
      </c>
      <c r="O12" s="108">
        <v>12200</v>
      </c>
    </row>
    <row r="13" spans="1:15" ht="26.1" customHeight="1">
      <c r="A13" s="604">
        <v>4</v>
      </c>
      <c r="B13" s="275" t="s">
        <v>75</v>
      </c>
      <c r="C13" s="276" t="s">
        <v>35</v>
      </c>
      <c r="D13" s="277">
        <v>20</v>
      </c>
      <c r="E13" s="277">
        <f t="shared" si="0"/>
        <v>20</v>
      </c>
      <c r="F13" s="276" t="s">
        <v>35</v>
      </c>
      <c r="G13" s="277">
        <v>30</v>
      </c>
      <c r="H13" s="277">
        <f t="shared" si="1"/>
        <v>30</v>
      </c>
      <c r="I13" s="278">
        <v>114</v>
      </c>
      <c r="J13" s="279">
        <v>9542</v>
      </c>
      <c r="K13" s="280">
        <f>J13+I13</f>
        <v>9656</v>
      </c>
      <c r="L13" s="281" t="s">
        <v>370</v>
      </c>
      <c r="M13" s="604">
        <v>4</v>
      </c>
      <c r="O13" s="108">
        <v>3050</v>
      </c>
    </row>
    <row r="14" spans="1:15" ht="26.1" customHeight="1">
      <c r="A14" s="578">
        <v>5</v>
      </c>
      <c r="B14" s="97" t="s">
        <v>116</v>
      </c>
      <c r="C14" s="145" t="s">
        <v>35</v>
      </c>
      <c r="D14" s="146">
        <v>10</v>
      </c>
      <c r="E14" s="146">
        <f t="shared" si="0"/>
        <v>10</v>
      </c>
      <c r="F14" s="145" t="s">
        <v>35</v>
      </c>
      <c r="G14" s="146">
        <v>30</v>
      </c>
      <c r="H14" s="146">
        <f t="shared" si="1"/>
        <v>30</v>
      </c>
      <c r="I14" s="144">
        <v>640</v>
      </c>
      <c r="J14" s="143">
        <v>10030</v>
      </c>
      <c r="K14" s="108">
        <f>J14+I14</f>
        <v>10670</v>
      </c>
      <c r="L14" s="94" t="s">
        <v>117</v>
      </c>
      <c r="M14" s="578">
        <v>5</v>
      </c>
      <c r="O14" s="108">
        <v>2070</v>
      </c>
    </row>
    <row r="15" spans="1:15" ht="26.1" customHeight="1">
      <c r="A15" s="604">
        <v>6</v>
      </c>
      <c r="B15" s="275" t="s">
        <v>142</v>
      </c>
      <c r="C15" s="276" t="s">
        <v>35</v>
      </c>
      <c r="D15" s="277">
        <v>15</v>
      </c>
      <c r="E15" s="277">
        <f t="shared" si="0"/>
        <v>15</v>
      </c>
      <c r="F15" s="276" t="s">
        <v>35</v>
      </c>
      <c r="G15" s="277">
        <v>25</v>
      </c>
      <c r="H15" s="277">
        <f t="shared" si="1"/>
        <v>25</v>
      </c>
      <c r="I15" s="278" t="s">
        <v>35</v>
      </c>
      <c r="J15" s="279">
        <v>12233</v>
      </c>
      <c r="K15" s="280">
        <f>J15</f>
        <v>12233</v>
      </c>
      <c r="L15" s="281" t="s">
        <v>371</v>
      </c>
      <c r="M15" s="604">
        <v>6</v>
      </c>
      <c r="O15" s="108">
        <v>6020</v>
      </c>
    </row>
    <row r="16" spans="1:15" ht="26.1" customHeight="1">
      <c r="A16" s="578">
        <v>7</v>
      </c>
      <c r="B16" s="97" t="s">
        <v>246</v>
      </c>
      <c r="C16" s="145" t="s">
        <v>35</v>
      </c>
      <c r="D16" s="146">
        <v>15</v>
      </c>
      <c r="E16" s="146">
        <f t="shared" si="0"/>
        <v>15</v>
      </c>
      <c r="F16" s="145" t="s">
        <v>35</v>
      </c>
      <c r="G16" s="146">
        <v>23</v>
      </c>
      <c r="H16" s="146">
        <f t="shared" si="1"/>
        <v>23</v>
      </c>
      <c r="I16" s="144" t="s">
        <v>35</v>
      </c>
      <c r="J16" s="143">
        <v>6855</v>
      </c>
      <c r="K16" s="108">
        <f t="shared" ref="K16:K18" si="2">J16</f>
        <v>6855</v>
      </c>
      <c r="L16" s="94" t="s">
        <v>372</v>
      </c>
      <c r="M16" s="578">
        <v>7</v>
      </c>
      <c r="O16" s="108">
        <v>5700</v>
      </c>
    </row>
    <row r="17" spans="1:15" ht="26.1" customHeight="1">
      <c r="A17" s="604">
        <v>8</v>
      </c>
      <c r="B17" s="275" t="s">
        <v>118</v>
      </c>
      <c r="C17" s="276" t="s">
        <v>35</v>
      </c>
      <c r="D17" s="277">
        <v>8</v>
      </c>
      <c r="E17" s="277">
        <f t="shared" si="0"/>
        <v>8</v>
      </c>
      <c r="F17" s="276" t="s">
        <v>35</v>
      </c>
      <c r="G17" s="277">
        <v>16</v>
      </c>
      <c r="H17" s="277">
        <f t="shared" si="1"/>
        <v>16</v>
      </c>
      <c r="I17" s="278" t="s">
        <v>35</v>
      </c>
      <c r="J17" s="279">
        <v>2055</v>
      </c>
      <c r="K17" s="280">
        <f t="shared" si="2"/>
        <v>2055</v>
      </c>
      <c r="L17" s="281" t="s">
        <v>119</v>
      </c>
      <c r="M17" s="604">
        <v>8</v>
      </c>
      <c r="O17" s="108">
        <v>14000</v>
      </c>
    </row>
    <row r="18" spans="1:15" ht="26.1" customHeight="1">
      <c r="A18" s="578">
        <v>9</v>
      </c>
      <c r="B18" s="97" t="s">
        <v>144</v>
      </c>
      <c r="C18" s="145" t="s">
        <v>35</v>
      </c>
      <c r="D18" s="146">
        <v>20</v>
      </c>
      <c r="E18" s="146">
        <f t="shared" si="0"/>
        <v>20</v>
      </c>
      <c r="F18" s="145" t="s">
        <v>35</v>
      </c>
      <c r="G18" s="146">
        <v>50</v>
      </c>
      <c r="H18" s="146">
        <f t="shared" si="1"/>
        <v>50</v>
      </c>
      <c r="I18" s="144" t="s">
        <v>35</v>
      </c>
      <c r="J18" s="143">
        <v>5600</v>
      </c>
      <c r="K18" s="108">
        <f t="shared" si="2"/>
        <v>5600</v>
      </c>
      <c r="L18" s="94" t="s">
        <v>82</v>
      </c>
      <c r="M18" s="578">
        <v>9</v>
      </c>
      <c r="O18" s="108">
        <v>1500</v>
      </c>
    </row>
    <row r="19" spans="1:15" ht="26.1" customHeight="1">
      <c r="A19" s="604">
        <v>10</v>
      </c>
      <c r="B19" s="275" t="s">
        <v>83</v>
      </c>
      <c r="C19" s="276">
        <v>2</v>
      </c>
      <c r="D19" s="277">
        <v>10</v>
      </c>
      <c r="E19" s="277">
        <f>D19+C19</f>
        <v>12</v>
      </c>
      <c r="F19" s="276">
        <v>5</v>
      </c>
      <c r="G19" s="277">
        <v>21</v>
      </c>
      <c r="H19" s="277">
        <f>G19+F19</f>
        <v>26</v>
      </c>
      <c r="I19" s="278">
        <v>150</v>
      </c>
      <c r="J19" s="279">
        <v>5521</v>
      </c>
      <c r="K19" s="280">
        <f>J19+I19</f>
        <v>5671</v>
      </c>
      <c r="L19" s="281" t="s">
        <v>84</v>
      </c>
      <c r="M19" s="604">
        <v>10</v>
      </c>
      <c r="O19" s="108">
        <v>2000</v>
      </c>
    </row>
    <row r="20" spans="1:15" ht="26.1" customHeight="1">
      <c r="A20" s="578">
        <v>11</v>
      </c>
      <c r="B20" s="497" t="s">
        <v>85</v>
      </c>
      <c r="C20" s="145">
        <v>5</v>
      </c>
      <c r="D20" s="277">
        <v>35</v>
      </c>
      <c r="E20" s="146">
        <f>D20+C20</f>
        <v>40</v>
      </c>
      <c r="F20" s="145">
        <v>4</v>
      </c>
      <c r="G20" s="146">
        <v>100</v>
      </c>
      <c r="H20" s="146">
        <f>G20+F20</f>
        <v>104</v>
      </c>
      <c r="I20" s="144">
        <v>120</v>
      </c>
      <c r="J20" s="143">
        <v>14830</v>
      </c>
      <c r="K20" s="108">
        <f>J20+I20</f>
        <v>14950</v>
      </c>
      <c r="L20" s="94" t="s">
        <v>86</v>
      </c>
      <c r="M20" s="578">
        <v>11</v>
      </c>
      <c r="O20" s="108">
        <v>30080</v>
      </c>
    </row>
    <row r="21" spans="1:15" ht="26.1" customHeight="1">
      <c r="A21" s="604">
        <v>12</v>
      </c>
      <c r="B21" s="275" t="s">
        <v>179</v>
      </c>
      <c r="C21" s="276" t="s">
        <v>35</v>
      </c>
      <c r="D21" s="277">
        <v>6</v>
      </c>
      <c r="E21" s="277">
        <f t="shared" si="0"/>
        <v>6</v>
      </c>
      <c r="F21" s="276" t="s">
        <v>35</v>
      </c>
      <c r="G21" s="277">
        <v>12</v>
      </c>
      <c r="H21" s="277">
        <f>G21</f>
        <v>12</v>
      </c>
      <c r="I21" s="278" t="s">
        <v>35</v>
      </c>
      <c r="J21" s="279">
        <v>1225</v>
      </c>
      <c r="K21" s="280">
        <f>J21</f>
        <v>1225</v>
      </c>
      <c r="L21" s="281" t="s">
        <v>180</v>
      </c>
      <c r="M21" s="604">
        <v>12</v>
      </c>
      <c r="O21" s="108">
        <v>6100</v>
      </c>
    </row>
    <row r="22" spans="1:15" ht="26.1" customHeight="1">
      <c r="A22" s="578">
        <v>13</v>
      </c>
      <c r="B22" s="97" t="s">
        <v>87</v>
      </c>
      <c r="C22" s="145" t="s">
        <v>35</v>
      </c>
      <c r="D22" s="146">
        <v>12</v>
      </c>
      <c r="E22" s="146">
        <f t="shared" si="0"/>
        <v>12</v>
      </c>
      <c r="F22" s="145" t="s">
        <v>35</v>
      </c>
      <c r="G22" s="146">
        <v>24</v>
      </c>
      <c r="H22" s="146">
        <f t="shared" ref="H22:H32" si="3">G22</f>
        <v>24</v>
      </c>
      <c r="I22" s="144" t="s">
        <v>35</v>
      </c>
      <c r="J22" s="143">
        <v>9606</v>
      </c>
      <c r="K22" s="108">
        <f t="shared" ref="K22:K28" si="4">J22</f>
        <v>9606</v>
      </c>
      <c r="L22" s="94" t="s">
        <v>88</v>
      </c>
      <c r="M22" s="578">
        <v>13</v>
      </c>
      <c r="O22" s="108">
        <v>2040</v>
      </c>
    </row>
    <row r="23" spans="1:15" ht="26.1" customHeight="1">
      <c r="A23" s="604">
        <v>14</v>
      </c>
      <c r="B23" s="275" t="s">
        <v>89</v>
      </c>
      <c r="C23" s="276" t="s">
        <v>35</v>
      </c>
      <c r="D23" s="277">
        <v>12</v>
      </c>
      <c r="E23" s="277">
        <f t="shared" si="0"/>
        <v>12</v>
      </c>
      <c r="F23" s="276" t="s">
        <v>35</v>
      </c>
      <c r="G23" s="277">
        <v>25</v>
      </c>
      <c r="H23" s="277">
        <f t="shared" si="3"/>
        <v>25</v>
      </c>
      <c r="I23" s="278" t="s">
        <v>35</v>
      </c>
      <c r="J23" s="279">
        <v>20960</v>
      </c>
      <c r="K23" s="280">
        <f t="shared" si="4"/>
        <v>20960</v>
      </c>
      <c r="L23" s="281" t="s">
        <v>90</v>
      </c>
      <c r="M23" s="604">
        <v>14</v>
      </c>
      <c r="O23" s="108">
        <v>6120</v>
      </c>
    </row>
    <row r="24" spans="1:15" ht="26.1" customHeight="1">
      <c r="A24" s="578">
        <v>15</v>
      </c>
      <c r="B24" s="97" t="s">
        <v>91</v>
      </c>
      <c r="C24" s="145" t="s">
        <v>35</v>
      </c>
      <c r="D24" s="146">
        <v>7</v>
      </c>
      <c r="E24" s="146">
        <f t="shared" si="0"/>
        <v>7</v>
      </c>
      <c r="F24" s="145" t="s">
        <v>35</v>
      </c>
      <c r="G24" s="146">
        <v>14</v>
      </c>
      <c r="H24" s="146">
        <f t="shared" si="3"/>
        <v>14</v>
      </c>
      <c r="I24" s="144" t="s">
        <v>35</v>
      </c>
      <c r="J24" s="143">
        <v>4375</v>
      </c>
      <c r="K24" s="108">
        <f t="shared" si="4"/>
        <v>4375</v>
      </c>
      <c r="L24" s="94" t="s">
        <v>373</v>
      </c>
      <c r="M24" s="578">
        <v>15</v>
      </c>
      <c r="O24" s="108">
        <v>3550</v>
      </c>
    </row>
    <row r="25" spans="1:15" ht="26.1" customHeight="1">
      <c r="A25" s="604">
        <v>16</v>
      </c>
      <c r="B25" s="275" t="s">
        <v>247</v>
      </c>
      <c r="C25" s="276" t="s">
        <v>35</v>
      </c>
      <c r="D25" s="277">
        <v>4</v>
      </c>
      <c r="E25" s="277">
        <f t="shared" si="0"/>
        <v>4</v>
      </c>
      <c r="F25" s="276" t="s">
        <v>35</v>
      </c>
      <c r="G25" s="277">
        <v>14</v>
      </c>
      <c r="H25" s="277">
        <f t="shared" si="3"/>
        <v>14</v>
      </c>
      <c r="I25" s="278" t="s">
        <v>35</v>
      </c>
      <c r="J25" s="279">
        <v>3103</v>
      </c>
      <c r="K25" s="280">
        <f t="shared" si="4"/>
        <v>3103</v>
      </c>
      <c r="L25" s="281" t="s">
        <v>182</v>
      </c>
      <c r="M25" s="604">
        <v>16</v>
      </c>
      <c r="O25" s="108">
        <v>23700</v>
      </c>
    </row>
    <row r="26" spans="1:15" ht="26.1" customHeight="1">
      <c r="A26" s="578">
        <v>17</v>
      </c>
      <c r="B26" s="97" t="s">
        <v>146</v>
      </c>
      <c r="C26" s="145" t="s">
        <v>35</v>
      </c>
      <c r="D26" s="146">
        <v>12</v>
      </c>
      <c r="E26" s="146">
        <f t="shared" si="0"/>
        <v>12</v>
      </c>
      <c r="F26" s="145" t="s">
        <v>35</v>
      </c>
      <c r="G26" s="146">
        <v>23</v>
      </c>
      <c r="H26" s="146">
        <f t="shared" si="3"/>
        <v>23</v>
      </c>
      <c r="I26" s="144" t="s">
        <v>35</v>
      </c>
      <c r="J26" s="143">
        <v>5788</v>
      </c>
      <c r="K26" s="108">
        <f t="shared" si="4"/>
        <v>5788</v>
      </c>
      <c r="L26" s="94" t="s">
        <v>93</v>
      </c>
      <c r="M26" s="578">
        <v>17</v>
      </c>
      <c r="O26" s="108">
        <v>4540</v>
      </c>
    </row>
    <row r="27" spans="1:15" ht="26.1" customHeight="1">
      <c r="A27" s="604">
        <v>18</v>
      </c>
      <c r="B27" s="275" t="s">
        <v>94</v>
      </c>
      <c r="C27" s="276" t="s">
        <v>35</v>
      </c>
      <c r="D27" s="277">
        <v>14</v>
      </c>
      <c r="E27" s="277">
        <f t="shared" si="0"/>
        <v>14</v>
      </c>
      <c r="F27" s="276" t="s">
        <v>35</v>
      </c>
      <c r="G27" s="277">
        <v>25</v>
      </c>
      <c r="H27" s="277">
        <f t="shared" si="3"/>
        <v>25</v>
      </c>
      <c r="I27" s="278" t="s">
        <v>35</v>
      </c>
      <c r="J27" s="279">
        <v>17040</v>
      </c>
      <c r="K27" s="280">
        <f t="shared" si="4"/>
        <v>17040</v>
      </c>
      <c r="L27" s="281" t="s">
        <v>95</v>
      </c>
      <c r="M27" s="604">
        <v>18</v>
      </c>
      <c r="O27" s="108">
        <v>30200</v>
      </c>
    </row>
    <row r="28" spans="1:15" ht="26.1" customHeight="1">
      <c r="A28" s="578">
        <v>19</v>
      </c>
      <c r="B28" s="97" t="s">
        <v>248</v>
      </c>
      <c r="C28" s="145" t="s">
        <v>35</v>
      </c>
      <c r="D28" s="146">
        <v>18</v>
      </c>
      <c r="E28" s="146">
        <f t="shared" si="0"/>
        <v>18</v>
      </c>
      <c r="F28" s="145" t="s">
        <v>35</v>
      </c>
      <c r="G28" s="146">
        <v>35</v>
      </c>
      <c r="H28" s="146">
        <f t="shared" si="3"/>
        <v>35</v>
      </c>
      <c r="I28" s="144" t="s">
        <v>35</v>
      </c>
      <c r="J28" s="143">
        <v>7346</v>
      </c>
      <c r="K28" s="108">
        <f t="shared" si="4"/>
        <v>7346</v>
      </c>
      <c r="L28" s="94" t="s">
        <v>97</v>
      </c>
      <c r="M28" s="578">
        <v>19</v>
      </c>
      <c r="O28" s="108">
        <v>5100</v>
      </c>
    </row>
    <row r="29" spans="1:15" ht="26.1" customHeight="1">
      <c r="A29" s="604">
        <v>20</v>
      </c>
      <c r="B29" s="275" t="s">
        <v>151</v>
      </c>
      <c r="C29" s="276" t="s">
        <v>35</v>
      </c>
      <c r="D29" s="277">
        <v>10</v>
      </c>
      <c r="E29" s="277">
        <f t="shared" si="0"/>
        <v>10</v>
      </c>
      <c r="F29" s="276" t="s">
        <v>35</v>
      </c>
      <c r="G29" s="277">
        <v>18</v>
      </c>
      <c r="H29" s="277">
        <f t="shared" si="3"/>
        <v>18</v>
      </c>
      <c r="I29" s="278">
        <v>45</v>
      </c>
      <c r="J29" s="279">
        <v>5035</v>
      </c>
      <c r="K29" s="280">
        <f>J29+I29</f>
        <v>5080</v>
      </c>
      <c r="L29" s="281" t="s">
        <v>121</v>
      </c>
      <c r="M29" s="604">
        <v>20</v>
      </c>
      <c r="O29" s="108">
        <v>2300</v>
      </c>
    </row>
    <row r="30" spans="1:15" ht="26.1" customHeight="1">
      <c r="A30" s="578">
        <v>21</v>
      </c>
      <c r="B30" s="97" t="s">
        <v>153</v>
      </c>
      <c r="C30" s="145" t="s">
        <v>35</v>
      </c>
      <c r="D30" s="146">
        <v>20</v>
      </c>
      <c r="E30" s="146">
        <f t="shared" si="0"/>
        <v>20</v>
      </c>
      <c r="F30" s="145" t="s">
        <v>35</v>
      </c>
      <c r="G30" s="146">
        <v>35</v>
      </c>
      <c r="H30" s="146">
        <f t="shared" si="3"/>
        <v>35</v>
      </c>
      <c r="I30" s="144">
        <v>510</v>
      </c>
      <c r="J30" s="143">
        <v>21704</v>
      </c>
      <c r="K30" s="108">
        <f>J30+I30</f>
        <v>22214</v>
      </c>
      <c r="L30" s="94" t="s">
        <v>99</v>
      </c>
      <c r="M30" s="578">
        <v>21</v>
      </c>
      <c r="O30" s="108">
        <v>4270</v>
      </c>
    </row>
    <row r="31" spans="1:15" ht="26.1" customHeight="1">
      <c r="A31" s="604">
        <v>22</v>
      </c>
      <c r="B31" s="275" t="s">
        <v>240</v>
      </c>
      <c r="C31" s="276" t="s">
        <v>35</v>
      </c>
      <c r="D31" s="277">
        <v>6</v>
      </c>
      <c r="E31" s="277">
        <f t="shared" si="0"/>
        <v>6</v>
      </c>
      <c r="F31" s="276" t="s">
        <v>35</v>
      </c>
      <c r="G31" s="277">
        <v>16</v>
      </c>
      <c r="H31" s="277">
        <f t="shared" si="3"/>
        <v>16</v>
      </c>
      <c r="I31" s="278" t="s">
        <v>35</v>
      </c>
      <c r="J31" s="279">
        <v>4500</v>
      </c>
      <c r="K31" s="280">
        <f>J31</f>
        <v>4500</v>
      </c>
      <c r="L31" s="281" t="s">
        <v>101</v>
      </c>
      <c r="M31" s="604">
        <v>22</v>
      </c>
      <c r="O31" s="108">
        <v>1850</v>
      </c>
    </row>
    <row r="32" spans="1:15" ht="26.1" customHeight="1">
      <c r="A32" s="578">
        <v>23</v>
      </c>
      <c r="B32" s="97" t="s">
        <v>122</v>
      </c>
      <c r="C32" s="145" t="s">
        <v>35</v>
      </c>
      <c r="D32" s="146">
        <v>21</v>
      </c>
      <c r="E32" s="146">
        <f t="shared" si="0"/>
        <v>21</v>
      </c>
      <c r="F32" s="145" t="s">
        <v>35</v>
      </c>
      <c r="G32" s="146">
        <v>40</v>
      </c>
      <c r="H32" s="146">
        <f t="shared" si="3"/>
        <v>40</v>
      </c>
      <c r="I32" s="144">
        <v>160</v>
      </c>
      <c r="J32" s="143">
        <v>1214</v>
      </c>
      <c r="K32" s="108">
        <f>J32+I32</f>
        <v>1374</v>
      </c>
      <c r="L32" s="94" t="s">
        <v>123</v>
      </c>
      <c r="M32" s="578">
        <v>23</v>
      </c>
      <c r="O32" s="108">
        <v>1200</v>
      </c>
    </row>
    <row r="33" spans="1:15" ht="26.1" customHeight="1">
      <c r="A33" s="604">
        <v>24</v>
      </c>
      <c r="B33" s="282" t="s">
        <v>241</v>
      </c>
      <c r="C33" s="276">
        <v>3</v>
      </c>
      <c r="D33" s="277">
        <v>9</v>
      </c>
      <c r="E33" s="277">
        <f>D33+C33</f>
        <v>12</v>
      </c>
      <c r="F33" s="276">
        <v>5</v>
      </c>
      <c r="G33" s="277">
        <v>50</v>
      </c>
      <c r="H33" s="277">
        <f>G33+F33</f>
        <v>55</v>
      </c>
      <c r="I33" s="278">
        <v>85</v>
      </c>
      <c r="J33" s="279">
        <v>6890</v>
      </c>
      <c r="K33" s="280">
        <f>J33+I33</f>
        <v>6975</v>
      </c>
      <c r="L33" s="281" t="s">
        <v>125</v>
      </c>
      <c r="M33" s="604">
        <v>24</v>
      </c>
      <c r="O33" s="108">
        <v>25860</v>
      </c>
    </row>
    <row r="34" spans="1:15" ht="26.1" customHeight="1">
      <c r="A34" s="578">
        <v>25</v>
      </c>
      <c r="B34" s="97" t="s">
        <v>181</v>
      </c>
      <c r="C34" s="145" t="s">
        <v>35</v>
      </c>
      <c r="D34" s="146">
        <v>5</v>
      </c>
      <c r="E34" s="146">
        <f t="shared" si="0"/>
        <v>5</v>
      </c>
      <c r="F34" s="145" t="s">
        <v>35</v>
      </c>
      <c r="G34" s="146">
        <v>15</v>
      </c>
      <c r="H34" s="146">
        <f>G34</f>
        <v>15</v>
      </c>
      <c r="I34" s="144" t="s">
        <v>35</v>
      </c>
      <c r="J34" s="143">
        <v>8320</v>
      </c>
      <c r="K34" s="108">
        <f>J34</f>
        <v>8320</v>
      </c>
      <c r="L34" s="94" t="s">
        <v>183</v>
      </c>
      <c r="M34" s="578">
        <v>25</v>
      </c>
      <c r="O34" s="108">
        <v>5140</v>
      </c>
    </row>
    <row r="35" spans="1:15" ht="26.1" customHeight="1">
      <c r="A35" s="604">
        <v>26</v>
      </c>
      <c r="B35" s="275" t="s">
        <v>242</v>
      </c>
      <c r="C35" s="276" t="s">
        <v>35</v>
      </c>
      <c r="D35" s="277">
        <v>5</v>
      </c>
      <c r="E35" s="277">
        <f t="shared" si="0"/>
        <v>5</v>
      </c>
      <c r="F35" s="276" t="s">
        <v>35</v>
      </c>
      <c r="G35" s="277">
        <v>10</v>
      </c>
      <c r="H35" s="277">
        <f t="shared" ref="H35:H40" si="5">G35</f>
        <v>10</v>
      </c>
      <c r="I35" s="278" t="s">
        <v>35</v>
      </c>
      <c r="J35" s="279">
        <v>2250</v>
      </c>
      <c r="K35" s="280">
        <f>J35</f>
        <v>2250</v>
      </c>
      <c r="L35" s="281" t="s">
        <v>127</v>
      </c>
      <c r="M35" s="604">
        <v>26</v>
      </c>
      <c r="O35" s="108">
        <v>4600</v>
      </c>
    </row>
    <row r="36" spans="1:15" ht="26.1" customHeight="1">
      <c r="A36" s="578">
        <v>27</v>
      </c>
      <c r="B36" s="97" t="s">
        <v>243</v>
      </c>
      <c r="C36" s="145" t="s">
        <v>35</v>
      </c>
      <c r="D36" s="146">
        <v>20</v>
      </c>
      <c r="E36" s="146">
        <f t="shared" si="0"/>
        <v>20</v>
      </c>
      <c r="F36" s="145" t="s">
        <v>35</v>
      </c>
      <c r="G36" s="146">
        <v>50</v>
      </c>
      <c r="H36" s="146">
        <f t="shared" si="5"/>
        <v>50</v>
      </c>
      <c r="I36" s="144">
        <v>297</v>
      </c>
      <c r="J36" s="143">
        <v>13013</v>
      </c>
      <c r="K36" s="108">
        <f>J36+I36</f>
        <v>13310</v>
      </c>
      <c r="L36" s="94" t="s">
        <v>103</v>
      </c>
      <c r="M36" s="578">
        <v>27</v>
      </c>
      <c r="O36" s="108">
        <v>2300</v>
      </c>
    </row>
    <row r="37" spans="1:15" ht="26.1" customHeight="1">
      <c r="A37" s="604">
        <v>28</v>
      </c>
      <c r="B37" s="275" t="s">
        <v>155</v>
      </c>
      <c r="C37" s="276" t="s">
        <v>35</v>
      </c>
      <c r="D37" s="277">
        <v>50</v>
      </c>
      <c r="E37" s="277">
        <f t="shared" si="0"/>
        <v>50</v>
      </c>
      <c r="F37" s="276" t="s">
        <v>35</v>
      </c>
      <c r="G37" s="277">
        <v>80</v>
      </c>
      <c r="H37" s="277">
        <f t="shared" si="5"/>
        <v>80</v>
      </c>
      <c r="I37" s="278">
        <v>110</v>
      </c>
      <c r="J37" s="279">
        <v>11830</v>
      </c>
      <c r="K37" s="280">
        <f>J37+I37</f>
        <v>11940</v>
      </c>
      <c r="L37" s="281" t="s">
        <v>129</v>
      </c>
      <c r="M37" s="604">
        <v>28</v>
      </c>
      <c r="O37" s="108">
        <v>2100</v>
      </c>
    </row>
    <row r="38" spans="1:15" ht="26.1" customHeight="1">
      <c r="A38" s="578">
        <v>29</v>
      </c>
      <c r="B38" s="97" t="s">
        <v>244</v>
      </c>
      <c r="C38" s="145" t="s">
        <v>35</v>
      </c>
      <c r="D38" s="146">
        <v>40</v>
      </c>
      <c r="E38" s="146">
        <f t="shared" si="0"/>
        <v>40</v>
      </c>
      <c r="F38" s="145" t="s">
        <v>35</v>
      </c>
      <c r="G38" s="146">
        <v>70</v>
      </c>
      <c r="H38" s="146">
        <f t="shared" si="5"/>
        <v>70</v>
      </c>
      <c r="I38" s="144" t="s">
        <v>35</v>
      </c>
      <c r="J38" s="143">
        <v>7666</v>
      </c>
      <c r="K38" s="108">
        <f>J38</f>
        <v>7666</v>
      </c>
      <c r="L38" s="94" t="s">
        <v>105</v>
      </c>
      <c r="M38" s="578">
        <v>29</v>
      </c>
      <c r="O38" s="108">
        <v>32150</v>
      </c>
    </row>
    <row r="39" spans="1:15" ht="26.1" customHeight="1">
      <c r="A39" s="604">
        <v>30</v>
      </c>
      <c r="B39" s="275" t="s">
        <v>157</v>
      </c>
      <c r="C39" s="276" t="s">
        <v>35</v>
      </c>
      <c r="D39" s="277">
        <v>60</v>
      </c>
      <c r="E39" s="277">
        <f t="shared" si="0"/>
        <v>60</v>
      </c>
      <c r="F39" s="276" t="s">
        <v>35</v>
      </c>
      <c r="G39" s="277">
        <v>80</v>
      </c>
      <c r="H39" s="277">
        <f t="shared" si="5"/>
        <v>80</v>
      </c>
      <c r="I39" s="278" t="s">
        <v>35</v>
      </c>
      <c r="J39" s="279">
        <v>3296</v>
      </c>
      <c r="K39" s="280">
        <f t="shared" ref="K39:K40" si="6">J39</f>
        <v>3296</v>
      </c>
      <c r="L39" s="281" t="s">
        <v>130</v>
      </c>
      <c r="M39" s="604">
        <v>30</v>
      </c>
      <c r="O39" s="108">
        <v>6700</v>
      </c>
    </row>
    <row r="40" spans="1:15" ht="26.1" customHeight="1">
      <c r="A40" s="578">
        <v>31</v>
      </c>
      <c r="B40" s="97" t="s">
        <v>245</v>
      </c>
      <c r="C40" s="145" t="s">
        <v>35</v>
      </c>
      <c r="D40" s="146">
        <v>15</v>
      </c>
      <c r="E40" s="146">
        <f t="shared" si="0"/>
        <v>15</v>
      </c>
      <c r="F40" s="145" t="s">
        <v>35</v>
      </c>
      <c r="G40" s="146">
        <v>32</v>
      </c>
      <c r="H40" s="146">
        <f t="shared" si="5"/>
        <v>32</v>
      </c>
      <c r="I40" s="144" t="s">
        <v>35</v>
      </c>
      <c r="J40" s="143">
        <v>3020</v>
      </c>
      <c r="K40" s="108">
        <f t="shared" si="6"/>
        <v>3020</v>
      </c>
      <c r="L40" s="94" t="s">
        <v>374</v>
      </c>
      <c r="M40" s="578">
        <v>31</v>
      </c>
      <c r="O40" s="109">
        <v>3300</v>
      </c>
    </row>
    <row r="41" spans="1:15" ht="26.1" customHeight="1">
      <c r="A41" s="604">
        <v>32</v>
      </c>
      <c r="B41" s="275" t="s">
        <v>108</v>
      </c>
      <c r="C41" s="276">
        <v>5</v>
      </c>
      <c r="D41" s="277">
        <v>35</v>
      </c>
      <c r="E41" s="277">
        <f>D41+C41</f>
        <v>40</v>
      </c>
      <c r="F41" s="276">
        <v>10</v>
      </c>
      <c r="G41" s="277">
        <v>90</v>
      </c>
      <c r="H41" s="277">
        <f>G41+F41</f>
        <v>100</v>
      </c>
      <c r="I41" s="278">
        <v>1050</v>
      </c>
      <c r="J41" s="279">
        <v>6139</v>
      </c>
      <c r="K41" s="280">
        <f>J41+I41</f>
        <v>7189</v>
      </c>
      <c r="L41" s="281" t="s">
        <v>375</v>
      </c>
      <c r="M41" s="604">
        <v>32</v>
      </c>
    </row>
    <row r="42" spans="1:15" ht="26.1" customHeight="1">
      <c r="A42" s="578">
        <v>33</v>
      </c>
      <c r="B42" s="97" t="s">
        <v>131</v>
      </c>
      <c r="C42" s="145" t="s">
        <v>35</v>
      </c>
      <c r="D42" s="146">
        <v>31</v>
      </c>
      <c r="E42" s="146">
        <f t="shared" si="0"/>
        <v>31</v>
      </c>
      <c r="F42" s="145" t="s">
        <v>35</v>
      </c>
      <c r="G42" s="146">
        <v>50</v>
      </c>
      <c r="H42" s="146">
        <f>G42</f>
        <v>50</v>
      </c>
      <c r="I42" s="144" t="s">
        <v>35</v>
      </c>
      <c r="J42" s="143">
        <v>13305</v>
      </c>
      <c r="K42" s="108">
        <f>J42</f>
        <v>13305</v>
      </c>
      <c r="L42" s="94" t="s">
        <v>132</v>
      </c>
      <c r="M42" s="578">
        <v>33</v>
      </c>
    </row>
    <row r="43" spans="1:15" ht="26.1" customHeight="1">
      <c r="A43" s="605">
        <v>34</v>
      </c>
      <c r="B43" s="275" t="s">
        <v>163</v>
      </c>
      <c r="C43" s="276" t="s">
        <v>35</v>
      </c>
      <c r="D43" s="277">
        <v>15</v>
      </c>
      <c r="E43" s="277">
        <f t="shared" si="0"/>
        <v>15</v>
      </c>
      <c r="F43" s="276" t="s">
        <v>35</v>
      </c>
      <c r="G43" s="277">
        <v>40</v>
      </c>
      <c r="H43" s="277">
        <f>G43</f>
        <v>40</v>
      </c>
      <c r="I43" s="278" t="s">
        <v>35</v>
      </c>
      <c r="J43" s="279">
        <v>6625</v>
      </c>
      <c r="K43" s="280">
        <f>J43</f>
        <v>6625</v>
      </c>
      <c r="L43" s="281" t="s">
        <v>111</v>
      </c>
      <c r="M43" s="605">
        <v>34</v>
      </c>
    </row>
    <row r="44" spans="1:15" ht="23.1" customHeight="1">
      <c r="A44" s="837" t="s">
        <v>614</v>
      </c>
      <c r="B44" s="837"/>
      <c r="C44" s="837"/>
      <c r="D44" s="837"/>
      <c r="E44" s="837"/>
      <c r="F44" s="837"/>
      <c r="G44" s="852" t="s">
        <v>448</v>
      </c>
      <c r="H44" s="852"/>
      <c r="I44" s="852"/>
      <c r="J44" s="845" t="s">
        <v>447</v>
      </c>
      <c r="K44" s="845"/>
      <c r="L44" s="845"/>
      <c r="M44" s="845"/>
    </row>
    <row r="45" spans="1:15" ht="24.95" customHeight="1"/>
    <row r="46" spans="1:15" ht="24.95" customHeight="1"/>
    <row r="47" spans="1:15" ht="24.95" customHeight="1"/>
    <row r="48" spans="1:15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</sheetData>
  <mergeCells count="19">
    <mergeCell ref="A1:M1"/>
    <mergeCell ref="A2:M2"/>
    <mergeCell ref="A3:M3"/>
    <mergeCell ref="A4:A8"/>
    <mergeCell ref="M4:M8"/>
    <mergeCell ref="G44:I44"/>
    <mergeCell ref="I6:K6"/>
    <mergeCell ref="C6:E6"/>
    <mergeCell ref="F6:H6"/>
    <mergeCell ref="L4:L8"/>
    <mergeCell ref="A44:F44"/>
    <mergeCell ref="J44:M44"/>
    <mergeCell ref="C4:E4"/>
    <mergeCell ref="C5:E5"/>
    <mergeCell ref="F4:H4"/>
    <mergeCell ref="F5:H5"/>
    <mergeCell ref="I4:K4"/>
    <mergeCell ref="I5:K5"/>
    <mergeCell ref="B4:B8"/>
  </mergeCells>
  <hyperlinks>
    <hyperlink ref="B34" r:id="rId1" location="FNote1" display="FNote1"/>
  </hyperlinks>
  <pageMargins left="0.39370078740157483" right="0.39370078740157483" top="0.31496062992125984" bottom="0.6692913385826772" header="0.23622047244094491" footer="0.39370078740157483"/>
  <pageSetup paperSize="9" scale="69" orientation="portrait" r:id="rId2"/>
  <headerFooter>
    <oddFooter>&amp;L&amp;"Times New Roman,Bold"Afghanistan Statistical Yearbook  2017-18&amp;R&amp;"Times New Roman,Bold"سالنامۀ احصائیوی / احصا ئيوي کالنی  1396</oddFooter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7"/>
  <sheetViews>
    <sheetView view="pageBreakPreview" zoomScale="75" zoomScaleSheetLayoutView="75" workbookViewId="0">
      <selection sqref="A1:G35"/>
    </sheetView>
  </sheetViews>
  <sheetFormatPr defaultRowHeight="18.75"/>
  <cols>
    <col min="1" max="1" width="7" style="410" customWidth="1"/>
    <col min="2" max="2" width="31" customWidth="1"/>
    <col min="3" max="4" width="8.7109375" customWidth="1"/>
    <col min="6" max="6" width="43.5703125" customWidth="1"/>
    <col min="7" max="7" width="7.5703125" style="509" customWidth="1"/>
    <col min="8" max="8" width="17.42578125" customWidth="1"/>
    <col min="9" max="12" width="47.5703125" customWidth="1"/>
  </cols>
  <sheetData>
    <row r="1" spans="1:18" ht="27" customHeight="1">
      <c r="A1" s="867" t="s">
        <v>537</v>
      </c>
      <c r="B1" s="867"/>
      <c r="C1" s="867"/>
      <c r="D1" s="867"/>
      <c r="E1" s="867"/>
      <c r="F1" s="867"/>
      <c r="G1" s="867"/>
      <c r="H1" s="167"/>
      <c r="I1" s="167"/>
      <c r="J1" s="167"/>
      <c r="K1" s="167"/>
      <c r="L1" s="167"/>
    </row>
    <row r="2" spans="1:18" ht="27" customHeight="1">
      <c r="A2" s="867" t="s">
        <v>538</v>
      </c>
      <c r="B2" s="867"/>
      <c r="C2" s="867"/>
      <c r="D2" s="867"/>
      <c r="E2" s="867"/>
      <c r="F2" s="867"/>
      <c r="G2" s="867"/>
      <c r="H2" s="167"/>
      <c r="I2" s="167"/>
      <c r="J2" s="167"/>
      <c r="K2" s="167"/>
      <c r="L2" s="167"/>
    </row>
    <row r="3" spans="1:18" ht="27" customHeight="1">
      <c r="A3" s="663" t="s">
        <v>539</v>
      </c>
      <c r="B3" s="663"/>
      <c r="C3" s="663"/>
      <c r="D3" s="663"/>
      <c r="E3" s="663"/>
      <c r="F3" s="663"/>
      <c r="G3" s="663"/>
      <c r="H3" s="167"/>
      <c r="I3" s="167"/>
      <c r="J3" s="167"/>
      <c r="K3" s="167"/>
      <c r="L3" s="167"/>
    </row>
    <row r="4" spans="1:18" ht="27" customHeight="1">
      <c r="A4" s="671" t="s">
        <v>633</v>
      </c>
      <c r="B4" s="661" t="s">
        <v>377</v>
      </c>
      <c r="C4" s="95">
        <v>1396</v>
      </c>
      <c r="D4" s="95">
        <v>1395</v>
      </c>
      <c r="E4" s="96">
        <v>1394</v>
      </c>
      <c r="F4" s="671" t="s">
        <v>534</v>
      </c>
      <c r="G4" s="868" t="s">
        <v>632</v>
      </c>
      <c r="H4" s="165"/>
      <c r="I4" s="165"/>
      <c r="J4" s="165"/>
      <c r="K4" s="165"/>
      <c r="L4" s="165"/>
    </row>
    <row r="5" spans="1:18" ht="27" customHeight="1">
      <c r="A5" s="672"/>
      <c r="B5" s="662"/>
      <c r="C5" s="506" t="s">
        <v>561</v>
      </c>
      <c r="D5" s="506" t="s">
        <v>459</v>
      </c>
      <c r="E5" s="458" t="s">
        <v>449</v>
      </c>
      <c r="F5" s="672"/>
      <c r="G5" s="869"/>
      <c r="H5" s="165"/>
      <c r="I5" s="165"/>
      <c r="J5" s="165"/>
      <c r="K5" s="165"/>
      <c r="L5" s="165"/>
    </row>
    <row r="6" spans="1:18" ht="27" customHeight="1">
      <c r="A6" s="532"/>
      <c r="B6" s="267" t="s">
        <v>68</v>
      </c>
      <c r="C6" s="520">
        <f>C7+C8+C9+C10+C11+C12+C13+C14+C15+C16+C17+C18+C19+C20+C21+C23+C24+C25+C26+C27+C28+C29+C30+C31+C32+C33+C34</f>
        <v>4543</v>
      </c>
      <c r="D6" s="522">
        <f>D7+D8+D9+D10+D11+D12+D13+D14+D15+D16+D17+D18+D19+D20+D21+D22+D23+D24+D25+D26+D27+D28+D29+D30+D31+D32+D33+D34</f>
        <v>6748</v>
      </c>
      <c r="E6" s="268">
        <f>E7+E8+E9+E10+E11+E12+E13+E14+E15+E16+E17+E18+E19+E20+E21+E22+E23+E24+E25+E26+E27+E28+E29+E30+E31+E32+E33+E34</f>
        <v>11813</v>
      </c>
      <c r="F6" s="268" t="s">
        <v>354</v>
      </c>
      <c r="G6" s="510"/>
      <c r="H6" s="147"/>
      <c r="I6" s="100"/>
      <c r="J6" s="100"/>
      <c r="K6" s="100"/>
      <c r="L6" s="100"/>
      <c r="Q6" s="173"/>
      <c r="R6" s="174"/>
    </row>
    <row r="7" spans="1:18" ht="27" customHeight="1">
      <c r="A7" s="524">
        <v>1</v>
      </c>
      <c r="B7" s="83" t="s">
        <v>472</v>
      </c>
      <c r="C7" s="250">
        <f>38+43+16+35</f>
        <v>132</v>
      </c>
      <c r="D7" s="251">
        <v>280</v>
      </c>
      <c r="E7" s="84">
        <v>97</v>
      </c>
      <c r="F7" s="84" t="s">
        <v>378</v>
      </c>
      <c r="G7" s="507">
        <v>1</v>
      </c>
      <c r="H7" s="147"/>
      <c r="I7" s="100"/>
      <c r="J7" s="100"/>
      <c r="K7" s="100"/>
      <c r="L7" s="100"/>
      <c r="Q7" s="173"/>
      <c r="R7" s="174"/>
    </row>
    <row r="8" spans="1:18" ht="27" customHeight="1">
      <c r="A8" s="533">
        <v>2</v>
      </c>
      <c r="B8" s="267" t="s">
        <v>384</v>
      </c>
      <c r="C8" s="520">
        <f>72+72+81+119</f>
        <v>344</v>
      </c>
      <c r="D8" s="522">
        <v>286</v>
      </c>
      <c r="E8" s="268">
        <v>253</v>
      </c>
      <c r="F8" s="268" t="s">
        <v>379</v>
      </c>
      <c r="G8" s="511">
        <v>2</v>
      </c>
      <c r="H8" s="147"/>
      <c r="I8" s="100"/>
      <c r="J8" s="100"/>
      <c r="K8" s="100"/>
      <c r="L8" s="100"/>
      <c r="Q8" s="173"/>
      <c r="R8" s="174"/>
    </row>
    <row r="9" spans="1:18" ht="27" customHeight="1">
      <c r="A9" s="524">
        <v>3</v>
      </c>
      <c r="B9" s="159" t="s">
        <v>473</v>
      </c>
      <c r="C9" s="250">
        <f>235+341+174+234</f>
        <v>984</v>
      </c>
      <c r="D9" s="251">
        <v>876</v>
      </c>
      <c r="E9" s="84">
        <v>837</v>
      </c>
      <c r="F9" s="133" t="s">
        <v>460</v>
      </c>
      <c r="G9" s="507">
        <v>3</v>
      </c>
      <c r="H9" s="147"/>
      <c r="I9" s="147"/>
      <c r="J9" s="147"/>
      <c r="K9" s="147"/>
      <c r="L9" s="147"/>
      <c r="Q9" s="173"/>
      <c r="R9" s="174"/>
    </row>
    <row r="10" spans="1:18" ht="27" customHeight="1">
      <c r="A10" s="533">
        <v>4</v>
      </c>
      <c r="B10" s="395" t="s">
        <v>474</v>
      </c>
      <c r="C10" s="520">
        <f>12+19+8+17</f>
        <v>56</v>
      </c>
      <c r="D10" s="522">
        <v>25</v>
      </c>
      <c r="E10" s="268">
        <v>32</v>
      </c>
      <c r="F10" s="392" t="s">
        <v>461</v>
      </c>
      <c r="G10" s="511">
        <v>4</v>
      </c>
      <c r="H10" s="147"/>
      <c r="I10" s="147"/>
      <c r="J10" s="147"/>
      <c r="K10" s="147"/>
      <c r="L10" s="147"/>
      <c r="Q10" s="173"/>
      <c r="R10" s="174"/>
    </row>
    <row r="11" spans="1:18" ht="27" customHeight="1">
      <c r="A11" s="524">
        <v>5</v>
      </c>
      <c r="B11" s="159" t="s">
        <v>528</v>
      </c>
      <c r="C11" s="250">
        <v>546</v>
      </c>
      <c r="D11" s="251">
        <v>280</v>
      </c>
      <c r="E11" s="84">
        <v>242</v>
      </c>
      <c r="F11" s="133" t="s">
        <v>383</v>
      </c>
      <c r="G11" s="507">
        <v>5</v>
      </c>
      <c r="H11" s="147"/>
      <c r="I11" s="147"/>
      <c r="J11" s="147"/>
      <c r="K11" s="147"/>
      <c r="L11" s="147"/>
      <c r="Q11" s="173"/>
      <c r="R11" s="174"/>
    </row>
    <row r="12" spans="1:18" ht="27" customHeight="1">
      <c r="A12" s="533">
        <v>6</v>
      </c>
      <c r="B12" s="395" t="s">
        <v>475</v>
      </c>
      <c r="C12" s="520">
        <v>69</v>
      </c>
      <c r="D12" s="522">
        <v>39</v>
      </c>
      <c r="E12" s="268">
        <v>41</v>
      </c>
      <c r="F12" s="392" t="s">
        <v>462</v>
      </c>
      <c r="G12" s="511">
        <v>6</v>
      </c>
      <c r="H12" s="147"/>
      <c r="I12" s="147"/>
      <c r="J12" s="147"/>
      <c r="K12" s="147"/>
      <c r="L12" s="147"/>
      <c r="Q12" s="173"/>
      <c r="R12" s="174"/>
    </row>
    <row r="13" spans="1:18" ht="27" customHeight="1">
      <c r="A13" s="524">
        <v>7</v>
      </c>
      <c r="B13" s="83" t="s">
        <v>529</v>
      </c>
      <c r="C13" s="250">
        <f>7+27+23+21</f>
        <v>78</v>
      </c>
      <c r="D13" s="251">
        <v>59</v>
      </c>
      <c r="E13" s="84">
        <v>45</v>
      </c>
      <c r="F13" s="84" t="s">
        <v>380</v>
      </c>
      <c r="G13" s="507">
        <v>7</v>
      </c>
      <c r="H13" s="147"/>
      <c r="I13" s="147"/>
      <c r="J13" s="147"/>
      <c r="K13" s="147"/>
      <c r="L13" s="147"/>
      <c r="Q13" s="173"/>
      <c r="R13" s="174"/>
    </row>
    <row r="14" spans="1:18" ht="27" customHeight="1">
      <c r="A14" s="533">
        <v>8</v>
      </c>
      <c r="B14" s="395" t="s">
        <v>530</v>
      </c>
      <c r="C14" s="520">
        <v>62</v>
      </c>
      <c r="D14" s="522">
        <v>35</v>
      </c>
      <c r="E14" s="268">
        <v>46</v>
      </c>
      <c r="F14" s="392" t="s">
        <v>521</v>
      </c>
      <c r="G14" s="511">
        <v>8</v>
      </c>
      <c r="H14" s="147"/>
      <c r="I14" s="147"/>
      <c r="J14" s="147"/>
      <c r="K14" s="147"/>
      <c r="L14" s="147"/>
      <c r="Q14" s="173"/>
      <c r="R14" s="174"/>
    </row>
    <row r="15" spans="1:18" ht="27" customHeight="1">
      <c r="A15" s="524">
        <v>9</v>
      </c>
      <c r="B15" s="83" t="s">
        <v>387</v>
      </c>
      <c r="C15" s="250">
        <f>13+6+7+13</f>
        <v>39</v>
      </c>
      <c r="D15" s="251">
        <v>33</v>
      </c>
      <c r="E15" s="84">
        <v>36</v>
      </c>
      <c r="F15" s="84" t="s">
        <v>382</v>
      </c>
      <c r="G15" s="507">
        <v>9</v>
      </c>
      <c r="H15" s="147"/>
      <c r="I15" s="402"/>
      <c r="J15" s="147"/>
      <c r="K15" s="147"/>
      <c r="L15" s="147"/>
      <c r="Q15" s="173"/>
      <c r="R15" s="174"/>
    </row>
    <row r="16" spans="1:18" ht="27" customHeight="1">
      <c r="A16" s="533">
        <v>10</v>
      </c>
      <c r="B16" s="267" t="s">
        <v>187</v>
      </c>
      <c r="C16" s="520">
        <v>194</v>
      </c>
      <c r="D16" s="522">
        <v>101</v>
      </c>
      <c r="E16" s="268">
        <v>93</v>
      </c>
      <c r="F16" s="392" t="s">
        <v>522</v>
      </c>
      <c r="G16" s="511">
        <v>10</v>
      </c>
      <c r="H16" s="147"/>
      <c r="I16" s="147"/>
      <c r="J16" s="147"/>
      <c r="K16" s="147"/>
      <c r="L16" s="147"/>
      <c r="Q16" s="173"/>
      <c r="R16" s="174"/>
    </row>
    <row r="17" spans="1:18" ht="27" customHeight="1">
      <c r="A17" s="524">
        <v>11</v>
      </c>
      <c r="B17" s="159" t="s">
        <v>476</v>
      </c>
      <c r="C17" s="250">
        <v>91</v>
      </c>
      <c r="D17" s="251">
        <v>56</v>
      </c>
      <c r="E17" s="84">
        <v>44</v>
      </c>
      <c r="F17" s="133" t="s">
        <v>463</v>
      </c>
      <c r="G17" s="507">
        <v>11</v>
      </c>
      <c r="H17" s="147"/>
      <c r="I17" s="147"/>
      <c r="J17" s="147"/>
      <c r="K17" s="147"/>
      <c r="L17" s="147"/>
      <c r="Q17" s="173"/>
      <c r="R17" s="174"/>
    </row>
    <row r="18" spans="1:18" ht="27" customHeight="1">
      <c r="A18" s="533">
        <v>12</v>
      </c>
      <c r="B18" s="395" t="s">
        <v>477</v>
      </c>
      <c r="C18" s="520">
        <v>45</v>
      </c>
      <c r="D18" s="522">
        <v>9</v>
      </c>
      <c r="E18" s="268">
        <v>39</v>
      </c>
      <c r="F18" s="392" t="s">
        <v>464</v>
      </c>
      <c r="G18" s="511">
        <v>12</v>
      </c>
      <c r="H18" s="147"/>
      <c r="I18" s="147"/>
      <c r="J18" s="147"/>
      <c r="K18" s="147"/>
      <c r="L18" s="147"/>
      <c r="Q18" s="173"/>
      <c r="R18" s="174"/>
    </row>
    <row r="19" spans="1:18" ht="27" customHeight="1">
      <c r="A19" s="524">
        <v>13</v>
      </c>
      <c r="B19" s="159" t="s">
        <v>478</v>
      </c>
      <c r="C19" s="154">
        <f>2+6+14</f>
        <v>22</v>
      </c>
      <c r="D19" s="153">
        <v>8</v>
      </c>
      <c r="E19" s="168">
        <v>21</v>
      </c>
      <c r="F19" s="133" t="s">
        <v>465</v>
      </c>
      <c r="G19" s="507">
        <v>13</v>
      </c>
      <c r="H19" s="147"/>
      <c r="I19" s="147"/>
      <c r="J19" s="147"/>
      <c r="K19" s="147"/>
      <c r="L19" s="147"/>
      <c r="Q19" s="173"/>
      <c r="R19" s="174"/>
    </row>
    <row r="20" spans="1:18" ht="27" customHeight="1">
      <c r="A20" s="533">
        <v>14</v>
      </c>
      <c r="B20" s="395" t="s">
        <v>531</v>
      </c>
      <c r="C20" s="520">
        <v>172</v>
      </c>
      <c r="D20" s="522">
        <v>102</v>
      </c>
      <c r="E20" s="268">
        <v>70</v>
      </c>
      <c r="F20" s="392" t="s">
        <v>523</v>
      </c>
      <c r="G20" s="511">
        <v>14</v>
      </c>
      <c r="H20" s="147"/>
      <c r="I20" s="147"/>
      <c r="J20" s="147"/>
      <c r="K20" s="147"/>
      <c r="L20" s="147"/>
      <c r="Q20" s="173"/>
      <c r="R20" s="174"/>
    </row>
    <row r="21" spans="1:18" ht="27" customHeight="1">
      <c r="A21" s="524">
        <v>15</v>
      </c>
      <c r="B21" s="159" t="s">
        <v>532</v>
      </c>
      <c r="C21" s="250">
        <v>4</v>
      </c>
      <c r="D21" s="251">
        <v>3</v>
      </c>
      <c r="E21" s="84">
        <v>6</v>
      </c>
      <c r="F21" s="133" t="s">
        <v>524</v>
      </c>
      <c r="G21" s="507">
        <v>15</v>
      </c>
      <c r="H21" s="147"/>
      <c r="I21" s="147"/>
      <c r="J21" s="147"/>
      <c r="K21" s="147"/>
      <c r="L21" s="147"/>
      <c r="Q21" s="173"/>
      <c r="R21" s="174"/>
    </row>
    <row r="22" spans="1:18" ht="27" customHeight="1">
      <c r="A22" s="533">
        <v>16</v>
      </c>
      <c r="B22" s="395" t="s">
        <v>533</v>
      </c>
      <c r="C22" s="520" t="s">
        <v>35</v>
      </c>
      <c r="D22" s="522">
        <v>1</v>
      </c>
      <c r="E22" s="268">
        <v>2</v>
      </c>
      <c r="F22" s="392" t="s">
        <v>525</v>
      </c>
      <c r="G22" s="511">
        <v>16</v>
      </c>
      <c r="H22" s="147"/>
      <c r="I22" s="147"/>
      <c r="J22" s="147"/>
      <c r="K22" s="147"/>
      <c r="L22" s="147"/>
      <c r="Q22" s="173"/>
      <c r="R22" s="174"/>
    </row>
    <row r="23" spans="1:18" ht="27" customHeight="1">
      <c r="A23" s="524">
        <v>17</v>
      </c>
      <c r="B23" s="159" t="s">
        <v>479</v>
      </c>
      <c r="C23" s="250">
        <v>111</v>
      </c>
      <c r="D23" s="251">
        <v>124</v>
      </c>
      <c r="E23" s="84">
        <v>78</v>
      </c>
      <c r="F23" s="133" t="s">
        <v>466</v>
      </c>
      <c r="G23" s="507">
        <v>17</v>
      </c>
      <c r="H23" s="147"/>
      <c r="I23" s="147"/>
      <c r="J23" s="147"/>
      <c r="K23" s="147"/>
      <c r="L23" s="147"/>
      <c r="Q23" s="173"/>
      <c r="R23" s="174"/>
    </row>
    <row r="24" spans="1:18" ht="27" customHeight="1">
      <c r="A24" s="533">
        <v>18</v>
      </c>
      <c r="B24" s="395" t="s">
        <v>480</v>
      </c>
      <c r="C24" s="520">
        <f>9+45+29+69</f>
        <v>152</v>
      </c>
      <c r="D24" s="522">
        <v>87</v>
      </c>
      <c r="E24" s="268">
        <v>61</v>
      </c>
      <c r="F24" s="392" t="s">
        <v>467</v>
      </c>
      <c r="G24" s="511">
        <v>18</v>
      </c>
      <c r="H24" s="147"/>
      <c r="I24" s="402"/>
      <c r="J24" s="147"/>
      <c r="K24" s="147"/>
      <c r="L24" s="147"/>
      <c r="Q24" s="173"/>
      <c r="R24" s="174"/>
    </row>
    <row r="25" spans="1:18" ht="27" customHeight="1">
      <c r="A25" s="524">
        <v>19</v>
      </c>
      <c r="B25" s="159" t="s">
        <v>481</v>
      </c>
      <c r="C25" s="250">
        <f>21+32+45+148</f>
        <v>246</v>
      </c>
      <c r="D25" s="251">
        <v>118</v>
      </c>
      <c r="E25" s="84">
        <v>40</v>
      </c>
      <c r="F25" s="133" t="s">
        <v>468</v>
      </c>
      <c r="G25" s="507">
        <v>19</v>
      </c>
      <c r="H25" s="147"/>
      <c r="I25" s="147"/>
      <c r="J25" s="147"/>
      <c r="K25" s="147"/>
      <c r="L25" s="147"/>
      <c r="Q25" s="173"/>
      <c r="R25" s="174"/>
    </row>
    <row r="26" spans="1:18" ht="27" customHeight="1">
      <c r="A26" s="533">
        <v>20</v>
      </c>
      <c r="B26" s="395" t="s">
        <v>482</v>
      </c>
      <c r="C26" s="520">
        <f>4+17+8+23</f>
        <v>52</v>
      </c>
      <c r="D26" s="522">
        <v>16</v>
      </c>
      <c r="E26" s="268">
        <v>18</v>
      </c>
      <c r="F26" s="392" t="s">
        <v>469</v>
      </c>
      <c r="G26" s="511">
        <v>20</v>
      </c>
      <c r="H26" s="147"/>
      <c r="I26" s="100"/>
      <c r="J26" s="100"/>
      <c r="K26" s="100"/>
      <c r="L26" s="100"/>
      <c r="Q26" s="173"/>
      <c r="R26" s="174"/>
    </row>
    <row r="27" spans="1:18" ht="27" customHeight="1">
      <c r="A27" s="524">
        <v>21</v>
      </c>
      <c r="B27" s="159" t="s">
        <v>483</v>
      </c>
      <c r="C27" s="250">
        <f>7+10+3+3</f>
        <v>23</v>
      </c>
      <c r="D27" s="251">
        <v>4</v>
      </c>
      <c r="E27" s="84">
        <v>8</v>
      </c>
      <c r="F27" s="133" t="s">
        <v>470</v>
      </c>
      <c r="G27" s="507">
        <v>21</v>
      </c>
      <c r="H27" s="147"/>
      <c r="I27" s="100"/>
      <c r="J27" s="100"/>
      <c r="K27" s="100"/>
      <c r="L27" s="100"/>
      <c r="Q27" s="173"/>
      <c r="R27" s="174"/>
    </row>
    <row r="28" spans="1:18" ht="27" customHeight="1">
      <c r="A28" s="533">
        <v>22</v>
      </c>
      <c r="B28" s="395" t="s">
        <v>484</v>
      </c>
      <c r="C28" s="520">
        <v>3</v>
      </c>
      <c r="D28" s="522">
        <v>6</v>
      </c>
      <c r="E28" s="268">
        <v>1</v>
      </c>
      <c r="F28" s="392" t="s">
        <v>471</v>
      </c>
      <c r="G28" s="511">
        <v>22</v>
      </c>
      <c r="H28" s="147"/>
      <c r="I28" s="100"/>
      <c r="J28" s="100"/>
      <c r="K28" s="100"/>
      <c r="L28" s="100"/>
      <c r="Q28" s="173"/>
      <c r="R28" s="174"/>
    </row>
    <row r="29" spans="1:18" ht="27" customHeight="1">
      <c r="A29" s="524">
        <v>23</v>
      </c>
      <c r="B29" s="83" t="s">
        <v>388</v>
      </c>
      <c r="C29" s="250">
        <f>30+40+49+42</f>
        <v>161</v>
      </c>
      <c r="D29" s="251">
        <v>148</v>
      </c>
      <c r="E29" s="84">
        <v>108</v>
      </c>
      <c r="F29" s="84" t="s">
        <v>526</v>
      </c>
      <c r="G29" s="507">
        <v>23</v>
      </c>
      <c r="H29" s="147"/>
      <c r="I29" s="100"/>
      <c r="J29" s="100"/>
      <c r="K29" s="100"/>
      <c r="L29" s="100"/>
      <c r="Q29" s="173"/>
      <c r="R29" s="174"/>
    </row>
    <row r="30" spans="1:18" ht="27" customHeight="1">
      <c r="A30" s="533">
        <v>24</v>
      </c>
      <c r="B30" s="267" t="s">
        <v>385</v>
      </c>
      <c r="C30" s="520">
        <v>622</v>
      </c>
      <c r="D30" s="522">
        <v>505</v>
      </c>
      <c r="E30" s="268">
        <v>399</v>
      </c>
      <c r="F30" s="268" t="s">
        <v>381</v>
      </c>
      <c r="G30" s="511">
        <v>24</v>
      </c>
      <c r="H30" s="147"/>
      <c r="I30" s="100"/>
      <c r="J30" s="100"/>
      <c r="K30" s="100"/>
      <c r="L30" s="100"/>
      <c r="Q30" s="173"/>
      <c r="R30" s="174"/>
    </row>
    <row r="31" spans="1:18" ht="27" customHeight="1">
      <c r="A31" s="524">
        <v>25</v>
      </c>
      <c r="B31" s="83" t="s">
        <v>386</v>
      </c>
      <c r="C31" s="250">
        <f>27+20+54+32</f>
        <v>133</v>
      </c>
      <c r="D31" s="251">
        <v>171</v>
      </c>
      <c r="E31" s="84">
        <v>205</v>
      </c>
      <c r="F31" s="84" t="s">
        <v>535</v>
      </c>
      <c r="G31" s="507">
        <v>25</v>
      </c>
      <c r="H31" s="147"/>
      <c r="I31" s="100"/>
      <c r="J31" s="100"/>
      <c r="K31" s="100"/>
      <c r="L31" s="100"/>
      <c r="Q31" s="173"/>
      <c r="R31" s="174"/>
    </row>
    <row r="32" spans="1:18" ht="27" customHeight="1">
      <c r="A32" s="533">
        <v>26</v>
      </c>
      <c r="B32" s="267" t="s">
        <v>389</v>
      </c>
      <c r="C32" s="520">
        <f>3+7+2+13</f>
        <v>25</v>
      </c>
      <c r="D32" s="522">
        <v>10</v>
      </c>
      <c r="E32" s="268">
        <v>2</v>
      </c>
      <c r="F32" s="268" t="s">
        <v>527</v>
      </c>
      <c r="G32" s="511">
        <v>26</v>
      </c>
      <c r="H32" s="147"/>
      <c r="I32" s="100"/>
      <c r="J32" s="100"/>
      <c r="K32" s="100"/>
      <c r="L32" s="100"/>
      <c r="Q32" s="173"/>
      <c r="R32" s="174"/>
    </row>
    <row r="33" spans="1:18" ht="27" customHeight="1">
      <c r="A33" s="524">
        <v>27</v>
      </c>
      <c r="B33" s="83" t="s">
        <v>390</v>
      </c>
      <c r="C33" s="250">
        <v>55</v>
      </c>
      <c r="D33" s="251">
        <v>21</v>
      </c>
      <c r="E33" s="84">
        <v>33</v>
      </c>
      <c r="F33" s="84" t="s">
        <v>391</v>
      </c>
      <c r="G33" s="507">
        <v>27</v>
      </c>
      <c r="H33" s="147"/>
      <c r="I33" s="147"/>
      <c r="J33" s="147"/>
      <c r="K33" s="147"/>
      <c r="L33" s="147"/>
      <c r="Q33" s="173"/>
      <c r="R33" s="174"/>
    </row>
    <row r="34" spans="1:18" ht="27" customHeight="1">
      <c r="A34" s="481">
        <v>28</v>
      </c>
      <c r="B34" s="269" t="s">
        <v>485</v>
      </c>
      <c r="C34" s="270">
        <f>2+6+8+22+10+12+12+2+16+32</f>
        <v>122</v>
      </c>
      <c r="D34" s="271">
        <v>3345</v>
      </c>
      <c r="E34" s="272">
        <v>8956</v>
      </c>
      <c r="F34" s="272" t="s">
        <v>486</v>
      </c>
      <c r="G34" s="512">
        <v>28</v>
      </c>
      <c r="H34" s="147"/>
      <c r="I34" s="147"/>
      <c r="J34" s="147"/>
      <c r="K34" s="147"/>
      <c r="L34" s="147"/>
      <c r="Q34" s="173"/>
      <c r="R34" s="174"/>
    </row>
    <row r="35" spans="1:18" ht="27" customHeight="1">
      <c r="A35" s="866" t="s">
        <v>488</v>
      </c>
      <c r="B35" s="866"/>
      <c r="C35" s="863" t="s">
        <v>487</v>
      </c>
      <c r="D35" s="863"/>
      <c r="E35" s="863"/>
      <c r="F35" s="864" t="s">
        <v>392</v>
      </c>
      <c r="G35" s="865"/>
      <c r="H35" s="166"/>
      <c r="I35" s="166"/>
      <c r="J35" s="166"/>
      <c r="K35" s="166"/>
      <c r="L35" s="166"/>
      <c r="M35" s="92"/>
      <c r="Q35" s="139"/>
      <c r="R35" s="100"/>
    </row>
    <row r="36" spans="1:18">
      <c r="G36" s="508"/>
      <c r="H36" s="19"/>
      <c r="Q36" s="19"/>
    </row>
    <row r="37" spans="1:18">
      <c r="Q37" s="19"/>
    </row>
  </sheetData>
  <mergeCells count="10">
    <mergeCell ref="A1:G1"/>
    <mergeCell ref="A2:G2"/>
    <mergeCell ref="A3:G3"/>
    <mergeCell ref="A4:A5"/>
    <mergeCell ref="G4:G5"/>
    <mergeCell ref="C35:E35"/>
    <mergeCell ref="B4:B5"/>
    <mergeCell ref="F4:F5"/>
    <mergeCell ref="F35:G35"/>
    <mergeCell ref="A35:B35"/>
  </mergeCells>
  <pageMargins left="0.43307086614173229" right="0.43307086614173229" top="0.74803149606299213" bottom="0.74803149606299213" header="0.31496062992125984" footer="0.31496062992125984"/>
  <pageSetup paperSize="9" scale="75" orientation="portrait" r:id="rId1"/>
  <headerFooter>
    <oddFooter>&amp;L&amp;"Times New Roman,Bold"Afghanistan Statistical Yearbook  2017-18&amp;R&amp;"Times New Roman,Bold"سالنامۀ احصائیوی / احصا ئيوي کالنی  1396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7"/>
  <sheetViews>
    <sheetView view="pageBreakPreview" zoomScale="80" zoomScaleNormal="100" zoomScaleSheetLayoutView="80" workbookViewId="0">
      <selection activeCell="F10" sqref="F10"/>
    </sheetView>
  </sheetViews>
  <sheetFormatPr defaultRowHeight="15.75"/>
  <cols>
    <col min="1" max="1" width="5.28515625" style="410" customWidth="1"/>
    <col min="2" max="2" width="15.5703125" customWidth="1"/>
    <col min="3" max="3" width="8.85546875" customWidth="1"/>
    <col min="4" max="4" width="8.7109375" customWidth="1"/>
    <col min="5" max="6" width="9.28515625" customWidth="1"/>
    <col min="7" max="7" width="8.7109375" customWidth="1"/>
    <col min="8" max="8" width="9" customWidth="1"/>
    <col min="9" max="9" width="12" customWidth="1"/>
    <col min="10" max="10" width="15.42578125" customWidth="1"/>
    <col min="11" max="11" width="15.7109375" customWidth="1"/>
    <col min="12" max="12" width="13.5703125" customWidth="1"/>
    <col min="13" max="13" width="13.85546875" customWidth="1"/>
    <col min="14" max="14" width="15.85546875" customWidth="1"/>
    <col min="15" max="15" width="18.85546875" customWidth="1"/>
    <col min="16" max="16" width="19.42578125" customWidth="1"/>
    <col min="17" max="17" width="20.5703125" customWidth="1"/>
    <col min="18" max="18" width="6.42578125" style="403" customWidth="1"/>
    <col min="19" max="19" width="9" hidden="1" customWidth="1"/>
  </cols>
  <sheetData>
    <row r="1" spans="1:20" ht="26.1" customHeight="1">
      <c r="A1" s="887" t="s">
        <v>590</v>
      </c>
      <c r="B1" s="887"/>
      <c r="C1" s="887"/>
      <c r="D1" s="887"/>
      <c r="E1" s="887"/>
      <c r="F1" s="887"/>
      <c r="G1" s="887"/>
      <c r="H1" s="887"/>
      <c r="I1" s="887"/>
      <c r="J1" s="887"/>
      <c r="K1" s="887"/>
      <c r="L1" s="887"/>
      <c r="M1" s="887"/>
      <c r="N1" s="887"/>
      <c r="O1" s="887"/>
      <c r="P1" s="887"/>
      <c r="Q1" s="887"/>
      <c r="R1" s="887"/>
      <c r="S1" s="887"/>
      <c r="T1" s="887"/>
    </row>
    <row r="2" spans="1:20" ht="26.1" customHeight="1">
      <c r="A2" s="888" t="s">
        <v>591</v>
      </c>
      <c r="B2" s="888"/>
      <c r="C2" s="888"/>
      <c r="D2" s="888"/>
      <c r="E2" s="888"/>
      <c r="F2" s="888"/>
      <c r="G2" s="888"/>
      <c r="H2" s="888"/>
      <c r="I2" s="888"/>
      <c r="J2" s="888"/>
      <c r="K2" s="888"/>
      <c r="L2" s="888"/>
      <c r="M2" s="888"/>
      <c r="N2" s="888"/>
      <c r="O2" s="888"/>
      <c r="P2" s="888"/>
      <c r="Q2" s="888"/>
      <c r="R2" s="888"/>
      <c r="S2" s="598"/>
      <c r="T2" s="598"/>
    </row>
    <row r="3" spans="1:20" ht="26.1" customHeight="1">
      <c r="A3" s="888" t="s">
        <v>592</v>
      </c>
      <c r="B3" s="888"/>
      <c r="C3" s="888"/>
      <c r="D3" s="888"/>
      <c r="E3" s="888"/>
      <c r="F3" s="888"/>
      <c r="G3" s="888"/>
      <c r="H3" s="888"/>
      <c r="I3" s="888"/>
      <c r="J3" s="888"/>
      <c r="K3" s="888"/>
      <c r="L3" s="888"/>
      <c r="M3" s="888"/>
      <c r="N3" s="888"/>
      <c r="O3" s="888"/>
      <c r="P3" s="888"/>
      <c r="Q3" s="888"/>
      <c r="R3" s="888"/>
      <c r="S3" s="598"/>
      <c r="T3" s="598"/>
    </row>
    <row r="4" spans="1:20" ht="30" customHeight="1">
      <c r="A4" s="876" t="s">
        <v>633</v>
      </c>
      <c r="B4" s="876" t="s">
        <v>227</v>
      </c>
      <c r="C4" s="881" t="s">
        <v>620</v>
      </c>
      <c r="D4" s="882"/>
      <c r="E4" s="882"/>
      <c r="F4" s="882"/>
      <c r="G4" s="882"/>
      <c r="H4" s="883"/>
      <c r="I4" s="880" t="s">
        <v>62</v>
      </c>
      <c r="J4" s="881" t="s">
        <v>559</v>
      </c>
      <c r="K4" s="882"/>
      <c r="L4" s="883"/>
      <c r="M4" s="880" t="s">
        <v>62</v>
      </c>
      <c r="N4" s="881" t="s">
        <v>557</v>
      </c>
      <c r="O4" s="882"/>
      <c r="P4" s="883"/>
      <c r="Q4" s="876" t="s">
        <v>225</v>
      </c>
      <c r="R4" s="876" t="s">
        <v>632</v>
      </c>
      <c r="S4" s="598"/>
      <c r="T4" s="598"/>
    </row>
    <row r="5" spans="1:20" ht="30" customHeight="1">
      <c r="A5" s="877"/>
      <c r="B5" s="877"/>
      <c r="C5" s="873"/>
      <c r="D5" s="874"/>
      <c r="E5" s="874"/>
      <c r="F5" s="874"/>
      <c r="G5" s="874"/>
      <c r="H5" s="875"/>
      <c r="I5" s="879"/>
      <c r="J5" s="873" t="s">
        <v>560</v>
      </c>
      <c r="K5" s="874"/>
      <c r="L5" s="875"/>
      <c r="M5" s="879"/>
      <c r="N5" s="873" t="s">
        <v>558</v>
      </c>
      <c r="O5" s="874"/>
      <c r="P5" s="875"/>
      <c r="Q5" s="877"/>
      <c r="R5" s="877"/>
      <c r="S5" s="598"/>
      <c r="T5" s="598"/>
    </row>
    <row r="6" spans="1:20" ht="30" customHeight="1">
      <c r="A6" s="877"/>
      <c r="B6" s="877"/>
      <c r="C6" s="884" t="s">
        <v>621</v>
      </c>
      <c r="D6" s="885"/>
      <c r="E6" s="886"/>
      <c r="F6" s="884" t="s">
        <v>553</v>
      </c>
      <c r="G6" s="885"/>
      <c r="H6" s="886"/>
      <c r="I6" s="879" t="s">
        <v>297</v>
      </c>
      <c r="J6" s="401" t="s">
        <v>552</v>
      </c>
      <c r="K6" s="594" t="s">
        <v>551</v>
      </c>
      <c r="L6" s="181" t="s">
        <v>550</v>
      </c>
      <c r="M6" s="879" t="s">
        <v>297</v>
      </c>
      <c r="N6" s="401" t="s">
        <v>552</v>
      </c>
      <c r="O6" s="594" t="s">
        <v>551</v>
      </c>
      <c r="P6" s="181" t="s">
        <v>550</v>
      </c>
      <c r="Q6" s="877"/>
      <c r="R6" s="877"/>
      <c r="S6" s="598"/>
      <c r="T6" s="598"/>
    </row>
    <row r="7" spans="1:20" ht="30" customHeight="1">
      <c r="A7" s="877"/>
      <c r="B7" s="877"/>
      <c r="C7" s="184" t="s">
        <v>549</v>
      </c>
      <c r="D7" s="184" t="s">
        <v>396</v>
      </c>
      <c r="E7" s="185" t="s">
        <v>354</v>
      </c>
      <c r="F7" s="595" t="s">
        <v>549</v>
      </c>
      <c r="G7" s="184" t="s">
        <v>396</v>
      </c>
      <c r="H7" s="185" t="s">
        <v>354</v>
      </c>
      <c r="I7" s="879"/>
      <c r="J7" s="401" t="s">
        <v>548</v>
      </c>
      <c r="K7" s="594" t="s">
        <v>547</v>
      </c>
      <c r="L7" s="181" t="s">
        <v>546</v>
      </c>
      <c r="M7" s="879"/>
      <c r="N7" s="401" t="s">
        <v>548</v>
      </c>
      <c r="O7" s="594" t="s">
        <v>547</v>
      </c>
      <c r="P7" s="181" t="s">
        <v>546</v>
      </c>
      <c r="Q7" s="877"/>
      <c r="R7" s="877"/>
      <c r="S7" s="598">
        <f>516774126.7/1000</f>
        <v>516774.12669999996</v>
      </c>
      <c r="T7" s="598"/>
    </row>
    <row r="8" spans="1:20" ht="66" customHeight="1">
      <c r="A8" s="878"/>
      <c r="B8" s="878"/>
      <c r="C8" s="593" t="s">
        <v>169</v>
      </c>
      <c r="D8" s="593" t="s">
        <v>276</v>
      </c>
      <c r="E8" s="591" t="s">
        <v>68</v>
      </c>
      <c r="F8" s="183" t="s">
        <v>169</v>
      </c>
      <c r="G8" s="593" t="s">
        <v>276</v>
      </c>
      <c r="H8" s="591" t="s">
        <v>68</v>
      </c>
      <c r="I8" s="182" t="s">
        <v>68</v>
      </c>
      <c r="J8" s="592" t="s">
        <v>545</v>
      </c>
      <c r="K8" s="183" t="s">
        <v>544</v>
      </c>
      <c r="L8" s="593" t="s">
        <v>543</v>
      </c>
      <c r="M8" s="182" t="s">
        <v>68</v>
      </c>
      <c r="N8" s="592" t="s">
        <v>545</v>
      </c>
      <c r="O8" s="183" t="s">
        <v>544</v>
      </c>
      <c r="P8" s="593" t="s">
        <v>543</v>
      </c>
      <c r="Q8" s="878"/>
      <c r="R8" s="878"/>
      <c r="S8" s="598"/>
      <c r="T8" s="598"/>
    </row>
    <row r="9" spans="1:20" ht="20.100000000000001" customHeight="1">
      <c r="A9" s="597"/>
      <c r="B9" s="498" t="s">
        <v>68</v>
      </c>
      <c r="C9" s="499">
        <f t="shared" ref="C9:G9" si="0">SUM(C10:C43)</f>
        <v>161</v>
      </c>
      <c r="D9" s="499">
        <f t="shared" si="0"/>
        <v>853</v>
      </c>
      <c r="E9" s="499">
        <f>SUM(E10:E43)</f>
        <v>1014</v>
      </c>
      <c r="F9" s="499">
        <f t="shared" si="0"/>
        <v>91</v>
      </c>
      <c r="G9" s="499">
        <f t="shared" si="0"/>
        <v>444</v>
      </c>
      <c r="H9" s="499">
        <f>SUM(H10:H43)</f>
        <v>535</v>
      </c>
      <c r="I9" s="499">
        <f>K9+L9</f>
        <v>3542126</v>
      </c>
      <c r="J9" s="500">
        <v>0</v>
      </c>
      <c r="K9" s="500">
        <v>174136</v>
      </c>
      <c r="L9" s="501">
        <v>3367990</v>
      </c>
      <c r="M9" s="499">
        <f>P9+O9+N9</f>
        <v>1238808831.395</v>
      </c>
      <c r="N9" s="499">
        <f>SUM(N10:N43)</f>
        <v>587623591.02999997</v>
      </c>
      <c r="O9" s="499">
        <f>SUM(O10:O43)</f>
        <v>134411113.69999999</v>
      </c>
      <c r="P9" s="499">
        <f>SUM(P10:P43)</f>
        <v>516774126.66499996</v>
      </c>
      <c r="Q9" s="502" t="s">
        <v>354</v>
      </c>
      <c r="R9" s="597"/>
      <c r="S9" s="599"/>
      <c r="T9" s="598"/>
    </row>
    <row r="10" spans="1:20" ht="20.100000000000001" customHeight="1">
      <c r="A10" s="596">
        <v>1</v>
      </c>
      <c r="B10" s="178" t="s">
        <v>264</v>
      </c>
      <c r="C10" s="242">
        <v>0</v>
      </c>
      <c r="D10" s="242">
        <v>7</v>
      </c>
      <c r="E10" s="242">
        <f t="shared" ref="E10:E43" si="1">D10+C10</f>
        <v>7</v>
      </c>
      <c r="F10" s="242">
        <v>0</v>
      </c>
      <c r="G10" s="242">
        <v>1</v>
      </c>
      <c r="H10" s="242">
        <f t="shared" ref="H10:H42" si="2">G10+F10</f>
        <v>1</v>
      </c>
      <c r="I10" s="242">
        <f t="shared" ref="I10:I42" si="3">L10+K10+J10</f>
        <v>952194</v>
      </c>
      <c r="J10" s="243">
        <v>0</v>
      </c>
      <c r="K10" s="243">
        <v>0</v>
      </c>
      <c r="L10" s="244">
        <v>952194</v>
      </c>
      <c r="M10" s="242">
        <f>P10+O10+N10</f>
        <v>6620288</v>
      </c>
      <c r="N10" s="244">
        <v>0</v>
      </c>
      <c r="O10" s="244">
        <v>388618</v>
      </c>
      <c r="P10" s="243">
        <v>6231670</v>
      </c>
      <c r="Q10" s="177" t="s">
        <v>70</v>
      </c>
      <c r="R10" s="503">
        <v>1</v>
      </c>
      <c r="S10" s="598"/>
      <c r="T10" s="598"/>
    </row>
    <row r="11" spans="1:20" ht="20.100000000000001" customHeight="1">
      <c r="A11" s="600">
        <v>2</v>
      </c>
      <c r="B11" s="257" t="s">
        <v>71</v>
      </c>
      <c r="C11" s="258">
        <v>1</v>
      </c>
      <c r="D11" s="258">
        <v>1</v>
      </c>
      <c r="E11" s="258">
        <f t="shared" si="1"/>
        <v>2</v>
      </c>
      <c r="F11" s="258">
        <v>0</v>
      </c>
      <c r="G11" s="258">
        <v>0</v>
      </c>
      <c r="H11" s="258">
        <f t="shared" si="2"/>
        <v>0</v>
      </c>
      <c r="I11" s="258">
        <f t="shared" si="3"/>
        <v>16818560</v>
      </c>
      <c r="J11" s="260">
        <v>13125636</v>
      </c>
      <c r="K11" s="260">
        <v>0</v>
      </c>
      <c r="L11" s="260">
        <v>3692924</v>
      </c>
      <c r="M11" s="258">
        <f t="shared" ref="M11:M43" si="4">P11+O11+N11</f>
        <v>10017717</v>
      </c>
      <c r="N11" s="260">
        <v>8004248</v>
      </c>
      <c r="O11" s="260">
        <v>0</v>
      </c>
      <c r="P11" s="259">
        <v>2013469</v>
      </c>
      <c r="Q11" s="262" t="s">
        <v>72</v>
      </c>
      <c r="R11" s="504">
        <v>2</v>
      </c>
      <c r="S11" s="598"/>
      <c r="T11" s="598"/>
    </row>
    <row r="12" spans="1:20" ht="20.100000000000001" customHeight="1">
      <c r="A12" s="596">
        <v>3</v>
      </c>
      <c r="B12" s="178" t="s">
        <v>73</v>
      </c>
      <c r="C12" s="242">
        <v>5</v>
      </c>
      <c r="D12" s="242">
        <v>17</v>
      </c>
      <c r="E12" s="242">
        <f t="shared" si="1"/>
        <v>22</v>
      </c>
      <c r="F12" s="242">
        <v>0</v>
      </c>
      <c r="G12" s="242">
        <v>10</v>
      </c>
      <c r="H12" s="242">
        <f t="shared" si="2"/>
        <v>10</v>
      </c>
      <c r="I12" s="242">
        <f t="shared" si="3"/>
        <v>0</v>
      </c>
      <c r="J12" s="244">
        <v>0</v>
      </c>
      <c r="K12" s="244">
        <v>0</v>
      </c>
      <c r="L12" s="244">
        <v>0</v>
      </c>
      <c r="M12" s="242">
        <f t="shared" si="4"/>
        <v>7016678</v>
      </c>
      <c r="N12" s="244">
        <v>0</v>
      </c>
      <c r="O12" s="244">
        <v>646607</v>
      </c>
      <c r="P12" s="243">
        <v>6370071</v>
      </c>
      <c r="Q12" s="179" t="s">
        <v>74</v>
      </c>
      <c r="R12" s="503">
        <v>3</v>
      </c>
      <c r="S12" s="598"/>
      <c r="T12" s="598"/>
    </row>
    <row r="13" spans="1:20" ht="20.100000000000001" customHeight="1">
      <c r="A13" s="600">
        <v>4</v>
      </c>
      <c r="B13" s="257" t="s">
        <v>542</v>
      </c>
      <c r="C13" s="258">
        <v>0</v>
      </c>
      <c r="D13" s="258">
        <v>5</v>
      </c>
      <c r="E13" s="258">
        <f t="shared" si="1"/>
        <v>5</v>
      </c>
      <c r="F13" s="258">
        <v>0</v>
      </c>
      <c r="G13" s="258">
        <v>5</v>
      </c>
      <c r="H13" s="258">
        <f t="shared" si="2"/>
        <v>5</v>
      </c>
      <c r="I13" s="258">
        <f t="shared" si="3"/>
        <v>4890078</v>
      </c>
      <c r="J13" s="260">
        <v>2113546</v>
      </c>
      <c r="K13" s="260">
        <v>0</v>
      </c>
      <c r="L13" s="260">
        <v>2776532</v>
      </c>
      <c r="M13" s="258">
        <f t="shared" si="4"/>
        <v>64614436</v>
      </c>
      <c r="N13" s="260">
        <v>31455332</v>
      </c>
      <c r="O13" s="260">
        <v>10167078</v>
      </c>
      <c r="P13" s="259">
        <v>22992026</v>
      </c>
      <c r="Q13" s="262" t="s">
        <v>370</v>
      </c>
      <c r="R13" s="504">
        <v>4</v>
      </c>
      <c r="S13" s="598"/>
      <c r="T13" s="598"/>
    </row>
    <row r="14" spans="1:20" ht="20.100000000000001" customHeight="1">
      <c r="A14" s="596">
        <v>5</v>
      </c>
      <c r="B14" s="178" t="s">
        <v>116</v>
      </c>
      <c r="C14" s="242">
        <v>3</v>
      </c>
      <c r="D14" s="242">
        <v>5</v>
      </c>
      <c r="E14" s="242">
        <f t="shared" si="1"/>
        <v>8</v>
      </c>
      <c r="F14" s="242">
        <v>16</v>
      </c>
      <c r="G14" s="242">
        <v>13</v>
      </c>
      <c r="H14" s="242">
        <f t="shared" si="2"/>
        <v>29</v>
      </c>
      <c r="I14" s="242">
        <f t="shared" si="3"/>
        <v>2450501</v>
      </c>
      <c r="J14" s="244">
        <v>0</v>
      </c>
      <c r="K14" s="244">
        <v>455000</v>
      </c>
      <c r="L14" s="244">
        <v>1995501</v>
      </c>
      <c r="M14" s="242">
        <f t="shared" si="4"/>
        <v>130074095</v>
      </c>
      <c r="N14" s="244">
        <v>81637910</v>
      </c>
      <c r="O14" s="244">
        <v>517318</v>
      </c>
      <c r="P14" s="243">
        <v>47918867</v>
      </c>
      <c r="Q14" s="179" t="s">
        <v>117</v>
      </c>
      <c r="R14" s="503">
        <v>5</v>
      </c>
      <c r="S14" s="598"/>
      <c r="T14" s="598"/>
    </row>
    <row r="15" spans="1:20" ht="20.100000000000001" customHeight="1">
      <c r="A15" s="600">
        <v>6</v>
      </c>
      <c r="B15" s="257" t="s">
        <v>77</v>
      </c>
      <c r="C15" s="258">
        <v>10</v>
      </c>
      <c r="D15" s="258">
        <v>51</v>
      </c>
      <c r="E15" s="258">
        <f t="shared" si="1"/>
        <v>61</v>
      </c>
      <c r="F15" s="258">
        <v>3</v>
      </c>
      <c r="G15" s="258">
        <v>22</v>
      </c>
      <c r="H15" s="258">
        <f t="shared" si="2"/>
        <v>25</v>
      </c>
      <c r="I15" s="258">
        <f t="shared" si="3"/>
        <v>2049820</v>
      </c>
      <c r="J15" s="260">
        <v>0</v>
      </c>
      <c r="K15" s="260">
        <v>0</v>
      </c>
      <c r="L15" s="260">
        <v>2049820</v>
      </c>
      <c r="M15" s="258">
        <f t="shared" si="4"/>
        <v>21129960.664999999</v>
      </c>
      <c r="N15" s="260">
        <v>0</v>
      </c>
      <c r="O15" s="260">
        <v>11091199</v>
      </c>
      <c r="P15" s="259">
        <v>10038761.664999999</v>
      </c>
      <c r="Q15" s="262" t="s">
        <v>78</v>
      </c>
      <c r="R15" s="504">
        <v>6</v>
      </c>
      <c r="S15" s="598"/>
      <c r="T15" s="598"/>
    </row>
    <row r="16" spans="1:20" ht="20.100000000000001" customHeight="1">
      <c r="A16" s="596">
        <v>7</v>
      </c>
      <c r="B16" s="178" t="s">
        <v>262</v>
      </c>
      <c r="C16" s="242">
        <v>1</v>
      </c>
      <c r="D16" s="242">
        <v>23</v>
      </c>
      <c r="E16" s="242">
        <f t="shared" si="1"/>
        <v>24</v>
      </c>
      <c r="F16" s="242">
        <v>0</v>
      </c>
      <c r="G16" s="242">
        <v>16</v>
      </c>
      <c r="H16" s="242">
        <f t="shared" si="2"/>
        <v>16</v>
      </c>
      <c r="I16" s="242">
        <f t="shared" si="3"/>
        <v>33009</v>
      </c>
      <c r="J16" s="244">
        <v>0</v>
      </c>
      <c r="K16" s="244">
        <v>0</v>
      </c>
      <c r="L16" s="244">
        <v>33009</v>
      </c>
      <c r="M16" s="242">
        <f t="shared" si="4"/>
        <v>27502746</v>
      </c>
      <c r="N16" s="244">
        <v>24544858</v>
      </c>
      <c r="O16" s="244">
        <v>0</v>
      </c>
      <c r="P16" s="243">
        <v>2957888</v>
      </c>
      <c r="Q16" s="179" t="s">
        <v>80</v>
      </c>
      <c r="R16" s="503">
        <v>7</v>
      </c>
      <c r="S16" s="598"/>
      <c r="T16" s="598"/>
    </row>
    <row r="17" spans="1:20" ht="20.100000000000001" customHeight="1">
      <c r="A17" s="600">
        <v>8</v>
      </c>
      <c r="B17" s="257" t="s">
        <v>118</v>
      </c>
      <c r="C17" s="258">
        <v>0</v>
      </c>
      <c r="D17" s="258">
        <v>0</v>
      </c>
      <c r="E17" s="258">
        <f t="shared" si="1"/>
        <v>0</v>
      </c>
      <c r="F17" s="258">
        <v>0</v>
      </c>
      <c r="G17" s="258">
        <v>0</v>
      </c>
      <c r="H17" s="258">
        <f t="shared" si="2"/>
        <v>0</v>
      </c>
      <c r="I17" s="258">
        <f t="shared" si="3"/>
        <v>7687130</v>
      </c>
      <c r="J17" s="260">
        <v>0</v>
      </c>
      <c r="K17" s="260">
        <v>256371</v>
      </c>
      <c r="L17" s="260">
        <v>7430759</v>
      </c>
      <c r="M17" s="258">
        <f t="shared" si="4"/>
        <v>3349595</v>
      </c>
      <c r="N17" s="260">
        <v>0</v>
      </c>
      <c r="O17" s="260">
        <v>9</v>
      </c>
      <c r="P17" s="259">
        <v>3349586</v>
      </c>
      <c r="Q17" s="262" t="s">
        <v>119</v>
      </c>
      <c r="R17" s="504">
        <v>8</v>
      </c>
      <c r="S17" s="598"/>
      <c r="T17" s="598"/>
    </row>
    <row r="18" spans="1:20" ht="20.100000000000001" customHeight="1">
      <c r="A18" s="596">
        <v>9</v>
      </c>
      <c r="B18" s="178" t="s">
        <v>255</v>
      </c>
      <c r="C18" s="242">
        <v>1</v>
      </c>
      <c r="D18" s="242">
        <v>17</v>
      </c>
      <c r="E18" s="242">
        <f t="shared" si="1"/>
        <v>18</v>
      </c>
      <c r="F18" s="242">
        <v>0</v>
      </c>
      <c r="G18" s="242">
        <v>16</v>
      </c>
      <c r="H18" s="242">
        <f t="shared" si="2"/>
        <v>16</v>
      </c>
      <c r="I18" s="242">
        <f t="shared" si="3"/>
        <v>0</v>
      </c>
      <c r="J18" s="244">
        <v>0</v>
      </c>
      <c r="K18" s="244">
        <v>0</v>
      </c>
      <c r="L18" s="244">
        <v>0</v>
      </c>
      <c r="M18" s="242">
        <f t="shared" si="4"/>
        <v>60215453</v>
      </c>
      <c r="N18" s="244">
        <v>0</v>
      </c>
      <c r="O18" s="244">
        <v>4259747</v>
      </c>
      <c r="P18" s="243">
        <v>55955706</v>
      </c>
      <c r="Q18" s="179" t="s">
        <v>82</v>
      </c>
      <c r="R18" s="503">
        <v>9</v>
      </c>
      <c r="S18" s="598"/>
      <c r="T18" s="598"/>
    </row>
    <row r="19" spans="1:20" ht="20.100000000000001" customHeight="1">
      <c r="A19" s="600">
        <v>10</v>
      </c>
      <c r="B19" s="257" t="s">
        <v>261</v>
      </c>
      <c r="C19" s="258">
        <v>0</v>
      </c>
      <c r="D19" s="258">
        <v>1</v>
      </c>
      <c r="E19" s="258">
        <f t="shared" si="1"/>
        <v>1</v>
      </c>
      <c r="F19" s="258">
        <v>0</v>
      </c>
      <c r="G19" s="258">
        <v>0</v>
      </c>
      <c r="H19" s="258">
        <f t="shared" si="2"/>
        <v>0</v>
      </c>
      <c r="I19" s="258">
        <f t="shared" si="3"/>
        <v>10535409</v>
      </c>
      <c r="J19" s="260">
        <v>10535409</v>
      </c>
      <c r="K19" s="260">
        <v>0</v>
      </c>
      <c r="L19" s="260">
        <v>0</v>
      </c>
      <c r="M19" s="258">
        <f t="shared" si="4"/>
        <v>220834</v>
      </c>
      <c r="N19" s="260">
        <v>0</v>
      </c>
      <c r="O19" s="260">
        <v>0</v>
      </c>
      <c r="P19" s="259">
        <v>220834</v>
      </c>
      <c r="Q19" s="262" t="s">
        <v>84</v>
      </c>
      <c r="R19" s="504">
        <v>10</v>
      </c>
      <c r="S19" s="598"/>
      <c r="T19" s="598"/>
    </row>
    <row r="20" spans="1:20" ht="20.100000000000001" customHeight="1">
      <c r="A20" s="596">
        <v>11</v>
      </c>
      <c r="B20" s="178" t="s">
        <v>85</v>
      </c>
      <c r="C20" s="242">
        <v>7</v>
      </c>
      <c r="D20" s="242">
        <v>50</v>
      </c>
      <c r="E20" s="242">
        <f t="shared" si="1"/>
        <v>57</v>
      </c>
      <c r="F20" s="242">
        <v>0</v>
      </c>
      <c r="G20" s="242">
        <v>38</v>
      </c>
      <c r="H20" s="242">
        <f t="shared" si="2"/>
        <v>38</v>
      </c>
      <c r="I20" s="242">
        <f t="shared" si="3"/>
        <v>0</v>
      </c>
      <c r="J20" s="244">
        <v>0</v>
      </c>
      <c r="K20" s="244">
        <v>0</v>
      </c>
      <c r="L20" s="244">
        <v>0</v>
      </c>
      <c r="M20" s="242">
        <f t="shared" si="4"/>
        <v>65857757.030000001</v>
      </c>
      <c r="N20" s="244">
        <v>21821485.030000001</v>
      </c>
      <c r="O20" s="244">
        <v>7882766</v>
      </c>
      <c r="P20" s="243">
        <v>36153506</v>
      </c>
      <c r="Q20" s="179" t="s">
        <v>86</v>
      </c>
      <c r="R20" s="503">
        <v>11</v>
      </c>
      <c r="S20" s="598"/>
      <c r="T20" s="598"/>
    </row>
    <row r="21" spans="1:20" ht="20.100000000000001" customHeight="1">
      <c r="A21" s="600">
        <v>12</v>
      </c>
      <c r="B21" s="257" t="s">
        <v>179</v>
      </c>
      <c r="C21" s="258">
        <v>4</v>
      </c>
      <c r="D21" s="258">
        <v>24</v>
      </c>
      <c r="E21" s="258">
        <f t="shared" si="1"/>
        <v>28</v>
      </c>
      <c r="F21" s="258">
        <v>0</v>
      </c>
      <c r="G21" s="258">
        <v>7</v>
      </c>
      <c r="H21" s="258">
        <f t="shared" si="2"/>
        <v>7</v>
      </c>
      <c r="I21" s="258">
        <f t="shared" si="3"/>
        <v>217750</v>
      </c>
      <c r="J21" s="260">
        <v>0</v>
      </c>
      <c r="K21" s="260">
        <v>0</v>
      </c>
      <c r="L21" s="260">
        <v>217750</v>
      </c>
      <c r="M21" s="258">
        <f t="shared" si="4"/>
        <v>16483096</v>
      </c>
      <c r="N21" s="260">
        <v>2268457</v>
      </c>
      <c r="O21" s="260">
        <v>0</v>
      </c>
      <c r="P21" s="259">
        <v>14214639</v>
      </c>
      <c r="Q21" s="262" t="s">
        <v>180</v>
      </c>
      <c r="R21" s="504">
        <v>12</v>
      </c>
      <c r="S21" s="598"/>
      <c r="T21" s="598"/>
    </row>
    <row r="22" spans="1:20" ht="20.100000000000001" customHeight="1">
      <c r="A22" s="596">
        <v>13</v>
      </c>
      <c r="B22" s="178" t="s">
        <v>87</v>
      </c>
      <c r="C22" s="242">
        <v>10</v>
      </c>
      <c r="D22" s="242">
        <v>21</v>
      </c>
      <c r="E22" s="242">
        <f t="shared" si="1"/>
        <v>31</v>
      </c>
      <c r="F22" s="242">
        <v>3</v>
      </c>
      <c r="G22" s="242">
        <v>13</v>
      </c>
      <c r="H22" s="242">
        <f t="shared" si="2"/>
        <v>16</v>
      </c>
      <c r="I22" s="242">
        <f t="shared" si="3"/>
        <v>1317794</v>
      </c>
      <c r="J22" s="244">
        <v>0</v>
      </c>
      <c r="K22" s="244">
        <v>0</v>
      </c>
      <c r="L22" s="244">
        <v>1317794</v>
      </c>
      <c r="M22" s="242">
        <f t="shared" si="4"/>
        <v>8903848</v>
      </c>
      <c r="N22" s="244">
        <v>0</v>
      </c>
      <c r="O22" s="244">
        <v>2185409</v>
      </c>
      <c r="P22" s="243">
        <v>6718439</v>
      </c>
      <c r="Q22" s="179" t="s">
        <v>88</v>
      </c>
      <c r="R22" s="503">
        <v>13</v>
      </c>
      <c r="S22" s="598"/>
      <c r="T22" s="598"/>
    </row>
    <row r="23" spans="1:20" ht="20.100000000000001" customHeight="1">
      <c r="A23" s="600">
        <v>14</v>
      </c>
      <c r="B23" s="257" t="s">
        <v>89</v>
      </c>
      <c r="C23" s="258">
        <v>5</v>
      </c>
      <c r="D23" s="258">
        <v>33</v>
      </c>
      <c r="E23" s="258">
        <f t="shared" si="1"/>
        <v>38</v>
      </c>
      <c r="F23" s="258">
        <v>2</v>
      </c>
      <c r="G23" s="258">
        <v>3</v>
      </c>
      <c r="H23" s="258">
        <f t="shared" si="2"/>
        <v>5</v>
      </c>
      <c r="I23" s="258">
        <f t="shared" si="3"/>
        <v>1139873</v>
      </c>
      <c r="J23" s="260">
        <v>0</v>
      </c>
      <c r="K23" s="260">
        <v>711204</v>
      </c>
      <c r="L23" s="260">
        <v>428669</v>
      </c>
      <c r="M23" s="258">
        <f t="shared" si="4"/>
        <v>9557472</v>
      </c>
      <c r="N23" s="260">
        <v>4972058</v>
      </c>
      <c r="O23" s="260">
        <v>1666184</v>
      </c>
      <c r="P23" s="259">
        <v>2919230</v>
      </c>
      <c r="Q23" s="262" t="s">
        <v>90</v>
      </c>
      <c r="R23" s="504">
        <v>14</v>
      </c>
      <c r="S23" s="598"/>
      <c r="T23" s="598"/>
    </row>
    <row r="24" spans="1:20" ht="20.100000000000001" customHeight="1">
      <c r="A24" s="596">
        <v>15</v>
      </c>
      <c r="B24" s="178" t="s">
        <v>91</v>
      </c>
      <c r="C24" s="242">
        <v>4</v>
      </c>
      <c r="D24" s="242">
        <v>14</v>
      </c>
      <c r="E24" s="242">
        <f t="shared" si="1"/>
        <v>18</v>
      </c>
      <c r="F24" s="242">
        <v>1</v>
      </c>
      <c r="G24" s="242">
        <v>3</v>
      </c>
      <c r="H24" s="242">
        <f t="shared" si="2"/>
        <v>4</v>
      </c>
      <c r="I24" s="242">
        <f t="shared" si="3"/>
        <v>0</v>
      </c>
      <c r="J24" s="244">
        <v>0</v>
      </c>
      <c r="K24" s="244">
        <v>0</v>
      </c>
      <c r="L24" s="244">
        <v>0</v>
      </c>
      <c r="M24" s="242">
        <f t="shared" si="4"/>
        <v>13087956</v>
      </c>
      <c r="N24" s="244">
        <v>0</v>
      </c>
      <c r="O24" s="244">
        <v>10328794</v>
      </c>
      <c r="P24" s="243">
        <v>2759162</v>
      </c>
      <c r="Q24" s="180" t="s">
        <v>541</v>
      </c>
      <c r="R24" s="503">
        <v>15</v>
      </c>
      <c r="S24" s="598"/>
      <c r="T24" s="598"/>
    </row>
    <row r="25" spans="1:20" ht="20.100000000000001" customHeight="1">
      <c r="A25" s="600">
        <v>16</v>
      </c>
      <c r="B25" s="257" t="s">
        <v>278</v>
      </c>
      <c r="C25" s="258">
        <v>0</v>
      </c>
      <c r="D25" s="258">
        <v>0</v>
      </c>
      <c r="E25" s="258">
        <f t="shared" si="1"/>
        <v>0</v>
      </c>
      <c r="F25" s="258">
        <v>0</v>
      </c>
      <c r="G25" s="258">
        <v>0</v>
      </c>
      <c r="H25" s="258">
        <f t="shared" si="2"/>
        <v>0</v>
      </c>
      <c r="I25" s="258">
        <f t="shared" si="3"/>
        <v>533688</v>
      </c>
      <c r="J25" s="260">
        <v>0</v>
      </c>
      <c r="K25" s="260">
        <v>0</v>
      </c>
      <c r="L25" s="260">
        <v>533688</v>
      </c>
      <c r="M25" s="258">
        <f t="shared" si="4"/>
        <v>6803354</v>
      </c>
      <c r="N25" s="260">
        <v>4802904</v>
      </c>
      <c r="O25" s="260">
        <v>0</v>
      </c>
      <c r="P25" s="259">
        <v>2000450</v>
      </c>
      <c r="Q25" s="262" t="s">
        <v>182</v>
      </c>
      <c r="R25" s="504">
        <v>16</v>
      </c>
      <c r="S25" s="598"/>
      <c r="T25" s="598"/>
    </row>
    <row r="26" spans="1:20" ht="20.100000000000001" customHeight="1">
      <c r="A26" s="596">
        <v>17</v>
      </c>
      <c r="B26" s="178" t="s">
        <v>92</v>
      </c>
      <c r="C26" s="242">
        <v>0</v>
      </c>
      <c r="D26" s="242">
        <v>5</v>
      </c>
      <c r="E26" s="242">
        <f t="shared" si="1"/>
        <v>5</v>
      </c>
      <c r="F26" s="242">
        <v>0</v>
      </c>
      <c r="G26" s="242">
        <v>3</v>
      </c>
      <c r="H26" s="242">
        <f t="shared" si="2"/>
        <v>3</v>
      </c>
      <c r="I26" s="242">
        <f t="shared" si="3"/>
        <v>216950</v>
      </c>
      <c r="J26" s="244">
        <v>0</v>
      </c>
      <c r="K26" s="244">
        <v>0</v>
      </c>
      <c r="L26" s="244">
        <v>216950</v>
      </c>
      <c r="M26" s="242">
        <f t="shared" si="4"/>
        <v>5060322</v>
      </c>
      <c r="N26" s="244">
        <v>0</v>
      </c>
      <c r="O26" s="244">
        <v>1015700</v>
      </c>
      <c r="P26" s="243">
        <v>4044622</v>
      </c>
      <c r="Q26" s="179" t="s">
        <v>93</v>
      </c>
      <c r="R26" s="503">
        <v>17</v>
      </c>
      <c r="S26" s="598"/>
      <c r="T26" s="598"/>
    </row>
    <row r="27" spans="1:20" ht="20.100000000000001" customHeight="1">
      <c r="A27" s="600">
        <v>18</v>
      </c>
      <c r="B27" s="257" t="s">
        <v>260</v>
      </c>
      <c r="C27" s="258">
        <v>2</v>
      </c>
      <c r="D27" s="258">
        <v>25</v>
      </c>
      <c r="E27" s="258">
        <f t="shared" si="1"/>
        <v>27</v>
      </c>
      <c r="F27" s="258">
        <v>0</v>
      </c>
      <c r="G27" s="258">
        <v>7</v>
      </c>
      <c r="H27" s="258">
        <f t="shared" si="2"/>
        <v>7</v>
      </c>
      <c r="I27" s="258">
        <f t="shared" si="3"/>
        <v>245467</v>
      </c>
      <c r="J27" s="260">
        <v>0</v>
      </c>
      <c r="K27" s="260">
        <v>0</v>
      </c>
      <c r="L27" s="260">
        <v>245467</v>
      </c>
      <c r="M27" s="258">
        <f t="shared" si="4"/>
        <v>4112798.7</v>
      </c>
      <c r="N27" s="260">
        <v>0</v>
      </c>
      <c r="O27" s="260">
        <v>2795185.7</v>
      </c>
      <c r="P27" s="259">
        <v>1317613</v>
      </c>
      <c r="Q27" s="262" t="s">
        <v>95</v>
      </c>
      <c r="R27" s="504">
        <v>18</v>
      </c>
      <c r="S27" s="598"/>
      <c r="T27" s="598"/>
    </row>
    <row r="28" spans="1:20" ht="20.100000000000001" customHeight="1">
      <c r="A28" s="596">
        <v>19</v>
      </c>
      <c r="B28" s="178" t="s">
        <v>96</v>
      </c>
      <c r="C28" s="242">
        <v>13</v>
      </c>
      <c r="D28" s="242">
        <v>39</v>
      </c>
      <c r="E28" s="242">
        <f t="shared" si="1"/>
        <v>52</v>
      </c>
      <c r="F28" s="242">
        <v>6</v>
      </c>
      <c r="G28" s="242">
        <v>7</v>
      </c>
      <c r="H28" s="242">
        <f t="shared" si="2"/>
        <v>13</v>
      </c>
      <c r="I28" s="242">
        <f t="shared" si="3"/>
        <v>2783750</v>
      </c>
      <c r="J28" s="244">
        <v>0</v>
      </c>
      <c r="K28" s="244">
        <v>0</v>
      </c>
      <c r="L28" s="244">
        <v>2783750</v>
      </c>
      <c r="M28" s="242">
        <f t="shared" si="4"/>
        <v>9808749</v>
      </c>
      <c r="N28" s="244">
        <v>7572154</v>
      </c>
      <c r="O28" s="244">
        <v>36771</v>
      </c>
      <c r="P28" s="243">
        <v>2199824</v>
      </c>
      <c r="Q28" s="179" t="s">
        <v>97</v>
      </c>
      <c r="R28" s="503">
        <v>19</v>
      </c>
      <c r="S28" s="598"/>
      <c r="T28" s="598"/>
    </row>
    <row r="29" spans="1:20" ht="20.100000000000001" customHeight="1">
      <c r="A29" s="600">
        <v>20</v>
      </c>
      <c r="B29" s="257" t="s">
        <v>120</v>
      </c>
      <c r="C29" s="258">
        <v>0</v>
      </c>
      <c r="D29" s="258">
        <v>8</v>
      </c>
      <c r="E29" s="258">
        <f t="shared" si="1"/>
        <v>8</v>
      </c>
      <c r="F29" s="258">
        <v>0</v>
      </c>
      <c r="G29" s="258">
        <v>1</v>
      </c>
      <c r="H29" s="258">
        <f t="shared" si="2"/>
        <v>1</v>
      </c>
      <c r="I29" s="258">
        <f t="shared" si="3"/>
        <v>3005969</v>
      </c>
      <c r="J29" s="260">
        <v>0</v>
      </c>
      <c r="K29" s="260">
        <v>1787820</v>
      </c>
      <c r="L29" s="260">
        <v>1218149</v>
      </c>
      <c r="M29" s="258">
        <f t="shared" si="4"/>
        <v>7075551</v>
      </c>
      <c r="N29" s="260">
        <v>0</v>
      </c>
      <c r="O29" s="260">
        <v>46913</v>
      </c>
      <c r="P29" s="259">
        <v>7028638</v>
      </c>
      <c r="Q29" s="262" t="s">
        <v>121</v>
      </c>
      <c r="R29" s="504">
        <v>20</v>
      </c>
      <c r="S29" s="598"/>
      <c r="T29" s="598"/>
    </row>
    <row r="30" spans="1:20" ht="20.100000000000001" customHeight="1">
      <c r="A30" s="596">
        <v>21</v>
      </c>
      <c r="B30" s="178" t="s">
        <v>98</v>
      </c>
      <c r="C30" s="242">
        <v>0</v>
      </c>
      <c r="D30" s="242">
        <v>34</v>
      </c>
      <c r="E30" s="242">
        <f t="shared" si="1"/>
        <v>34</v>
      </c>
      <c r="F30" s="242">
        <v>0</v>
      </c>
      <c r="G30" s="242">
        <v>9</v>
      </c>
      <c r="H30" s="242">
        <f t="shared" si="2"/>
        <v>9</v>
      </c>
      <c r="I30" s="242">
        <f t="shared" si="3"/>
        <v>0</v>
      </c>
      <c r="J30" s="244">
        <v>0</v>
      </c>
      <c r="K30" s="244">
        <v>0</v>
      </c>
      <c r="L30" s="244">
        <v>0</v>
      </c>
      <c r="M30" s="242">
        <f t="shared" si="4"/>
        <v>42806990</v>
      </c>
      <c r="N30" s="244">
        <v>0</v>
      </c>
      <c r="O30" s="244">
        <v>41209443</v>
      </c>
      <c r="P30" s="243">
        <v>1597547</v>
      </c>
      <c r="Q30" s="179" t="s">
        <v>99</v>
      </c>
      <c r="R30" s="503">
        <v>21</v>
      </c>
      <c r="S30" s="598"/>
      <c r="T30" s="598"/>
    </row>
    <row r="31" spans="1:20" ht="20.100000000000001" customHeight="1">
      <c r="A31" s="600">
        <v>22</v>
      </c>
      <c r="B31" s="257" t="s">
        <v>259</v>
      </c>
      <c r="C31" s="258">
        <v>0</v>
      </c>
      <c r="D31" s="258">
        <v>12</v>
      </c>
      <c r="E31" s="258">
        <f t="shared" si="1"/>
        <v>12</v>
      </c>
      <c r="F31" s="258">
        <v>3</v>
      </c>
      <c r="G31" s="258">
        <v>4</v>
      </c>
      <c r="H31" s="258">
        <f t="shared" si="2"/>
        <v>7</v>
      </c>
      <c r="I31" s="258">
        <f t="shared" si="3"/>
        <v>0</v>
      </c>
      <c r="J31" s="260">
        <v>0</v>
      </c>
      <c r="K31" s="260">
        <v>0</v>
      </c>
      <c r="L31" s="260">
        <v>0</v>
      </c>
      <c r="M31" s="258">
        <f t="shared" si="4"/>
        <v>1863222</v>
      </c>
      <c r="N31" s="260">
        <v>0</v>
      </c>
      <c r="O31" s="260">
        <v>7027</v>
      </c>
      <c r="P31" s="259">
        <v>1856195</v>
      </c>
      <c r="Q31" s="262" t="s">
        <v>101</v>
      </c>
      <c r="R31" s="504">
        <v>22</v>
      </c>
      <c r="S31" s="598"/>
      <c r="T31" s="598"/>
    </row>
    <row r="32" spans="1:20" ht="20.100000000000001" customHeight="1">
      <c r="A32" s="596">
        <v>23</v>
      </c>
      <c r="B32" s="178" t="s">
        <v>122</v>
      </c>
      <c r="C32" s="242">
        <v>13</v>
      </c>
      <c r="D32" s="242">
        <v>17</v>
      </c>
      <c r="E32" s="242">
        <f t="shared" si="1"/>
        <v>30</v>
      </c>
      <c r="F32" s="242">
        <v>1</v>
      </c>
      <c r="G32" s="242">
        <v>10</v>
      </c>
      <c r="H32" s="242">
        <f t="shared" si="2"/>
        <v>11</v>
      </c>
      <c r="I32" s="242">
        <f t="shared" si="3"/>
        <v>0</v>
      </c>
      <c r="J32" s="244">
        <v>0</v>
      </c>
      <c r="K32" s="244">
        <v>0</v>
      </c>
      <c r="L32" s="244">
        <v>0</v>
      </c>
      <c r="M32" s="242">
        <f t="shared" si="4"/>
        <v>297875</v>
      </c>
      <c r="N32" s="244">
        <v>0</v>
      </c>
      <c r="O32" s="244">
        <v>297875</v>
      </c>
      <c r="P32" s="243">
        <v>0</v>
      </c>
      <c r="Q32" s="179" t="s">
        <v>123</v>
      </c>
      <c r="R32" s="503">
        <v>23</v>
      </c>
      <c r="S32" s="598"/>
      <c r="T32" s="598"/>
    </row>
    <row r="33" spans="1:20" ht="20.100000000000001" customHeight="1">
      <c r="A33" s="600">
        <v>24</v>
      </c>
      <c r="B33" s="257" t="s">
        <v>241</v>
      </c>
      <c r="C33" s="258">
        <v>0</v>
      </c>
      <c r="D33" s="258">
        <v>1</v>
      </c>
      <c r="E33" s="258">
        <f t="shared" si="1"/>
        <v>1</v>
      </c>
      <c r="F33" s="258">
        <v>0</v>
      </c>
      <c r="G33" s="258">
        <v>0</v>
      </c>
      <c r="H33" s="258">
        <f t="shared" si="2"/>
        <v>0</v>
      </c>
      <c r="I33" s="258">
        <f t="shared" si="3"/>
        <v>2776233</v>
      </c>
      <c r="J33" s="260">
        <v>2776233</v>
      </c>
      <c r="K33" s="260">
        <v>0</v>
      </c>
      <c r="L33" s="260">
        <v>0</v>
      </c>
      <c r="M33" s="258">
        <f t="shared" si="4"/>
        <v>0</v>
      </c>
      <c r="N33" s="260">
        <v>0</v>
      </c>
      <c r="O33" s="260">
        <v>0</v>
      </c>
      <c r="P33" s="259">
        <v>0</v>
      </c>
      <c r="Q33" s="262" t="s">
        <v>125</v>
      </c>
      <c r="R33" s="504">
        <v>24</v>
      </c>
      <c r="S33" s="598"/>
      <c r="T33" s="598"/>
    </row>
    <row r="34" spans="1:20" ht="20.100000000000001" customHeight="1">
      <c r="A34" s="596">
        <v>25</v>
      </c>
      <c r="B34" s="178" t="s">
        <v>181</v>
      </c>
      <c r="C34" s="242">
        <v>11</v>
      </c>
      <c r="D34" s="242">
        <v>55</v>
      </c>
      <c r="E34" s="242">
        <f t="shared" si="1"/>
        <v>66</v>
      </c>
      <c r="F34" s="242">
        <v>3</v>
      </c>
      <c r="G34" s="242">
        <v>24</v>
      </c>
      <c r="H34" s="242">
        <f t="shared" si="2"/>
        <v>27</v>
      </c>
      <c r="I34" s="242">
        <f t="shared" si="3"/>
        <v>0</v>
      </c>
      <c r="J34" s="244">
        <v>0</v>
      </c>
      <c r="K34" s="244">
        <v>0</v>
      </c>
      <c r="L34" s="244">
        <v>0</v>
      </c>
      <c r="M34" s="242">
        <f t="shared" si="4"/>
        <v>4321546</v>
      </c>
      <c r="N34" s="244">
        <v>1382485</v>
      </c>
      <c r="O34" s="244">
        <v>128100</v>
      </c>
      <c r="P34" s="243">
        <v>2810961</v>
      </c>
      <c r="Q34" s="179" t="s">
        <v>183</v>
      </c>
      <c r="R34" s="503">
        <v>25</v>
      </c>
      <c r="S34" s="598"/>
      <c r="T34" s="598"/>
    </row>
    <row r="35" spans="1:20" ht="20.100000000000001" customHeight="1">
      <c r="A35" s="600">
        <v>26</v>
      </c>
      <c r="B35" s="257" t="s">
        <v>126</v>
      </c>
      <c r="C35" s="258">
        <v>4</v>
      </c>
      <c r="D35" s="258">
        <v>50</v>
      </c>
      <c r="E35" s="258">
        <f t="shared" si="1"/>
        <v>54</v>
      </c>
      <c r="F35" s="258">
        <v>4</v>
      </c>
      <c r="G35" s="258">
        <v>28</v>
      </c>
      <c r="H35" s="258">
        <f t="shared" si="2"/>
        <v>32</v>
      </c>
      <c r="I35" s="258">
        <f t="shared" si="3"/>
        <v>5722345</v>
      </c>
      <c r="J35" s="260">
        <v>0</v>
      </c>
      <c r="K35" s="260">
        <v>0</v>
      </c>
      <c r="L35" s="260">
        <v>5722345</v>
      </c>
      <c r="M35" s="258">
        <f t="shared" si="4"/>
        <v>59865016</v>
      </c>
      <c r="N35" s="260">
        <v>46560865</v>
      </c>
      <c r="O35" s="260">
        <v>1287375</v>
      </c>
      <c r="P35" s="259">
        <v>12016776</v>
      </c>
      <c r="Q35" s="262" t="s">
        <v>127</v>
      </c>
      <c r="R35" s="504">
        <v>26</v>
      </c>
      <c r="S35" s="598"/>
      <c r="T35" s="598"/>
    </row>
    <row r="36" spans="1:20" ht="20.100000000000001" customHeight="1">
      <c r="A36" s="596">
        <v>27</v>
      </c>
      <c r="B36" s="178" t="s">
        <v>102</v>
      </c>
      <c r="C36" s="242">
        <v>20</v>
      </c>
      <c r="D36" s="242">
        <v>99</v>
      </c>
      <c r="E36" s="242">
        <f t="shared" si="1"/>
        <v>119</v>
      </c>
      <c r="F36" s="242">
        <v>17</v>
      </c>
      <c r="G36" s="242">
        <v>50</v>
      </c>
      <c r="H36" s="242">
        <f t="shared" si="2"/>
        <v>67</v>
      </c>
      <c r="I36" s="242">
        <f t="shared" si="3"/>
        <v>0</v>
      </c>
      <c r="J36" s="244">
        <v>0</v>
      </c>
      <c r="K36" s="244">
        <v>0</v>
      </c>
      <c r="L36" s="244">
        <v>0</v>
      </c>
      <c r="M36" s="242">
        <f t="shared" si="4"/>
        <v>142290711</v>
      </c>
      <c r="N36" s="244">
        <v>23562630</v>
      </c>
      <c r="O36" s="244">
        <v>18483884</v>
      </c>
      <c r="P36" s="243">
        <v>100244197</v>
      </c>
      <c r="Q36" s="179" t="s">
        <v>103</v>
      </c>
      <c r="R36" s="503">
        <v>27</v>
      </c>
      <c r="S36" s="598"/>
      <c r="T36" s="598"/>
    </row>
    <row r="37" spans="1:20" ht="20.100000000000001" customHeight="1">
      <c r="A37" s="600">
        <v>28</v>
      </c>
      <c r="B37" s="257" t="s">
        <v>258</v>
      </c>
      <c r="C37" s="258">
        <v>1</v>
      </c>
      <c r="D37" s="258">
        <v>8</v>
      </c>
      <c r="E37" s="258">
        <f t="shared" si="1"/>
        <v>9</v>
      </c>
      <c r="F37" s="258">
        <v>0</v>
      </c>
      <c r="G37" s="258">
        <v>2</v>
      </c>
      <c r="H37" s="258">
        <f t="shared" si="2"/>
        <v>2</v>
      </c>
      <c r="I37" s="258">
        <f t="shared" si="3"/>
        <v>0</v>
      </c>
      <c r="J37" s="260">
        <v>0</v>
      </c>
      <c r="K37" s="260">
        <v>0</v>
      </c>
      <c r="L37" s="260">
        <v>0</v>
      </c>
      <c r="M37" s="258">
        <f t="shared" si="4"/>
        <v>722165</v>
      </c>
      <c r="N37" s="260">
        <v>0</v>
      </c>
      <c r="O37" s="260">
        <v>400917</v>
      </c>
      <c r="P37" s="259">
        <v>321248</v>
      </c>
      <c r="Q37" s="262" t="s">
        <v>129</v>
      </c>
      <c r="R37" s="504">
        <v>28</v>
      </c>
      <c r="S37" s="598"/>
      <c r="T37" s="598"/>
    </row>
    <row r="38" spans="1:20" ht="20.100000000000001" customHeight="1">
      <c r="A38" s="596">
        <v>29</v>
      </c>
      <c r="B38" s="178" t="s">
        <v>104</v>
      </c>
      <c r="C38" s="242">
        <v>8</v>
      </c>
      <c r="D38" s="242">
        <v>35</v>
      </c>
      <c r="E38" s="242">
        <f t="shared" si="1"/>
        <v>43</v>
      </c>
      <c r="F38" s="242">
        <v>7</v>
      </c>
      <c r="G38" s="242">
        <v>23</v>
      </c>
      <c r="H38" s="242">
        <f t="shared" si="2"/>
        <v>30</v>
      </c>
      <c r="I38" s="242">
        <f t="shared" si="3"/>
        <v>160353</v>
      </c>
      <c r="J38" s="244">
        <v>0</v>
      </c>
      <c r="K38" s="244">
        <v>0</v>
      </c>
      <c r="L38" s="244">
        <v>160353</v>
      </c>
      <c r="M38" s="242">
        <f t="shared" si="4"/>
        <v>5121080</v>
      </c>
      <c r="N38" s="244">
        <v>0</v>
      </c>
      <c r="O38" s="244">
        <v>4931</v>
      </c>
      <c r="P38" s="243">
        <v>5116149</v>
      </c>
      <c r="Q38" s="179" t="s">
        <v>105</v>
      </c>
      <c r="R38" s="503">
        <v>29</v>
      </c>
      <c r="S38" s="598"/>
      <c r="T38" s="598"/>
    </row>
    <row r="39" spans="1:20" ht="20.100000000000001" customHeight="1">
      <c r="A39" s="600">
        <v>30</v>
      </c>
      <c r="B39" s="257" t="s">
        <v>218</v>
      </c>
      <c r="C39" s="258">
        <v>24</v>
      </c>
      <c r="D39" s="258">
        <v>135</v>
      </c>
      <c r="E39" s="258">
        <f t="shared" si="1"/>
        <v>159</v>
      </c>
      <c r="F39" s="258">
        <v>14</v>
      </c>
      <c r="G39" s="258">
        <v>68</v>
      </c>
      <c r="H39" s="258">
        <f t="shared" si="2"/>
        <v>82</v>
      </c>
      <c r="I39" s="258">
        <f t="shared" si="3"/>
        <v>0</v>
      </c>
      <c r="J39" s="260">
        <v>0</v>
      </c>
      <c r="K39" s="260">
        <v>0</v>
      </c>
      <c r="L39" s="260">
        <v>0</v>
      </c>
      <c r="M39" s="258">
        <f t="shared" si="4"/>
        <v>402368377</v>
      </c>
      <c r="N39" s="260">
        <v>313299590</v>
      </c>
      <c r="O39" s="260">
        <v>11581405</v>
      </c>
      <c r="P39" s="259">
        <v>77487382</v>
      </c>
      <c r="Q39" s="262" t="s">
        <v>130</v>
      </c>
      <c r="R39" s="504">
        <v>30</v>
      </c>
      <c r="S39" s="598"/>
      <c r="T39" s="598"/>
    </row>
    <row r="40" spans="1:20" ht="20.100000000000001" customHeight="1">
      <c r="A40" s="596">
        <v>31</v>
      </c>
      <c r="B40" s="178" t="s">
        <v>245</v>
      </c>
      <c r="C40" s="242">
        <v>5</v>
      </c>
      <c r="D40" s="242">
        <v>14</v>
      </c>
      <c r="E40" s="242">
        <f t="shared" si="1"/>
        <v>19</v>
      </c>
      <c r="F40" s="242">
        <v>0</v>
      </c>
      <c r="G40" s="242">
        <v>7</v>
      </c>
      <c r="H40" s="242">
        <f t="shared" si="2"/>
        <v>7</v>
      </c>
      <c r="I40" s="242">
        <f t="shared" si="3"/>
        <v>15225</v>
      </c>
      <c r="J40" s="244">
        <v>0</v>
      </c>
      <c r="K40" s="244">
        <v>0</v>
      </c>
      <c r="L40" s="244">
        <v>15225</v>
      </c>
      <c r="M40" s="242">
        <f t="shared" si="4"/>
        <v>658421</v>
      </c>
      <c r="N40" s="244">
        <v>0</v>
      </c>
      <c r="O40" s="244">
        <v>0</v>
      </c>
      <c r="P40" s="243">
        <v>658421</v>
      </c>
      <c r="Q40" s="179" t="s">
        <v>107</v>
      </c>
      <c r="R40" s="503">
        <v>31</v>
      </c>
      <c r="S40" s="598"/>
      <c r="T40" s="598"/>
    </row>
    <row r="41" spans="1:20" ht="20.100000000000001" customHeight="1">
      <c r="A41" s="600">
        <v>32</v>
      </c>
      <c r="B41" s="257" t="s">
        <v>108</v>
      </c>
      <c r="C41" s="258">
        <v>8</v>
      </c>
      <c r="D41" s="258">
        <v>24</v>
      </c>
      <c r="E41" s="258">
        <f t="shared" si="1"/>
        <v>32</v>
      </c>
      <c r="F41" s="258">
        <v>5</v>
      </c>
      <c r="G41" s="258">
        <v>29</v>
      </c>
      <c r="H41" s="258">
        <f t="shared" si="2"/>
        <v>34</v>
      </c>
      <c r="I41" s="258">
        <f t="shared" si="3"/>
        <v>0</v>
      </c>
      <c r="J41" s="260">
        <v>0</v>
      </c>
      <c r="K41" s="260">
        <v>0</v>
      </c>
      <c r="L41" s="260">
        <v>0</v>
      </c>
      <c r="M41" s="258">
        <f t="shared" si="4"/>
        <v>32203397</v>
      </c>
      <c r="N41" s="260">
        <v>15738615</v>
      </c>
      <c r="O41" s="260">
        <v>2477807</v>
      </c>
      <c r="P41" s="259">
        <v>13986975</v>
      </c>
      <c r="Q41" s="262" t="s">
        <v>109</v>
      </c>
      <c r="R41" s="504">
        <v>32</v>
      </c>
      <c r="S41" s="598"/>
      <c r="T41" s="598"/>
    </row>
    <row r="42" spans="1:20" ht="20.100000000000001" customHeight="1">
      <c r="A42" s="596">
        <v>33</v>
      </c>
      <c r="B42" s="178" t="s">
        <v>131</v>
      </c>
      <c r="C42" s="242">
        <v>0</v>
      </c>
      <c r="D42" s="242">
        <v>18</v>
      </c>
      <c r="E42" s="242">
        <f t="shared" si="1"/>
        <v>18</v>
      </c>
      <c r="F42" s="242">
        <v>6</v>
      </c>
      <c r="G42" s="242">
        <v>19</v>
      </c>
      <c r="H42" s="242">
        <f t="shared" si="2"/>
        <v>25</v>
      </c>
      <c r="I42" s="242">
        <f t="shared" si="3"/>
        <v>2678152</v>
      </c>
      <c r="J42" s="244">
        <v>0</v>
      </c>
      <c r="K42" s="244">
        <v>0</v>
      </c>
      <c r="L42" s="244">
        <v>2678152</v>
      </c>
      <c r="M42" s="242">
        <f t="shared" si="4"/>
        <v>55296247</v>
      </c>
      <c r="N42" s="244">
        <v>0</v>
      </c>
      <c r="O42" s="244">
        <v>3811557</v>
      </c>
      <c r="P42" s="243">
        <v>51484690</v>
      </c>
      <c r="Q42" s="179" t="s">
        <v>132</v>
      </c>
      <c r="R42" s="503">
        <v>33</v>
      </c>
      <c r="S42" s="598"/>
      <c r="T42" s="598"/>
    </row>
    <row r="43" spans="1:20" ht="20.100000000000001" customHeight="1">
      <c r="A43" s="601">
        <v>34</v>
      </c>
      <c r="B43" s="257" t="s">
        <v>110</v>
      </c>
      <c r="C43" s="258">
        <v>1</v>
      </c>
      <c r="D43" s="258">
        <v>5</v>
      </c>
      <c r="E43" s="258">
        <f t="shared" si="1"/>
        <v>6</v>
      </c>
      <c r="F43" s="258" t="s">
        <v>35</v>
      </c>
      <c r="G43" s="258">
        <v>6</v>
      </c>
      <c r="H43" s="258">
        <f>G43</f>
        <v>6</v>
      </c>
      <c r="I43" s="258" t="s">
        <v>35</v>
      </c>
      <c r="J43" s="260">
        <v>0</v>
      </c>
      <c r="K43" s="260">
        <v>0</v>
      </c>
      <c r="L43" s="260">
        <v>0</v>
      </c>
      <c r="M43" s="258">
        <f t="shared" si="4"/>
        <v>13481078</v>
      </c>
      <c r="N43" s="260">
        <v>0</v>
      </c>
      <c r="O43" s="260">
        <v>1692494</v>
      </c>
      <c r="P43" s="259">
        <v>11788584</v>
      </c>
      <c r="Q43" s="261" t="s">
        <v>111</v>
      </c>
      <c r="R43" s="505">
        <v>34</v>
      </c>
      <c r="S43" s="598"/>
      <c r="T43" s="598"/>
    </row>
    <row r="44" spans="1:20" ht="47.25" customHeight="1">
      <c r="A44" s="871" t="s">
        <v>627</v>
      </c>
      <c r="B44" s="871"/>
      <c r="C44" s="871"/>
      <c r="D44" s="871"/>
      <c r="E44" s="871"/>
      <c r="F44" s="871"/>
      <c r="G44" s="871"/>
      <c r="H44" s="871"/>
      <c r="I44" s="871"/>
      <c r="J44" s="872" t="s">
        <v>628</v>
      </c>
      <c r="K44" s="872"/>
      <c r="L44" s="872"/>
      <c r="M44" s="872"/>
      <c r="N44" s="870" t="s">
        <v>626</v>
      </c>
      <c r="O44" s="870"/>
      <c r="P44" s="870"/>
      <c r="Q44" s="870"/>
      <c r="R44" s="870"/>
      <c r="S44" s="598"/>
      <c r="T44" s="598"/>
    </row>
    <row r="47" spans="1:20">
      <c r="D47" s="256"/>
    </row>
  </sheetData>
  <mergeCells count="21">
    <mergeCell ref="A1:T1"/>
    <mergeCell ref="A2:R2"/>
    <mergeCell ref="A3:R3"/>
    <mergeCell ref="A4:A8"/>
    <mergeCell ref="R4:R8"/>
    <mergeCell ref="N44:R44"/>
    <mergeCell ref="A44:I44"/>
    <mergeCell ref="J44:M44"/>
    <mergeCell ref="N5:P5"/>
    <mergeCell ref="B4:B8"/>
    <mergeCell ref="I6:I7"/>
    <mergeCell ref="I4:I5"/>
    <mergeCell ref="J4:L4"/>
    <mergeCell ref="N4:P4"/>
    <mergeCell ref="Q4:Q8"/>
    <mergeCell ref="J5:L5"/>
    <mergeCell ref="C6:E6"/>
    <mergeCell ref="F6:H6"/>
    <mergeCell ref="C4:H5"/>
    <mergeCell ref="M4:M5"/>
    <mergeCell ref="M6:M7"/>
  </mergeCells>
  <pageMargins left="0.70866141732283505" right="0.47" top="0.39370078740157499" bottom="0.56999999999999995" header="0.31496062992126" footer="0.34"/>
  <pageSetup paperSize="9" scale="54" orientation="landscape" r:id="rId1"/>
  <headerFooter>
    <oddFooter>&amp;L&amp;"+,Bold"&amp;12Afghanistan Statistical Yearbook 2017-18&amp;R&amp;"+,Bold"&amp;12           سالنامۀ احصائیوی / احصا ئيوي کالنی  1396</oddFooter>
  </headerFooter>
  <rowBreaks count="1" manualBreakCount="1">
    <brk id="44" min="1" max="16" man="1"/>
  </rowBreaks>
  <colBreaks count="1" manualBreakCount="1">
    <brk id="18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Q42"/>
  <sheetViews>
    <sheetView view="pageBreakPreview" zoomScaleSheetLayoutView="100" workbookViewId="0">
      <selection activeCell="B8" sqref="B8:B36"/>
    </sheetView>
  </sheetViews>
  <sheetFormatPr defaultRowHeight="24" customHeight="1"/>
  <cols>
    <col min="1" max="1" width="6.140625" style="410" customWidth="1"/>
    <col min="2" max="2" width="16.140625" customWidth="1"/>
    <col min="3" max="3" width="12.42578125" customWidth="1"/>
    <col min="4" max="5" width="11.28515625" customWidth="1"/>
    <col min="6" max="6" width="10" customWidth="1"/>
    <col min="7" max="7" width="11" customWidth="1"/>
    <col min="8" max="8" width="10.42578125" customWidth="1"/>
    <col min="9" max="9" width="9.7109375" customWidth="1"/>
    <col min="10" max="10" width="12.7109375" customWidth="1"/>
    <col min="11" max="11" width="6.42578125" style="409" customWidth="1"/>
  </cols>
  <sheetData>
    <row r="1" spans="1:17" ht="23.1" customHeight="1">
      <c r="A1" s="919" t="s">
        <v>562</v>
      </c>
      <c r="B1" s="919"/>
      <c r="C1" s="919"/>
      <c r="D1" s="919"/>
      <c r="E1" s="919"/>
      <c r="F1" s="919"/>
      <c r="G1" s="919"/>
      <c r="H1" s="919"/>
      <c r="I1" s="919"/>
      <c r="J1" s="919"/>
      <c r="K1" s="919"/>
    </row>
    <row r="2" spans="1:17" ht="23.1" hidden="1" customHeight="1">
      <c r="A2" s="920" t="s">
        <v>563</v>
      </c>
      <c r="B2" s="920"/>
      <c r="C2" s="920"/>
      <c r="D2" s="920"/>
      <c r="E2" s="920"/>
      <c r="F2" s="920"/>
      <c r="G2" s="920"/>
      <c r="H2" s="920"/>
      <c r="I2" s="920"/>
      <c r="J2" s="920"/>
      <c r="K2" s="920"/>
    </row>
    <row r="3" spans="1:17" ht="23.1" hidden="1" customHeight="1">
      <c r="A3" s="921" t="s">
        <v>564</v>
      </c>
      <c r="B3" s="921"/>
      <c r="C3" s="921"/>
      <c r="D3" s="921"/>
      <c r="E3" s="921"/>
      <c r="F3" s="921"/>
      <c r="G3" s="921"/>
      <c r="H3" s="921"/>
      <c r="I3" s="921"/>
      <c r="J3" s="921"/>
      <c r="K3" s="921"/>
    </row>
    <row r="4" spans="1:17" ht="23.1" hidden="1" customHeight="1">
      <c r="A4" s="922" t="s">
        <v>633</v>
      </c>
      <c r="B4" s="922" t="s">
        <v>227</v>
      </c>
      <c r="C4" s="923" t="s">
        <v>289</v>
      </c>
      <c r="D4" s="924"/>
      <c r="E4" s="924" t="s">
        <v>291</v>
      </c>
      <c r="F4" s="924"/>
      <c r="G4" s="924" t="s">
        <v>290</v>
      </c>
      <c r="H4" s="924"/>
      <c r="I4" s="925"/>
      <c r="J4" s="922" t="s">
        <v>225</v>
      </c>
      <c r="K4" s="922" t="s">
        <v>634</v>
      </c>
    </row>
    <row r="5" spans="1:17" ht="23.1" customHeight="1">
      <c r="A5" s="86"/>
      <c r="B5" s="86"/>
      <c r="C5" s="926" t="s">
        <v>226</v>
      </c>
      <c r="D5" s="650" t="s">
        <v>57</v>
      </c>
      <c r="E5" s="651" t="s">
        <v>58</v>
      </c>
      <c r="F5" s="650" t="s">
        <v>59</v>
      </c>
      <c r="G5" s="651" t="s">
        <v>60</v>
      </c>
      <c r="H5" s="650" t="s">
        <v>61</v>
      </c>
      <c r="I5" s="651" t="s">
        <v>62</v>
      </c>
      <c r="J5" s="86"/>
      <c r="K5" s="86"/>
    </row>
    <row r="6" spans="1:17" ht="16.5" customHeight="1">
      <c r="A6" s="86"/>
      <c r="B6" s="86"/>
      <c r="C6" s="927"/>
      <c r="D6" s="123" t="s">
        <v>292</v>
      </c>
      <c r="E6" s="124" t="s">
        <v>293</v>
      </c>
      <c r="F6" s="123" t="s">
        <v>294</v>
      </c>
      <c r="G6" s="124" t="s">
        <v>295</v>
      </c>
      <c r="H6" s="123" t="s">
        <v>296</v>
      </c>
      <c r="I6" s="124" t="s">
        <v>297</v>
      </c>
      <c r="J6" s="86"/>
      <c r="K6" s="86"/>
    </row>
    <row r="7" spans="1:17" ht="33.75" customHeight="1">
      <c r="A7" s="928"/>
      <c r="B7" s="928"/>
      <c r="C7" s="656" t="s">
        <v>254</v>
      </c>
      <c r="D7" s="645" t="s">
        <v>63</v>
      </c>
      <c r="E7" s="640" t="s">
        <v>64</v>
      </c>
      <c r="F7" s="645" t="s">
        <v>65</v>
      </c>
      <c r="G7" s="640" t="s">
        <v>66</v>
      </c>
      <c r="H7" s="645" t="s">
        <v>67</v>
      </c>
      <c r="I7" s="640" t="s">
        <v>68</v>
      </c>
      <c r="J7" s="928"/>
      <c r="K7" s="928"/>
      <c r="N7">
        <f>471-318</f>
        <v>153</v>
      </c>
    </row>
    <row r="8" spans="1:17" ht="30" customHeight="1">
      <c r="A8" s="616"/>
      <c r="B8" s="912" t="s">
        <v>68</v>
      </c>
      <c r="C8" s="929">
        <f>SUM(C10:C36)</f>
        <v>44</v>
      </c>
      <c r="D8" s="930">
        <f>SUM(D10:D36)</f>
        <v>72</v>
      </c>
      <c r="E8" s="930">
        <f t="shared" ref="E8:H8" si="0">SUM(E10:E36)</f>
        <v>30</v>
      </c>
      <c r="F8" s="930">
        <f t="shared" si="0"/>
        <v>346</v>
      </c>
      <c r="G8" s="930">
        <f t="shared" si="0"/>
        <v>13</v>
      </c>
      <c r="H8" s="930">
        <f t="shared" si="0"/>
        <v>22</v>
      </c>
      <c r="I8" s="931">
        <f>I10+I11+I12+I13+I15+I16+I17+I18+I19+I20+I21+I22+I23+I24+I25+I26+I27+I28+I30+I31+I32+I33+I34+I35+I36+I29+I14</f>
        <v>527</v>
      </c>
      <c r="J8" s="616" t="s">
        <v>354</v>
      </c>
      <c r="K8" s="932"/>
    </row>
    <row r="9" spans="1:17" ht="30" hidden="1" customHeight="1">
      <c r="A9" s="889"/>
      <c r="B9" s="908"/>
      <c r="C9" s="933"/>
      <c r="D9" s="934"/>
      <c r="E9" s="934"/>
      <c r="F9" s="934"/>
      <c r="G9" s="934"/>
      <c r="H9" s="934"/>
      <c r="I9" s="935"/>
      <c r="J9" s="889"/>
      <c r="K9" s="936"/>
    </row>
    <row r="10" spans="1:17" ht="30" customHeight="1">
      <c r="A10" s="637">
        <v>1</v>
      </c>
      <c r="B10" s="404" t="s">
        <v>69</v>
      </c>
      <c r="C10" s="199">
        <v>16</v>
      </c>
      <c r="D10" s="198">
        <v>52</v>
      </c>
      <c r="E10" s="198">
        <v>18</v>
      </c>
      <c r="F10" s="198">
        <v>248</v>
      </c>
      <c r="G10" s="198">
        <v>11</v>
      </c>
      <c r="H10" s="198">
        <v>14</v>
      </c>
      <c r="I10" s="200">
        <f>SUM(C10:H10)</f>
        <v>359</v>
      </c>
      <c r="J10" s="632" t="s">
        <v>70</v>
      </c>
      <c r="K10" s="448">
        <v>1</v>
      </c>
    </row>
    <row r="11" spans="1:17" ht="30" customHeight="1">
      <c r="A11" s="642">
        <v>2</v>
      </c>
      <c r="B11" s="405" t="s">
        <v>71</v>
      </c>
      <c r="C11" s="648">
        <v>2</v>
      </c>
      <c r="D11" s="649" t="s">
        <v>35</v>
      </c>
      <c r="E11" s="649" t="s">
        <v>35</v>
      </c>
      <c r="F11" s="649" t="s">
        <v>35</v>
      </c>
      <c r="G11" s="649" t="s">
        <v>35</v>
      </c>
      <c r="H11" s="649" t="s">
        <v>35</v>
      </c>
      <c r="I11" s="652">
        <f t="shared" ref="I11:I35" si="1">SUM(C11:H11)</f>
        <v>2</v>
      </c>
      <c r="J11" s="630" t="s">
        <v>72</v>
      </c>
      <c r="K11" s="642">
        <v>2</v>
      </c>
      <c r="L11" s="19"/>
      <c r="M11" s="19"/>
      <c r="N11" s="19"/>
      <c r="O11" s="19"/>
      <c r="P11" s="19"/>
    </row>
    <row r="12" spans="1:17" ht="30" customHeight="1">
      <c r="A12" s="637">
        <v>3</v>
      </c>
      <c r="B12" s="404" t="s">
        <v>73</v>
      </c>
      <c r="C12" s="199" t="s">
        <v>35</v>
      </c>
      <c r="D12" s="198" t="s">
        <v>35</v>
      </c>
      <c r="E12" s="198" t="s">
        <v>35</v>
      </c>
      <c r="F12" s="198">
        <v>2</v>
      </c>
      <c r="G12" s="198" t="s">
        <v>35</v>
      </c>
      <c r="H12" s="198" t="s">
        <v>35</v>
      </c>
      <c r="I12" s="200">
        <f t="shared" si="1"/>
        <v>2</v>
      </c>
      <c r="J12" s="632" t="s">
        <v>74</v>
      </c>
      <c r="K12" s="448">
        <v>3</v>
      </c>
      <c r="L12" s="21"/>
      <c r="M12" s="21"/>
      <c r="N12" s="21"/>
      <c r="O12" s="21"/>
      <c r="P12" s="21"/>
      <c r="Q12" s="21"/>
    </row>
    <row r="13" spans="1:17" ht="30" customHeight="1">
      <c r="A13" s="642">
        <v>4</v>
      </c>
      <c r="B13" s="406" t="s">
        <v>75</v>
      </c>
      <c r="C13" s="648">
        <v>1</v>
      </c>
      <c r="D13" s="649">
        <v>1</v>
      </c>
      <c r="E13" s="649" t="s">
        <v>35</v>
      </c>
      <c r="F13" s="649">
        <v>1</v>
      </c>
      <c r="G13" s="649" t="s">
        <v>35</v>
      </c>
      <c r="H13" s="649" t="s">
        <v>35</v>
      </c>
      <c r="I13" s="652">
        <f t="shared" si="1"/>
        <v>3</v>
      </c>
      <c r="J13" s="630" t="s">
        <v>76</v>
      </c>
      <c r="K13" s="642">
        <v>4</v>
      </c>
    </row>
    <row r="14" spans="1:17" ht="30" customHeight="1">
      <c r="A14" s="637">
        <v>5</v>
      </c>
      <c r="B14" s="404" t="s">
        <v>116</v>
      </c>
      <c r="C14" s="199" t="s">
        <v>35</v>
      </c>
      <c r="D14" s="198">
        <v>1</v>
      </c>
      <c r="E14" s="198" t="s">
        <v>35</v>
      </c>
      <c r="F14" s="198" t="s">
        <v>35</v>
      </c>
      <c r="G14" s="198" t="s">
        <v>35</v>
      </c>
      <c r="H14" s="198" t="s">
        <v>35</v>
      </c>
      <c r="I14" s="200">
        <f t="shared" si="1"/>
        <v>1</v>
      </c>
      <c r="J14" s="632" t="s">
        <v>117</v>
      </c>
      <c r="K14" s="448">
        <v>5</v>
      </c>
    </row>
    <row r="15" spans="1:17" ht="30" customHeight="1">
      <c r="A15" s="642">
        <v>6</v>
      </c>
      <c r="B15" s="406" t="s">
        <v>77</v>
      </c>
      <c r="C15" s="648">
        <v>4</v>
      </c>
      <c r="D15" s="649">
        <v>6</v>
      </c>
      <c r="E15" s="649">
        <v>2</v>
      </c>
      <c r="F15" s="649">
        <v>3</v>
      </c>
      <c r="G15" s="649" t="s">
        <v>35</v>
      </c>
      <c r="H15" s="649" t="s">
        <v>35</v>
      </c>
      <c r="I15" s="652">
        <f t="shared" si="1"/>
        <v>15</v>
      </c>
      <c r="J15" s="630" t="s">
        <v>78</v>
      </c>
      <c r="K15" s="642">
        <v>6</v>
      </c>
    </row>
    <row r="16" spans="1:17" ht="30" customHeight="1">
      <c r="A16" s="637">
        <v>7</v>
      </c>
      <c r="B16" s="404" t="s">
        <v>79</v>
      </c>
      <c r="C16" s="199">
        <v>1</v>
      </c>
      <c r="D16" s="198">
        <v>3</v>
      </c>
      <c r="E16" s="198">
        <v>1</v>
      </c>
      <c r="F16" s="198" t="s">
        <v>35</v>
      </c>
      <c r="G16" s="198" t="s">
        <v>35</v>
      </c>
      <c r="H16" s="198" t="s">
        <v>35</v>
      </c>
      <c r="I16" s="200">
        <f t="shared" si="1"/>
        <v>5</v>
      </c>
      <c r="J16" s="632" t="s">
        <v>80</v>
      </c>
      <c r="K16" s="448">
        <v>7</v>
      </c>
    </row>
    <row r="17" spans="1:14" ht="30" customHeight="1">
      <c r="A17" s="642">
        <v>8</v>
      </c>
      <c r="B17" s="406" t="s">
        <v>81</v>
      </c>
      <c r="C17" s="648" t="s">
        <v>35</v>
      </c>
      <c r="D17" s="649" t="s">
        <v>35</v>
      </c>
      <c r="E17" s="649">
        <v>1</v>
      </c>
      <c r="F17" s="649">
        <v>2</v>
      </c>
      <c r="G17" s="649" t="s">
        <v>35</v>
      </c>
      <c r="H17" s="649" t="s">
        <v>35</v>
      </c>
      <c r="I17" s="652">
        <f t="shared" si="1"/>
        <v>3</v>
      </c>
      <c r="J17" s="630" t="s">
        <v>82</v>
      </c>
      <c r="K17" s="642">
        <v>8</v>
      </c>
    </row>
    <row r="18" spans="1:14" ht="30" customHeight="1">
      <c r="A18" s="637">
        <v>9</v>
      </c>
      <c r="B18" s="407" t="s">
        <v>83</v>
      </c>
      <c r="C18" s="199">
        <v>1</v>
      </c>
      <c r="D18" s="198" t="s">
        <v>35</v>
      </c>
      <c r="E18" s="198" t="s">
        <v>35</v>
      </c>
      <c r="F18" s="198">
        <v>4</v>
      </c>
      <c r="G18" s="198" t="s">
        <v>35</v>
      </c>
      <c r="H18" s="198">
        <v>1</v>
      </c>
      <c r="I18" s="200">
        <f t="shared" si="1"/>
        <v>6</v>
      </c>
      <c r="J18" s="115" t="s">
        <v>84</v>
      </c>
      <c r="K18" s="448">
        <v>9</v>
      </c>
    </row>
    <row r="19" spans="1:14" ht="30" customHeight="1">
      <c r="A19" s="642">
        <v>10</v>
      </c>
      <c r="B19" s="406" t="s">
        <v>85</v>
      </c>
      <c r="C19" s="648">
        <v>4</v>
      </c>
      <c r="D19" s="649" t="s">
        <v>35</v>
      </c>
      <c r="E19" s="649" t="s">
        <v>35</v>
      </c>
      <c r="F19" s="649">
        <v>3</v>
      </c>
      <c r="G19" s="649" t="s">
        <v>35</v>
      </c>
      <c r="H19" s="649" t="s">
        <v>35</v>
      </c>
      <c r="I19" s="652">
        <f t="shared" si="1"/>
        <v>7</v>
      </c>
      <c r="J19" s="630" t="s">
        <v>86</v>
      </c>
      <c r="K19" s="642">
        <v>10</v>
      </c>
    </row>
    <row r="20" spans="1:14" ht="30" customHeight="1">
      <c r="A20" s="637">
        <v>11</v>
      </c>
      <c r="B20" s="404" t="s">
        <v>87</v>
      </c>
      <c r="C20" s="199">
        <v>2</v>
      </c>
      <c r="D20" s="198">
        <v>1</v>
      </c>
      <c r="E20" s="198" t="s">
        <v>35</v>
      </c>
      <c r="F20" s="198">
        <v>3</v>
      </c>
      <c r="G20" s="198">
        <v>1</v>
      </c>
      <c r="H20" s="198" t="s">
        <v>35</v>
      </c>
      <c r="I20" s="200">
        <f t="shared" si="1"/>
        <v>7</v>
      </c>
      <c r="J20" s="632" t="s">
        <v>88</v>
      </c>
      <c r="K20" s="448">
        <v>11</v>
      </c>
    </row>
    <row r="21" spans="1:14" ht="30" customHeight="1">
      <c r="A21" s="642">
        <v>12</v>
      </c>
      <c r="B21" s="406" t="s">
        <v>89</v>
      </c>
      <c r="C21" s="648">
        <v>3</v>
      </c>
      <c r="D21" s="649" t="s">
        <v>35</v>
      </c>
      <c r="E21" s="649">
        <v>1</v>
      </c>
      <c r="F21" s="649">
        <v>2</v>
      </c>
      <c r="G21" s="649" t="s">
        <v>35</v>
      </c>
      <c r="H21" s="649">
        <v>1</v>
      </c>
      <c r="I21" s="652">
        <f t="shared" si="1"/>
        <v>7</v>
      </c>
      <c r="J21" s="630" t="s">
        <v>90</v>
      </c>
      <c r="K21" s="642">
        <v>12</v>
      </c>
      <c r="M21">
        <v>1000</v>
      </c>
    </row>
    <row r="22" spans="1:14" ht="30" customHeight="1">
      <c r="A22" s="637">
        <v>13</v>
      </c>
      <c r="B22" s="404" t="s">
        <v>91</v>
      </c>
      <c r="C22" s="199">
        <v>2</v>
      </c>
      <c r="D22" s="198">
        <v>2</v>
      </c>
      <c r="E22" s="198" t="s">
        <v>35</v>
      </c>
      <c r="F22" s="198">
        <v>2</v>
      </c>
      <c r="G22" s="198" t="s">
        <v>35</v>
      </c>
      <c r="H22" s="198" t="s">
        <v>35</v>
      </c>
      <c r="I22" s="200">
        <f t="shared" si="1"/>
        <v>6</v>
      </c>
      <c r="J22" s="632" t="s">
        <v>329</v>
      </c>
      <c r="K22" s="448">
        <v>13</v>
      </c>
      <c r="M22">
        <v>5500</v>
      </c>
    </row>
    <row r="23" spans="1:14" ht="30" customHeight="1">
      <c r="A23" s="642">
        <v>14</v>
      </c>
      <c r="B23" s="406" t="s">
        <v>92</v>
      </c>
      <c r="C23" s="648">
        <v>1</v>
      </c>
      <c r="D23" s="649">
        <v>1</v>
      </c>
      <c r="E23" s="649" t="s">
        <v>35</v>
      </c>
      <c r="F23" s="649">
        <v>2</v>
      </c>
      <c r="G23" s="649" t="s">
        <v>35</v>
      </c>
      <c r="H23" s="649" t="s">
        <v>35</v>
      </c>
      <c r="I23" s="652">
        <f t="shared" si="1"/>
        <v>4</v>
      </c>
      <c r="J23" s="630" t="s">
        <v>93</v>
      </c>
      <c r="K23" s="642">
        <v>14</v>
      </c>
      <c r="M23">
        <v>1000</v>
      </c>
    </row>
    <row r="24" spans="1:14" ht="30" customHeight="1">
      <c r="A24" s="637">
        <v>15</v>
      </c>
      <c r="B24" s="404" t="s">
        <v>94</v>
      </c>
      <c r="C24" s="199" t="s">
        <v>35</v>
      </c>
      <c r="D24" s="198" t="s">
        <v>35</v>
      </c>
      <c r="E24" s="198" t="s">
        <v>35</v>
      </c>
      <c r="F24" s="198">
        <v>1</v>
      </c>
      <c r="G24" s="198" t="s">
        <v>35</v>
      </c>
      <c r="H24" s="198">
        <v>1</v>
      </c>
      <c r="I24" s="200">
        <f t="shared" si="1"/>
        <v>2</v>
      </c>
      <c r="J24" s="632" t="s">
        <v>95</v>
      </c>
      <c r="K24" s="448">
        <v>15</v>
      </c>
    </row>
    <row r="25" spans="1:14" ht="30" customHeight="1">
      <c r="A25" s="642">
        <v>16</v>
      </c>
      <c r="B25" s="406" t="s">
        <v>96</v>
      </c>
      <c r="C25" s="648">
        <v>1</v>
      </c>
      <c r="D25" s="649">
        <v>1</v>
      </c>
      <c r="E25" s="649" t="s">
        <v>35</v>
      </c>
      <c r="F25" s="649">
        <v>2</v>
      </c>
      <c r="G25" s="649">
        <v>1</v>
      </c>
      <c r="H25" s="649" t="s">
        <v>35</v>
      </c>
      <c r="I25" s="652">
        <f t="shared" si="1"/>
        <v>5</v>
      </c>
      <c r="J25" s="630" t="s">
        <v>97</v>
      </c>
      <c r="K25" s="642">
        <v>16</v>
      </c>
      <c r="N25" s="21"/>
    </row>
    <row r="26" spans="1:14" ht="30" customHeight="1">
      <c r="A26" s="637">
        <v>17</v>
      </c>
      <c r="B26" s="407" t="s">
        <v>98</v>
      </c>
      <c r="C26" s="199">
        <v>1</v>
      </c>
      <c r="D26" s="198">
        <v>2</v>
      </c>
      <c r="E26" s="198">
        <v>2</v>
      </c>
      <c r="F26" s="198">
        <v>16</v>
      </c>
      <c r="G26" s="198" t="s">
        <v>35</v>
      </c>
      <c r="H26" s="198">
        <v>2</v>
      </c>
      <c r="I26" s="200">
        <f t="shared" si="1"/>
        <v>23</v>
      </c>
      <c r="J26" s="115" t="s">
        <v>99</v>
      </c>
      <c r="K26" s="448">
        <v>17</v>
      </c>
      <c r="N26" s="21"/>
    </row>
    <row r="27" spans="1:14" ht="30" customHeight="1">
      <c r="A27" s="642">
        <v>18</v>
      </c>
      <c r="B27" s="405" t="s">
        <v>100</v>
      </c>
      <c r="C27" s="648" t="s">
        <v>35</v>
      </c>
      <c r="D27" s="649" t="s">
        <v>35</v>
      </c>
      <c r="E27" s="649" t="s">
        <v>35</v>
      </c>
      <c r="F27" s="649">
        <v>1</v>
      </c>
      <c r="G27" s="649" t="s">
        <v>35</v>
      </c>
      <c r="H27" s="649" t="s">
        <v>35</v>
      </c>
      <c r="I27" s="652">
        <f t="shared" si="1"/>
        <v>1</v>
      </c>
      <c r="J27" s="302" t="s">
        <v>101</v>
      </c>
      <c r="K27" s="642">
        <v>18</v>
      </c>
      <c r="N27" s="21"/>
    </row>
    <row r="28" spans="1:14" ht="30" customHeight="1">
      <c r="A28" s="637">
        <v>19</v>
      </c>
      <c r="B28" s="407" t="s">
        <v>122</v>
      </c>
      <c r="C28" s="199" t="s">
        <v>35</v>
      </c>
      <c r="D28" s="198" t="s">
        <v>35</v>
      </c>
      <c r="E28" s="198" t="s">
        <v>35</v>
      </c>
      <c r="F28" s="198">
        <v>8</v>
      </c>
      <c r="G28" s="198" t="s">
        <v>35</v>
      </c>
      <c r="H28" s="198" t="s">
        <v>35</v>
      </c>
      <c r="I28" s="200">
        <f t="shared" si="1"/>
        <v>8</v>
      </c>
      <c r="J28" s="115" t="s">
        <v>123</v>
      </c>
      <c r="K28" s="448">
        <v>19</v>
      </c>
      <c r="N28" s="21"/>
    </row>
    <row r="29" spans="1:14" ht="30" customHeight="1">
      <c r="A29" s="642">
        <v>20</v>
      </c>
      <c r="B29" s="405" t="s">
        <v>126</v>
      </c>
      <c r="C29" s="648">
        <v>1</v>
      </c>
      <c r="D29" s="649" t="s">
        <v>35</v>
      </c>
      <c r="E29" s="649" t="s">
        <v>35</v>
      </c>
      <c r="F29" s="649">
        <v>1</v>
      </c>
      <c r="G29" s="649" t="s">
        <v>35</v>
      </c>
      <c r="H29" s="649" t="s">
        <v>35</v>
      </c>
      <c r="I29" s="652">
        <f t="shared" si="1"/>
        <v>2</v>
      </c>
      <c r="J29" s="302" t="s">
        <v>127</v>
      </c>
      <c r="K29" s="642">
        <v>20</v>
      </c>
      <c r="N29" s="21"/>
    </row>
    <row r="30" spans="1:14" ht="30" customHeight="1">
      <c r="A30" s="637">
        <v>21</v>
      </c>
      <c r="B30" s="407" t="s">
        <v>102</v>
      </c>
      <c r="C30" s="199" t="s">
        <v>35</v>
      </c>
      <c r="D30" s="198" t="s">
        <v>35</v>
      </c>
      <c r="E30" s="198">
        <v>3</v>
      </c>
      <c r="F30" s="198">
        <v>1</v>
      </c>
      <c r="G30" s="198" t="s">
        <v>35</v>
      </c>
      <c r="H30" s="198">
        <v>1</v>
      </c>
      <c r="I30" s="200">
        <f t="shared" si="1"/>
        <v>5</v>
      </c>
      <c r="J30" s="115" t="s">
        <v>103</v>
      </c>
      <c r="K30" s="448">
        <v>21</v>
      </c>
      <c r="N30" s="21"/>
    </row>
    <row r="31" spans="1:14" ht="30" customHeight="1">
      <c r="A31" s="642">
        <v>22</v>
      </c>
      <c r="B31" s="405" t="s">
        <v>128</v>
      </c>
      <c r="C31" s="648">
        <v>1</v>
      </c>
      <c r="D31" s="649" t="s">
        <v>35</v>
      </c>
      <c r="E31" s="649" t="s">
        <v>35</v>
      </c>
      <c r="F31" s="649">
        <v>1</v>
      </c>
      <c r="G31" s="649" t="s">
        <v>35</v>
      </c>
      <c r="H31" s="649" t="s">
        <v>35</v>
      </c>
      <c r="I31" s="652">
        <f t="shared" si="1"/>
        <v>2</v>
      </c>
      <c r="J31" s="302" t="s">
        <v>129</v>
      </c>
      <c r="K31" s="642">
        <v>22</v>
      </c>
      <c r="N31" s="21"/>
    </row>
    <row r="32" spans="1:14" ht="30" customHeight="1">
      <c r="A32" s="637">
        <v>23</v>
      </c>
      <c r="B32" s="407" t="s">
        <v>104</v>
      </c>
      <c r="C32" s="199" t="s">
        <v>35</v>
      </c>
      <c r="D32" s="198" t="s">
        <v>35</v>
      </c>
      <c r="E32" s="198" t="s">
        <v>35</v>
      </c>
      <c r="F32" s="198">
        <v>2</v>
      </c>
      <c r="G32" s="198" t="s">
        <v>35</v>
      </c>
      <c r="H32" s="198" t="s">
        <v>35</v>
      </c>
      <c r="I32" s="200">
        <f t="shared" si="1"/>
        <v>2</v>
      </c>
      <c r="J32" s="115" t="s">
        <v>105</v>
      </c>
      <c r="K32" s="448">
        <v>23</v>
      </c>
      <c r="N32" s="21"/>
    </row>
    <row r="33" spans="1:14" ht="30" customHeight="1">
      <c r="A33" s="642">
        <v>24</v>
      </c>
      <c r="B33" s="405" t="s">
        <v>218</v>
      </c>
      <c r="C33" s="648" t="s">
        <v>35</v>
      </c>
      <c r="D33" s="649" t="s">
        <v>35</v>
      </c>
      <c r="E33" s="649">
        <v>1</v>
      </c>
      <c r="F33" s="649"/>
      <c r="G33" s="649" t="s">
        <v>35</v>
      </c>
      <c r="H33" s="649" t="s">
        <v>35</v>
      </c>
      <c r="I33" s="652">
        <f t="shared" si="1"/>
        <v>1</v>
      </c>
      <c r="J33" s="302" t="s">
        <v>130</v>
      </c>
      <c r="K33" s="642">
        <v>24</v>
      </c>
      <c r="L33">
        <v>26</v>
      </c>
      <c r="N33" s="21"/>
    </row>
    <row r="34" spans="1:14" ht="30" customHeight="1">
      <c r="A34" s="637">
        <v>25</v>
      </c>
      <c r="B34" s="407" t="s">
        <v>106</v>
      </c>
      <c r="C34" s="199">
        <v>1</v>
      </c>
      <c r="D34" s="198" t="s">
        <v>35</v>
      </c>
      <c r="E34" s="198" t="s">
        <v>35</v>
      </c>
      <c r="F34" s="198">
        <v>3</v>
      </c>
      <c r="G34" s="198" t="s">
        <v>35</v>
      </c>
      <c r="H34" s="198">
        <v>1</v>
      </c>
      <c r="I34" s="200">
        <f t="shared" si="1"/>
        <v>5</v>
      </c>
      <c r="J34" s="115" t="s">
        <v>107</v>
      </c>
      <c r="K34" s="448">
        <v>25</v>
      </c>
      <c r="L34">
        <v>3</v>
      </c>
      <c r="N34" s="21"/>
    </row>
    <row r="35" spans="1:14" ht="24.75" customHeight="1">
      <c r="A35" s="642">
        <v>26</v>
      </c>
      <c r="B35" s="405" t="s">
        <v>108</v>
      </c>
      <c r="C35" s="648">
        <v>2</v>
      </c>
      <c r="D35" s="649">
        <v>2</v>
      </c>
      <c r="E35" s="649">
        <v>1</v>
      </c>
      <c r="F35" s="649">
        <v>36</v>
      </c>
      <c r="G35" s="649" t="s">
        <v>35</v>
      </c>
      <c r="H35" s="649">
        <v>1</v>
      </c>
      <c r="I35" s="652">
        <f t="shared" si="1"/>
        <v>42</v>
      </c>
      <c r="J35" s="302" t="s">
        <v>109</v>
      </c>
      <c r="K35" s="642">
        <v>26</v>
      </c>
      <c r="L35">
        <f>SUM(L33:L34)</f>
        <v>29</v>
      </c>
      <c r="N35" s="21"/>
    </row>
    <row r="36" spans="1:14" ht="30" customHeight="1">
      <c r="A36" s="640">
        <v>27</v>
      </c>
      <c r="B36" s="408" t="s">
        <v>110</v>
      </c>
      <c r="C36" s="201" t="s">
        <v>35</v>
      </c>
      <c r="D36" s="202" t="s">
        <v>35</v>
      </c>
      <c r="E36" s="202" t="s">
        <v>35</v>
      </c>
      <c r="F36" s="202">
        <v>2</v>
      </c>
      <c r="G36" s="202" t="s">
        <v>35</v>
      </c>
      <c r="H36" s="202" t="s">
        <v>35</v>
      </c>
      <c r="I36" s="203">
        <f>SUM(C36:H36)</f>
        <v>2</v>
      </c>
      <c r="J36" s="98" t="s">
        <v>111</v>
      </c>
      <c r="K36" s="449">
        <v>27</v>
      </c>
      <c r="N36" s="21"/>
    </row>
    <row r="37" spans="1:14" ht="20.100000000000001" hidden="1" customHeight="1">
      <c r="A37" s="45"/>
      <c r="B37" s="937" t="s">
        <v>24</v>
      </c>
      <c r="C37" s="937"/>
      <c r="D37" s="937"/>
      <c r="E37" s="937" t="s">
        <v>319</v>
      </c>
      <c r="F37" s="937"/>
      <c r="G37" s="937"/>
      <c r="H37" s="937" t="s">
        <v>25</v>
      </c>
      <c r="I37" s="937"/>
      <c r="J37" s="937"/>
      <c r="K37" s="622"/>
      <c r="N37" s="21"/>
    </row>
    <row r="38" spans="1:14" ht="24" hidden="1" customHeight="1">
      <c r="N38" s="21"/>
    </row>
    <row r="39" spans="1:14" ht="24" hidden="1" customHeight="1">
      <c r="C39" s="21"/>
      <c r="D39" s="21"/>
      <c r="E39" s="21"/>
      <c r="F39" s="21"/>
      <c r="G39" s="21"/>
      <c r="H39" s="21"/>
      <c r="I39" s="21"/>
      <c r="N39" s="21"/>
    </row>
    <row r="40" spans="1:14" ht="24" hidden="1" customHeight="1">
      <c r="N40" s="61"/>
    </row>
    <row r="41" spans="1:14" ht="24" hidden="1" customHeight="1">
      <c r="N41" s="61"/>
    </row>
    <row r="42" spans="1:14" ht="24" hidden="1" customHeight="1">
      <c r="N42" s="21"/>
    </row>
  </sheetData>
  <autoFilter ref="B1:I42">
    <filterColumn colId="7">
      <customFilters>
        <customFilter operator="notEqual" val=" "/>
      </customFilters>
    </filterColumn>
  </autoFilter>
  <pageMargins left="0.74803149606299213" right="0.74803149606299213" top="0.39370078740157483" bottom="0.74803149606299213" header="0.31496062992125984" footer="0.31496062992125984"/>
  <pageSetup paperSize="9" scale="67" orientation="portrait" horizontalDpi="300" verticalDpi="300" r:id="rId1"/>
  <headerFooter>
    <oddFooter xml:space="preserve">&amp;L&amp;"Times New Roman,Bold"Afghanistan Statistical Yearbook 2017-18&amp;R&amp;"Times New Roman,Bold"    سالنامۀ احصائیوی / احصا ئيوي کالنی  1396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5"/>
  <sheetViews>
    <sheetView view="pageBreakPreview" zoomScaleSheetLayoutView="100" workbookViewId="0">
      <selection activeCell="B8" sqref="B8:B41"/>
    </sheetView>
  </sheetViews>
  <sheetFormatPr defaultRowHeight="26.1" customHeight="1"/>
  <cols>
    <col min="1" max="1" width="5" style="410" customWidth="1"/>
    <col min="2" max="2" width="17.28515625" customWidth="1"/>
    <col min="3" max="3" width="11.85546875" customWidth="1"/>
    <col min="4" max="4" width="10.42578125" customWidth="1"/>
    <col min="5" max="6" width="10" customWidth="1"/>
    <col min="7" max="7" width="11" customWidth="1"/>
    <col min="8" max="8" width="10" customWidth="1"/>
    <col min="9" max="9" width="10.7109375" customWidth="1"/>
    <col min="10" max="10" width="11.140625" customWidth="1"/>
    <col min="11" max="11" width="15.85546875" customWidth="1"/>
    <col min="12" max="12" width="10.28515625" style="441" customWidth="1"/>
  </cols>
  <sheetData>
    <row r="1" spans="1:15" ht="21.95" customHeight="1">
      <c r="A1" s="705" t="s">
        <v>617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</row>
    <row r="2" spans="1:15" ht="21.95" customHeight="1">
      <c r="A2" s="706" t="s">
        <v>618</v>
      </c>
      <c r="B2" s="706"/>
      <c r="C2" s="706"/>
      <c r="D2" s="706"/>
      <c r="E2" s="706"/>
      <c r="F2" s="706"/>
      <c r="G2" s="706"/>
      <c r="H2" s="706"/>
      <c r="I2" s="706"/>
      <c r="J2" s="706"/>
      <c r="K2" s="706"/>
      <c r="L2" s="706"/>
    </row>
    <row r="3" spans="1:15" ht="21.95" customHeight="1">
      <c r="A3" s="696" t="s">
        <v>619</v>
      </c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</row>
    <row r="4" spans="1:15" ht="21.95" customHeight="1">
      <c r="A4" s="668" t="s">
        <v>633</v>
      </c>
      <c r="B4" s="697" t="s">
        <v>227</v>
      </c>
      <c r="C4" s="702" t="s">
        <v>289</v>
      </c>
      <c r="D4" s="700"/>
      <c r="E4" s="700"/>
      <c r="F4" s="700" t="s">
        <v>291</v>
      </c>
      <c r="G4" s="700"/>
      <c r="H4" s="700" t="s">
        <v>290</v>
      </c>
      <c r="I4" s="700"/>
      <c r="J4" s="701"/>
      <c r="K4" s="697" t="s">
        <v>225</v>
      </c>
      <c r="L4" s="668" t="s">
        <v>634</v>
      </c>
      <c r="O4" s="22"/>
    </row>
    <row r="5" spans="1:15" ht="21.95" customHeight="1">
      <c r="A5" s="668"/>
      <c r="B5" s="698"/>
      <c r="C5" s="63" t="s">
        <v>226</v>
      </c>
      <c r="D5" s="27" t="s">
        <v>113</v>
      </c>
      <c r="E5" s="64" t="s">
        <v>57</v>
      </c>
      <c r="F5" s="27" t="s">
        <v>59</v>
      </c>
      <c r="G5" s="64" t="s">
        <v>60</v>
      </c>
      <c r="H5" s="27" t="s">
        <v>61</v>
      </c>
      <c r="I5" s="64" t="s">
        <v>114</v>
      </c>
      <c r="J5" s="27" t="s">
        <v>62</v>
      </c>
      <c r="K5" s="699"/>
      <c r="L5" s="668"/>
      <c r="O5" s="22"/>
    </row>
    <row r="6" spans="1:15" ht="21.95" customHeight="1">
      <c r="A6" s="668"/>
      <c r="B6" s="698"/>
      <c r="C6" s="703" t="s">
        <v>254</v>
      </c>
      <c r="D6" s="70" t="s">
        <v>298</v>
      </c>
      <c r="E6" s="68" t="s">
        <v>299</v>
      </c>
      <c r="F6" s="71" t="s">
        <v>294</v>
      </c>
      <c r="G6" s="68" t="s">
        <v>295</v>
      </c>
      <c r="H6" s="71" t="s">
        <v>296</v>
      </c>
      <c r="I6" s="68" t="s">
        <v>300</v>
      </c>
      <c r="J6" s="71" t="s">
        <v>297</v>
      </c>
      <c r="K6" s="699"/>
      <c r="L6" s="668"/>
      <c r="N6">
        <v>283</v>
      </c>
      <c r="O6" s="22">
        <v>747</v>
      </c>
    </row>
    <row r="7" spans="1:15" ht="21.95" customHeight="1">
      <c r="A7" s="668"/>
      <c r="B7" s="698"/>
      <c r="C7" s="704"/>
      <c r="D7" s="557" t="s">
        <v>252</v>
      </c>
      <c r="E7" s="69" t="s">
        <v>63</v>
      </c>
      <c r="F7" s="557" t="s">
        <v>65</v>
      </c>
      <c r="G7" s="69" t="s">
        <v>66</v>
      </c>
      <c r="H7" s="557" t="s">
        <v>67</v>
      </c>
      <c r="I7" s="69" t="s">
        <v>115</v>
      </c>
      <c r="J7" s="557" t="s">
        <v>68</v>
      </c>
      <c r="K7" s="699"/>
      <c r="L7" s="672"/>
      <c r="N7">
        <v>153</v>
      </c>
      <c r="O7" s="62">
        <v>464</v>
      </c>
    </row>
    <row r="8" spans="1:15" ht="29.1" customHeight="1">
      <c r="A8" s="665"/>
      <c r="B8" s="912" t="s">
        <v>68</v>
      </c>
      <c r="C8" s="913">
        <f>SUM(C10:C41)</f>
        <v>7</v>
      </c>
      <c r="D8" s="914">
        <f>SUM(D10:D41)</f>
        <v>15</v>
      </c>
      <c r="E8" s="914">
        <f t="shared" ref="E8:I8" si="0">SUM(E10:E41)</f>
        <v>41</v>
      </c>
      <c r="F8" s="914">
        <f t="shared" si="0"/>
        <v>168</v>
      </c>
      <c r="G8" s="914">
        <f t="shared" si="0"/>
        <v>88</v>
      </c>
      <c r="H8" s="914">
        <f t="shared" si="0"/>
        <v>418</v>
      </c>
      <c r="I8" s="914">
        <f t="shared" si="0"/>
        <v>65</v>
      </c>
      <c r="J8" s="915">
        <f>SUM(J10:J41)</f>
        <v>802</v>
      </c>
      <c r="K8" s="665" t="s">
        <v>354</v>
      </c>
      <c r="L8" s="707"/>
      <c r="N8">
        <f>SUM(N6:N7)</f>
        <v>436</v>
      </c>
      <c r="O8" s="62">
        <f>O7-O6</f>
        <v>-283</v>
      </c>
    </row>
    <row r="9" spans="1:15" ht="29.1" customHeight="1">
      <c r="A9" s="658"/>
      <c r="B9" s="908"/>
      <c r="C9" s="916"/>
      <c r="D9" s="917"/>
      <c r="E9" s="917"/>
      <c r="F9" s="917"/>
      <c r="G9" s="917"/>
      <c r="H9" s="917"/>
      <c r="I9" s="917"/>
      <c r="J9" s="918"/>
      <c r="K9" s="658"/>
      <c r="L9" s="708"/>
      <c r="M9">
        <f>318+464</f>
        <v>782</v>
      </c>
      <c r="O9" s="62"/>
    </row>
    <row r="10" spans="1:15" ht="29.1" customHeight="1">
      <c r="A10" s="534">
        <v>1</v>
      </c>
      <c r="B10" s="450" t="s">
        <v>69</v>
      </c>
      <c r="C10" s="195">
        <v>3</v>
      </c>
      <c r="D10" s="196">
        <v>15</v>
      </c>
      <c r="E10" s="196">
        <v>35</v>
      </c>
      <c r="F10" s="196">
        <v>45</v>
      </c>
      <c r="G10" s="196">
        <v>46</v>
      </c>
      <c r="H10" s="196">
        <v>318</v>
      </c>
      <c r="I10" s="196">
        <v>49</v>
      </c>
      <c r="J10" s="197">
        <f>SUM(C10:I10)</f>
        <v>511</v>
      </c>
      <c r="K10" s="67" t="s">
        <v>70</v>
      </c>
      <c r="L10" s="442">
        <v>1</v>
      </c>
      <c r="O10" s="22"/>
    </row>
    <row r="11" spans="1:15" ht="29.1" customHeight="1">
      <c r="A11" s="492">
        <v>2</v>
      </c>
      <c r="B11" s="451" t="s">
        <v>71</v>
      </c>
      <c r="C11" s="655" t="s">
        <v>35</v>
      </c>
      <c r="D11" s="653" t="s">
        <v>35</v>
      </c>
      <c r="E11" s="653" t="s">
        <v>35</v>
      </c>
      <c r="F11" s="653">
        <v>1</v>
      </c>
      <c r="G11" s="653">
        <v>1</v>
      </c>
      <c r="H11" s="653">
        <v>2</v>
      </c>
      <c r="I11" s="653" t="s">
        <v>35</v>
      </c>
      <c r="J11" s="654">
        <f t="shared" ref="J11:J40" si="1">SUM(C11:I11)</f>
        <v>4</v>
      </c>
      <c r="K11" s="361" t="s">
        <v>72</v>
      </c>
      <c r="L11" s="620">
        <v>2</v>
      </c>
      <c r="O11" s="22"/>
    </row>
    <row r="12" spans="1:15" ht="29.1" customHeight="1">
      <c r="A12" s="534">
        <v>3</v>
      </c>
      <c r="B12" s="450" t="s">
        <v>73</v>
      </c>
      <c r="C12" s="195" t="s">
        <v>35</v>
      </c>
      <c r="D12" s="196" t="s">
        <v>35</v>
      </c>
      <c r="E12" s="196" t="s">
        <v>35</v>
      </c>
      <c r="F12" s="196">
        <v>2</v>
      </c>
      <c r="G12" s="196">
        <v>2</v>
      </c>
      <c r="H12" s="196">
        <v>4</v>
      </c>
      <c r="I12" s="196" t="s">
        <v>35</v>
      </c>
      <c r="J12" s="197">
        <f t="shared" si="1"/>
        <v>8</v>
      </c>
      <c r="K12" s="67" t="s">
        <v>74</v>
      </c>
      <c r="L12" s="442">
        <v>3</v>
      </c>
      <c r="O12" s="62"/>
    </row>
    <row r="13" spans="1:15" ht="29.1" customHeight="1">
      <c r="A13" s="492">
        <v>4</v>
      </c>
      <c r="B13" s="647" t="s">
        <v>75</v>
      </c>
      <c r="C13" s="655" t="s">
        <v>35</v>
      </c>
      <c r="D13" s="653" t="s">
        <v>35</v>
      </c>
      <c r="E13" s="653">
        <v>2</v>
      </c>
      <c r="F13" s="653">
        <v>1</v>
      </c>
      <c r="G13" s="653" t="s">
        <v>35</v>
      </c>
      <c r="H13" s="653">
        <v>1</v>
      </c>
      <c r="I13" s="653" t="s">
        <v>35</v>
      </c>
      <c r="J13" s="654">
        <f t="shared" si="1"/>
        <v>4</v>
      </c>
      <c r="K13" s="361" t="s">
        <v>76</v>
      </c>
      <c r="L13" s="620">
        <v>4</v>
      </c>
      <c r="O13" s="22"/>
    </row>
    <row r="14" spans="1:15" ht="29.1" customHeight="1">
      <c r="A14" s="534">
        <v>5</v>
      </c>
      <c r="B14" s="450" t="s">
        <v>116</v>
      </c>
      <c r="C14" s="195" t="s">
        <v>35</v>
      </c>
      <c r="D14" s="196" t="s">
        <v>35</v>
      </c>
      <c r="E14" s="196" t="s">
        <v>35</v>
      </c>
      <c r="F14" s="196">
        <v>2</v>
      </c>
      <c r="G14" s="196" t="s">
        <v>35</v>
      </c>
      <c r="H14" s="196">
        <v>2</v>
      </c>
      <c r="I14" s="196" t="s">
        <v>35</v>
      </c>
      <c r="J14" s="197">
        <f t="shared" si="1"/>
        <v>4</v>
      </c>
      <c r="K14" s="67" t="s">
        <v>117</v>
      </c>
      <c r="L14" s="442">
        <v>5</v>
      </c>
      <c r="O14" s="22"/>
    </row>
    <row r="15" spans="1:15" ht="29.1" customHeight="1">
      <c r="A15" s="492">
        <v>6</v>
      </c>
      <c r="B15" s="647" t="s">
        <v>77</v>
      </c>
      <c r="C15" s="655" t="s">
        <v>35</v>
      </c>
      <c r="D15" s="653" t="s">
        <v>35</v>
      </c>
      <c r="E15" s="653" t="s">
        <v>35</v>
      </c>
      <c r="F15" s="653">
        <v>2</v>
      </c>
      <c r="G15" s="653">
        <v>2</v>
      </c>
      <c r="H15" s="653">
        <v>7</v>
      </c>
      <c r="I15" s="653" t="s">
        <v>35</v>
      </c>
      <c r="J15" s="654">
        <f t="shared" si="1"/>
        <v>11</v>
      </c>
      <c r="K15" s="361" t="s">
        <v>78</v>
      </c>
      <c r="L15" s="620">
        <v>6</v>
      </c>
      <c r="O15" s="22"/>
    </row>
    <row r="16" spans="1:15" ht="29.1" customHeight="1">
      <c r="A16" s="534">
        <v>7</v>
      </c>
      <c r="B16" s="450" t="s">
        <v>79</v>
      </c>
      <c r="C16" s="195">
        <v>1</v>
      </c>
      <c r="D16" s="196" t="s">
        <v>35</v>
      </c>
      <c r="E16" s="196" t="s">
        <v>35</v>
      </c>
      <c r="F16" s="196">
        <v>1</v>
      </c>
      <c r="G16" s="196">
        <v>1</v>
      </c>
      <c r="H16" s="196" t="s">
        <v>35</v>
      </c>
      <c r="I16" s="196" t="s">
        <v>35</v>
      </c>
      <c r="J16" s="197">
        <f t="shared" si="1"/>
        <v>3</v>
      </c>
      <c r="K16" s="67" t="s">
        <v>80</v>
      </c>
      <c r="L16" s="442">
        <v>7</v>
      </c>
      <c r="O16" s="62"/>
    </row>
    <row r="17" spans="1:15" ht="29.1" customHeight="1">
      <c r="A17" s="492">
        <v>8</v>
      </c>
      <c r="B17" s="451" t="s">
        <v>118</v>
      </c>
      <c r="C17" s="655" t="s">
        <v>35</v>
      </c>
      <c r="D17" s="653" t="s">
        <v>35</v>
      </c>
      <c r="E17" s="653" t="s">
        <v>35</v>
      </c>
      <c r="F17" s="653">
        <v>3</v>
      </c>
      <c r="G17" s="653">
        <v>1</v>
      </c>
      <c r="H17" s="653" t="s">
        <v>35</v>
      </c>
      <c r="I17" s="653" t="s">
        <v>35</v>
      </c>
      <c r="J17" s="654">
        <f t="shared" si="1"/>
        <v>4</v>
      </c>
      <c r="K17" s="362" t="s">
        <v>119</v>
      </c>
      <c r="L17" s="620">
        <v>8</v>
      </c>
      <c r="O17" s="62"/>
    </row>
    <row r="18" spans="1:15" ht="29.1" customHeight="1">
      <c r="A18" s="534">
        <v>9</v>
      </c>
      <c r="B18" s="450" t="s">
        <v>81</v>
      </c>
      <c r="C18" s="195" t="s">
        <v>35</v>
      </c>
      <c r="D18" s="196" t="s">
        <v>35</v>
      </c>
      <c r="E18" s="196" t="s">
        <v>35</v>
      </c>
      <c r="F18" s="196">
        <v>6</v>
      </c>
      <c r="G18" s="196">
        <v>2</v>
      </c>
      <c r="H18" s="196">
        <v>1</v>
      </c>
      <c r="I18" s="196" t="s">
        <v>35</v>
      </c>
      <c r="J18" s="197">
        <f t="shared" si="1"/>
        <v>9</v>
      </c>
      <c r="K18" s="67" t="s">
        <v>82</v>
      </c>
      <c r="L18" s="442">
        <v>9</v>
      </c>
      <c r="N18">
        <v>4000</v>
      </c>
      <c r="O18" s="22"/>
    </row>
    <row r="19" spans="1:15" ht="29.1" customHeight="1">
      <c r="A19" s="492">
        <v>10</v>
      </c>
      <c r="B19" s="451" t="s">
        <v>83</v>
      </c>
      <c r="C19" s="655" t="s">
        <v>35</v>
      </c>
      <c r="D19" s="653" t="s">
        <v>35</v>
      </c>
      <c r="E19" s="653" t="s">
        <v>35</v>
      </c>
      <c r="F19" s="653">
        <v>5</v>
      </c>
      <c r="G19" s="653">
        <v>3</v>
      </c>
      <c r="H19" s="653">
        <v>3</v>
      </c>
      <c r="I19" s="653" t="s">
        <v>35</v>
      </c>
      <c r="J19" s="654">
        <f t="shared" si="1"/>
        <v>11</v>
      </c>
      <c r="K19" s="362" t="s">
        <v>84</v>
      </c>
      <c r="L19" s="620">
        <v>10</v>
      </c>
      <c r="N19">
        <v>3000</v>
      </c>
      <c r="O19" s="22"/>
    </row>
    <row r="20" spans="1:15" ht="29.1" customHeight="1">
      <c r="A20" s="534">
        <v>11</v>
      </c>
      <c r="B20" s="450" t="s">
        <v>85</v>
      </c>
      <c r="C20" s="195" t="s">
        <v>35</v>
      </c>
      <c r="D20" s="196" t="s">
        <v>35</v>
      </c>
      <c r="E20" s="196" t="s">
        <v>35</v>
      </c>
      <c r="F20" s="196">
        <v>5</v>
      </c>
      <c r="G20" s="196">
        <v>2</v>
      </c>
      <c r="H20" s="196">
        <v>3</v>
      </c>
      <c r="I20" s="196" t="s">
        <v>35</v>
      </c>
      <c r="J20" s="197">
        <f t="shared" si="1"/>
        <v>10</v>
      </c>
      <c r="K20" s="67" t="s">
        <v>86</v>
      </c>
      <c r="L20" s="442">
        <v>11</v>
      </c>
      <c r="N20">
        <v>1000</v>
      </c>
      <c r="O20" s="62"/>
    </row>
    <row r="21" spans="1:15" ht="29.1" customHeight="1">
      <c r="A21" s="492">
        <v>12</v>
      </c>
      <c r="B21" s="647" t="s">
        <v>284</v>
      </c>
      <c r="C21" s="655" t="s">
        <v>35</v>
      </c>
      <c r="D21" s="653" t="s">
        <v>35</v>
      </c>
      <c r="E21" s="653" t="s">
        <v>35</v>
      </c>
      <c r="F21" s="653">
        <v>1</v>
      </c>
      <c r="G21" s="653" t="s">
        <v>35</v>
      </c>
      <c r="H21" s="653" t="s">
        <v>35</v>
      </c>
      <c r="I21" s="653" t="s">
        <v>35</v>
      </c>
      <c r="J21" s="654">
        <f t="shared" si="1"/>
        <v>1</v>
      </c>
      <c r="K21" s="361" t="s">
        <v>286</v>
      </c>
      <c r="L21" s="620">
        <v>12</v>
      </c>
      <c r="N21">
        <v>1000</v>
      </c>
      <c r="O21" s="22"/>
    </row>
    <row r="22" spans="1:15" ht="29.1" customHeight="1">
      <c r="A22" s="534">
        <v>13</v>
      </c>
      <c r="B22" s="450" t="s">
        <v>87</v>
      </c>
      <c r="C22" s="195" t="s">
        <v>35</v>
      </c>
      <c r="D22" s="196" t="s">
        <v>35</v>
      </c>
      <c r="E22" s="196" t="s">
        <v>35</v>
      </c>
      <c r="F22" s="196" t="s">
        <v>35</v>
      </c>
      <c r="G22" s="196">
        <v>1</v>
      </c>
      <c r="H22" s="196">
        <v>2</v>
      </c>
      <c r="I22" s="196" t="s">
        <v>35</v>
      </c>
      <c r="J22" s="197">
        <f t="shared" si="1"/>
        <v>3</v>
      </c>
      <c r="K22" s="67" t="s">
        <v>88</v>
      </c>
      <c r="L22" s="442">
        <v>13</v>
      </c>
      <c r="N22">
        <v>1000</v>
      </c>
      <c r="O22" s="62"/>
    </row>
    <row r="23" spans="1:15" ht="29.1" customHeight="1">
      <c r="A23" s="492">
        <v>14</v>
      </c>
      <c r="B23" s="647" t="s">
        <v>89</v>
      </c>
      <c r="C23" s="655">
        <v>1</v>
      </c>
      <c r="D23" s="653" t="s">
        <v>35</v>
      </c>
      <c r="E23" s="653" t="s">
        <v>35</v>
      </c>
      <c r="F23" s="653">
        <v>4</v>
      </c>
      <c r="G23" s="653" t="s">
        <v>35</v>
      </c>
      <c r="H23" s="653">
        <v>7</v>
      </c>
      <c r="I23" s="653" t="s">
        <v>35</v>
      </c>
      <c r="J23" s="654">
        <f t="shared" si="1"/>
        <v>12</v>
      </c>
      <c r="K23" s="361" t="s">
        <v>90</v>
      </c>
      <c r="L23" s="620">
        <v>14</v>
      </c>
      <c r="N23">
        <v>1000</v>
      </c>
      <c r="O23" s="62"/>
    </row>
    <row r="24" spans="1:15" ht="29.1" customHeight="1">
      <c r="A24" s="534">
        <v>15</v>
      </c>
      <c r="B24" s="450" t="s">
        <v>91</v>
      </c>
      <c r="C24" s="195" t="s">
        <v>35</v>
      </c>
      <c r="D24" s="196" t="s">
        <v>35</v>
      </c>
      <c r="E24" s="196">
        <v>1</v>
      </c>
      <c r="F24" s="196">
        <v>1</v>
      </c>
      <c r="G24" s="196" t="s">
        <v>35</v>
      </c>
      <c r="H24" s="196">
        <v>2</v>
      </c>
      <c r="I24" s="196" t="s">
        <v>35</v>
      </c>
      <c r="J24" s="197">
        <f t="shared" si="1"/>
        <v>4</v>
      </c>
      <c r="K24" s="90" t="s">
        <v>329</v>
      </c>
      <c r="L24" s="442">
        <v>15</v>
      </c>
      <c r="N24">
        <v>1000</v>
      </c>
      <c r="O24" s="62"/>
    </row>
    <row r="25" spans="1:15" ht="29.1" customHeight="1">
      <c r="A25" s="492">
        <v>16</v>
      </c>
      <c r="B25" s="647" t="s">
        <v>92</v>
      </c>
      <c r="C25" s="655" t="s">
        <v>35</v>
      </c>
      <c r="D25" s="653" t="s">
        <v>35</v>
      </c>
      <c r="E25" s="653" t="s">
        <v>35</v>
      </c>
      <c r="F25" s="653">
        <v>9</v>
      </c>
      <c r="G25" s="653">
        <v>1</v>
      </c>
      <c r="H25" s="653">
        <v>2</v>
      </c>
      <c r="I25" s="653" t="s">
        <v>35</v>
      </c>
      <c r="J25" s="654">
        <f t="shared" si="1"/>
        <v>12</v>
      </c>
      <c r="K25" s="361" t="s">
        <v>93</v>
      </c>
      <c r="L25" s="620">
        <v>16</v>
      </c>
      <c r="O25" s="22"/>
    </row>
    <row r="26" spans="1:15" ht="29.1" customHeight="1">
      <c r="A26" s="534">
        <v>17</v>
      </c>
      <c r="B26" s="450" t="s">
        <v>94</v>
      </c>
      <c r="C26" s="195" t="s">
        <v>35</v>
      </c>
      <c r="D26" s="196" t="s">
        <v>35</v>
      </c>
      <c r="E26" s="196" t="s">
        <v>35</v>
      </c>
      <c r="F26" s="196">
        <v>3</v>
      </c>
      <c r="G26" s="196">
        <v>2</v>
      </c>
      <c r="H26" s="196">
        <v>6</v>
      </c>
      <c r="I26" s="196">
        <v>2</v>
      </c>
      <c r="J26" s="197">
        <f t="shared" si="1"/>
        <v>13</v>
      </c>
      <c r="K26" s="67" t="s">
        <v>95</v>
      </c>
      <c r="L26" s="442">
        <v>17</v>
      </c>
      <c r="O26" s="62"/>
    </row>
    <row r="27" spans="1:15" ht="29.1" customHeight="1">
      <c r="A27" s="492">
        <v>18</v>
      </c>
      <c r="B27" s="647" t="s">
        <v>96</v>
      </c>
      <c r="C27" s="655" t="s">
        <v>35</v>
      </c>
      <c r="D27" s="653" t="s">
        <v>35</v>
      </c>
      <c r="E27" s="653" t="s">
        <v>35</v>
      </c>
      <c r="F27" s="653">
        <v>4</v>
      </c>
      <c r="G27" s="653">
        <v>2</v>
      </c>
      <c r="H27" s="653">
        <v>6</v>
      </c>
      <c r="I27" s="653">
        <v>3</v>
      </c>
      <c r="J27" s="654">
        <f t="shared" si="1"/>
        <v>15</v>
      </c>
      <c r="K27" s="361" t="s">
        <v>97</v>
      </c>
      <c r="L27" s="620">
        <v>18</v>
      </c>
      <c r="O27" s="62"/>
    </row>
    <row r="28" spans="1:15" ht="29.1" customHeight="1">
      <c r="A28" s="534">
        <v>19</v>
      </c>
      <c r="B28" s="450" t="s">
        <v>120</v>
      </c>
      <c r="C28" s="195" t="s">
        <v>35</v>
      </c>
      <c r="D28" s="196" t="s">
        <v>35</v>
      </c>
      <c r="E28" s="196" t="s">
        <v>35</v>
      </c>
      <c r="F28" s="196" t="s">
        <v>35</v>
      </c>
      <c r="G28" s="196" t="s">
        <v>35</v>
      </c>
      <c r="H28" s="196">
        <v>3</v>
      </c>
      <c r="I28" s="196">
        <v>2</v>
      </c>
      <c r="J28" s="197">
        <f t="shared" si="1"/>
        <v>5</v>
      </c>
      <c r="K28" s="67" t="s">
        <v>121</v>
      </c>
      <c r="L28" s="442">
        <v>19</v>
      </c>
      <c r="O28" s="22"/>
    </row>
    <row r="29" spans="1:15" ht="29.1" customHeight="1">
      <c r="A29" s="492">
        <v>20</v>
      </c>
      <c r="B29" s="451" t="s">
        <v>98</v>
      </c>
      <c r="C29" s="655">
        <v>1</v>
      </c>
      <c r="D29" s="653" t="s">
        <v>35</v>
      </c>
      <c r="E29" s="653">
        <v>1</v>
      </c>
      <c r="F29" s="653">
        <v>38</v>
      </c>
      <c r="G29" s="653">
        <v>9</v>
      </c>
      <c r="H29" s="653">
        <v>17</v>
      </c>
      <c r="I29" s="653">
        <v>3</v>
      </c>
      <c r="J29" s="654">
        <f t="shared" si="1"/>
        <v>69</v>
      </c>
      <c r="K29" s="362" t="s">
        <v>99</v>
      </c>
      <c r="L29" s="620">
        <v>20</v>
      </c>
      <c r="O29" s="22"/>
    </row>
    <row r="30" spans="1:15" ht="29.1" customHeight="1">
      <c r="A30" s="534">
        <v>21</v>
      </c>
      <c r="B30" s="452" t="s">
        <v>100</v>
      </c>
      <c r="C30" s="195" t="s">
        <v>35</v>
      </c>
      <c r="D30" s="196" t="s">
        <v>35</v>
      </c>
      <c r="E30" s="196" t="s">
        <v>35</v>
      </c>
      <c r="F30" s="196">
        <v>1</v>
      </c>
      <c r="G30" s="196">
        <v>1</v>
      </c>
      <c r="H30" s="196" t="s">
        <v>35</v>
      </c>
      <c r="I30" s="196" t="s">
        <v>35</v>
      </c>
      <c r="J30" s="197">
        <f t="shared" si="1"/>
        <v>2</v>
      </c>
      <c r="K30" s="66" t="s">
        <v>101</v>
      </c>
      <c r="L30" s="442">
        <v>21</v>
      </c>
      <c r="O30" s="22"/>
    </row>
    <row r="31" spans="1:15" ht="29.1" customHeight="1">
      <c r="A31" s="492">
        <v>22</v>
      </c>
      <c r="B31" s="451" t="s">
        <v>122</v>
      </c>
      <c r="C31" s="655" t="s">
        <v>35</v>
      </c>
      <c r="D31" s="653" t="s">
        <v>35</v>
      </c>
      <c r="E31" s="653" t="s">
        <v>35</v>
      </c>
      <c r="F31" s="653">
        <v>8</v>
      </c>
      <c r="G31" s="653" t="s">
        <v>35</v>
      </c>
      <c r="H31" s="653">
        <v>1</v>
      </c>
      <c r="I31" s="653" t="s">
        <v>35</v>
      </c>
      <c r="J31" s="654">
        <f t="shared" si="1"/>
        <v>9</v>
      </c>
      <c r="K31" s="362" t="s">
        <v>123</v>
      </c>
      <c r="L31" s="620">
        <v>22</v>
      </c>
      <c r="O31" s="62"/>
    </row>
    <row r="32" spans="1:15" ht="29.1" customHeight="1">
      <c r="A32" s="534">
        <v>23</v>
      </c>
      <c r="B32" s="452" t="s">
        <v>124</v>
      </c>
      <c r="C32" s="195" t="s">
        <v>35</v>
      </c>
      <c r="D32" s="196" t="s">
        <v>35</v>
      </c>
      <c r="E32" s="196" t="s">
        <v>35</v>
      </c>
      <c r="F32" s="196">
        <v>1</v>
      </c>
      <c r="G32" s="196" t="s">
        <v>35</v>
      </c>
      <c r="H32" s="196">
        <v>4</v>
      </c>
      <c r="I32" s="196">
        <v>1</v>
      </c>
      <c r="J32" s="197">
        <f t="shared" si="1"/>
        <v>6</v>
      </c>
      <c r="K32" s="66" t="s">
        <v>125</v>
      </c>
      <c r="L32" s="442">
        <v>23</v>
      </c>
      <c r="O32" s="22"/>
    </row>
    <row r="33" spans="1:15" ht="29.1" customHeight="1">
      <c r="A33" s="492">
        <v>24</v>
      </c>
      <c r="B33" s="451" t="s">
        <v>126</v>
      </c>
      <c r="C33" s="655">
        <v>1</v>
      </c>
      <c r="D33" s="653" t="s">
        <v>35</v>
      </c>
      <c r="E33" s="653" t="s">
        <v>35</v>
      </c>
      <c r="F33" s="653" t="s">
        <v>35</v>
      </c>
      <c r="G33" s="653" t="s">
        <v>35</v>
      </c>
      <c r="H33" s="653">
        <v>1</v>
      </c>
      <c r="I33" s="653" t="s">
        <v>35</v>
      </c>
      <c r="J33" s="654">
        <f t="shared" si="1"/>
        <v>2</v>
      </c>
      <c r="K33" s="362" t="s">
        <v>127</v>
      </c>
      <c r="L33" s="620">
        <v>24</v>
      </c>
      <c r="O33" s="62"/>
    </row>
    <row r="34" spans="1:15" ht="29.1" customHeight="1">
      <c r="A34" s="534">
        <v>25</v>
      </c>
      <c r="B34" s="452" t="s">
        <v>102</v>
      </c>
      <c r="C34" s="195" t="s">
        <v>35</v>
      </c>
      <c r="D34" s="196" t="s">
        <v>35</v>
      </c>
      <c r="E34" s="196">
        <v>1</v>
      </c>
      <c r="F34" s="196">
        <v>1</v>
      </c>
      <c r="G34" s="196">
        <v>2</v>
      </c>
      <c r="H34" s="196">
        <v>5</v>
      </c>
      <c r="I34" s="196">
        <v>1</v>
      </c>
      <c r="J34" s="197">
        <f t="shared" si="1"/>
        <v>10</v>
      </c>
      <c r="K34" s="66" t="s">
        <v>103</v>
      </c>
      <c r="L34" s="442">
        <v>25</v>
      </c>
      <c r="O34" s="22"/>
    </row>
    <row r="35" spans="1:15" ht="29.1" customHeight="1">
      <c r="A35" s="492">
        <v>26</v>
      </c>
      <c r="B35" s="451" t="s">
        <v>128</v>
      </c>
      <c r="C35" s="655" t="s">
        <v>35</v>
      </c>
      <c r="D35" s="653" t="s">
        <v>35</v>
      </c>
      <c r="E35" s="653" t="s">
        <v>35</v>
      </c>
      <c r="F35" s="653">
        <v>6</v>
      </c>
      <c r="G35" s="653" t="s">
        <v>35</v>
      </c>
      <c r="H35" s="653">
        <v>1</v>
      </c>
      <c r="I35" s="653" t="s">
        <v>35</v>
      </c>
      <c r="J35" s="654">
        <f t="shared" si="1"/>
        <v>7</v>
      </c>
      <c r="K35" s="362" t="s">
        <v>129</v>
      </c>
      <c r="L35" s="620">
        <v>26</v>
      </c>
      <c r="O35" s="62"/>
    </row>
    <row r="36" spans="1:15" ht="29.1" customHeight="1">
      <c r="A36" s="534">
        <v>27</v>
      </c>
      <c r="B36" s="452" t="s">
        <v>104</v>
      </c>
      <c r="C36" s="195" t="s">
        <v>35</v>
      </c>
      <c r="D36" s="196" t="s">
        <v>35</v>
      </c>
      <c r="E36" s="196" t="s">
        <v>35</v>
      </c>
      <c r="F36" s="196">
        <v>7</v>
      </c>
      <c r="G36" s="196">
        <v>4</v>
      </c>
      <c r="H36" s="196">
        <v>2</v>
      </c>
      <c r="I36" s="196" t="s">
        <v>35</v>
      </c>
      <c r="J36" s="197">
        <f t="shared" si="1"/>
        <v>13</v>
      </c>
      <c r="K36" s="66" t="s">
        <v>105</v>
      </c>
      <c r="L36" s="442">
        <v>27</v>
      </c>
      <c r="O36" s="62"/>
    </row>
    <row r="37" spans="1:15" ht="29.1" customHeight="1">
      <c r="A37" s="492">
        <v>28</v>
      </c>
      <c r="B37" s="451" t="s">
        <v>218</v>
      </c>
      <c r="C37" s="655" t="s">
        <v>35</v>
      </c>
      <c r="D37" s="653" t="s">
        <v>35</v>
      </c>
      <c r="E37" s="653" t="s">
        <v>35</v>
      </c>
      <c r="F37" s="653">
        <v>1</v>
      </c>
      <c r="G37" s="653" t="s">
        <v>35</v>
      </c>
      <c r="H37" s="653" t="s">
        <v>35</v>
      </c>
      <c r="I37" s="653" t="s">
        <v>35</v>
      </c>
      <c r="J37" s="654">
        <f t="shared" si="1"/>
        <v>1</v>
      </c>
      <c r="K37" s="362" t="s">
        <v>130</v>
      </c>
      <c r="L37" s="620">
        <v>28</v>
      </c>
      <c r="O37" s="22"/>
    </row>
    <row r="38" spans="1:15" ht="29.1" customHeight="1">
      <c r="A38" s="534">
        <v>29</v>
      </c>
      <c r="B38" s="407" t="s">
        <v>106</v>
      </c>
      <c r="C38" s="195" t="s">
        <v>35</v>
      </c>
      <c r="D38" s="196" t="s">
        <v>35</v>
      </c>
      <c r="E38" s="196" t="s">
        <v>35</v>
      </c>
      <c r="F38" s="196" t="s">
        <v>35</v>
      </c>
      <c r="G38" s="196" t="s">
        <v>35</v>
      </c>
      <c r="H38" s="198">
        <v>2</v>
      </c>
      <c r="I38" s="196" t="s">
        <v>35</v>
      </c>
      <c r="J38" s="197">
        <f t="shared" si="1"/>
        <v>2</v>
      </c>
      <c r="K38" s="66" t="s">
        <v>107</v>
      </c>
      <c r="L38" s="442">
        <v>29</v>
      </c>
      <c r="O38" s="22"/>
    </row>
    <row r="39" spans="1:15" ht="29.1" customHeight="1">
      <c r="A39" s="492">
        <v>30</v>
      </c>
      <c r="B39" s="451" t="s">
        <v>108</v>
      </c>
      <c r="C39" s="655" t="s">
        <v>35</v>
      </c>
      <c r="D39" s="653" t="s">
        <v>35</v>
      </c>
      <c r="E39" s="653">
        <v>1</v>
      </c>
      <c r="F39" s="653">
        <v>7</v>
      </c>
      <c r="G39" s="653">
        <v>4</v>
      </c>
      <c r="H39" s="653">
        <v>9</v>
      </c>
      <c r="I39" s="653">
        <v>4</v>
      </c>
      <c r="J39" s="654">
        <f t="shared" si="1"/>
        <v>25</v>
      </c>
      <c r="K39" s="362" t="s">
        <v>109</v>
      </c>
      <c r="L39" s="620">
        <v>30</v>
      </c>
    </row>
    <row r="40" spans="1:15" ht="29.1" customHeight="1">
      <c r="A40" s="534">
        <v>31</v>
      </c>
      <c r="B40" s="452" t="s">
        <v>131</v>
      </c>
      <c r="C40" s="195" t="s">
        <v>35</v>
      </c>
      <c r="D40" s="196" t="s">
        <v>35</v>
      </c>
      <c r="E40" s="196" t="s">
        <v>35</v>
      </c>
      <c r="F40" s="196" t="s">
        <v>35</v>
      </c>
      <c r="G40" s="196">
        <v>1</v>
      </c>
      <c r="H40" s="196">
        <v>7</v>
      </c>
      <c r="I40" s="196" t="s">
        <v>35</v>
      </c>
      <c r="J40" s="197">
        <f t="shared" si="1"/>
        <v>8</v>
      </c>
      <c r="K40" s="66" t="s">
        <v>132</v>
      </c>
      <c r="L40" s="442">
        <v>31</v>
      </c>
    </row>
    <row r="41" spans="1:15" ht="29.1" customHeight="1">
      <c r="A41" s="493">
        <v>32</v>
      </c>
      <c r="B41" s="453" t="s">
        <v>110</v>
      </c>
      <c r="C41" s="363" t="s">
        <v>35</v>
      </c>
      <c r="D41" s="364" t="s">
        <v>35</v>
      </c>
      <c r="E41" s="364" t="s">
        <v>35</v>
      </c>
      <c r="F41" s="364">
        <v>3</v>
      </c>
      <c r="G41" s="364">
        <v>1</v>
      </c>
      <c r="H41" s="364" t="s">
        <v>35</v>
      </c>
      <c r="I41" s="364" t="s">
        <v>35</v>
      </c>
      <c r="J41" s="443">
        <f>SUM(C41:I41)</f>
        <v>4</v>
      </c>
      <c r="K41" s="365" t="s">
        <v>111</v>
      </c>
      <c r="L41" s="621">
        <v>32</v>
      </c>
    </row>
    <row r="42" spans="1:15" ht="20.100000000000001" customHeight="1">
      <c r="A42" s="695" t="s">
        <v>24</v>
      </c>
      <c r="B42" s="695"/>
      <c r="C42" s="695"/>
      <c r="D42" s="695"/>
      <c r="E42" s="686" t="s">
        <v>330</v>
      </c>
      <c r="F42" s="686"/>
      <c r="G42" s="686"/>
      <c r="H42" s="686"/>
      <c r="I42" s="660" t="s">
        <v>112</v>
      </c>
      <c r="J42" s="660"/>
      <c r="K42" s="660"/>
      <c r="L42" s="660"/>
    </row>
    <row r="45" spans="1:15" ht="26.1" customHeight="1">
      <c r="C45" s="22"/>
      <c r="D45" s="22"/>
      <c r="E45" s="22"/>
      <c r="F45" s="22"/>
      <c r="G45" s="22"/>
      <c r="H45" s="22"/>
      <c r="I45" s="22"/>
      <c r="J45" s="22"/>
    </row>
  </sheetData>
  <autoFilter ref="B1:J45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17">
    <mergeCell ref="A1:L1"/>
    <mergeCell ref="A2:L2"/>
    <mergeCell ref="E42:H42"/>
    <mergeCell ref="K8:K9"/>
    <mergeCell ref="L8:L9"/>
    <mergeCell ref="A8:A9"/>
    <mergeCell ref="A42:D42"/>
    <mergeCell ref="I42:L42"/>
    <mergeCell ref="A3:L3"/>
    <mergeCell ref="L4:L7"/>
    <mergeCell ref="A4:A7"/>
    <mergeCell ref="B4:B7"/>
    <mergeCell ref="K4:K7"/>
    <mergeCell ref="H4:J4"/>
    <mergeCell ref="C4:E4"/>
    <mergeCell ref="F4:G4"/>
    <mergeCell ref="C6:C7"/>
  </mergeCells>
  <pageMargins left="0.74803149606299213" right="0.74803149606299213" top="0.62992125984251968" bottom="0.70866141732283472" header="0.31496062992125984" footer="0.31496062992125984"/>
  <pageSetup paperSize="9" scale="59" orientation="portrait" horizontalDpi="300" verticalDpi="300" r:id="rId1"/>
  <headerFooter>
    <oddFooter xml:space="preserve">&amp;L&amp;"Times New Roman,Bold"Afghanistan Statistical Yearbook 2017-18&amp;R&amp;"Times New Roman,Bold"
سالنامۀ احصائیوی / احصا ئيوي کالنی  1396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7"/>
  <sheetViews>
    <sheetView tabSelected="1" view="pageBreakPreview" zoomScale="76" zoomScaleSheetLayoutView="76" zoomScalePageLayoutView="82" workbookViewId="0">
      <selection activeCell="J13" sqref="J13"/>
    </sheetView>
  </sheetViews>
  <sheetFormatPr defaultRowHeight="15.75"/>
  <cols>
    <col min="1" max="1" width="7.5703125" style="410" customWidth="1"/>
    <col min="2" max="2" width="29" customWidth="1"/>
    <col min="3" max="3" width="11" customWidth="1"/>
    <col min="4" max="4" width="11.28515625" customWidth="1"/>
    <col min="5" max="5" width="11.42578125" customWidth="1"/>
    <col min="6" max="6" width="10.42578125" customWidth="1"/>
    <col min="7" max="7" width="23.42578125" customWidth="1"/>
    <col min="8" max="8" width="9.140625" style="394" customWidth="1"/>
    <col min="9" max="9" width="17.7109375" customWidth="1"/>
    <col min="10" max="10" width="19.140625" customWidth="1"/>
    <col min="11" max="11" width="12.85546875" customWidth="1"/>
    <col min="12" max="12" width="11.42578125" bestFit="1" customWidth="1"/>
  </cols>
  <sheetData>
    <row r="1" spans="1:12" ht="24.95" customHeight="1">
      <c r="A1" s="705" t="s">
        <v>565</v>
      </c>
      <c r="B1" s="705"/>
      <c r="C1" s="705"/>
      <c r="D1" s="705"/>
      <c r="E1" s="705"/>
      <c r="F1" s="705"/>
      <c r="G1" s="705"/>
      <c r="H1" s="705"/>
    </row>
    <row r="2" spans="1:12" ht="24.95" customHeight="1">
      <c r="A2" s="717" t="s">
        <v>566</v>
      </c>
      <c r="B2" s="717"/>
      <c r="C2" s="717"/>
      <c r="D2" s="717"/>
      <c r="E2" s="717"/>
      <c r="F2" s="717"/>
      <c r="G2" s="717"/>
      <c r="H2" s="717"/>
    </row>
    <row r="3" spans="1:12" ht="24.95" customHeight="1">
      <c r="A3" s="696" t="s">
        <v>567</v>
      </c>
      <c r="B3" s="696"/>
      <c r="C3" s="696"/>
      <c r="D3" s="696"/>
      <c r="E3" s="696"/>
      <c r="F3" s="696"/>
      <c r="G3" s="696"/>
      <c r="H3" s="696"/>
    </row>
    <row r="4" spans="1:12" ht="24.95" customHeight="1">
      <c r="A4" s="668" t="s">
        <v>633</v>
      </c>
      <c r="B4" s="698" t="s">
        <v>227</v>
      </c>
      <c r="C4" s="698" t="s">
        <v>333</v>
      </c>
      <c r="D4" s="720"/>
      <c r="E4" s="720"/>
      <c r="F4" s="534" t="s">
        <v>133</v>
      </c>
      <c r="G4" s="721" t="s">
        <v>225</v>
      </c>
      <c r="H4" s="668" t="s">
        <v>632</v>
      </c>
    </row>
    <row r="5" spans="1:12" ht="24.95" customHeight="1">
      <c r="A5" s="668"/>
      <c r="B5" s="698"/>
      <c r="C5" s="723" t="s">
        <v>332</v>
      </c>
      <c r="D5" s="724"/>
      <c r="E5" s="724"/>
      <c r="F5" s="125" t="s">
        <v>331</v>
      </c>
      <c r="G5" s="722"/>
      <c r="H5" s="668"/>
    </row>
    <row r="6" spans="1:12" ht="24.95" customHeight="1">
      <c r="A6" s="668"/>
      <c r="B6" s="698"/>
      <c r="C6" s="396" t="s">
        <v>434</v>
      </c>
      <c r="D6" s="556" t="s">
        <v>433</v>
      </c>
      <c r="E6" s="249" t="s">
        <v>432</v>
      </c>
      <c r="F6" s="703" t="s">
        <v>134</v>
      </c>
      <c r="G6" s="722"/>
      <c r="H6" s="668"/>
    </row>
    <row r="7" spans="1:12" ht="24.95" customHeight="1">
      <c r="A7" s="668"/>
      <c r="B7" s="719"/>
      <c r="C7" s="539" t="s">
        <v>169</v>
      </c>
      <c r="D7" s="125" t="s">
        <v>276</v>
      </c>
      <c r="E7" s="540" t="s">
        <v>352</v>
      </c>
      <c r="F7" s="704"/>
      <c r="G7" s="722"/>
      <c r="H7" s="668"/>
      <c r="L7" s="101">
        <f>D9+D10</f>
        <v>7675</v>
      </c>
    </row>
    <row r="8" spans="1:12" ht="29.1" customHeight="1">
      <c r="A8" s="616"/>
      <c r="B8" s="484" t="s">
        <v>68</v>
      </c>
      <c r="C8" s="359">
        <f>SUM(C9:C37)</f>
        <v>52128</v>
      </c>
      <c r="D8" s="360">
        <f>SUM(D9:D37)</f>
        <v>121662</v>
      </c>
      <c r="E8" s="360">
        <f>SUM(E9:E37)</f>
        <v>173790</v>
      </c>
      <c r="F8" s="545">
        <f>SUM(F9:F37)</f>
        <v>845</v>
      </c>
      <c r="G8" s="513" t="s">
        <v>354</v>
      </c>
      <c r="H8" s="617"/>
      <c r="J8" s="101">
        <f>C9+C10+C36</f>
        <v>4760</v>
      </c>
    </row>
    <row r="9" spans="1:12" ht="29.1" customHeight="1">
      <c r="A9" s="524">
        <v>1</v>
      </c>
      <c r="B9" s="485" t="s">
        <v>136</v>
      </c>
      <c r="C9" s="129">
        <v>2340</v>
      </c>
      <c r="D9" s="548">
        <v>5463</v>
      </c>
      <c r="E9" s="548">
        <f>D9+C9</f>
        <v>7803</v>
      </c>
      <c r="F9" s="130">
        <v>31</v>
      </c>
      <c r="G9" s="516" t="s">
        <v>457</v>
      </c>
      <c r="H9" s="447">
        <v>1</v>
      </c>
    </row>
    <row r="10" spans="1:12" ht="29.1" customHeight="1">
      <c r="A10" s="533">
        <v>2</v>
      </c>
      <c r="B10" s="486" t="s">
        <v>137</v>
      </c>
      <c r="C10" s="542">
        <v>948</v>
      </c>
      <c r="D10" s="543">
        <v>2212</v>
      </c>
      <c r="E10" s="543">
        <f t="shared" ref="E10:E33" si="0">D10+C10</f>
        <v>3160</v>
      </c>
      <c r="F10" s="545">
        <v>33</v>
      </c>
      <c r="G10" s="513" t="s">
        <v>458</v>
      </c>
      <c r="H10" s="546">
        <v>2</v>
      </c>
      <c r="K10" s="54"/>
      <c r="L10" s="101"/>
    </row>
    <row r="11" spans="1:12" ht="29.1" customHeight="1">
      <c r="A11" s="524">
        <v>3</v>
      </c>
      <c r="B11" s="487" t="s">
        <v>138</v>
      </c>
      <c r="C11" s="544">
        <v>3798</v>
      </c>
      <c r="D11" s="549">
        <v>8863</v>
      </c>
      <c r="E11" s="548">
        <f t="shared" si="0"/>
        <v>12661</v>
      </c>
      <c r="F11" s="547">
        <v>27</v>
      </c>
      <c r="G11" s="516" t="s">
        <v>139</v>
      </c>
      <c r="H11" s="447">
        <v>3</v>
      </c>
      <c r="I11" s="101">
        <f>D11+D12+D13+D14+D15+D16+D17+D18+D19+D20+D21+D22+D23+D24+D25+D26+D27+D28+D29+D30+D31+D32+D33</f>
        <v>107159</v>
      </c>
      <c r="J11" s="101">
        <f>C11+C12+C13+C14+C15+C16+C17+C18+C19+C20+C21+C22+C23+C24+C25+C26+C27+C28+C29+C30+C31+C32+C33</f>
        <v>45915</v>
      </c>
      <c r="L11" s="101"/>
    </row>
    <row r="12" spans="1:12" ht="29.1" customHeight="1">
      <c r="A12" s="533">
        <v>4</v>
      </c>
      <c r="B12" s="486" t="s">
        <v>140</v>
      </c>
      <c r="C12" s="542">
        <v>1493</v>
      </c>
      <c r="D12" s="543">
        <v>3484</v>
      </c>
      <c r="E12" s="543">
        <f t="shared" si="0"/>
        <v>4977</v>
      </c>
      <c r="F12" s="545">
        <v>38</v>
      </c>
      <c r="G12" s="513" t="s">
        <v>141</v>
      </c>
      <c r="H12" s="546">
        <v>4</v>
      </c>
      <c r="J12" s="101"/>
      <c r="K12" s="101"/>
    </row>
    <row r="13" spans="1:12" ht="29.1" customHeight="1">
      <c r="A13" s="524">
        <v>5</v>
      </c>
      <c r="B13" s="487" t="s">
        <v>452</v>
      </c>
      <c r="C13" s="544">
        <v>1697</v>
      </c>
      <c r="D13" s="549">
        <v>3960</v>
      </c>
      <c r="E13" s="548">
        <f t="shared" si="0"/>
        <v>5657</v>
      </c>
      <c r="F13" s="547">
        <v>27</v>
      </c>
      <c r="G13" s="516" t="s">
        <v>370</v>
      </c>
      <c r="H13" s="447">
        <v>5</v>
      </c>
      <c r="I13" s="101">
        <f>C9+C10+C34+C36</f>
        <v>6213</v>
      </c>
    </row>
    <row r="14" spans="1:12" ht="29.1" customHeight="1">
      <c r="A14" s="533">
        <v>6</v>
      </c>
      <c r="B14" s="486" t="s">
        <v>142</v>
      </c>
      <c r="C14" s="542">
        <v>1710</v>
      </c>
      <c r="D14" s="543">
        <v>3992</v>
      </c>
      <c r="E14" s="543">
        <f t="shared" si="0"/>
        <v>5702</v>
      </c>
      <c r="F14" s="545">
        <v>31</v>
      </c>
      <c r="G14" s="513" t="s">
        <v>143</v>
      </c>
      <c r="H14" s="546">
        <v>6</v>
      </c>
      <c r="I14" s="101">
        <f>D9+D10+D34+D36</f>
        <v>14503</v>
      </c>
    </row>
    <row r="15" spans="1:12" ht="29.1" customHeight="1">
      <c r="A15" s="524">
        <v>7</v>
      </c>
      <c r="B15" s="485" t="s">
        <v>262</v>
      </c>
      <c r="C15" s="129">
        <v>640</v>
      </c>
      <c r="D15" s="548">
        <v>1495</v>
      </c>
      <c r="E15" s="548">
        <f t="shared" si="0"/>
        <v>2135</v>
      </c>
      <c r="F15" s="130">
        <v>15</v>
      </c>
      <c r="G15" s="445" t="s">
        <v>80</v>
      </c>
      <c r="H15" s="447">
        <v>7</v>
      </c>
    </row>
    <row r="16" spans="1:12" ht="29.1" customHeight="1">
      <c r="A16" s="533">
        <v>8</v>
      </c>
      <c r="B16" s="486" t="s">
        <v>118</v>
      </c>
      <c r="C16" s="542">
        <v>1397</v>
      </c>
      <c r="D16" s="543">
        <v>3260</v>
      </c>
      <c r="E16" s="543">
        <f t="shared" si="0"/>
        <v>4657</v>
      </c>
      <c r="F16" s="545">
        <v>20</v>
      </c>
      <c r="G16" s="446" t="s">
        <v>119</v>
      </c>
      <c r="H16" s="546">
        <v>8</v>
      </c>
    </row>
    <row r="17" spans="1:8" ht="29.1" customHeight="1">
      <c r="A17" s="524">
        <v>9</v>
      </c>
      <c r="B17" s="485" t="s">
        <v>144</v>
      </c>
      <c r="C17" s="129">
        <v>1776</v>
      </c>
      <c r="D17" s="548">
        <v>4147</v>
      </c>
      <c r="E17" s="548">
        <f t="shared" si="0"/>
        <v>5923</v>
      </c>
      <c r="F17" s="130">
        <v>40</v>
      </c>
      <c r="G17" s="516" t="s">
        <v>145</v>
      </c>
      <c r="H17" s="447">
        <v>9</v>
      </c>
    </row>
    <row r="18" spans="1:8" ht="29.1" customHeight="1">
      <c r="A18" s="533">
        <v>10</v>
      </c>
      <c r="B18" s="486" t="s">
        <v>83</v>
      </c>
      <c r="C18" s="542">
        <v>1325</v>
      </c>
      <c r="D18" s="543">
        <v>3093</v>
      </c>
      <c r="E18" s="543">
        <f t="shared" si="0"/>
        <v>4418</v>
      </c>
      <c r="F18" s="545">
        <v>20</v>
      </c>
      <c r="G18" s="446" t="s">
        <v>84</v>
      </c>
      <c r="H18" s="546">
        <v>10</v>
      </c>
    </row>
    <row r="19" spans="1:8" ht="29.1" customHeight="1">
      <c r="A19" s="524">
        <v>11</v>
      </c>
      <c r="B19" s="487" t="s">
        <v>85</v>
      </c>
      <c r="C19" s="129">
        <v>944</v>
      </c>
      <c r="D19" s="548">
        <v>2205</v>
      </c>
      <c r="E19" s="548">
        <f t="shared" si="0"/>
        <v>3149</v>
      </c>
      <c r="F19" s="547">
        <v>19</v>
      </c>
      <c r="G19" s="100" t="s">
        <v>86</v>
      </c>
      <c r="H19" s="447">
        <v>11</v>
      </c>
    </row>
    <row r="20" spans="1:8" ht="29.1" customHeight="1">
      <c r="A20" s="533">
        <v>12</v>
      </c>
      <c r="B20" s="541" t="s">
        <v>91</v>
      </c>
      <c r="C20" s="542">
        <v>1881</v>
      </c>
      <c r="D20" s="543">
        <v>4391</v>
      </c>
      <c r="E20" s="543">
        <f t="shared" si="0"/>
        <v>6272</v>
      </c>
      <c r="F20" s="545">
        <v>24</v>
      </c>
      <c r="G20" s="513" t="s">
        <v>329</v>
      </c>
      <c r="H20" s="546">
        <v>12</v>
      </c>
    </row>
    <row r="21" spans="1:8" ht="29.1" customHeight="1">
      <c r="A21" s="524">
        <v>13</v>
      </c>
      <c r="B21" s="485" t="s">
        <v>146</v>
      </c>
      <c r="C21" s="129">
        <v>1504</v>
      </c>
      <c r="D21" s="548">
        <v>3510</v>
      </c>
      <c r="E21" s="548">
        <f t="shared" si="0"/>
        <v>5014</v>
      </c>
      <c r="F21" s="130">
        <v>28</v>
      </c>
      <c r="G21" s="516" t="s">
        <v>147</v>
      </c>
      <c r="H21" s="447">
        <v>13</v>
      </c>
    </row>
    <row r="22" spans="1:8" ht="29.1" customHeight="1">
      <c r="A22" s="533">
        <v>14</v>
      </c>
      <c r="B22" s="486" t="s">
        <v>94</v>
      </c>
      <c r="C22" s="542">
        <v>5507</v>
      </c>
      <c r="D22" s="543">
        <v>12850</v>
      </c>
      <c r="E22" s="543">
        <f t="shared" si="0"/>
        <v>18357</v>
      </c>
      <c r="F22" s="545">
        <v>58</v>
      </c>
      <c r="G22" s="513" t="s">
        <v>148</v>
      </c>
      <c r="H22" s="546">
        <v>14</v>
      </c>
    </row>
    <row r="23" spans="1:8" ht="29.1" customHeight="1">
      <c r="A23" s="524">
        <v>15</v>
      </c>
      <c r="B23" s="485" t="s">
        <v>149</v>
      </c>
      <c r="C23" s="544">
        <v>818</v>
      </c>
      <c r="D23" s="549">
        <v>1909</v>
      </c>
      <c r="E23" s="548">
        <f t="shared" si="0"/>
        <v>2727</v>
      </c>
      <c r="F23" s="130">
        <v>20</v>
      </c>
      <c r="G23" s="516" t="s">
        <v>150</v>
      </c>
      <c r="H23" s="447">
        <v>15</v>
      </c>
    </row>
    <row r="24" spans="1:8" ht="29.1" customHeight="1">
      <c r="A24" s="533">
        <v>16</v>
      </c>
      <c r="B24" s="486" t="s">
        <v>151</v>
      </c>
      <c r="C24" s="542">
        <v>1734</v>
      </c>
      <c r="D24" s="543">
        <v>4047</v>
      </c>
      <c r="E24" s="543">
        <f t="shared" si="0"/>
        <v>5781</v>
      </c>
      <c r="F24" s="545">
        <v>20</v>
      </c>
      <c r="G24" s="513" t="s">
        <v>152</v>
      </c>
      <c r="H24" s="546">
        <v>16</v>
      </c>
    </row>
    <row r="25" spans="1:8" ht="29.1" customHeight="1">
      <c r="A25" s="524">
        <v>17</v>
      </c>
      <c r="B25" s="485" t="s">
        <v>153</v>
      </c>
      <c r="C25" s="129">
        <v>3810</v>
      </c>
      <c r="D25" s="548">
        <v>8891</v>
      </c>
      <c r="E25" s="548">
        <f t="shared" si="0"/>
        <v>12701</v>
      </c>
      <c r="F25" s="130">
        <v>55</v>
      </c>
      <c r="G25" s="516" t="s">
        <v>154</v>
      </c>
      <c r="H25" s="447">
        <v>17</v>
      </c>
    </row>
    <row r="26" spans="1:8" ht="29.1" customHeight="1">
      <c r="A26" s="533">
        <v>18</v>
      </c>
      <c r="B26" s="486" t="s">
        <v>122</v>
      </c>
      <c r="C26" s="542">
        <v>946</v>
      </c>
      <c r="D26" s="543">
        <v>2209</v>
      </c>
      <c r="E26" s="543">
        <f t="shared" si="0"/>
        <v>3155</v>
      </c>
      <c r="F26" s="545">
        <v>14</v>
      </c>
      <c r="G26" s="446" t="s">
        <v>123</v>
      </c>
      <c r="H26" s="546">
        <v>18</v>
      </c>
    </row>
    <row r="27" spans="1:8" ht="29.1" customHeight="1">
      <c r="A27" s="524">
        <v>19</v>
      </c>
      <c r="B27" s="487" t="s">
        <v>241</v>
      </c>
      <c r="C27" s="129">
        <v>1569</v>
      </c>
      <c r="D27" s="548">
        <v>3661</v>
      </c>
      <c r="E27" s="548">
        <f t="shared" si="0"/>
        <v>5230</v>
      </c>
      <c r="F27" s="547">
        <v>20</v>
      </c>
      <c r="G27" s="100" t="s">
        <v>125</v>
      </c>
      <c r="H27" s="447">
        <v>19</v>
      </c>
    </row>
    <row r="28" spans="1:8" ht="29.1" customHeight="1">
      <c r="A28" s="533">
        <v>20</v>
      </c>
      <c r="B28" s="486" t="s">
        <v>102</v>
      </c>
      <c r="C28" s="542">
        <v>3077</v>
      </c>
      <c r="D28" s="543">
        <v>7180</v>
      </c>
      <c r="E28" s="543">
        <f t="shared" si="0"/>
        <v>10257</v>
      </c>
      <c r="F28" s="545">
        <v>30</v>
      </c>
      <c r="G28" s="446" t="s">
        <v>103</v>
      </c>
      <c r="H28" s="546">
        <v>20</v>
      </c>
    </row>
    <row r="29" spans="1:8" ht="29.1" customHeight="1">
      <c r="A29" s="524">
        <v>21</v>
      </c>
      <c r="B29" s="487" t="s">
        <v>155</v>
      </c>
      <c r="C29" s="129">
        <v>1397</v>
      </c>
      <c r="D29" s="548">
        <v>3260</v>
      </c>
      <c r="E29" s="548">
        <f t="shared" si="0"/>
        <v>4657</v>
      </c>
      <c r="F29" s="547">
        <v>20</v>
      </c>
      <c r="G29" s="516" t="s">
        <v>156</v>
      </c>
      <c r="H29" s="447">
        <v>21</v>
      </c>
    </row>
    <row r="30" spans="1:8" ht="29.1" customHeight="1">
      <c r="A30" s="533">
        <v>22</v>
      </c>
      <c r="B30" s="486" t="s">
        <v>157</v>
      </c>
      <c r="C30" s="542">
        <v>2309</v>
      </c>
      <c r="D30" s="543">
        <v>5388</v>
      </c>
      <c r="E30" s="543">
        <f t="shared" si="0"/>
        <v>7697</v>
      </c>
      <c r="F30" s="545">
        <v>46</v>
      </c>
      <c r="G30" s="513" t="s">
        <v>158</v>
      </c>
      <c r="H30" s="546">
        <v>22</v>
      </c>
    </row>
    <row r="31" spans="1:8" ht="29.1" customHeight="1">
      <c r="A31" s="524">
        <v>23</v>
      </c>
      <c r="B31" s="487" t="s">
        <v>159</v>
      </c>
      <c r="C31" s="129">
        <v>3573</v>
      </c>
      <c r="D31" s="548">
        <v>8337</v>
      </c>
      <c r="E31" s="548">
        <f t="shared" si="0"/>
        <v>11910</v>
      </c>
      <c r="F31" s="130">
        <v>72</v>
      </c>
      <c r="G31" s="516" t="s">
        <v>160</v>
      </c>
      <c r="H31" s="447">
        <v>23</v>
      </c>
    </row>
    <row r="32" spans="1:8" ht="29.1" customHeight="1">
      <c r="A32" s="533">
        <v>24</v>
      </c>
      <c r="B32" s="486" t="s">
        <v>161</v>
      </c>
      <c r="C32" s="542">
        <v>2060</v>
      </c>
      <c r="D32" s="543">
        <v>4809</v>
      </c>
      <c r="E32" s="543">
        <f t="shared" si="0"/>
        <v>6869</v>
      </c>
      <c r="F32" s="545">
        <v>30</v>
      </c>
      <c r="G32" s="513" t="s">
        <v>162</v>
      </c>
      <c r="H32" s="546">
        <v>24</v>
      </c>
    </row>
    <row r="33" spans="1:10" ht="29.1" customHeight="1">
      <c r="A33" s="524">
        <v>25</v>
      </c>
      <c r="B33" s="485" t="s">
        <v>163</v>
      </c>
      <c r="C33" s="129">
        <v>950</v>
      </c>
      <c r="D33" s="548">
        <v>2218</v>
      </c>
      <c r="E33" s="548">
        <f t="shared" si="0"/>
        <v>3168</v>
      </c>
      <c r="F33" s="130">
        <v>47</v>
      </c>
      <c r="G33" s="516" t="s">
        <v>164</v>
      </c>
      <c r="H33" s="447">
        <v>25</v>
      </c>
    </row>
    <row r="34" spans="1:10" ht="29.1" customHeight="1">
      <c r="A34" s="658">
        <v>26</v>
      </c>
      <c r="B34" s="725" t="s">
        <v>427</v>
      </c>
      <c r="C34" s="727">
        <v>1453</v>
      </c>
      <c r="D34" s="728">
        <v>3393</v>
      </c>
      <c r="E34" s="728">
        <f>D34+C34</f>
        <v>4846</v>
      </c>
      <c r="F34" s="730">
        <v>30</v>
      </c>
      <c r="G34" s="513" t="s">
        <v>595</v>
      </c>
      <c r="H34" s="713">
        <v>26</v>
      </c>
      <c r="I34" s="41"/>
      <c r="J34" s="42"/>
    </row>
    <row r="35" spans="1:10" ht="29.1" customHeight="1">
      <c r="A35" s="658"/>
      <c r="B35" s="725"/>
      <c r="C35" s="727"/>
      <c r="D35" s="728"/>
      <c r="E35" s="728"/>
      <c r="F35" s="730"/>
      <c r="G35" s="391" t="s">
        <v>596</v>
      </c>
      <c r="H35" s="713"/>
      <c r="I35" s="41"/>
      <c r="J35" s="42"/>
    </row>
    <row r="36" spans="1:10" ht="29.1" customHeight="1">
      <c r="A36" s="668">
        <v>27</v>
      </c>
      <c r="B36" s="726" t="s">
        <v>418</v>
      </c>
      <c r="C36" s="729">
        <v>1472</v>
      </c>
      <c r="D36" s="716">
        <v>3435</v>
      </c>
      <c r="E36" s="715">
        <f>D36+C36</f>
        <v>4907</v>
      </c>
      <c r="F36" s="714">
        <v>30</v>
      </c>
      <c r="G36" s="444" t="s">
        <v>428</v>
      </c>
      <c r="H36" s="668">
        <v>27</v>
      </c>
      <c r="I36" s="41"/>
      <c r="J36" s="42"/>
    </row>
    <row r="37" spans="1:10" ht="29.1" customHeight="1">
      <c r="A37" s="672"/>
      <c r="B37" s="726"/>
      <c r="C37" s="729"/>
      <c r="D37" s="716"/>
      <c r="E37" s="715"/>
      <c r="F37" s="714"/>
      <c r="G37" s="444" t="s">
        <v>597</v>
      </c>
      <c r="H37" s="672"/>
      <c r="I37" s="41"/>
      <c r="J37" s="42"/>
    </row>
    <row r="38" spans="1:10" ht="24.75" customHeight="1">
      <c r="A38" s="709" t="s">
        <v>598</v>
      </c>
      <c r="B38" s="710"/>
      <c r="C38" s="710"/>
      <c r="D38" s="710"/>
      <c r="E38" s="711" t="s">
        <v>285</v>
      </c>
      <c r="F38" s="711"/>
      <c r="G38" s="711"/>
      <c r="H38" s="711"/>
      <c r="I38" s="41"/>
      <c r="J38" s="42"/>
    </row>
    <row r="39" spans="1:10" ht="25.5" customHeight="1">
      <c r="A39" s="709"/>
      <c r="B39" s="709"/>
      <c r="C39" s="709"/>
      <c r="D39" s="709"/>
      <c r="E39" s="712"/>
      <c r="F39" s="712"/>
      <c r="G39" s="712"/>
      <c r="H39" s="712"/>
    </row>
    <row r="40" spans="1:10" ht="25.5" customHeight="1">
      <c r="A40" s="45"/>
      <c r="B40" s="618"/>
      <c r="C40" s="618"/>
      <c r="D40" s="618"/>
      <c r="E40" s="618"/>
      <c r="F40" s="618"/>
      <c r="G40" s="618"/>
      <c r="H40" s="619"/>
      <c r="I40" s="19"/>
      <c r="J40" s="53"/>
    </row>
    <row r="41" spans="1:10">
      <c r="J41" s="42"/>
    </row>
    <row r="42" spans="1:10">
      <c r="I42" s="41" t="s">
        <v>288</v>
      </c>
      <c r="J42" s="42"/>
    </row>
    <row r="43" spans="1:10">
      <c r="D43" s="718"/>
      <c r="E43" s="718"/>
      <c r="F43" s="718"/>
      <c r="I43" s="41"/>
      <c r="J43" s="42"/>
    </row>
    <row r="44" spans="1:10">
      <c r="D44" s="19"/>
      <c r="E44" s="19"/>
      <c r="F44" s="19"/>
      <c r="I44" s="12"/>
      <c r="J44" s="5"/>
    </row>
    <row r="45" spans="1:10">
      <c r="I45" s="19"/>
      <c r="J45" s="19"/>
    </row>
    <row r="46" spans="1:10">
      <c r="I46" s="12"/>
      <c r="J46" s="5"/>
    </row>
    <row r="47" spans="1:10">
      <c r="I47" s="12"/>
      <c r="J47" s="5"/>
    </row>
    <row r="48" spans="1:10">
      <c r="I48" s="12"/>
      <c r="J48" s="5"/>
    </row>
    <row r="49" spans="9:10">
      <c r="I49" s="19"/>
      <c r="J49" s="19"/>
    </row>
    <row r="50" spans="9:10">
      <c r="I50" s="12"/>
      <c r="J50" s="5"/>
    </row>
    <row r="51" spans="9:10">
      <c r="I51" s="19"/>
      <c r="J51" s="19"/>
    </row>
    <row r="52" spans="9:10">
      <c r="I52" s="12"/>
      <c r="J52" s="5"/>
    </row>
    <row r="53" spans="9:10">
      <c r="I53" s="12"/>
      <c r="J53" s="5"/>
    </row>
    <row r="54" spans="9:10">
      <c r="I54" s="12"/>
      <c r="J54" s="5"/>
    </row>
    <row r="55" spans="9:10">
      <c r="I55" s="12"/>
      <c r="J55" s="5"/>
    </row>
    <row r="56" spans="9:10">
      <c r="I56" s="19"/>
      <c r="J56" s="19"/>
    </row>
    <row r="57" spans="9:10">
      <c r="I57" s="19"/>
      <c r="J57" s="19"/>
    </row>
  </sheetData>
  <mergeCells count="27">
    <mergeCell ref="A1:H1"/>
    <mergeCell ref="A2:H2"/>
    <mergeCell ref="A3:H3"/>
    <mergeCell ref="D43:F43"/>
    <mergeCell ref="B4:B7"/>
    <mergeCell ref="C4:E4"/>
    <mergeCell ref="G4:G7"/>
    <mergeCell ref="C5:E5"/>
    <mergeCell ref="F6:F7"/>
    <mergeCell ref="B34:B35"/>
    <mergeCell ref="B36:B37"/>
    <mergeCell ref="C34:C35"/>
    <mergeCell ref="D34:D35"/>
    <mergeCell ref="C36:C37"/>
    <mergeCell ref="E34:E35"/>
    <mergeCell ref="F34:F35"/>
    <mergeCell ref="A38:D39"/>
    <mergeCell ref="E38:H39"/>
    <mergeCell ref="A4:A7"/>
    <mergeCell ref="H4:H7"/>
    <mergeCell ref="H34:H35"/>
    <mergeCell ref="H36:H37"/>
    <mergeCell ref="A34:A35"/>
    <mergeCell ref="A36:A37"/>
    <mergeCell ref="F36:F37"/>
    <mergeCell ref="E36:E37"/>
    <mergeCell ref="D36:D37"/>
  </mergeCells>
  <pageMargins left="0.74803149606299213" right="0.74803149606299213" top="0.55118110236220474" bottom="0.77" header="0.31496062992125984" footer="0.31496062992125984"/>
  <pageSetup paperSize="9" scale="70" orientation="portrait" horizontalDpi="300" verticalDpi="300" r:id="rId1"/>
  <headerFooter>
    <oddFooter xml:space="preserve">&amp;L&amp;"Times New Roman,Bold"Afghanistan Statistical Yearbook 2017-18
&amp;R&amp;"Times New Roman,Bold"    سالنامۀ احصائیوی / احصا ئيوي کالنی  1396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1"/>
  <sheetViews>
    <sheetView view="pageBreakPreview" zoomScale="80" zoomScaleSheetLayoutView="80" workbookViewId="0">
      <selection sqref="A1:K21"/>
    </sheetView>
  </sheetViews>
  <sheetFormatPr defaultRowHeight="15.75"/>
  <cols>
    <col min="1" max="1" width="7.42578125" style="410" customWidth="1"/>
    <col min="2" max="2" width="23" customWidth="1"/>
    <col min="3" max="3" width="8.42578125" customWidth="1"/>
    <col min="4" max="4" width="8.5703125" customWidth="1"/>
    <col min="5" max="5" width="8.42578125" customWidth="1"/>
    <col min="6" max="6" width="7.42578125" customWidth="1"/>
    <col min="7" max="7" width="9.85546875" customWidth="1"/>
    <col min="8" max="8" width="8.42578125" customWidth="1"/>
    <col min="9" max="9" width="10.5703125" customWidth="1"/>
    <col min="10" max="10" width="26.5703125" customWidth="1"/>
    <col min="11" max="11" width="10.7109375" style="410" customWidth="1"/>
    <col min="14" max="14" width="18.42578125" customWidth="1"/>
  </cols>
  <sheetData>
    <row r="1" spans="1:22" ht="21.95" customHeight="1">
      <c r="A1" s="734" t="s">
        <v>568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</row>
    <row r="2" spans="1:22" ht="21.95" customHeight="1">
      <c r="A2" s="717" t="s">
        <v>569</v>
      </c>
      <c r="B2" s="717"/>
      <c r="C2" s="717"/>
      <c r="D2" s="717"/>
      <c r="E2" s="717"/>
      <c r="F2" s="717"/>
      <c r="G2" s="717"/>
      <c r="H2" s="717"/>
      <c r="I2" s="717"/>
      <c r="J2" s="717"/>
      <c r="K2" s="717"/>
    </row>
    <row r="3" spans="1:22" ht="28.5" customHeight="1">
      <c r="A3" s="735" t="s">
        <v>570</v>
      </c>
      <c r="B3" s="735"/>
      <c r="C3" s="735"/>
      <c r="D3" s="735"/>
      <c r="E3" s="735"/>
      <c r="F3" s="735"/>
      <c r="G3" s="735"/>
      <c r="H3" s="735"/>
      <c r="I3" s="735"/>
      <c r="J3" s="735"/>
      <c r="K3" s="735"/>
    </row>
    <row r="4" spans="1:22" ht="24.95" customHeight="1">
      <c r="A4" s="668" t="s">
        <v>633</v>
      </c>
      <c r="B4" s="740" t="s">
        <v>249</v>
      </c>
      <c r="C4" s="736" t="s">
        <v>165</v>
      </c>
      <c r="D4" s="737"/>
      <c r="E4" s="737"/>
      <c r="F4" s="736" t="s">
        <v>166</v>
      </c>
      <c r="G4" s="737"/>
      <c r="H4" s="737"/>
      <c r="I4" s="552" t="s">
        <v>135</v>
      </c>
      <c r="J4" s="742" t="s">
        <v>230</v>
      </c>
      <c r="K4" s="668" t="s">
        <v>632</v>
      </c>
    </row>
    <row r="5" spans="1:22" ht="24.95" customHeight="1">
      <c r="A5" s="668"/>
      <c r="B5" s="740"/>
      <c r="C5" s="740" t="s">
        <v>335</v>
      </c>
      <c r="D5" s="744"/>
      <c r="E5" s="744"/>
      <c r="F5" s="740" t="s">
        <v>334</v>
      </c>
      <c r="G5" s="744"/>
      <c r="H5" s="744"/>
      <c r="I5" s="738" t="s">
        <v>297</v>
      </c>
      <c r="J5" s="742"/>
      <c r="K5" s="668"/>
    </row>
    <row r="6" spans="1:22" ht="24.95" customHeight="1">
      <c r="A6" s="668"/>
      <c r="B6" s="740"/>
      <c r="C6" s="736" t="s">
        <v>229</v>
      </c>
      <c r="D6" s="737"/>
      <c r="E6" s="737"/>
      <c r="F6" s="736" t="s">
        <v>228</v>
      </c>
      <c r="G6" s="737"/>
      <c r="H6" s="737"/>
      <c r="I6" s="738"/>
      <c r="J6" s="742"/>
      <c r="K6" s="668"/>
    </row>
    <row r="7" spans="1:22" ht="24.95" customHeight="1">
      <c r="A7" s="668"/>
      <c r="B7" s="740"/>
      <c r="C7" s="398" t="s">
        <v>167</v>
      </c>
      <c r="D7" s="7" t="s">
        <v>168</v>
      </c>
      <c r="E7" s="72" t="s">
        <v>62</v>
      </c>
      <c r="F7" s="7" t="s">
        <v>167</v>
      </c>
      <c r="G7" s="399" t="s">
        <v>168</v>
      </c>
      <c r="H7" s="397" t="s">
        <v>62</v>
      </c>
      <c r="I7" s="738" t="s">
        <v>68</v>
      </c>
      <c r="J7" s="742"/>
      <c r="K7" s="668"/>
    </row>
    <row r="8" spans="1:22" ht="24.95" customHeight="1">
      <c r="A8" s="668"/>
      <c r="B8" s="740"/>
      <c r="C8" s="550" t="s">
        <v>301</v>
      </c>
      <c r="D8" s="552" t="s">
        <v>302</v>
      </c>
      <c r="E8" s="551" t="s">
        <v>297</v>
      </c>
      <c r="F8" s="552" t="s">
        <v>301</v>
      </c>
      <c r="G8" s="551" t="s">
        <v>302</v>
      </c>
      <c r="H8" s="550" t="s">
        <v>297</v>
      </c>
      <c r="I8" s="738"/>
      <c r="J8" s="742"/>
      <c r="K8" s="668"/>
    </row>
    <row r="9" spans="1:22" ht="24.95" customHeight="1">
      <c r="A9" s="672"/>
      <c r="B9" s="741"/>
      <c r="C9" s="555" t="s">
        <v>169</v>
      </c>
      <c r="D9" s="554" t="s">
        <v>170</v>
      </c>
      <c r="E9" s="454" t="s">
        <v>68</v>
      </c>
      <c r="F9" s="554" t="s">
        <v>169</v>
      </c>
      <c r="G9" s="454" t="s">
        <v>170</v>
      </c>
      <c r="H9" s="555" t="s">
        <v>68</v>
      </c>
      <c r="I9" s="739"/>
      <c r="J9" s="743"/>
      <c r="K9" s="672"/>
    </row>
    <row r="10" spans="1:22" ht="84.95" customHeight="1">
      <c r="A10" s="366"/>
      <c r="B10" s="348" t="s">
        <v>68</v>
      </c>
      <c r="C10" s="351">
        <f>C11+C12+C13+C14+C16+C17+C18+C19</f>
        <v>61164</v>
      </c>
      <c r="D10" s="352">
        <f>D11+D12+D13+D14+D15+D16+D17+D18+D19</f>
        <v>273067</v>
      </c>
      <c r="E10" s="349">
        <f>E11+E12+E13+E14+E15+E16+E17+E18+E19</f>
        <v>334231</v>
      </c>
      <c r="F10" s="352">
        <f>F11+F12+F13+F14+F16+F17+F18+F19+F20</f>
        <v>55878</v>
      </c>
      <c r="G10" s="352">
        <f>G11+G12+G13+G14+G15+G16+G17+G18+G19+G20</f>
        <v>176591</v>
      </c>
      <c r="H10" s="349">
        <f>H11+H12+H13+H14+H15+H16+H17+H18+H19+H20</f>
        <v>232469</v>
      </c>
      <c r="I10" s="349">
        <f>I11+I12+I13+I14+I15+I16+I17+I18+I19+I20</f>
        <v>566700</v>
      </c>
      <c r="J10" s="350" t="s">
        <v>510</v>
      </c>
      <c r="K10" s="367"/>
    </row>
    <row r="11" spans="1:22" ht="84.95" customHeight="1">
      <c r="A11" s="530">
        <v>1</v>
      </c>
      <c r="B11" s="164" t="s">
        <v>171</v>
      </c>
      <c r="C11" s="190">
        <v>45915</v>
      </c>
      <c r="D11" s="191">
        <v>107159</v>
      </c>
      <c r="E11" s="160">
        <f>D11+C11</f>
        <v>153074</v>
      </c>
      <c r="F11" s="191">
        <f>1472+1453+2340+948</f>
        <v>6213</v>
      </c>
      <c r="G11" s="191">
        <f>5463+2212+3393+3435</f>
        <v>14503</v>
      </c>
      <c r="H11" s="160">
        <f>G11+F11</f>
        <v>20716</v>
      </c>
      <c r="I11" s="160">
        <f>H11+E11</f>
        <v>173790</v>
      </c>
      <c r="J11" s="131" t="s">
        <v>511</v>
      </c>
      <c r="K11" s="531">
        <v>1</v>
      </c>
      <c r="N11">
        <f>52128-6213</f>
        <v>45915</v>
      </c>
      <c r="O11">
        <f>121662-14503</f>
        <v>107159</v>
      </c>
    </row>
    <row r="12" spans="1:22" ht="84.95" customHeight="1">
      <c r="A12" s="526">
        <v>2</v>
      </c>
      <c r="B12" s="395" t="s">
        <v>283</v>
      </c>
      <c r="C12" s="353">
        <v>308</v>
      </c>
      <c r="D12" s="354">
        <v>10673</v>
      </c>
      <c r="E12" s="355">
        <f t="shared" ref="E12" si="0">D12+C12</f>
        <v>10981</v>
      </c>
      <c r="F12" s="354">
        <v>762</v>
      </c>
      <c r="G12" s="354">
        <v>2519</v>
      </c>
      <c r="H12" s="355">
        <f t="shared" ref="H12" si="1">G12+F12</f>
        <v>3281</v>
      </c>
      <c r="I12" s="355">
        <f t="shared" ref="I12" si="2">H12+E12</f>
        <v>14262</v>
      </c>
      <c r="J12" s="392" t="s">
        <v>512</v>
      </c>
      <c r="K12" s="519">
        <v>2</v>
      </c>
    </row>
    <row r="13" spans="1:22" ht="84.95" customHeight="1">
      <c r="A13" s="530">
        <v>3</v>
      </c>
      <c r="B13" s="164" t="s">
        <v>172</v>
      </c>
      <c r="C13" s="190">
        <v>4375</v>
      </c>
      <c r="D13" s="191">
        <v>88355</v>
      </c>
      <c r="E13" s="160">
        <f t="shared" ref="E13" si="3">D13+C13</f>
        <v>92730</v>
      </c>
      <c r="F13" s="191">
        <v>1356</v>
      </c>
      <c r="G13" s="191">
        <v>19600</v>
      </c>
      <c r="H13" s="160">
        <f t="shared" ref="H13" si="4">G13+F13</f>
        <v>20956</v>
      </c>
      <c r="I13" s="160">
        <f t="shared" ref="I13" si="5">H13+E13</f>
        <v>113686</v>
      </c>
      <c r="J13" s="131" t="s">
        <v>513</v>
      </c>
      <c r="K13" s="531">
        <v>3</v>
      </c>
      <c r="M13" s="163"/>
      <c r="N13" s="162"/>
      <c r="O13" s="162"/>
      <c r="P13" s="162"/>
      <c r="Q13" s="162"/>
      <c r="R13" s="162"/>
      <c r="S13" s="162"/>
      <c r="T13" s="162"/>
      <c r="U13" s="134"/>
      <c r="V13" s="19"/>
    </row>
    <row r="14" spans="1:22" ht="84.95" customHeight="1">
      <c r="A14" s="526">
        <v>4</v>
      </c>
      <c r="B14" s="395" t="s">
        <v>173</v>
      </c>
      <c r="C14" s="353">
        <v>10338</v>
      </c>
      <c r="D14" s="354">
        <v>60560</v>
      </c>
      <c r="E14" s="355">
        <f t="shared" ref="E14" si="6">D14+C14</f>
        <v>70898</v>
      </c>
      <c r="F14" s="354">
        <v>17373</v>
      </c>
      <c r="G14" s="354">
        <v>80155</v>
      </c>
      <c r="H14" s="355">
        <f t="shared" ref="H14" si="7">G14+F14</f>
        <v>97528</v>
      </c>
      <c r="I14" s="355">
        <f t="shared" ref="I14" si="8">H14+E14</f>
        <v>168426</v>
      </c>
      <c r="J14" s="392" t="s">
        <v>514</v>
      </c>
      <c r="K14" s="519">
        <v>4</v>
      </c>
      <c r="M14" s="163"/>
      <c r="N14" s="162"/>
      <c r="O14" s="162"/>
      <c r="P14" s="162"/>
      <c r="Q14" s="162"/>
      <c r="R14" s="162"/>
      <c r="S14" s="162"/>
      <c r="T14" s="162"/>
      <c r="U14" s="134"/>
      <c r="V14" s="19"/>
    </row>
    <row r="15" spans="1:22" ht="84.95" customHeight="1">
      <c r="A15" s="530">
        <v>5</v>
      </c>
      <c r="B15" s="164" t="s">
        <v>174</v>
      </c>
      <c r="C15" s="190" t="s">
        <v>35</v>
      </c>
      <c r="D15" s="191">
        <v>23</v>
      </c>
      <c r="E15" s="160">
        <f>D15</f>
        <v>23</v>
      </c>
      <c r="F15" s="191" t="s">
        <v>35</v>
      </c>
      <c r="G15" s="191">
        <v>7</v>
      </c>
      <c r="H15" s="160">
        <f>G15</f>
        <v>7</v>
      </c>
      <c r="I15" s="160">
        <f t="shared" ref="I15" si="9">H15+E15</f>
        <v>30</v>
      </c>
      <c r="J15" s="131" t="s">
        <v>515</v>
      </c>
      <c r="K15" s="531">
        <v>5</v>
      </c>
      <c r="M15" s="19"/>
      <c r="N15" s="135"/>
      <c r="O15" s="19"/>
      <c r="P15" s="19"/>
      <c r="Q15" s="19"/>
      <c r="R15" s="19"/>
      <c r="S15" s="19"/>
      <c r="T15" s="19"/>
      <c r="U15" s="19"/>
      <c r="V15" s="19"/>
    </row>
    <row r="16" spans="1:22" ht="84.95" customHeight="1">
      <c r="A16" s="526">
        <v>6</v>
      </c>
      <c r="B16" s="395" t="s">
        <v>175</v>
      </c>
      <c r="C16" s="353">
        <v>25</v>
      </c>
      <c r="D16" s="354">
        <v>49</v>
      </c>
      <c r="E16" s="355">
        <f>D16+C16</f>
        <v>74</v>
      </c>
      <c r="F16" s="354">
        <v>19</v>
      </c>
      <c r="G16" s="354">
        <v>178</v>
      </c>
      <c r="H16" s="355">
        <f t="shared" ref="H16" si="10">G16+F16</f>
        <v>197</v>
      </c>
      <c r="I16" s="355">
        <f t="shared" ref="I16" si="11">H16+E16</f>
        <v>271</v>
      </c>
      <c r="J16" s="392" t="s">
        <v>516</v>
      </c>
      <c r="K16" s="519">
        <v>6</v>
      </c>
    </row>
    <row r="17" spans="1:14" ht="84.95" customHeight="1">
      <c r="A17" s="530">
        <v>7</v>
      </c>
      <c r="B17" s="515" t="s">
        <v>219</v>
      </c>
      <c r="C17" s="240">
        <v>200</v>
      </c>
      <c r="D17" s="241">
        <v>2200</v>
      </c>
      <c r="E17" s="160">
        <f t="shared" ref="E17" si="12">D17+C17</f>
        <v>2400</v>
      </c>
      <c r="F17" s="241">
        <v>100</v>
      </c>
      <c r="G17" s="241">
        <v>1000</v>
      </c>
      <c r="H17" s="160">
        <f t="shared" ref="H17" si="13">G17+F17</f>
        <v>1100</v>
      </c>
      <c r="I17" s="160">
        <f t="shared" ref="I17" si="14">H17+E17</f>
        <v>3500</v>
      </c>
      <c r="J17" s="529" t="s">
        <v>517</v>
      </c>
      <c r="K17" s="531">
        <v>7</v>
      </c>
      <c r="N17" s="23"/>
    </row>
    <row r="18" spans="1:14" ht="84.95" customHeight="1">
      <c r="A18" s="526">
        <v>8</v>
      </c>
      <c r="B18" s="395" t="s">
        <v>176</v>
      </c>
      <c r="C18" s="353">
        <v>2</v>
      </c>
      <c r="D18" s="354">
        <v>3848</v>
      </c>
      <c r="E18" s="355">
        <f t="shared" ref="E18" si="15">D18+C18</f>
        <v>3850</v>
      </c>
      <c r="F18" s="354">
        <v>3</v>
      </c>
      <c r="G18" s="354">
        <v>2900</v>
      </c>
      <c r="H18" s="355">
        <f t="shared" ref="H18" si="16">G18+F18</f>
        <v>2903</v>
      </c>
      <c r="I18" s="355">
        <f t="shared" ref="I18" si="17">H18+E18</f>
        <v>6753</v>
      </c>
      <c r="J18" s="392" t="s">
        <v>518</v>
      </c>
      <c r="K18" s="519">
        <v>8</v>
      </c>
    </row>
    <row r="19" spans="1:14" ht="84.95" customHeight="1">
      <c r="A19" s="530">
        <v>9</v>
      </c>
      <c r="B19" s="164" t="s">
        <v>177</v>
      </c>
      <c r="C19" s="192">
        <v>1</v>
      </c>
      <c r="D19" s="553">
        <v>200</v>
      </c>
      <c r="E19" s="160">
        <f>D19+C19</f>
        <v>201</v>
      </c>
      <c r="F19" s="538">
        <v>2</v>
      </c>
      <c r="G19" s="538">
        <v>100</v>
      </c>
      <c r="H19" s="160">
        <f t="shared" ref="H19" si="18">G19+F19</f>
        <v>102</v>
      </c>
      <c r="I19" s="160">
        <f t="shared" ref="I19" si="19">H19+E19</f>
        <v>303</v>
      </c>
      <c r="J19" s="131" t="s">
        <v>519</v>
      </c>
      <c r="K19" s="531">
        <v>9</v>
      </c>
    </row>
    <row r="20" spans="1:14" ht="84.95" customHeight="1">
      <c r="A20" s="373">
        <v>10</v>
      </c>
      <c r="B20" s="455" t="s">
        <v>417</v>
      </c>
      <c r="C20" s="357" t="s">
        <v>35</v>
      </c>
      <c r="D20" s="358" t="s">
        <v>35</v>
      </c>
      <c r="E20" s="356" t="s">
        <v>35</v>
      </c>
      <c r="F20" s="456">
        <v>30050</v>
      </c>
      <c r="G20" s="456">
        <v>55629</v>
      </c>
      <c r="H20" s="356">
        <f>G20+F20</f>
        <v>85679</v>
      </c>
      <c r="I20" s="356">
        <f>H20</f>
        <v>85679</v>
      </c>
      <c r="J20" s="457" t="s">
        <v>520</v>
      </c>
      <c r="K20" s="377">
        <v>10</v>
      </c>
    </row>
    <row r="21" spans="1:14" ht="39.950000000000003" customHeight="1">
      <c r="A21" s="732" t="s">
        <v>178</v>
      </c>
      <c r="B21" s="732"/>
      <c r="C21" s="732"/>
      <c r="D21" s="732"/>
      <c r="E21" s="733" t="s">
        <v>336</v>
      </c>
      <c r="F21" s="733"/>
      <c r="G21" s="733"/>
      <c r="H21" s="733"/>
      <c r="I21" s="731" t="s">
        <v>337</v>
      </c>
      <c r="J21" s="731"/>
      <c r="K21" s="731"/>
    </row>
  </sheetData>
  <dataConsolidate/>
  <mergeCells count="18">
    <mergeCell ref="F5:H5"/>
    <mergeCell ref="I5:I6"/>
    <mergeCell ref="I21:K21"/>
    <mergeCell ref="A21:D21"/>
    <mergeCell ref="E21:H21"/>
    <mergeCell ref="A1:K1"/>
    <mergeCell ref="A2:K2"/>
    <mergeCell ref="A3:K3"/>
    <mergeCell ref="K4:K9"/>
    <mergeCell ref="A4:A9"/>
    <mergeCell ref="F6:H6"/>
    <mergeCell ref="I7:I9"/>
    <mergeCell ref="B4:B9"/>
    <mergeCell ref="C4:E4"/>
    <mergeCell ref="F4:H4"/>
    <mergeCell ref="J4:J9"/>
    <mergeCell ref="C6:E6"/>
    <mergeCell ref="C5:E5"/>
  </mergeCells>
  <pageMargins left="0.59055118110236227" right="0.59055118110236227" top="0.43307086614173229" bottom="0.51181102362204722" header="0.31496062992125984" footer="0.31496062992125984"/>
  <pageSetup paperSize="9" scale="64" orientation="portrait" horizontalDpi="300" verticalDpi="300" r:id="rId1"/>
  <headerFooter>
    <oddFooter>&amp;L&amp;"Times New Roman,Bold"Afghanistan Statistical Yearbook 2017-18&amp;R&amp;"Times New Roman,Bold"   سالنامۀ احصائیوی / احصا ئيوي کالنی  1396</oddFooter>
  </headerFooter>
  <rowBreaks count="1" manualBreakCount="1">
    <brk id="21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60"/>
  <sheetViews>
    <sheetView view="pageBreakPreview" zoomScale="70" zoomScaleSheetLayoutView="70" workbookViewId="0">
      <selection sqref="A1:G23"/>
    </sheetView>
  </sheetViews>
  <sheetFormatPr defaultRowHeight="15.75"/>
  <cols>
    <col min="1" max="1" width="8.42578125" style="410" customWidth="1"/>
    <col min="2" max="2" width="21.140625" customWidth="1"/>
    <col min="3" max="3" width="15.7109375" customWidth="1"/>
    <col min="4" max="4" width="15.140625" customWidth="1"/>
    <col min="5" max="5" width="14" customWidth="1"/>
    <col min="6" max="6" width="22.42578125" customWidth="1"/>
    <col min="7" max="7" width="11" customWidth="1"/>
    <col min="8" max="8" width="21.5703125" customWidth="1"/>
    <col min="9" max="9" width="15.85546875" style="410" customWidth="1"/>
    <col min="19" max="19" width="14.140625" customWidth="1"/>
    <col min="20" max="21" width="15.140625" customWidth="1"/>
    <col min="22" max="22" width="23.85546875" customWidth="1"/>
    <col min="24" max="24" width="20.140625" customWidth="1"/>
    <col min="26" max="26" width="11.5703125" bestFit="1" customWidth="1"/>
  </cols>
  <sheetData>
    <row r="1" spans="1:24" ht="30" customHeight="1">
      <c r="A1" s="705" t="s">
        <v>410</v>
      </c>
      <c r="B1" s="705"/>
      <c r="C1" s="705"/>
      <c r="D1" s="705"/>
      <c r="E1" s="705"/>
      <c r="F1" s="705"/>
      <c r="G1" s="705"/>
      <c r="I1"/>
    </row>
    <row r="2" spans="1:24" ht="30" customHeight="1">
      <c r="A2" s="705" t="s">
        <v>437</v>
      </c>
      <c r="B2" s="705"/>
      <c r="C2" s="705"/>
      <c r="D2" s="705"/>
      <c r="E2" s="705"/>
      <c r="F2" s="705"/>
      <c r="G2" s="705"/>
      <c r="I2"/>
    </row>
    <row r="3" spans="1:24" ht="30" customHeight="1">
      <c r="A3" s="705" t="s">
        <v>636</v>
      </c>
      <c r="B3" s="705"/>
      <c r="C3" s="705"/>
      <c r="D3" s="705"/>
      <c r="E3" s="705"/>
      <c r="F3" s="705"/>
      <c r="G3" s="705"/>
      <c r="I3"/>
      <c r="S3" s="14"/>
      <c r="T3" s="14"/>
      <c r="U3" s="14"/>
      <c r="V3" s="14"/>
      <c r="W3" s="14"/>
      <c r="X3" s="14"/>
    </row>
    <row r="4" spans="1:24" ht="30" customHeight="1">
      <c r="A4" s="671" t="s">
        <v>633</v>
      </c>
      <c r="B4" s="745" t="s">
        <v>184</v>
      </c>
      <c r="C4" s="525">
        <v>1396</v>
      </c>
      <c r="D4" s="525">
        <v>1395</v>
      </c>
      <c r="E4" s="525">
        <v>1394</v>
      </c>
      <c r="F4" s="556" t="s">
        <v>185</v>
      </c>
      <c r="G4" s="666" t="s">
        <v>632</v>
      </c>
      <c r="I4"/>
      <c r="L4">
        <f>C6-D6</f>
        <v>-705</v>
      </c>
      <c r="N4" s="8"/>
      <c r="O4" s="8"/>
      <c r="P4" s="8"/>
      <c r="S4" s="17"/>
      <c r="T4" s="17"/>
      <c r="U4" s="17"/>
      <c r="W4" s="17"/>
      <c r="X4" s="14"/>
    </row>
    <row r="5" spans="1:24" ht="30" customHeight="1">
      <c r="A5" s="672"/>
      <c r="B5" s="746"/>
      <c r="C5" s="458" t="s">
        <v>561</v>
      </c>
      <c r="D5" s="458" t="s">
        <v>459</v>
      </c>
      <c r="E5" s="458" t="s">
        <v>449</v>
      </c>
      <c r="F5" s="557" t="s">
        <v>303</v>
      </c>
      <c r="G5" s="749"/>
      <c r="H5" s="19"/>
      <c r="I5"/>
      <c r="L5" s="20">
        <f>C6/D6*100-100</f>
        <v>-3.3754668198793496</v>
      </c>
      <c r="S5" s="14"/>
      <c r="T5" s="14"/>
      <c r="U5" s="14"/>
      <c r="V5" s="14"/>
      <c r="W5" s="14"/>
      <c r="X5" s="15"/>
    </row>
    <row r="6" spans="1:24" ht="48" customHeight="1">
      <c r="A6" s="366"/>
      <c r="B6" s="263" t="s">
        <v>186</v>
      </c>
      <c r="C6" s="336">
        <f>C7+C8+C9+C10+C11+C12+C13+C16+C17+C18+C19+C20+C21+C22</f>
        <v>20181</v>
      </c>
      <c r="D6" s="337">
        <f>D7+D8+D9+D10+D11+D12+D13+D16+D17+D18+D19+D20+D21+D22</f>
        <v>20886</v>
      </c>
      <c r="E6" s="338">
        <f>E7+E8+E9+E10+E11+E12+E13+E16+E17+E18+E19+E20+E21+E22</f>
        <v>28026</v>
      </c>
      <c r="F6" s="266" t="s">
        <v>338</v>
      </c>
      <c r="G6" s="367"/>
      <c r="H6" s="19"/>
      <c r="K6">
        <v>549</v>
      </c>
      <c r="S6" s="14"/>
      <c r="T6" s="14"/>
      <c r="U6" s="14"/>
      <c r="V6" s="14"/>
      <c r="W6" s="14"/>
      <c r="X6" s="15"/>
    </row>
    <row r="7" spans="1:24" ht="48" customHeight="1">
      <c r="A7" s="524">
        <v>1</v>
      </c>
      <c r="B7" s="83" t="s">
        <v>187</v>
      </c>
      <c r="C7" s="126">
        <v>2515</v>
      </c>
      <c r="D7" s="127">
        <f>671+475+606+537</f>
        <v>2289</v>
      </c>
      <c r="E7" s="128">
        <v>3367</v>
      </c>
      <c r="F7" s="84" t="s">
        <v>339</v>
      </c>
      <c r="G7" s="524">
        <v>1</v>
      </c>
      <c r="H7" s="19"/>
      <c r="K7">
        <v>905</v>
      </c>
      <c r="L7" s="26"/>
      <c r="P7" s="43" t="s">
        <v>279</v>
      </c>
      <c r="Q7" s="43" t="s">
        <v>305</v>
      </c>
      <c r="R7" s="43" t="s">
        <v>414</v>
      </c>
      <c r="S7" s="14"/>
      <c r="T7" s="14"/>
      <c r="U7" s="14"/>
      <c r="V7" s="14"/>
      <c r="W7" s="14"/>
      <c r="X7" s="15"/>
    </row>
    <row r="8" spans="1:24" ht="48" customHeight="1">
      <c r="A8" s="533">
        <v>2</v>
      </c>
      <c r="B8" s="267" t="s">
        <v>188</v>
      </c>
      <c r="C8" s="339">
        <v>312</v>
      </c>
      <c r="D8" s="340">
        <f>118+81+9+134</f>
        <v>342</v>
      </c>
      <c r="E8" s="341">
        <v>270</v>
      </c>
      <c r="F8" s="268" t="s">
        <v>340</v>
      </c>
      <c r="G8" s="533">
        <v>2</v>
      </c>
      <c r="H8" s="19"/>
      <c r="K8">
        <f>SUM(K6:K7)</f>
        <v>1454</v>
      </c>
      <c r="P8" s="44" t="s">
        <v>280</v>
      </c>
      <c r="Q8" s="44" t="s">
        <v>304</v>
      </c>
      <c r="R8" s="44" t="s">
        <v>413</v>
      </c>
      <c r="S8" s="14"/>
      <c r="T8" s="14"/>
      <c r="U8" s="14"/>
      <c r="V8" s="14"/>
      <c r="W8" s="14"/>
      <c r="X8" s="15"/>
    </row>
    <row r="9" spans="1:24" ht="48" customHeight="1">
      <c r="A9" s="524">
        <v>3</v>
      </c>
      <c r="B9" s="83" t="s">
        <v>189</v>
      </c>
      <c r="C9" s="126">
        <v>185</v>
      </c>
      <c r="D9" s="127">
        <f>67+60+61+41</f>
        <v>229</v>
      </c>
      <c r="E9" s="128">
        <v>380</v>
      </c>
      <c r="F9" s="84" t="s">
        <v>341</v>
      </c>
      <c r="G9" s="524">
        <v>3</v>
      </c>
      <c r="H9" s="19"/>
      <c r="K9">
        <v>33</v>
      </c>
      <c r="L9" s="51"/>
      <c r="P9" s="45">
        <v>6929</v>
      </c>
      <c r="Q9" s="45">
        <v>15593</v>
      </c>
      <c r="R9" s="45">
        <v>27122</v>
      </c>
      <c r="S9" s="14"/>
      <c r="T9" s="14"/>
      <c r="U9" s="14"/>
      <c r="V9" s="14"/>
      <c r="W9" s="14"/>
      <c r="X9" s="15"/>
    </row>
    <row r="10" spans="1:24" ht="48" customHeight="1">
      <c r="A10" s="533">
        <v>4</v>
      </c>
      <c r="B10" s="267" t="s">
        <v>190</v>
      </c>
      <c r="C10" s="342">
        <v>3593</v>
      </c>
      <c r="D10" s="343">
        <f>1078+1277+1117+1397</f>
        <v>4869</v>
      </c>
      <c r="E10" s="341">
        <v>4071</v>
      </c>
      <c r="F10" s="268" t="s">
        <v>342</v>
      </c>
      <c r="G10" s="533">
        <v>4</v>
      </c>
      <c r="H10" s="19"/>
      <c r="K10">
        <f>SUM(K8:K9)</f>
        <v>1487</v>
      </c>
      <c r="S10" s="14"/>
      <c r="T10" s="14"/>
      <c r="U10" s="14"/>
      <c r="V10" s="14"/>
      <c r="W10" s="14"/>
      <c r="X10" s="15"/>
    </row>
    <row r="11" spans="1:24" ht="48" customHeight="1">
      <c r="A11" s="524">
        <v>5</v>
      </c>
      <c r="B11" s="83" t="s">
        <v>191</v>
      </c>
      <c r="C11" s="126">
        <v>10</v>
      </c>
      <c r="D11" s="127">
        <f>5+4+6+3</f>
        <v>18</v>
      </c>
      <c r="E11" s="128">
        <v>44</v>
      </c>
      <c r="F11" s="84" t="s">
        <v>192</v>
      </c>
      <c r="G11" s="524">
        <v>5</v>
      </c>
      <c r="H11" s="19"/>
      <c r="S11" s="14"/>
      <c r="T11" s="14"/>
      <c r="U11" s="14"/>
      <c r="V11" s="14"/>
      <c r="W11" s="14"/>
      <c r="X11" s="15"/>
    </row>
    <row r="12" spans="1:24" ht="48" customHeight="1">
      <c r="A12" s="533">
        <v>6</v>
      </c>
      <c r="B12" s="297" t="s">
        <v>250</v>
      </c>
      <c r="C12" s="339">
        <v>11</v>
      </c>
      <c r="D12" s="340">
        <f>2+2+4+6</f>
        <v>14</v>
      </c>
      <c r="E12" s="341">
        <v>389</v>
      </c>
      <c r="F12" s="268" t="s">
        <v>343</v>
      </c>
      <c r="G12" s="533">
        <v>6</v>
      </c>
      <c r="H12" s="19"/>
      <c r="S12" s="14"/>
      <c r="T12" s="14"/>
      <c r="U12" s="14"/>
      <c r="V12" s="14"/>
      <c r="W12" s="14"/>
      <c r="X12" s="15"/>
    </row>
    <row r="13" spans="1:24" ht="48" customHeight="1">
      <c r="A13" s="524">
        <v>7</v>
      </c>
      <c r="B13" s="40" t="s">
        <v>193</v>
      </c>
      <c r="C13" s="126">
        <f>C14+C15</f>
        <v>1270</v>
      </c>
      <c r="D13" s="127">
        <f>258+228+319+390</f>
        <v>1195</v>
      </c>
      <c r="E13" s="128">
        <f>E14+E15</f>
        <v>1492</v>
      </c>
      <c r="F13" s="84" t="s">
        <v>194</v>
      </c>
      <c r="G13" s="524">
        <v>7</v>
      </c>
      <c r="H13" s="19"/>
      <c r="M13" s="9"/>
      <c r="N13" s="8"/>
      <c r="S13" s="14"/>
      <c r="T13" s="14"/>
      <c r="U13" s="14"/>
      <c r="V13" s="14"/>
      <c r="W13" s="14"/>
      <c r="X13" s="15"/>
    </row>
    <row r="14" spans="1:24" ht="48" customHeight="1">
      <c r="A14" s="533">
        <v>8</v>
      </c>
      <c r="B14" s="267" t="s">
        <v>195</v>
      </c>
      <c r="C14" s="339">
        <v>202</v>
      </c>
      <c r="D14" s="340">
        <f>40+41+40+45</f>
        <v>166</v>
      </c>
      <c r="E14" s="341">
        <v>207</v>
      </c>
      <c r="F14" s="268" t="s">
        <v>344</v>
      </c>
      <c r="G14" s="533">
        <v>8</v>
      </c>
      <c r="H14" s="19"/>
      <c r="S14" s="14"/>
      <c r="T14" s="14"/>
      <c r="U14" s="14"/>
      <c r="V14" s="14"/>
      <c r="W14" s="14"/>
      <c r="X14" s="15"/>
    </row>
    <row r="15" spans="1:24" ht="48" customHeight="1">
      <c r="A15" s="524">
        <v>9</v>
      </c>
      <c r="B15" s="83" t="s">
        <v>196</v>
      </c>
      <c r="C15" s="126">
        <v>1068</v>
      </c>
      <c r="D15" s="127">
        <f>218+187+279+295</f>
        <v>979</v>
      </c>
      <c r="E15" s="128">
        <v>1285</v>
      </c>
      <c r="F15" s="84" t="s">
        <v>599</v>
      </c>
      <c r="G15" s="524">
        <v>9</v>
      </c>
      <c r="H15" s="19"/>
      <c r="S15" s="14"/>
      <c r="T15" s="14"/>
      <c r="U15" s="14"/>
      <c r="V15" s="14"/>
      <c r="W15" s="14"/>
      <c r="X15" s="15"/>
    </row>
    <row r="16" spans="1:24" ht="48" customHeight="1">
      <c r="A16" s="533">
        <v>10</v>
      </c>
      <c r="B16" s="267" t="s">
        <v>197</v>
      </c>
      <c r="C16" s="339">
        <v>19</v>
      </c>
      <c r="D16" s="340">
        <f>12+13+10+9</f>
        <v>44</v>
      </c>
      <c r="E16" s="341">
        <v>59</v>
      </c>
      <c r="F16" s="268" t="s">
        <v>346</v>
      </c>
      <c r="G16" s="533">
        <v>10</v>
      </c>
      <c r="H16" s="19"/>
      <c r="S16" s="14"/>
      <c r="T16" s="14"/>
      <c r="U16" s="14"/>
      <c r="V16" s="14"/>
      <c r="W16" s="14"/>
      <c r="X16" s="15"/>
    </row>
    <row r="17" spans="1:26" ht="48" customHeight="1">
      <c r="A17" s="524">
        <v>11</v>
      </c>
      <c r="B17" s="83" t="s">
        <v>198</v>
      </c>
      <c r="C17" s="126">
        <v>184</v>
      </c>
      <c r="D17" s="127">
        <f>16+47+35+23</f>
        <v>121</v>
      </c>
      <c r="E17" s="128">
        <v>173</v>
      </c>
      <c r="F17" s="84" t="s">
        <v>347</v>
      </c>
      <c r="G17" s="524">
        <v>11</v>
      </c>
      <c r="H17" s="19"/>
      <c r="S17" s="14"/>
      <c r="T17" s="14"/>
      <c r="U17" s="14"/>
      <c r="V17" s="14"/>
      <c r="W17" s="14"/>
      <c r="X17" s="15"/>
    </row>
    <row r="18" spans="1:26" ht="48" customHeight="1">
      <c r="A18" s="533">
        <v>12</v>
      </c>
      <c r="B18" s="267" t="s">
        <v>199</v>
      </c>
      <c r="C18" s="342">
        <v>3334</v>
      </c>
      <c r="D18" s="343">
        <f>915+1006+848+725</f>
        <v>3494</v>
      </c>
      <c r="E18" s="344">
        <v>6217</v>
      </c>
      <c r="F18" s="268" t="s">
        <v>348</v>
      </c>
      <c r="G18" s="533">
        <v>12</v>
      </c>
      <c r="H18" s="19"/>
      <c r="S18" s="14"/>
      <c r="T18" s="14"/>
      <c r="U18" s="14"/>
      <c r="V18" s="14"/>
      <c r="W18" s="14"/>
      <c r="X18" s="15"/>
    </row>
    <row r="19" spans="1:26" ht="48" customHeight="1">
      <c r="A19" s="524">
        <v>13</v>
      </c>
      <c r="B19" s="83" t="s">
        <v>201</v>
      </c>
      <c r="C19" s="126">
        <v>23</v>
      </c>
      <c r="D19" s="127">
        <f>3+3+4+4</f>
        <v>14</v>
      </c>
      <c r="E19" s="128">
        <v>119</v>
      </c>
      <c r="F19" s="84" t="s">
        <v>350</v>
      </c>
      <c r="G19" s="524">
        <v>13</v>
      </c>
      <c r="H19" s="19"/>
      <c r="S19" s="14"/>
      <c r="T19" s="14"/>
      <c r="U19" s="14"/>
      <c r="V19" s="14"/>
      <c r="W19" s="14"/>
      <c r="X19" s="15"/>
    </row>
    <row r="20" spans="1:26" ht="48" customHeight="1">
      <c r="A20" s="533">
        <v>14</v>
      </c>
      <c r="B20" s="267" t="s">
        <v>202</v>
      </c>
      <c r="C20" s="339">
        <v>405</v>
      </c>
      <c r="D20" s="340">
        <f>92+113+87+84</f>
        <v>376</v>
      </c>
      <c r="E20" s="341">
        <v>792</v>
      </c>
      <c r="F20" s="268" t="s">
        <v>203</v>
      </c>
      <c r="G20" s="533">
        <v>14</v>
      </c>
      <c r="H20" s="19"/>
      <c r="S20" s="14"/>
      <c r="U20" s="14"/>
      <c r="V20" s="14"/>
      <c r="W20" s="14"/>
      <c r="X20" s="16"/>
    </row>
    <row r="21" spans="1:26" ht="48" customHeight="1">
      <c r="A21" s="524">
        <v>15</v>
      </c>
      <c r="B21" s="83" t="s">
        <v>204</v>
      </c>
      <c r="C21" s="126">
        <v>272</v>
      </c>
      <c r="D21" s="127">
        <f>45+58+66+125</f>
        <v>294</v>
      </c>
      <c r="E21" s="128">
        <v>310</v>
      </c>
      <c r="F21" s="84" t="s">
        <v>205</v>
      </c>
      <c r="G21" s="524">
        <v>15</v>
      </c>
      <c r="H21" s="19"/>
      <c r="S21" s="14"/>
      <c r="T21" s="14"/>
      <c r="U21" s="14"/>
      <c r="V21" s="14"/>
      <c r="W21" s="14"/>
      <c r="X21" s="17"/>
    </row>
    <row r="22" spans="1:26" ht="48" customHeight="1">
      <c r="A22" s="481">
        <v>16</v>
      </c>
      <c r="B22" s="334" t="s">
        <v>206</v>
      </c>
      <c r="C22" s="345">
        <v>8048</v>
      </c>
      <c r="D22" s="346">
        <f>1787+2099+1821+1772+65+43</f>
        <v>7587</v>
      </c>
      <c r="E22" s="347">
        <v>10343</v>
      </c>
      <c r="F22" s="272" t="s">
        <v>351</v>
      </c>
      <c r="G22" s="481">
        <v>16</v>
      </c>
      <c r="H22" s="19"/>
      <c r="U22" s="14"/>
      <c r="V22" s="14"/>
      <c r="W22" s="14"/>
      <c r="X22" s="14"/>
    </row>
    <row r="23" spans="1:26" ht="48" customHeight="1">
      <c r="A23" s="748" t="s">
        <v>207</v>
      </c>
      <c r="B23" s="748"/>
      <c r="C23" s="748"/>
      <c r="D23" s="747" t="s">
        <v>306</v>
      </c>
      <c r="E23" s="747"/>
      <c r="F23" s="731" t="s">
        <v>208</v>
      </c>
      <c r="G23" s="731"/>
      <c r="H23" s="103"/>
      <c r="I23" s="425"/>
      <c r="K23" s="83" t="s">
        <v>200</v>
      </c>
      <c r="L23" s="122">
        <v>1182</v>
      </c>
      <c r="M23" s="5">
        <v>1347</v>
      </c>
      <c r="N23" s="121">
        <v>2094</v>
      </c>
      <c r="O23" s="84" t="s">
        <v>349</v>
      </c>
      <c r="Z23" s="13" t="e">
        <f>S21+T21+#REF!</f>
        <v>#REF!</v>
      </c>
    </row>
    <row r="25" spans="1:26">
      <c r="E25" s="2"/>
      <c r="F25" s="19"/>
    </row>
    <row r="26" spans="1:26">
      <c r="E26" s="2"/>
      <c r="F26" s="19"/>
    </row>
    <row r="27" spans="1:26">
      <c r="E27" s="2"/>
      <c r="F27" s="19"/>
    </row>
    <row r="28" spans="1:26">
      <c r="E28" s="2"/>
      <c r="F28" s="19"/>
    </row>
    <row r="29" spans="1:26">
      <c r="E29" s="2"/>
      <c r="F29" s="19"/>
    </row>
    <row r="30" spans="1:26">
      <c r="E30" s="19"/>
      <c r="F30" s="19"/>
    </row>
    <row r="31" spans="1:26">
      <c r="E31" s="19"/>
      <c r="F31" s="19"/>
    </row>
    <row r="32" spans="1:26">
      <c r="E32" s="46"/>
      <c r="F32" s="4"/>
    </row>
    <row r="33" spans="4:19" ht="31.5">
      <c r="E33" s="46"/>
      <c r="F33" s="4"/>
      <c r="N33" s="217">
        <f>N34+N35+N36+N37+N38+N39+N41+N42+N43+N44+N45+N46+N48+N49+N50+N51</f>
        <v>5035</v>
      </c>
      <c r="O33" s="217">
        <f>O34+O35+O36+O37+O38+O39+O41+O42+O43+O44+O45+O47+O48+O49+O50+O51</f>
        <v>4938</v>
      </c>
      <c r="P33" s="214">
        <f>P34+P35+P36+P37+P41+P42+P43+P44+P45+P47+P48+P49+P50+P51</f>
        <v>5468</v>
      </c>
      <c r="Q33" s="210">
        <f>Q34+Q35+Q36+Q37+Q38+Q39+Q40+Q41+Q42+Q43+Q44+Q45+Q47+Q48+Q49+Q50+Q51</f>
        <v>5047</v>
      </c>
      <c r="R33" s="234" t="s">
        <v>354</v>
      </c>
      <c r="S33">
        <f>Q33+P33+O33+N33</f>
        <v>20488</v>
      </c>
    </row>
    <row r="34" spans="4:19" ht="31.5">
      <c r="E34" s="46"/>
      <c r="F34" s="4"/>
      <c r="N34" s="219">
        <v>566</v>
      </c>
      <c r="O34" s="219">
        <v>600</v>
      </c>
      <c r="P34" s="215">
        <v>709</v>
      </c>
      <c r="Q34" s="211">
        <v>640</v>
      </c>
      <c r="R34" s="235" t="s">
        <v>583</v>
      </c>
      <c r="S34" s="232">
        <f t="shared" ref="S34:S51" si="0">Q34+P34+O34+N34</f>
        <v>2515</v>
      </c>
    </row>
    <row r="35" spans="4:19">
      <c r="E35" s="46"/>
      <c r="F35" s="223">
        <f>F36+F37+F38+F39+F40+F41+F43+F44+F45+F46+F47+F48+F50+F51+F52+F53</f>
        <v>5025</v>
      </c>
      <c r="I35" s="218">
        <f>I36+I37+I38+I39+I40+I41+I43+I44+I45+I46+I47+I49+I50+I51+I52+I53</f>
        <v>4989</v>
      </c>
      <c r="J35" s="214">
        <f>J36+J37+J38+J39+J40+J41+J43+J44+J45+J46+J47+J49+J50+J51+J52+J53</f>
        <v>5746</v>
      </c>
      <c r="K35" s="210">
        <f>K36+K37+K38+K39+K40+K41+K42+K43+K44+K45+K46+K47+K49+K50+K51+K52+K53</f>
        <v>5311</v>
      </c>
      <c r="L35" s="232">
        <f>K35+J35+I35+F35</f>
        <v>21071</v>
      </c>
      <c r="N35" s="219">
        <v>48</v>
      </c>
      <c r="O35" s="219">
        <v>71</v>
      </c>
      <c r="P35" s="215">
        <v>104</v>
      </c>
      <c r="Q35" s="211">
        <v>89</v>
      </c>
      <c r="R35" s="236" t="s">
        <v>340</v>
      </c>
      <c r="S35" s="232">
        <f t="shared" si="0"/>
        <v>312</v>
      </c>
    </row>
    <row r="36" spans="4:19">
      <c r="E36" s="46"/>
      <c r="F36" s="224">
        <v>475</v>
      </c>
      <c r="G36" s="218">
        <f>G37+G38+G39+G40+G41+G42+G44+G45+G46+G47+G48+G49+G50+G51+G52+G53</f>
        <v>4989</v>
      </c>
      <c r="I36" s="220">
        <v>475</v>
      </c>
      <c r="J36" s="215">
        <v>671</v>
      </c>
      <c r="K36" s="211">
        <v>606</v>
      </c>
      <c r="L36" s="232">
        <f t="shared" ref="L36:L53" si="1">K36+J36+I36+F36</f>
        <v>2227</v>
      </c>
      <c r="N36" s="219">
        <v>53</v>
      </c>
      <c r="O36" s="219">
        <v>43</v>
      </c>
      <c r="P36" s="215">
        <v>48</v>
      </c>
      <c r="Q36" s="211">
        <v>41</v>
      </c>
      <c r="R36" s="236" t="s">
        <v>341</v>
      </c>
      <c r="S36" s="232">
        <f t="shared" si="0"/>
        <v>185</v>
      </c>
    </row>
    <row r="37" spans="4:19">
      <c r="E37" s="46"/>
      <c r="F37" s="224">
        <v>35</v>
      </c>
      <c r="G37" s="220">
        <v>475</v>
      </c>
      <c r="I37" s="220">
        <v>90</v>
      </c>
      <c r="J37" s="215">
        <v>81</v>
      </c>
      <c r="K37" s="211">
        <v>118</v>
      </c>
      <c r="L37" s="232">
        <f t="shared" si="1"/>
        <v>324</v>
      </c>
      <c r="N37" s="219">
        <v>838</v>
      </c>
      <c r="O37" s="219">
        <v>889</v>
      </c>
      <c r="P37" s="215">
        <v>971</v>
      </c>
      <c r="Q37" s="211">
        <v>895</v>
      </c>
      <c r="R37" s="236" t="s">
        <v>342</v>
      </c>
      <c r="S37" s="232">
        <f t="shared" si="0"/>
        <v>3593</v>
      </c>
    </row>
    <row r="38" spans="4:19">
      <c r="E38" s="46"/>
      <c r="F38" s="224">
        <v>49</v>
      </c>
      <c r="G38" s="220">
        <v>90</v>
      </c>
      <c r="I38" s="220">
        <v>61</v>
      </c>
      <c r="J38" s="215">
        <v>60</v>
      </c>
      <c r="K38" s="211">
        <v>67</v>
      </c>
      <c r="L38" s="232">
        <f t="shared" si="1"/>
        <v>237</v>
      </c>
      <c r="N38" s="219">
        <v>2</v>
      </c>
      <c r="O38" s="219">
        <v>2</v>
      </c>
      <c r="P38" s="215">
        <v>0</v>
      </c>
      <c r="Q38" s="211">
        <v>6</v>
      </c>
      <c r="R38" s="235" t="s">
        <v>584</v>
      </c>
      <c r="S38" s="232">
        <f t="shared" si="0"/>
        <v>10</v>
      </c>
    </row>
    <row r="39" spans="4:19" ht="63">
      <c r="E39" s="46"/>
      <c r="F39" s="224">
        <v>731</v>
      </c>
      <c r="G39" s="220">
        <v>61</v>
      </c>
      <c r="I39" s="220">
        <v>1117</v>
      </c>
      <c r="J39" s="215">
        <v>1277</v>
      </c>
      <c r="K39" s="211">
        <v>1129</v>
      </c>
      <c r="L39" s="232">
        <f t="shared" si="1"/>
        <v>4254</v>
      </c>
      <c r="N39" s="219">
        <v>4</v>
      </c>
      <c r="O39" s="219">
        <v>2</v>
      </c>
      <c r="P39" s="215">
        <v>0</v>
      </c>
      <c r="Q39" s="211">
        <v>5</v>
      </c>
      <c r="R39" s="237" t="s">
        <v>343</v>
      </c>
      <c r="S39" s="232">
        <f t="shared" si="0"/>
        <v>11</v>
      </c>
    </row>
    <row r="40" spans="4:19">
      <c r="D40">
        <f>5047+5468+4938+5035-307</f>
        <v>20181</v>
      </c>
      <c r="E40" s="46"/>
      <c r="F40" s="224">
        <v>2</v>
      </c>
      <c r="G40" s="220">
        <v>1117</v>
      </c>
      <c r="I40" s="220">
        <v>6</v>
      </c>
      <c r="J40" s="215">
        <v>4</v>
      </c>
      <c r="K40" s="211">
        <v>5</v>
      </c>
      <c r="L40" s="232">
        <f t="shared" si="1"/>
        <v>17</v>
      </c>
      <c r="N40" s="219">
        <v>254</v>
      </c>
      <c r="O40" s="219">
        <f>O41+O42</f>
        <v>337</v>
      </c>
      <c r="P40" s="215">
        <f>P41+P42</f>
        <v>368</v>
      </c>
      <c r="Q40" s="211">
        <f>Q41+Q42</f>
        <v>311</v>
      </c>
      <c r="R40" s="236" t="s">
        <v>194</v>
      </c>
      <c r="S40" s="232">
        <f t="shared" si="0"/>
        <v>1270</v>
      </c>
    </row>
    <row r="41" spans="4:19">
      <c r="E41" s="46"/>
      <c r="F41" s="224">
        <v>4</v>
      </c>
      <c r="G41" s="220">
        <v>6</v>
      </c>
      <c r="I41" s="220">
        <v>4</v>
      </c>
      <c r="J41" s="215">
        <v>2</v>
      </c>
      <c r="K41" s="211">
        <v>2</v>
      </c>
      <c r="L41" s="232">
        <f t="shared" si="1"/>
        <v>12</v>
      </c>
      <c r="N41" s="219">
        <v>36</v>
      </c>
      <c r="O41" s="219">
        <v>46</v>
      </c>
      <c r="P41" s="215">
        <v>64</v>
      </c>
      <c r="Q41" s="211">
        <v>56</v>
      </c>
      <c r="R41" s="236" t="s">
        <v>344</v>
      </c>
      <c r="S41" s="232">
        <f t="shared" si="0"/>
        <v>202</v>
      </c>
    </row>
    <row r="42" spans="4:19">
      <c r="E42" s="46"/>
      <c r="F42" s="224">
        <f>F43+F44</f>
        <v>196</v>
      </c>
      <c r="G42" s="220">
        <v>4</v>
      </c>
      <c r="I42" s="220">
        <f>I43+I44</f>
        <v>319</v>
      </c>
      <c r="J42" s="215">
        <f>J43+J44</f>
        <v>228</v>
      </c>
      <c r="K42" s="211">
        <f>K43+K44</f>
        <v>258</v>
      </c>
      <c r="L42" s="232">
        <f t="shared" si="1"/>
        <v>1001</v>
      </c>
      <c r="N42" s="219">
        <v>218</v>
      </c>
      <c r="O42" s="219">
        <v>291</v>
      </c>
      <c r="P42" s="215">
        <v>304</v>
      </c>
      <c r="Q42" s="211">
        <v>255</v>
      </c>
      <c r="R42" s="236" t="s">
        <v>345</v>
      </c>
      <c r="S42" s="232">
        <f t="shared" si="0"/>
        <v>1068</v>
      </c>
    </row>
    <row r="43" spans="4:19">
      <c r="E43" s="46"/>
      <c r="F43" s="224">
        <v>71</v>
      </c>
      <c r="G43" s="220">
        <f>G44+G45</f>
        <v>319</v>
      </c>
      <c r="I43" s="220">
        <v>40</v>
      </c>
      <c r="J43" s="215">
        <v>41</v>
      </c>
      <c r="K43" s="211">
        <v>40</v>
      </c>
      <c r="L43" s="232">
        <f t="shared" si="1"/>
        <v>192</v>
      </c>
      <c r="N43" s="219">
        <v>1</v>
      </c>
      <c r="O43" s="219">
        <v>8</v>
      </c>
      <c r="P43" s="215">
        <v>3</v>
      </c>
      <c r="Q43" s="211">
        <v>7</v>
      </c>
      <c r="R43" s="236" t="s">
        <v>585</v>
      </c>
      <c r="S43" s="232">
        <f t="shared" si="0"/>
        <v>19</v>
      </c>
    </row>
    <row r="44" spans="4:19">
      <c r="E44" s="46"/>
      <c r="F44" s="224">
        <v>125</v>
      </c>
      <c r="G44" s="220">
        <v>40</v>
      </c>
      <c r="I44" s="220">
        <v>279</v>
      </c>
      <c r="J44" s="215">
        <v>187</v>
      </c>
      <c r="K44" s="211">
        <v>218</v>
      </c>
      <c r="L44" s="232">
        <f t="shared" si="1"/>
        <v>809</v>
      </c>
      <c r="N44" s="219">
        <v>40</v>
      </c>
      <c r="O44" s="219">
        <v>36</v>
      </c>
      <c r="P44" s="215">
        <v>63</v>
      </c>
      <c r="Q44" s="211">
        <v>45</v>
      </c>
      <c r="R44" s="236" t="s">
        <v>347</v>
      </c>
      <c r="S44" s="232">
        <f t="shared" si="0"/>
        <v>184</v>
      </c>
    </row>
    <row r="45" spans="4:19">
      <c r="E45" s="46"/>
      <c r="F45" s="224">
        <v>9</v>
      </c>
      <c r="G45" s="220">
        <v>279</v>
      </c>
      <c r="I45" s="220">
        <v>10</v>
      </c>
      <c r="J45" s="215">
        <v>13</v>
      </c>
      <c r="K45" s="211">
        <v>12</v>
      </c>
      <c r="L45" s="232">
        <f t="shared" si="1"/>
        <v>44</v>
      </c>
      <c r="N45" s="219">
        <v>558</v>
      </c>
      <c r="O45" s="219">
        <v>825</v>
      </c>
      <c r="P45" s="215">
        <v>1027</v>
      </c>
      <c r="Q45" s="211">
        <v>924</v>
      </c>
      <c r="R45" s="236" t="s">
        <v>348</v>
      </c>
      <c r="S45" s="232">
        <f t="shared" si="0"/>
        <v>3334</v>
      </c>
    </row>
    <row r="46" spans="4:19">
      <c r="E46" s="46"/>
      <c r="F46" s="224">
        <v>31</v>
      </c>
      <c r="G46" s="220">
        <v>10</v>
      </c>
      <c r="I46" s="220">
        <v>35</v>
      </c>
      <c r="J46" s="215">
        <v>47</v>
      </c>
      <c r="K46" s="211">
        <v>16</v>
      </c>
      <c r="L46" s="232">
        <f t="shared" si="1"/>
        <v>129</v>
      </c>
      <c r="N46" s="219">
        <v>307</v>
      </c>
      <c r="P46" s="215">
        <v>0</v>
      </c>
      <c r="Q46" s="212">
        <v>0</v>
      </c>
      <c r="R46" s="99" t="s">
        <v>460</v>
      </c>
      <c r="S46" s="136">
        <f t="shared" si="0"/>
        <v>307</v>
      </c>
    </row>
    <row r="47" spans="4:19">
      <c r="E47" s="46"/>
      <c r="F47" s="224">
        <v>713</v>
      </c>
      <c r="G47" s="220">
        <v>35</v>
      </c>
      <c r="I47" s="220">
        <v>848</v>
      </c>
      <c r="J47" s="215">
        <v>1006</v>
      </c>
      <c r="K47" s="211">
        <v>915</v>
      </c>
      <c r="L47" s="232">
        <f t="shared" si="1"/>
        <v>3482</v>
      </c>
      <c r="O47" s="231">
        <v>6</v>
      </c>
      <c r="P47" s="229">
        <v>8</v>
      </c>
      <c r="Q47" s="228">
        <v>9</v>
      </c>
      <c r="R47" s="238" t="s">
        <v>589</v>
      </c>
      <c r="S47" s="232">
        <f t="shared" si="0"/>
        <v>23</v>
      </c>
    </row>
    <row r="48" spans="4:19">
      <c r="E48" s="47"/>
      <c r="F48" s="224">
        <v>386</v>
      </c>
      <c r="G48" s="220">
        <v>848</v>
      </c>
      <c r="J48" s="215">
        <v>0</v>
      </c>
      <c r="K48" s="212">
        <v>0</v>
      </c>
      <c r="L48" s="232">
        <f t="shared" si="1"/>
        <v>386</v>
      </c>
      <c r="N48" s="219">
        <v>108</v>
      </c>
      <c r="O48" s="219">
        <v>76</v>
      </c>
      <c r="P48" s="215">
        <v>103</v>
      </c>
      <c r="Q48" s="211">
        <v>118</v>
      </c>
      <c r="R48" s="239" t="s">
        <v>203</v>
      </c>
      <c r="S48" s="232">
        <f t="shared" si="0"/>
        <v>405</v>
      </c>
    </row>
    <row r="49" spans="5:20">
      <c r="E49" s="46"/>
      <c r="G49" s="220">
        <v>4</v>
      </c>
      <c r="I49" s="230">
        <v>4</v>
      </c>
      <c r="J49" s="229">
        <v>3</v>
      </c>
      <c r="K49" s="228">
        <v>3</v>
      </c>
      <c r="L49" s="232">
        <f t="shared" si="1"/>
        <v>10</v>
      </c>
      <c r="N49" s="219">
        <v>51</v>
      </c>
      <c r="O49" s="219">
        <v>33</v>
      </c>
      <c r="P49" s="215">
        <v>62</v>
      </c>
      <c r="Q49" s="211">
        <v>50</v>
      </c>
      <c r="R49" s="226" t="s">
        <v>586</v>
      </c>
      <c r="S49">
        <f t="shared" si="0"/>
        <v>196</v>
      </c>
    </row>
    <row r="50" spans="5:20">
      <c r="E50" s="46"/>
      <c r="F50" s="224">
        <v>120</v>
      </c>
      <c r="G50" s="220">
        <v>87</v>
      </c>
      <c r="I50" s="220">
        <v>87</v>
      </c>
      <c r="J50" s="215">
        <v>113</v>
      </c>
      <c r="K50" s="211">
        <v>92</v>
      </c>
      <c r="L50" s="232">
        <f t="shared" si="1"/>
        <v>412</v>
      </c>
      <c r="N50" s="219">
        <v>27</v>
      </c>
      <c r="O50" s="219">
        <v>138</v>
      </c>
      <c r="P50" s="215">
        <v>69</v>
      </c>
      <c r="Q50" s="211">
        <v>38</v>
      </c>
      <c r="R50" s="239" t="s">
        <v>587</v>
      </c>
      <c r="S50" s="55">
        <f t="shared" si="0"/>
        <v>272</v>
      </c>
    </row>
    <row r="51" spans="5:20">
      <c r="E51" s="46"/>
      <c r="F51" s="224">
        <v>108</v>
      </c>
      <c r="G51" s="220">
        <v>46</v>
      </c>
      <c r="I51" s="220">
        <v>46</v>
      </c>
      <c r="J51" s="215">
        <v>84</v>
      </c>
      <c r="K51" s="211">
        <v>49</v>
      </c>
      <c r="L51" s="232">
        <f t="shared" si="1"/>
        <v>287</v>
      </c>
      <c r="N51" s="221">
        <v>2178</v>
      </c>
      <c r="O51" s="221">
        <f>1671+29+37+135</f>
        <v>1872</v>
      </c>
      <c r="P51" s="216">
        <f>1858+48+27</f>
        <v>1933</v>
      </c>
      <c r="Q51" s="213">
        <v>1558</v>
      </c>
      <c r="R51" s="227" t="s">
        <v>588</v>
      </c>
      <c r="S51">
        <f t="shared" si="0"/>
        <v>7541</v>
      </c>
      <c r="T51">
        <f>S46+S49+S51</f>
        <v>8044</v>
      </c>
    </row>
    <row r="52" spans="5:20">
      <c r="E52" s="46"/>
      <c r="F52" s="224">
        <v>29</v>
      </c>
      <c r="G52" s="220">
        <v>66</v>
      </c>
      <c r="I52" s="220">
        <v>66</v>
      </c>
      <c r="J52" s="215">
        <v>58</v>
      </c>
      <c r="K52" s="211">
        <v>45</v>
      </c>
      <c r="L52" s="232">
        <f t="shared" si="1"/>
        <v>198</v>
      </c>
      <c r="S52">
        <f>SUM(S34:S51)</f>
        <v>21447</v>
      </c>
    </row>
    <row r="53" spans="5:20">
      <c r="E53" s="46"/>
      <c r="F53" s="225">
        <v>2137</v>
      </c>
      <c r="G53" s="222">
        <f>100+1721</f>
        <v>1821</v>
      </c>
      <c r="I53" s="222">
        <f>100+1721</f>
        <v>1821</v>
      </c>
      <c r="J53" s="216">
        <f>1942+87+70</f>
        <v>2099</v>
      </c>
      <c r="K53" s="213">
        <v>1736</v>
      </c>
      <c r="L53" s="232">
        <f t="shared" si="1"/>
        <v>7793</v>
      </c>
      <c r="S53">
        <f>S34+S35+S36+S37+S38+S39+S41+S42+S43+S44+S45+S46+S47+S48+S49+S50+S51</f>
        <v>20177</v>
      </c>
    </row>
    <row r="54" spans="5:20">
      <c r="F54" s="19"/>
      <c r="L54" s="232">
        <f>L36+L37+L38+L39+L40+L41+L42+L43+L44+L45+L46+L47+L48+L49+L50+L51+L52+L53</f>
        <v>21814</v>
      </c>
    </row>
    <row r="55" spans="5:20">
      <c r="F55" s="19"/>
      <c r="L55" s="233">
        <f>SUM(L36:L53)</f>
        <v>21814</v>
      </c>
      <c r="P55">
        <f>N34+N35+N36+N37+N38+N39+N41+N42+N43+N44+N45+N46+N47+N48+N49+N50+N51</f>
        <v>5035</v>
      </c>
      <c r="Q55">
        <f>O34+O35+O36+O37+O38+O39+O41+O42+O43+O44+O45+O47+O48+O49+O50+O51</f>
        <v>4938</v>
      </c>
      <c r="R55">
        <f>P34+P35+P36+P37+P38+P39+P41+P42+P43+P44+P45+P47+P48+P49+P50+P51</f>
        <v>5468</v>
      </c>
      <c r="S55">
        <f>Q34+Q35+Q36+Q37+Q38+Q39+Q41+Q42+Q43+Q44+Q45+Q47+Q48+Q49+Q50+Q51</f>
        <v>4736</v>
      </c>
    </row>
    <row r="56" spans="5:20">
      <c r="P56">
        <f>P55+254</f>
        <v>5289</v>
      </c>
    </row>
    <row r="59" spans="5:20">
      <c r="R59">
        <f>S55+R55+Q55+P55</f>
        <v>20177</v>
      </c>
    </row>
    <row r="60" spans="5:20">
      <c r="S60">
        <f>R59-S53</f>
        <v>0</v>
      </c>
    </row>
  </sheetData>
  <mergeCells count="9">
    <mergeCell ref="A1:G1"/>
    <mergeCell ref="A2:G2"/>
    <mergeCell ref="A3:G3"/>
    <mergeCell ref="B4:B5"/>
    <mergeCell ref="D23:E23"/>
    <mergeCell ref="F23:G23"/>
    <mergeCell ref="A23:C23"/>
    <mergeCell ref="A4:A5"/>
    <mergeCell ref="G4:G5"/>
  </mergeCells>
  <pageMargins left="0.70866141732283472" right="0.62" top="0.74803149606299213" bottom="0.74803149606299213" header="0.31496062992125984" footer="0.31496062992125984"/>
  <pageSetup paperSize="9" scale="74" orientation="portrait" r:id="rId1"/>
  <headerFooter>
    <oddFooter>&amp;L&amp;"Times New Roman,Bold"Afghanistan Statistical Yearbook 2017-18&amp;R&amp;"Times New Roman,Bold"    سالنامۀ احصائیوی / احصا ئيوي کالنی  1396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44"/>
  <sheetViews>
    <sheetView view="pageBreakPreview" zoomScaleSheetLayoutView="100" workbookViewId="0">
      <selection sqref="A1:M12"/>
    </sheetView>
  </sheetViews>
  <sheetFormatPr defaultRowHeight="15.75"/>
  <cols>
    <col min="1" max="1" width="4.5703125" style="410" customWidth="1"/>
    <col min="2" max="2" width="10.7109375" customWidth="1"/>
    <col min="3" max="3" width="8" customWidth="1"/>
    <col min="4" max="5" width="7.42578125" customWidth="1"/>
    <col min="6" max="6" width="7.7109375" customWidth="1"/>
    <col min="7" max="7" width="7.42578125" customWidth="1"/>
    <col min="8" max="8" width="7.5703125" customWidth="1"/>
    <col min="9" max="9" width="8.28515625" customWidth="1"/>
    <col min="10" max="11" width="7.140625" customWidth="1"/>
    <col min="12" max="12" width="10.85546875" customWidth="1"/>
    <col min="13" max="13" width="6.5703125" style="394" customWidth="1"/>
    <col min="19" max="19" width="10.42578125" customWidth="1"/>
    <col min="20" max="20" width="9.140625" customWidth="1"/>
  </cols>
  <sheetData>
    <row r="1" spans="1:26" ht="29.25" customHeight="1">
      <c r="A1" s="705" t="s">
        <v>412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</row>
    <row r="2" spans="1:26" ht="26.25" customHeight="1">
      <c r="A2" s="760" t="s">
        <v>600</v>
      </c>
      <c r="B2" s="760"/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</row>
    <row r="3" spans="1:26" ht="25.5" customHeight="1">
      <c r="A3" s="761" t="s">
        <v>411</v>
      </c>
      <c r="B3" s="761"/>
      <c r="C3" s="761"/>
      <c r="D3" s="761"/>
      <c r="E3" s="761"/>
      <c r="F3" s="761"/>
      <c r="G3" s="761"/>
      <c r="H3" s="761"/>
      <c r="I3" s="761"/>
      <c r="J3" s="761"/>
      <c r="K3" s="761"/>
      <c r="L3" s="761"/>
      <c r="M3" s="761"/>
      <c r="S3" s="30"/>
      <c r="T3" s="30"/>
      <c r="U3" s="30"/>
    </row>
    <row r="4" spans="1:26" ht="35.1" customHeight="1">
      <c r="A4" s="671" t="s">
        <v>633</v>
      </c>
      <c r="B4" s="765" t="s">
        <v>251</v>
      </c>
      <c r="C4" s="751" t="s">
        <v>571</v>
      </c>
      <c r="D4" s="752"/>
      <c r="E4" s="753"/>
      <c r="F4" s="751" t="s">
        <v>456</v>
      </c>
      <c r="G4" s="752"/>
      <c r="H4" s="753"/>
      <c r="I4" s="754" t="s">
        <v>450</v>
      </c>
      <c r="J4" s="755"/>
      <c r="K4" s="756"/>
      <c r="L4" s="745" t="s">
        <v>439</v>
      </c>
      <c r="M4" s="671" t="s">
        <v>632</v>
      </c>
      <c r="Q4" s="19"/>
      <c r="R4" s="19"/>
      <c r="S4" s="11"/>
      <c r="T4" s="11"/>
      <c r="U4" s="31"/>
      <c r="V4" s="19"/>
    </row>
    <row r="5" spans="1:26" ht="35.1" customHeight="1">
      <c r="A5" s="668"/>
      <c r="B5" s="703"/>
      <c r="C5" s="396" t="s">
        <v>225</v>
      </c>
      <c r="D5" s="556" t="s">
        <v>209</v>
      </c>
      <c r="E5" s="558" t="s">
        <v>419</v>
      </c>
      <c r="F5" s="396" t="s">
        <v>225</v>
      </c>
      <c r="G5" s="556" t="s">
        <v>209</v>
      </c>
      <c r="H5" s="558" t="s">
        <v>419</v>
      </c>
      <c r="I5" s="396" t="s">
        <v>225</v>
      </c>
      <c r="J5" s="556" t="s">
        <v>209</v>
      </c>
      <c r="K5" s="558" t="s">
        <v>419</v>
      </c>
      <c r="L5" s="697"/>
      <c r="M5" s="668"/>
    </row>
    <row r="6" spans="1:26" ht="35.1" customHeight="1">
      <c r="A6" s="672"/>
      <c r="B6" s="704"/>
      <c r="C6" s="459" t="s">
        <v>253</v>
      </c>
      <c r="D6" s="557" t="s">
        <v>210</v>
      </c>
      <c r="E6" s="557" t="s">
        <v>68</v>
      </c>
      <c r="F6" s="537" t="s">
        <v>253</v>
      </c>
      <c r="G6" s="557" t="s">
        <v>210</v>
      </c>
      <c r="H6" s="557" t="s">
        <v>68</v>
      </c>
      <c r="I6" s="537" t="s">
        <v>253</v>
      </c>
      <c r="J6" s="557" t="s">
        <v>210</v>
      </c>
      <c r="K6" s="557" t="s">
        <v>68</v>
      </c>
      <c r="L6" s="557" t="s">
        <v>438</v>
      </c>
      <c r="M6" s="672"/>
      <c r="W6" s="28"/>
      <c r="X6" s="28"/>
    </row>
    <row r="7" spans="1:26" ht="63" customHeight="1">
      <c r="A7" s="366"/>
      <c r="B7" s="263" t="s">
        <v>211</v>
      </c>
      <c r="C7" s="264">
        <f>SUM(C8:C11)</f>
        <v>2625</v>
      </c>
      <c r="D7" s="265">
        <f>SUM(D8:D11)</f>
        <v>616</v>
      </c>
      <c r="E7" s="265">
        <f>D7+C7</f>
        <v>3241</v>
      </c>
      <c r="F7" s="264">
        <f>SUM(F8:F11)</f>
        <v>2540</v>
      </c>
      <c r="G7" s="265">
        <f>SUM(G8:G11)</f>
        <v>549</v>
      </c>
      <c r="H7" s="265">
        <f>G7+F7</f>
        <v>3089</v>
      </c>
      <c r="I7" s="264">
        <f>SUM(I8:I11)</f>
        <v>2790</v>
      </c>
      <c r="J7" s="265">
        <f>SUM(J8:J11)</f>
        <v>137</v>
      </c>
      <c r="K7" s="265">
        <f>J7+I7</f>
        <v>2927</v>
      </c>
      <c r="L7" s="332" t="s">
        <v>354</v>
      </c>
      <c r="M7" s="460"/>
      <c r="W7" s="1"/>
      <c r="X7" s="1"/>
    </row>
    <row r="8" spans="1:26" ht="63" customHeight="1">
      <c r="A8" s="530">
        <v>1</v>
      </c>
      <c r="B8" s="83" t="s">
        <v>212</v>
      </c>
      <c r="C8" s="250">
        <v>191</v>
      </c>
      <c r="D8" s="251">
        <f>15+33+30</f>
        <v>78</v>
      </c>
      <c r="E8" s="251">
        <f>D8+C8</f>
        <v>269</v>
      </c>
      <c r="F8" s="250">
        <f>5+10+8+7+12+7+1+5+13+12+15+5+7+5+3+28+12+15+10+6+10+4+2+15+7+4+8+10+45</f>
        <v>291</v>
      </c>
      <c r="G8" s="251">
        <v>57</v>
      </c>
      <c r="H8" s="251">
        <f>G8+F8</f>
        <v>348</v>
      </c>
      <c r="I8" s="250">
        <v>221</v>
      </c>
      <c r="J8" s="251">
        <v>14</v>
      </c>
      <c r="K8" s="251">
        <f>J8+I8</f>
        <v>235</v>
      </c>
      <c r="L8" s="99" t="s">
        <v>213</v>
      </c>
      <c r="M8" s="535">
        <v>1</v>
      </c>
      <c r="P8">
        <f>1031-154</f>
        <v>877</v>
      </c>
    </row>
    <row r="9" spans="1:26" ht="63" customHeight="1">
      <c r="A9" s="526">
        <v>2</v>
      </c>
      <c r="B9" s="267" t="s">
        <v>214</v>
      </c>
      <c r="C9" s="520">
        <v>349</v>
      </c>
      <c r="D9" s="522">
        <f>20+15+34+25</f>
        <v>94</v>
      </c>
      <c r="E9" s="522">
        <f t="shared" ref="E9:E10" si="0">D9+C9</f>
        <v>443</v>
      </c>
      <c r="F9" s="520">
        <f>3+7+12+6+5+12+18+8+7+10+8+37+5+25+13+10+10+2+33+2+1+12+18+2+7+5+38</f>
        <v>316</v>
      </c>
      <c r="G9" s="522">
        <v>87</v>
      </c>
      <c r="H9" s="522">
        <f t="shared" ref="H9:H10" si="1">G9+F9</f>
        <v>403</v>
      </c>
      <c r="I9" s="520">
        <v>319</v>
      </c>
      <c r="J9" s="522">
        <v>41</v>
      </c>
      <c r="K9" s="522">
        <f t="shared" ref="K9:K10" si="2">J9+I9</f>
        <v>360</v>
      </c>
      <c r="L9" s="333" t="s">
        <v>215</v>
      </c>
      <c r="M9" s="523">
        <v>2</v>
      </c>
      <c r="N9" s="12"/>
      <c r="O9" s="1"/>
      <c r="P9" s="4"/>
    </row>
    <row r="10" spans="1:26" ht="63" customHeight="1">
      <c r="A10" s="530">
        <v>3</v>
      </c>
      <c r="B10" s="83" t="s">
        <v>216</v>
      </c>
      <c r="C10" s="250">
        <v>1208</v>
      </c>
      <c r="D10" s="251">
        <f>20+25+200+45</f>
        <v>290</v>
      </c>
      <c r="E10" s="251">
        <f t="shared" si="0"/>
        <v>1498</v>
      </c>
      <c r="F10" s="250">
        <f>15+45+26+48+38+15+7+72+10+2+15+16+75+20+57+75+12+52+1+72+3+18+2+53+28+4+30+5+10+2</f>
        <v>828</v>
      </c>
      <c r="G10" s="251">
        <v>220</v>
      </c>
      <c r="H10" s="251">
        <f t="shared" si="1"/>
        <v>1048</v>
      </c>
      <c r="I10" s="250">
        <v>1117</v>
      </c>
      <c r="J10" s="251">
        <v>52</v>
      </c>
      <c r="K10" s="251">
        <f t="shared" si="2"/>
        <v>1169</v>
      </c>
      <c r="L10" s="87" t="s">
        <v>601</v>
      </c>
      <c r="M10" s="535">
        <v>3</v>
      </c>
      <c r="N10" s="12"/>
      <c r="O10" s="1"/>
      <c r="P10" s="5"/>
    </row>
    <row r="11" spans="1:26" ht="63" customHeight="1">
      <c r="A11" s="615">
        <v>4</v>
      </c>
      <c r="B11" s="334" t="s">
        <v>217</v>
      </c>
      <c r="C11" s="270">
        <v>877</v>
      </c>
      <c r="D11" s="271">
        <f>40+11+58+45</f>
        <v>154</v>
      </c>
      <c r="E11" s="271">
        <f>D11+C11</f>
        <v>1031</v>
      </c>
      <c r="F11" s="270">
        <f>18+20+19+8+15+7+6+18+85+19+21+11+13+14+15+45+41+28+25+5+326+9+24+10+126+76+24+11+11+52+3</f>
        <v>1105</v>
      </c>
      <c r="G11" s="271">
        <v>185</v>
      </c>
      <c r="H11" s="271">
        <f>G11+F11</f>
        <v>1290</v>
      </c>
      <c r="I11" s="270">
        <v>1133</v>
      </c>
      <c r="J11" s="271">
        <v>30</v>
      </c>
      <c r="K11" s="271">
        <f>J11+I11</f>
        <v>1163</v>
      </c>
      <c r="L11" s="335" t="s">
        <v>602</v>
      </c>
      <c r="M11" s="309">
        <v>4</v>
      </c>
      <c r="N11" s="12"/>
      <c r="O11" s="1"/>
      <c r="P11" s="5"/>
    </row>
    <row r="12" spans="1:26" ht="19.5" customHeight="1">
      <c r="A12" s="758" t="s">
        <v>207</v>
      </c>
      <c r="B12" s="758"/>
      <c r="C12" s="758"/>
      <c r="D12" s="758"/>
      <c r="E12" s="758"/>
      <c r="F12" s="766" t="s">
        <v>306</v>
      </c>
      <c r="G12" s="766"/>
      <c r="H12" s="766"/>
      <c r="I12" s="766"/>
      <c r="J12" s="759" t="s">
        <v>220</v>
      </c>
      <c r="K12" s="759"/>
      <c r="L12" s="759"/>
      <c r="M12" s="759"/>
    </row>
    <row r="13" spans="1:26" ht="17.25" customHeight="1">
      <c r="A13" s="767" t="s">
        <v>603</v>
      </c>
      <c r="B13" s="767"/>
      <c r="C13" s="767"/>
      <c r="D13" s="767"/>
      <c r="E13" s="767"/>
      <c r="F13" s="767"/>
      <c r="G13" s="767"/>
      <c r="H13" s="767"/>
      <c r="I13" s="767"/>
      <c r="J13" s="767"/>
      <c r="K13" s="767"/>
      <c r="L13" s="767"/>
      <c r="M13" s="767"/>
      <c r="P13" s="757" t="s">
        <v>603</v>
      </c>
      <c r="Q13" s="757"/>
      <c r="R13" s="757"/>
      <c r="S13" s="757"/>
      <c r="T13" s="757"/>
      <c r="U13" s="757"/>
      <c r="V13" s="757"/>
      <c r="W13" s="757"/>
      <c r="X13" s="757"/>
      <c r="Y13" s="757"/>
      <c r="Z13" s="757"/>
    </row>
    <row r="14" spans="1:26" ht="15.75" customHeight="1">
      <c r="A14" s="767"/>
      <c r="B14" s="767"/>
      <c r="C14" s="767"/>
      <c r="D14" s="767"/>
      <c r="E14" s="767"/>
      <c r="F14" s="767"/>
      <c r="G14" s="767"/>
      <c r="H14" s="767"/>
      <c r="I14" s="767"/>
      <c r="J14" s="767"/>
      <c r="K14" s="767"/>
      <c r="L14" s="767"/>
      <c r="M14" s="767"/>
    </row>
    <row r="15" spans="1:26">
      <c r="P15" s="19"/>
      <c r="Q15" s="19"/>
      <c r="R15" s="19"/>
      <c r="S15" s="19"/>
      <c r="T15" s="19"/>
      <c r="U15" s="19"/>
    </row>
    <row r="16" spans="1:26">
      <c r="O16" s="4"/>
      <c r="P16" s="750"/>
      <c r="Q16" s="750"/>
      <c r="R16" s="29"/>
      <c r="S16" s="30"/>
      <c r="T16" s="30"/>
      <c r="U16" s="30"/>
    </row>
    <row r="17" spans="14:21">
      <c r="O17" s="4"/>
      <c r="P17" s="161"/>
      <c r="Q17" s="175"/>
      <c r="R17" s="175"/>
      <c r="S17" s="31"/>
      <c r="T17" s="176"/>
      <c r="U17" s="176"/>
    </row>
    <row r="18" spans="14:21">
      <c r="N18" s="12"/>
      <c r="O18" s="4"/>
      <c r="P18" s="161"/>
      <c r="Q18" s="19"/>
      <c r="R18" s="19"/>
      <c r="S18" s="175"/>
      <c r="T18" s="175"/>
      <c r="U18" s="175"/>
    </row>
    <row r="19" spans="14:21">
      <c r="N19" s="12"/>
      <c r="O19" s="1"/>
      <c r="P19" s="161"/>
      <c r="Q19" s="19"/>
      <c r="R19" s="19"/>
      <c r="S19" s="19"/>
      <c r="T19" s="19"/>
      <c r="U19" s="19"/>
    </row>
    <row r="20" spans="14:21">
      <c r="P20" s="19"/>
      <c r="Q20" s="19"/>
      <c r="R20" s="19"/>
      <c r="S20" s="19"/>
      <c r="T20" s="19"/>
      <c r="U20" s="19"/>
    </row>
    <row r="25" spans="14:21">
      <c r="S25" s="31"/>
      <c r="T25" s="104"/>
      <c r="U25" s="104"/>
    </row>
    <row r="26" spans="14:21">
      <c r="S26" s="30" t="s">
        <v>572</v>
      </c>
      <c r="T26" s="30" t="s">
        <v>573</v>
      </c>
      <c r="U26" s="30" t="s">
        <v>574</v>
      </c>
    </row>
    <row r="27" spans="14:21">
      <c r="R27" t="s">
        <v>420</v>
      </c>
      <c r="S27" s="187">
        <v>235</v>
      </c>
      <c r="T27" s="187">
        <v>348</v>
      </c>
      <c r="U27" s="85">
        <v>269</v>
      </c>
    </row>
    <row r="28" spans="14:21">
      <c r="R28" t="s">
        <v>421</v>
      </c>
      <c r="S28" s="187">
        <v>360</v>
      </c>
      <c r="T28" s="187">
        <v>403</v>
      </c>
      <c r="U28" s="85">
        <v>443</v>
      </c>
    </row>
    <row r="29" spans="14:21">
      <c r="R29" t="s">
        <v>604</v>
      </c>
      <c r="S29" s="187">
        <v>1169</v>
      </c>
      <c r="T29" s="187">
        <v>1048</v>
      </c>
      <c r="U29" s="85">
        <v>1498</v>
      </c>
    </row>
    <row r="30" spans="14:21">
      <c r="R30" t="s">
        <v>605</v>
      </c>
      <c r="S30" s="158">
        <v>1163</v>
      </c>
      <c r="T30" s="158">
        <v>1290</v>
      </c>
      <c r="U30" s="3">
        <v>1031</v>
      </c>
    </row>
    <row r="34" spans="2:13">
      <c r="E34" s="102"/>
    </row>
    <row r="35" spans="2:13">
      <c r="E35" s="102"/>
    </row>
    <row r="43" spans="2:13">
      <c r="B43" s="762" t="s">
        <v>431</v>
      </c>
      <c r="C43" s="762"/>
      <c r="D43" s="762"/>
      <c r="G43" s="82"/>
      <c r="H43" s="764" t="s">
        <v>429</v>
      </c>
      <c r="I43" s="764"/>
      <c r="J43" s="764"/>
      <c r="K43" s="764"/>
      <c r="L43" s="764"/>
      <c r="M43" s="764"/>
    </row>
    <row r="44" spans="2:13">
      <c r="B44" s="762"/>
      <c r="C44" s="762"/>
      <c r="D44" s="762"/>
      <c r="G44" s="763" t="s">
        <v>430</v>
      </c>
      <c r="H44" s="763"/>
      <c r="I44" s="763"/>
      <c r="J44" s="763"/>
      <c r="K44" s="763"/>
      <c r="L44" s="763"/>
      <c r="M44" s="763"/>
    </row>
  </sheetData>
  <mergeCells count="19">
    <mergeCell ref="B43:D44"/>
    <mergeCell ref="G44:M44"/>
    <mergeCell ref="H43:M43"/>
    <mergeCell ref="B4:B6"/>
    <mergeCell ref="L4:L5"/>
    <mergeCell ref="F12:I12"/>
    <mergeCell ref="A13:M14"/>
    <mergeCell ref="A1:M1"/>
    <mergeCell ref="A2:M2"/>
    <mergeCell ref="A3:M3"/>
    <mergeCell ref="A4:A6"/>
    <mergeCell ref="M4:M6"/>
    <mergeCell ref="P16:Q16"/>
    <mergeCell ref="C4:E4"/>
    <mergeCell ref="F4:H4"/>
    <mergeCell ref="I4:K4"/>
    <mergeCell ref="P13:Z13"/>
    <mergeCell ref="A12:E12"/>
    <mergeCell ref="J12:M12"/>
  </mergeCells>
  <pageMargins left="0.62992125984251968" right="0.74803149606299213" top="0.47244094488188981" bottom="0.74803149606299213" header="0.31496062992125984" footer="0.47244094488188981"/>
  <pageSetup paperSize="9" scale="80" orientation="portrait" horizontalDpi="300" verticalDpi="300" r:id="rId1"/>
  <headerFooter>
    <oddFooter>&amp;L&amp;"Times New Roman,Bold"Afghanistan Statistical Yearbook 2017-18&amp;R&amp;"Times New Roman,Bold"   سالنامۀ احصائیوی / احصا ئيوي کالنی  1396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view="pageBreakPreview" zoomScaleSheetLayoutView="100" workbookViewId="0">
      <selection sqref="A1:J43"/>
    </sheetView>
  </sheetViews>
  <sheetFormatPr defaultRowHeight="15.75"/>
  <cols>
    <col min="1" max="1" width="5.85546875" style="410" customWidth="1"/>
    <col min="2" max="2" width="16.5703125" customWidth="1"/>
    <col min="3" max="3" width="11" style="136" customWidth="1"/>
    <col min="4" max="4" width="11.42578125" customWidth="1"/>
    <col min="5" max="6" width="10.5703125" customWidth="1"/>
    <col min="7" max="8" width="11.42578125" customWidth="1"/>
    <col min="9" max="9" width="15.7109375" customWidth="1"/>
    <col min="10" max="10" width="5.42578125" style="394" customWidth="1"/>
    <col min="12" max="12" width="9.42578125" bestFit="1" customWidth="1"/>
    <col min="13" max="13" width="9.85546875" bestFit="1" customWidth="1"/>
    <col min="14" max="14" width="9.42578125" bestFit="1" customWidth="1"/>
    <col min="15" max="15" width="10.42578125" bestFit="1" customWidth="1"/>
    <col min="16" max="16" width="9.42578125" bestFit="1" customWidth="1"/>
    <col min="17" max="17" width="10.7109375" bestFit="1" customWidth="1"/>
  </cols>
  <sheetData>
    <row r="1" spans="1:18" ht="24.95" customHeight="1">
      <c r="A1" s="772" t="s">
        <v>575</v>
      </c>
      <c r="B1" s="772"/>
      <c r="C1" s="772"/>
      <c r="D1" s="772"/>
      <c r="E1" s="772"/>
      <c r="F1" s="772"/>
      <c r="G1" s="772"/>
      <c r="H1" s="772"/>
      <c r="I1" s="772"/>
      <c r="J1" s="772"/>
      <c r="O1" s="20"/>
      <c r="P1" s="20"/>
    </row>
    <row r="2" spans="1:18" ht="24.95" customHeight="1">
      <c r="A2" s="773" t="s">
        <v>576</v>
      </c>
      <c r="B2" s="773"/>
      <c r="C2" s="773"/>
      <c r="D2" s="773"/>
      <c r="E2" s="773"/>
      <c r="F2" s="773"/>
      <c r="G2" s="773"/>
      <c r="H2" s="773"/>
      <c r="I2" s="773"/>
      <c r="J2" s="773"/>
      <c r="L2" s="26"/>
    </row>
    <row r="3" spans="1:18" ht="24.95" customHeight="1">
      <c r="A3" s="774" t="s">
        <v>637</v>
      </c>
      <c r="B3" s="774"/>
      <c r="C3" s="774"/>
      <c r="D3" s="774"/>
      <c r="E3" s="774"/>
      <c r="F3" s="774"/>
      <c r="G3" s="774"/>
      <c r="H3" s="774"/>
      <c r="I3" s="774"/>
      <c r="J3" s="774"/>
      <c r="L3" s="20"/>
      <c r="N3" s="694">
        <v>95</v>
      </c>
      <c r="O3" s="694"/>
      <c r="P3" s="51"/>
      <c r="Q3" s="768">
        <v>94</v>
      </c>
      <c r="R3" s="768"/>
    </row>
    <row r="4" spans="1:18" ht="24.95" customHeight="1">
      <c r="A4" s="668" t="s">
        <v>633</v>
      </c>
      <c r="B4" s="770" t="s">
        <v>227</v>
      </c>
      <c r="C4" s="780" t="s">
        <v>310</v>
      </c>
      <c r="D4" s="778"/>
      <c r="E4" s="779"/>
      <c r="F4" s="778" t="s">
        <v>308</v>
      </c>
      <c r="G4" s="778"/>
      <c r="H4" s="779"/>
      <c r="I4" s="770" t="s">
        <v>239</v>
      </c>
      <c r="J4" s="770" t="s">
        <v>632</v>
      </c>
      <c r="L4" s="20"/>
      <c r="N4" t="s">
        <v>554</v>
      </c>
      <c r="O4" s="57" t="s">
        <v>555</v>
      </c>
      <c r="P4" s="51"/>
      <c r="Q4" t="s">
        <v>554</v>
      </c>
      <c r="R4" s="57" t="s">
        <v>555</v>
      </c>
    </row>
    <row r="5" spans="1:18" ht="24.95" customHeight="1">
      <c r="A5" s="668"/>
      <c r="B5" s="770"/>
      <c r="C5" s="775" t="s">
        <v>309</v>
      </c>
      <c r="D5" s="776"/>
      <c r="E5" s="777"/>
      <c r="F5" s="776" t="s">
        <v>307</v>
      </c>
      <c r="G5" s="776"/>
      <c r="H5" s="777"/>
      <c r="I5" s="770"/>
      <c r="J5" s="770"/>
      <c r="L5" s="20"/>
      <c r="M5" s="51"/>
      <c r="N5" s="57">
        <f>1741.2*365</f>
        <v>635538</v>
      </c>
      <c r="O5" s="57">
        <f>3042.9*365</f>
        <v>1110658.5</v>
      </c>
      <c r="P5" s="51"/>
      <c r="Q5" s="20">
        <f>1513*365</f>
        <v>552245</v>
      </c>
      <c r="R5" s="20">
        <f>2528*365</f>
        <v>922720</v>
      </c>
    </row>
    <row r="6" spans="1:18" ht="24.95" customHeight="1">
      <c r="A6" s="668"/>
      <c r="B6" s="770"/>
      <c r="C6" s="781" t="s">
        <v>281</v>
      </c>
      <c r="D6" s="783" t="s">
        <v>282</v>
      </c>
      <c r="E6" s="560" t="s">
        <v>353</v>
      </c>
      <c r="F6" s="785" t="s">
        <v>281</v>
      </c>
      <c r="G6" s="787" t="s">
        <v>282</v>
      </c>
      <c r="H6" s="88" t="s">
        <v>353</v>
      </c>
      <c r="I6" s="770"/>
      <c r="J6" s="770"/>
      <c r="L6" s="20"/>
      <c r="N6" s="57"/>
      <c r="O6" s="57"/>
      <c r="P6" s="51"/>
      <c r="Q6" s="51"/>
      <c r="R6" s="20"/>
    </row>
    <row r="7" spans="1:18" ht="24.95" customHeight="1">
      <c r="A7" s="668"/>
      <c r="B7" s="770"/>
      <c r="C7" s="782"/>
      <c r="D7" s="784"/>
      <c r="E7" s="89" t="s">
        <v>352</v>
      </c>
      <c r="F7" s="786"/>
      <c r="G7" s="788"/>
      <c r="H7" s="561" t="s">
        <v>352</v>
      </c>
      <c r="I7" s="770"/>
      <c r="J7" s="770"/>
      <c r="L7" s="20"/>
      <c r="M7" s="51">
        <f>C9-C8</f>
        <v>-650</v>
      </c>
      <c r="N7" s="186">
        <f>N5/Q5*100-100</f>
        <v>15.082617316589548</v>
      </c>
      <c r="O7" s="105">
        <f>O5/R5*100-100</f>
        <v>20.367879746835456</v>
      </c>
      <c r="P7" s="51"/>
      <c r="Q7" s="51"/>
    </row>
    <row r="8" spans="1:18" ht="24.95" customHeight="1">
      <c r="A8" s="532"/>
      <c r="B8" s="470" t="s">
        <v>68</v>
      </c>
      <c r="C8" s="471">
        <f>C9+C11+C13+C14+C19+C22+C25+C26+C27+C28+C29+C32+C35+C37+C38+C39+C40</f>
        <v>1402</v>
      </c>
      <c r="D8" s="321">
        <f>D9+D10+D11+D12+D13+D14+D15+D16+D17+D18+D19+D20+D21+D22+D23+D24+D25+D26+D27+D28+D29+D30+D31+D32+D33+D34+D35+D36+D37+D38+D39+D40+D41+D42</f>
        <v>354.20000000000005</v>
      </c>
      <c r="E8" s="321">
        <f>SUM(E9:E42)</f>
        <v>1756.1999999999998</v>
      </c>
      <c r="F8" s="472">
        <f>F9+F10+F11+F12+F13+F14+F15+F16+F17+F18+F19+F20+F21+F22+F23+F25+F26+F27+F28+F29+F31+F32+F33+F34+F35+F36+F37+F38+F39+F40+F41+F42</f>
        <v>2592</v>
      </c>
      <c r="G8" s="322">
        <f>G9+G10+G12+G13+G14+G15+G16+G17+G18+G19+G20+G21+G22+G23+G24+G25+G26+G27+G28+G29+G30+G31+G32+G34+G35+G36+G37+G38+G39+G40+G41+G42</f>
        <v>460.90000000000003</v>
      </c>
      <c r="H8" s="322">
        <f>H9+H10+H11+H12+H13+H14+H15+H16+H17+H18+H19+H20+H21+H22+H23+H24+H25+H26+H27+H28+H29+H30+H31+H32+H33+H34+H35+H36+H37+H38+H39+H40+H41+H42</f>
        <v>3040.9</v>
      </c>
      <c r="I8" s="473" t="s">
        <v>354</v>
      </c>
      <c r="J8" s="479"/>
      <c r="L8" s="26"/>
      <c r="N8" s="252">
        <f>G8-34.3</f>
        <v>426.6</v>
      </c>
      <c r="O8" s="57"/>
      <c r="P8" s="51"/>
      <c r="Q8" s="51"/>
    </row>
    <row r="9" spans="1:18" ht="24.95" customHeight="1">
      <c r="A9" s="524">
        <v>1</v>
      </c>
      <c r="B9" s="464" t="s">
        <v>69</v>
      </c>
      <c r="C9" s="465">
        <v>752</v>
      </c>
      <c r="D9" s="141">
        <v>64</v>
      </c>
      <c r="E9" s="141">
        <f>D9+C9</f>
        <v>816</v>
      </c>
      <c r="F9" s="466">
        <v>864</v>
      </c>
      <c r="G9" s="138">
        <f>19+13+2.3</f>
        <v>34.299999999999997</v>
      </c>
      <c r="H9" s="138">
        <f>G9+F9</f>
        <v>898.3</v>
      </c>
      <c r="I9" s="461" t="s">
        <v>70</v>
      </c>
      <c r="J9" s="480">
        <v>1</v>
      </c>
      <c r="L9" s="51"/>
      <c r="M9" s="60">
        <f>C9-C8</f>
        <v>-650</v>
      </c>
      <c r="N9" s="57"/>
      <c r="O9" s="57"/>
      <c r="P9" s="51"/>
      <c r="Q9" s="51"/>
    </row>
    <row r="10" spans="1:18" ht="24.95" customHeight="1">
      <c r="A10" s="533">
        <v>2</v>
      </c>
      <c r="B10" s="467" t="s">
        <v>71</v>
      </c>
      <c r="C10" s="468">
        <v>0</v>
      </c>
      <c r="D10" s="323">
        <v>6</v>
      </c>
      <c r="E10" s="324">
        <f>D10+C10</f>
        <v>6</v>
      </c>
      <c r="F10" s="462">
        <v>12</v>
      </c>
      <c r="G10" s="325">
        <v>12</v>
      </c>
      <c r="H10" s="462">
        <f>F10</f>
        <v>12</v>
      </c>
      <c r="I10" s="446" t="s">
        <v>231</v>
      </c>
      <c r="J10" s="533">
        <v>2</v>
      </c>
      <c r="M10" s="24"/>
      <c r="N10" s="57"/>
      <c r="O10" s="57"/>
      <c r="P10" s="51"/>
      <c r="Q10" s="51"/>
    </row>
    <row r="11" spans="1:18" ht="24.95" customHeight="1">
      <c r="A11" s="524">
        <v>3</v>
      </c>
      <c r="B11" s="464" t="s">
        <v>73</v>
      </c>
      <c r="C11" s="465">
        <v>24</v>
      </c>
      <c r="D11" s="148">
        <v>6</v>
      </c>
      <c r="E11" s="141">
        <f t="shared" ref="E11:E41" si="0">D11+C11</f>
        <v>30</v>
      </c>
      <c r="F11" s="137">
        <v>96</v>
      </c>
      <c r="G11" s="137" t="s">
        <v>35</v>
      </c>
      <c r="H11" s="466">
        <f>F11</f>
        <v>96</v>
      </c>
      <c r="I11" s="461" t="s">
        <v>74</v>
      </c>
      <c r="J11" s="480">
        <v>3</v>
      </c>
      <c r="M11" s="120">
        <f>D9-D8</f>
        <v>-290.20000000000005</v>
      </c>
      <c r="N11" s="57">
        <f>64-312</f>
        <v>-248</v>
      </c>
      <c r="O11" s="57"/>
      <c r="P11" s="51"/>
      <c r="Q11" s="51"/>
    </row>
    <row r="12" spans="1:18" ht="24.95" customHeight="1">
      <c r="A12" s="533">
        <v>4</v>
      </c>
      <c r="B12" s="467" t="s">
        <v>75</v>
      </c>
      <c r="C12" s="468">
        <v>0</v>
      </c>
      <c r="D12" s="326">
        <v>2.2999999999999998</v>
      </c>
      <c r="E12" s="327">
        <f t="shared" si="0"/>
        <v>2.2999999999999998</v>
      </c>
      <c r="F12" s="462">
        <v>24</v>
      </c>
      <c r="G12" s="328">
        <v>2.2999999999999998</v>
      </c>
      <c r="H12" s="463">
        <f>G12+F12</f>
        <v>26.3</v>
      </c>
      <c r="I12" s="446" t="s">
        <v>370</v>
      </c>
      <c r="J12" s="533">
        <v>4</v>
      </c>
      <c r="M12" s="24"/>
      <c r="N12" s="57"/>
      <c r="O12" s="57"/>
      <c r="P12" s="51"/>
      <c r="Q12" s="59"/>
    </row>
    <row r="13" spans="1:18" ht="24.95" customHeight="1">
      <c r="A13" s="524">
        <v>5</v>
      </c>
      <c r="B13" s="464" t="s">
        <v>116</v>
      </c>
      <c r="C13" s="465">
        <v>24</v>
      </c>
      <c r="D13" s="148">
        <v>14</v>
      </c>
      <c r="E13" s="141">
        <f t="shared" si="0"/>
        <v>38</v>
      </c>
      <c r="F13" s="466">
        <v>48</v>
      </c>
      <c r="G13" s="137">
        <v>17</v>
      </c>
      <c r="H13" s="466">
        <f t="shared" ref="H13:H32" si="1">G13+F13</f>
        <v>65</v>
      </c>
      <c r="I13" s="461" t="s">
        <v>117</v>
      </c>
      <c r="J13" s="480">
        <v>5</v>
      </c>
      <c r="M13" s="24"/>
      <c r="N13" s="105"/>
      <c r="O13" s="57"/>
      <c r="P13" s="51"/>
      <c r="Q13" s="51"/>
    </row>
    <row r="14" spans="1:18" ht="24.95" customHeight="1">
      <c r="A14" s="533">
        <v>6</v>
      </c>
      <c r="B14" s="467" t="s">
        <v>142</v>
      </c>
      <c r="C14" s="468">
        <v>24</v>
      </c>
      <c r="D14" s="323">
        <v>10</v>
      </c>
      <c r="E14" s="324">
        <f t="shared" si="0"/>
        <v>34</v>
      </c>
      <c r="F14" s="462">
        <v>132</v>
      </c>
      <c r="G14" s="325">
        <v>24</v>
      </c>
      <c r="H14" s="462">
        <f t="shared" si="1"/>
        <v>156</v>
      </c>
      <c r="I14" s="446" t="s">
        <v>78</v>
      </c>
      <c r="J14" s="533">
        <v>6</v>
      </c>
      <c r="M14" s="24"/>
      <c r="N14" s="106"/>
      <c r="O14" s="57"/>
      <c r="P14" s="51"/>
      <c r="Q14" s="51"/>
    </row>
    <row r="15" spans="1:18" ht="24.95" customHeight="1">
      <c r="A15" s="524">
        <v>7</v>
      </c>
      <c r="B15" s="464" t="s">
        <v>246</v>
      </c>
      <c r="C15" s="465">
        <v>0</v>
      </c>
      <c r="D15" s="148">
        <v>4</v>
      </c>
      <c r="E15" s="141">
        <f t="shared" si="0"/>
        <v>4</v>
      </c>
      <c r="F15" s="466">
        <v>36</v>
      </c>
      <c r="G15" s="137">
        <v>10</v>
      </c>
      <c r="H15" s="466">
        <f t="shared" si="1"/>
        <v>46</v>
      </c>
      <c r="I15" s="461" t="s">
        <v>80</v>
      </c>
      <c r="J15" s="480">
        <v>7</v>
      </c>
      <c r="M15" s="24"/>
      <c r="N15" s="57"/>
      <c r="O15" s="57"/>
      <c r="P15" s="51"/>
      <c r="Q15" s="51"/>
    </row>
    <row r="16" spans="1:18" ht="24.95" customHeight="1">
      <c r="A16" s="533">
        <v>8</v>
      </c>
      <c r="B16" s="467" t="s">
        <v>118</v>
      </c>
      <c r="C16" s="468">
        <v>0</v>
      </c>
      <c r="D16" s="323">
        <v>5</v>
      </c>
      <c r="E16" s="324">
        <f t="shared" si="0"/>
        <v>5</v>
      </c>
      <c r="F16" s="462">
        <v>12</v>
      </c>
      <c r="G16" s="325">
        <v>5</v>
      </c>
      <c r="H16" s="462">
        <f t="shared" si="1"/>
        <v>17</v>
      </c>
      <c r="I16" s="446" t="s">
        <v>119</v>
      </c>
      <c r="J16" s="533">
        <v>8</v>
      </c>
      <c r="M16" s="60"/>
      <c r="N16" s="57"/>
      <c r="O16" s="57"/>
      <c r="P16" s="51"/>
      <c r="Q16" s="51"/>
    </row>
    <row r="17" spans="1:17" ht="24.95" customHeight="1">
      <c r="A17" s="524">
        <v>9</v>
      </c>
      <c r="B17" s="464" t="s">
        <v>144</v>
      </c>
      <c r="C17" s="465">
        <v>0</v>
      </c>
      <c r="D17" s="148">
        <v>12</v>
      </c>
      <c r="E17" s="141">
        <f t="shared" si="0"/>
        <v>12</v>
      </c>
      <c r="F17" s="466">
        <v>60</v>
      </c>
      <c r="G17" s="137">
        <v>18</v>
      </c>
      <c r="H17" s="466">
        <f t="shared" si="1"/>
        <v>78</v>
      </c>
      <c r="I17" s="444" t="s">
        <v>82</v>
      </c>
      <c r="J17" s="480">
        <v>9</v>
      </c>
      <c r="M17" s="24"/>
      <c r="N17" s="57"/>
      <c r="O17" s="57"/>
      <c r="P17" s="51"/>
      <c r="Q17" s="51"/>
    </row>
    <row r="18" spans="1:17" ht="24.95" customHeight="1">
      <c r="A18" s="533">
        <v>10</v>
      </c>
      <c r="B18" s="467" t="s">
        <v>83</v>
      </c>
      <c r="C18" s="468">
        <v>0</v>
      </c>
      <c r="D18" s="323">
        <v>4</v>
      </c>
      <c r="E18" s="324">
        <f t="shared" si="0"/>
        <v>4</v>
      </c>
      <c r="F18" s="462">
        <v>12</v>
      </c>
      <c r="G18" s="325">
        <v>14</v>
      </c>
      <c r="H18" s="462">
        <f t="shared" si="1"/>
        <v>26</v>
      </c>
      <c r="I18" s="446" t="s">
        <v>84</v>
      </c>
      <c r="J18" s="533">
        <v>10</v>
      </c>
      <c r="M18" s="120"/>
      <c r="N18" s="57"/>
      <c r="O18" s="57"/>
      <c r="P18" s="51"/>
      <c r="Q18" s="51"/>
    </row>
    <row r="19" spans="1:17" ht="24.95" customHeight="1">
      <c r="A19" s="524">
        <v>11</v>
      </c>
      <c r="B19" s="464" t="s">
        <v>85</v>
      </c>
      <c r="C19" s="465">
        <v>24</v>
      </c>
      <c r="D19" s="148">
        <v>3</v>
      </c>
      <c r="E19" s="141">
        <f t="shared" si="0"/>
        <v>27</v>
      </c>
      <c r="F19" s="466">
        <v>72</v>
      </c>
      <c r="G19" s="137">
        <v>17</v>
      </c>
      <c r="H19" s="466">
        <f t="shared" si="1"/>
        <v>89</v>
      </c>
      <c r="I19" s="461" t="s">
        <v>232</v>
      </c>
      <c r="J19" s="480">
        <v>11</v>
      </c>
      <c r="M19" s="24"/>
      <c r="N19" s="57"/>
      <c r="O19" s="57"/>
      <c r="P19" s="51"/>
      <c r="Q19" s="51"/>
    </row>
    <row r="20" spans="1:17" ht="24.95" customHeight="1">
      <c r="A20" s="533">
        <v>12</v>
      </c>
      <c r="B20" s="467" t="s">
        <v>179</v>
      </c>
      <c r="C20" s="468">
        <v>0</v>
      </c>
      <c r="D20" s="323">
        <v>5</v>
      </c>
      <c r="E20" s="324">
        <f t="shared" si="0"/>
        <v>5</v>
      </c>
      <c r="F20" s="462">
        <v>36</v>
      </c>
      <c r="G20" s="325">
        <v>11</v>
      </c>
      <c r="H20" s="462">
        <f t="shared" si="1"/>
        <v>47</v>
      </c>
      <c r="I20" s="446" t="s">
        <v>180</v>
      </c>
      <c r="J20" s="533">
        <v>12</v>
      </c>
      <c r="M20" s="24"/>
      <c r="N20" s="57"/>
      <c r="O20" s="57"/>
      <c r="P20" s="51"/>
      <c r="Q20" s="51"/>
    </row>
    <row r="21" spans="1:17" ht="24.95" customHeight="1">
      <c r="A21" s="524">
        <v>13</v>
      </c>
      <c r="B21" s="464" t="s">
        <v>87</v>
      </c>
      <c r="C21" s="465">
        <v>0</v>
      </c>
      <c r="D21" s="142">
        <v>13.3</v>
      </c>
      <c r="E21" s="194">
        <f t="shared" si="0"/>
        <v>13.3</v>
      </c>
      <c r="F21" s="466">
        <v>48</v>
      </c>
      <c r="G21" s="137">
        <v>12</v>
      </c>
      <c r="H21" s="466">
        <f t="shared" si="1"/>
        <v>60</v>
      </c>
      <c r="I21" s="461" t="s">
        <v>88</v>
      </c>
      <c r="J21" s="480">
        <v>13</v>
      </c>
      <c r="M21" s="24"/>
      <c r="N21" s="57"/>
      <c r="O21" s="57"/>
      <c r="P21" s="51"/>
      <c r="Q21" s="51"/>
    </row>
    <row r="22" spans="1:17" ht="24.95" customHeight="1">
      <c r="A22" s="533">
        <v>14</v>
      </c>
      <c r="B22" s="467" t="s">
        <v>89</v>
      </c>
      <c r="C22" s="468">
        <v>72</v>
      </c>
      <c r="D22" s="326">
        <v>9.3000000000000007</v>
      </c>
      <c r="E22" s="327">
        <f t="shared" si="0"/>
        <v>81.3</v>
      </c>
      <c r="F22" s="462">
        <v>60</v>
      </c>
      <c r="G22" s="325">
        <v>13</v>
      </c>
      <c r="H22" s="462">
        <f t="shared" si="1"/>
        <v>73</v>
      </c>
      <c r="I22" s="446" t="s">
        <v>90</v>
      </c>
      <c r="J22" s="533">
        <v>14</v>
      </c>
      <c r="M22" s="24"/>
      <c r="N22" s="57"/>
      <c r="O22" s="57"/>
      <c r="P22" s="51"/>
      <c r="Q22" s="51"/>
    </row>
    <row r="23" spans="1:17" ht="24.95" customHeight="1">
      <c r="A23" s="524">
        <v>15</v>
      </c>
      <c r="B23" s="464" t="s">
        <v>91</v>
      </c>
      <c r="C23" s="465">
        <v>0</v>
      </c>
      <c r="D23" s="148">
        <v>3</v>
      </c>
      <c r="E23" s="141">
        <f t="shared" si="0"/>
        <v>3</v>
      </c>
      <c r="F23" s="466">
        <v>36</v>
      </c>
      <c r="G23" s="137">
        <v>14</v>
      </c>
      <c r="H23" s="466">
        <f t="shared" si="1"/>
        <v>50</v>
      </c>
      <c r="I23" s="516" t="s">
        <v>329</v>
      </c>
      <c r="J23" s="480">
        <v>15</v>
      </c>
      <c r="M23" s="24"/>
      <c r="N23" s="57"/>
      <c r="O23" s="57"/>
      <c r="P23" s="51"/>
      <c r="Q23" s="51"/>
    </row>
    <row r="24" spans="1:17" ht="24.95" customHeight="1">
      <c r="A24" s="533">
        <v>16</v>
      </c>
      <c r="B24" s="467" t="s">
        <v>247</v>
      </c>
      <c r="C24" s="468">
        <v>0</v>
      </c>
      <c r="D24" s="323">
        <v>4</v>
      </c>
      <c r="E24" s="324">
        <f t="shared" si="0"/>
        <v>4</v>
      </c>
      <c r="F24" s="462" t="s">
        <v>35</v>
      </c>
      <c r="G24" s="325">
        <v>18</v>
      </c>
      <c r="H24" s="462">
        <f>G24</f>
        <v>18</v>
      </c>
      <c r="I24" s="446" t="s">
        <v>182</v>
      </c>
      <c r="J24" s="533">
        <v>16</v>
      </c>
      <c r="M24" s="24"/>
      <c r="N24" s="57"/>
      <c r="O24" s="57"/>
      <c r="P24" s="51"/>
      <c r="Q24" s="51"/>
    </row>
    <row r="25" spans="1:17" ht="24.95" customHeight="1">
      <c r="A25" s="524">
        <v>17</v>
      </c>
      <c r="B25" s="464" t="s">
        <v>146</v>
      </c>
      <c r="C25" s="465">
        <v>24</v>
      </c>
      <c r="D25" s="148">
        <v>7</v>
      </c>
      <c r="E25" s="141">
        <f t="shared" si="0"/>
        <v>31</v>
      </c>
      <c r="F25" s="466">
        <v>96</v>
      </c>
      <c r="G25" s="137">
        <v>24</v>
      </c>
      <c r="H25" s="466">
        <f t="shared" si="1"/>
        <v>120</v>
      </c>
      <c r="I25" s="461" t="s">
        <v>233</v>
      </c>
      <c r="J25" s="480">
        <v>17</v>
      </c>
      <c r="M25" s="24"/>
      <c r="N25" s="57"/>
      <c r="O25" s="57"/>
      <c r="P25" s="51"/>
      <c r="Q25" s="51"/>
    </row>
    <row r="26" spans="1:17" ht="24.95" customHeight="1">
      <c r="A26" s="533">
        <v>18</v>
      </c>
      <c r="B26" s="467" t="s">
        <v>94</v>
      </c>
      <c r="C26" s="468">
        <v>24</v>
      </c>
      <c r="D26" s="323">
        <v>23</v>
      </c>
      <c r="E26" s="324">
        <f t="shared" si="0"/>
        <v>47</v>
      </c>
      <c r="F26" s="462">
        <v>48</v>
      </c>
      <c r="G26" s="325">
        <v>24</v>
      </c>
      <c r="H26" s="462">
        <f t="shared" si="1"/>
        <v>72</v>
      </c>
      <c r="I26" s="446" t="s">
        <v>234</v>
      </c>
      <c r="J26" s="533">
        <v>18</v>
      </c>
      <c r="M26" s="24"/>
      <c r="N26" s="57"/>
      <c r="O26" s="57"/>
      <c r="P26" s="51"/>
      <c r="Q26" s="51"/>
    </row>
    <row r="27" spans="1:17" ht="24.95" customHeight="1">
      <c r="A27" s="524">
        <v>19</v>
      </c>
      <c r="B27" s="464" t="s">
        <v>248</v>
      </c>
      <c r="C27" s="465">
        <v>24</v>
      </c>
      <c r="D27" s="148">
        <v>4</v>
      </c>
      <c r="E27" s="141">
        <f t="shared" si="0"/>
        <v>28</v>
      </c>
      <c r="F27" s="466">
        <v>72</v>
      </c>
      <c r="G27" s="137">
        <v>16</v>
      </c>
      <c r="H27" s="466">
        <f t="shared" si="1"/>
        <v>88</v>
      </c>
      <c r="I27" s="444" t="s">
        <v>97</v>
      </c>
      <c r="J27" s="480">
        <v>19</v>
      </c>
      <c r="M27" s="24"/>
      <c r="N27" s="57"/>
      <c r="O27" s="57"/>
      <c r="P27" s="51"/>
      <c r="Q27" s="51"/>
    </row>
    <row r="28" spans="1:17" s="19" customFormat="1" ht="24.95" customHeight="1">
      <c r="A28" s="533">
        <v>20</v>
      </c>
      <c r="B28" s="467" t="s">
        <v>151</v>
      </c>
      <c r="C28" s="468">
        <v>18</v>
      </c>
      <c r="D28" s="323">
        <v>6</v>
      </c>
      <c r="E28" s="324">
        <f t="shared" si="0"/>
        <v>24</v>
      </c>
      <c r="F28" s="462">
        <v>36</v>
      </c>
      <c r="G28" s="325">
        <v>15</v>
      </c>
      <c r="H28" s="462">
        <f t="shared" si="1"/>
        <v>51</v>
      </c>
      <c r="I28" s="513" t="s">
        <v>235</v>
      </c>
      <c r="J28" s="533">
        <v>20</v>
      </c>
      <c r="K28"/>
      <c r="M28" s="24"/>
      <c r="N28" s="58"/>
      <c r="O28" s="58"/>
      <c r="P28" s="56"/>
      <c r="Q28" s="56"/>
    </row>
    <row r="29" spans="1:17" ht="24.95" customHeight="1">
      <c r="A29" s="524">
        <v>21</v>
      </c>
      <c r="B29" s="464" t="s">
        <v>153</v>
      </c>
      <c r="C29" s="465">
        <v>78</v>
      </c>
      <c r="D29" s="148">
        <v>18</v>
      </c>
      <c r="E29" s="141">
        <f t="shared" si="0"/>
        <v>96</v>
      </c>
      <c r="F29" s="466">
        <v>204</v>
      </c>
      <c r="G29" s="137">
        <v>12</v>
      </c>
      <c r="H29" s="466">
        <f t="shared" si="1"/>
        <v>216</v>
      </c>
      <c r="I29" s="444" t="s">
        <v>99</v>
      </c>
      <c r="J29" s="480">
        <v>21</v>
      </c>
      <c r="M29" s="24"/>
      <c r="N29" s="57"/>
      <c r="O29" s="57"/>
      <c r="P29" s="51"/>
      <c r="Q29" s="51"/>
    </row>
    <row r="30" spans="1:17" ht="24.95" customHeight="1">
      <c r="A30" s="533">
        <v>22</v>
      </c>
      <c r="B30" s="467" t="s">
        <v>240</v>
      </c>
      <c r="C30" s="468">
        <v>0</v>
      </c>
      <c r="D30" s="323">
        <v>13</v>
      </c>
      <c r="E30" s="324">
        <f t="shared" si="0"/>
        <v>13</v>
      </c>
      <c r="F30" s="462" t="s">
        <v>35</v>
      </c>
      <c r="G30" s="325">
        <v>8</v>
      </c>
      <c r="H30" s="462">
        <f>G30</f>
        <v>8</v>
      </c>
      <c r="I30" s="513" t="s">
        <v>236</v>
      </c>
      <c r="J30" s="533">
        <v>22</v>
      </c>
      <c r="M30" s="25"/>
      <c r="N30" s="57"/>
      <c r="O30" s="57"/>
      <c r="P30" s="51"/>
      <c r="Q30" s="51"/>
    </row>
    <row r="31" spans="1:17" ht="24.95" customHeight="1">
      <c r="A31" s="524">
        <v>23</v>
      </c>
      <c r="B31" s="464" t="s">
        <v>122</v>
      </c>
      <c r="C31" s="465">
        <v>0</v>
      </c>
      <c r="D31" s="148">
        <v>5</v>
      </c>
      <c r="E31" s="141">
        <f t="shared" si="0"/>
        <v>5</v>
      </c>
      <c r="F31" s="466">
        <v>24</v>
      </c>
      <c r="G31" s="137">
        <v>5</v>
      </c>
      <c r="H31" s="466">
        <f t="shared" si="1"/>
        <v>29</v>
      </c>
      <c r="I31" s="461" t="s">
        <v>123</v>
      </c>
      <c r="J31" s="480">
        <v>23</v>
      </c>
      <c r="M31" s="24"/>
      <c r="N31" s="57"/>
      <c r="O31" s="57"/>
      <c r="P31" s="51"/>
      <c r="Q31" s="51"/>
    </row>
    <row r="32" spans="1:17" ht="24.95" customHeight="1">
      <c r="A32" s="533">
        <v>24</v>
      </c>
      <c r="B32" s="469" t="s">
        <v>241</v>
      </c>
      <c r="C32" s="468">
        <v>8</v>
      </c>
      <c r="D32" s="323">
        <v>5</v>
      </c>
      <c r="E32" s="324">
        <f t="shared" si="0"/>
        <v>13</v>
      </c>
      <c r="F32" s="462">
        <v>12</v>
      </c>
      <c r="G32" s="328">
        <v>10.3</v>
      </c>
      <c r="H32" s="463">
        <f t="shared" si="1"/>
        <v>22.3</v>
      </c>
      <c r="I32" s="446" t="s">
        <v>125</v>
      </c>
      <c r="J32" s="533">
        <v>24</v>
      </c>
      <c r="M32" s="24"/>
      <c r="N32" s="57"/>
      <c r="O32" s="57"/>
      <c r="P32" s="51"/>
      <c r="Q32" s="51"/>
    </row>
    <row r="33" spans="1:17" ht="24.95" customHeight="1">
      <c r="A33" s="524">
        <v>25</v>
      </c>
      <c r="B33" s="464" t="s">
        <v>181</v>
      </c>
      <c r="C33" s="465">
        <v>0</v>
      </c>
      <c r="D33" s="148">
        <v>18</v>
      </c>
      <c r="E33" s="141">
        <f t="shared" si="0"/>
        <v>18</v>
      </c>
      <c r="F33" s="466">
        <v>12</v>
      </c>
      <c r="G33" s="137" t="s">
        <v>35</v>
      </c>
      <c r="H33" s="466">
        <f>F33</f>
        <v>12</v>
      </c>
      <c r="I33" s="461" t="s">
        <v>183</v>
      </c>
      <c r="J33" s="480">
        <v>25</v>
      </c>
      <c r="M33" s="24"/>
      <c r="N33" s="106"/>
      <c r="O33" s="57"/>
      <c r="P33" s="51"/>
      <c r="Q33" s="51"/>
    </row>
    <row r="34" spans="1:17" ht="24.95" customHeight="1">
      <c r="A34" s="533">
        <v>26</v>
      </c>
      <c r="B34" s="467" t="s">
        <v>242</v>
      </c>
      <c r="C34" s="468">
        <v>0</v>
      </c>
      <c r="D34" s="323">
        <v>6</v>
      </c>
      <c r="E34" s="324">
        <f t="shared" si="0"/>
        <v>6</v>
      </c>
      <c r="F34" s="462">
        <v>24</v>
      </c>
      <c r="G34" s="325">
        <v>24</v>
      </c>
      <c r="H34" s="462">
        <f>G34+F34</f>
        <v>48</v>
      </c>
      <c r="I34" s="446" t="s">
        <v>127</v>
      </c>
      <c r="J34" s="533">
        <v>26</v>
      </c>
      <c r="M34" s="24"/>
      <c r="N34" s="57"/>
      <c r="O34" s="57"/>
      <c r="P34" s="51"/>
      <c r="Q34" s="51"/>
    </row>
    <row r="35" spans="1:17" ht="24.95" customHeight="1">
      <c r="A35" s="524">
        <v>27</v>
      </c>
      <c r="B35" s="464" t="s">
        <v>243</v>
      </c>
      <c r="C35" s="465">
        <v>38</v>
      </c>
      <c r="D35" s="148">
        <v>16</v>
      </c>
      <c r="E35" s="141">
        <f t="shared" si="0"/>
        <v>54</v>
      </c>
      <c r="F35" s="466">
        <v>132</v>
      </c>
      <c r="G35" s="137">
        <v>15</v>
      </c>
      <c r="H35" s="466">
        <f t="shared" ref="H35:H41" si="2">G35+F35</f>
        <v>147</v>
      </c>
      <c r="I35" s="461" t="s">
        <v>103</v>
      </c>
      <c r="J35" s="480">
        <v>27</v>
      </c>
      <c r="M35" s="24"/>
      <c r="N35" s="57"/>
      <c r="O35" s="57"/>
      <c r="P35" s="51"/>
      <c r="Q35" s="51"/>
    </row>
    <row r="36" spans="1:17" ht="24.95" customHeight="1">
      <c r="A36" s="533">
        <v>28</v>
      </c>
      <c r="B36" s="467" t="s">
        <v>155</v>
      </c>
      <c r="C36" s="468">
        <v>0</v>
      </c>
      <c r="D36" s="323">
        <v>17</v>
      </c>
      <c r="E36" s="324">
        <f t="shared" si="0"/>
        <v>17</v>
      </c>
      <c r="F36" s="462">
        <v>48</v>
      </c>
      <c r="G36" s="325">
        <v>17</v>
      </c>
      <c r="H36" s="462">
        <f t="shared" si="2"/>
        <v>65</v>
      </c>
      <c r="I36" s="513" t="s">
        <v>237</v>
      </c>
      <c r="J36" s="533">
        <v>28</v>
      </c>
      <c r="M36" s="24"/>
      <c r="N36" s="57"/>
      <c r="O36" s="57"/>
      <c r="P36" s="51"/>
      <c r="Q36" s="51"/>
    </row>
    <row r="37" spans="1:17" ht="24.95" customHeight="1">
      <c r="A37" s="524">
        <v>29</v>
      </c>
      <c r="B37" s="464" t="s">
        <v>244</v>
      </c>
      <c r="C37" s="465">
        <v>24</v>
      </c>
      <c r="D37" s="148">
        <v>8</v>
      </c>
      <c r="E37" s="141">
        <f t="shared" si="0"/>
        <v>32</v>
      </c>
      <c r="F37" s="466">
        <v>12</v>
      </c>
      <c r="G37" s="137">
        <v>12</v>
      </c>
      <c r="H37" s="466">
        <f t="shared" si="2"/>
        <v>24</v>
      </c>
      <c r="I37" s="444" t="s">
        <v>238</v>
      </c>
      <c r="J37" s="480">
        <v>29</v>
      </c>
      <c r="M37" s="24"/>
      <c r="N37" s="57"/>
      <c r="O37" s="57"/>
      <c r="P37" s="51"/>
      <c r="Q37" s="51"/>
    </row>
    <row r="38" spans="1:17" ht="24.95" customHeight="1">
      <c r="A38" s="533">
        <v>30</v>
      </c>
      <c r="B38" s="467" t="s">
        <v>157</v>
      </c>
      <c r="C38" s="468">
        <v>48</v>
      </c>
      <c r="D38" s="323">
        <v>11</v>
      </c>
      <c r="E38" s="324">
        <f t="shared" si="0"/>
        <v>59</v>
      </c>
      <c r="F38" s="462">
        <v>36</v>
      </c>
      <c r="G38" s="325">
        <v>18</v>
      </c>
      <c r="H38" s="462">
        <f t="shared" si="2"/>
        <v>54</v>
      </c>
      <c r="I38" s="446" t="s">
        <v>130</v>
      </c>
      <c r="J38" s="533">
        <v>30</v>
      </c>
      <c r="M38" s="24"/>
      <c r="N38" s="57"/>
      <c r="O38" s="51"/>
      <c r="P38" s="51"/>
      <c r="Q38" s="51"/>
    </row>
    <row r="39" spans="1:17" ht="24.95" customHeight="1">
      <c r="A39" s="524">
        <v>31</v>
      </c>
      <c r="B39" s="464" t="s">
        <v>245</v>
      </c>
      <c r="C39" s="465">
        <v>24</v>
      </c>
      <c r="D39" s="142">
        <v>4.3</v>
      </c>
      <c r="E39" s="194">
        <f t="shared" si="0"/>
        <v>28.3</v>
      </c>
      <c r="F39" s="466">
        <v>24</v>
      </c>
      <c r="G39" s="137">
        <v>10</v>
      </c>
      <c r="H39" s="466">
        <f t="shared" si="2"/>
        <v>34</v>
      </c>
      <c r="I39" s="461" t="s">
        <v>107</v>
      </c>
      <c r="J39" s="480">
        <v>31</v>
      </c>
      <c r="M39" s="24"/>
      <c r="N39" s="57"/>
    </row>
    <row r="40" spans="1:17" ht="24.95" customHeight="1">
      <c r="A40" s="533">
        <v>32</v>
      </c>
      <c r="B40" s="467" t="s">
        <v>108</v>
      </c>
      <c r="C40" s="468">
        <v>172</v>
      </c>
      <c r="D40" s="323">
        <v>18</v>
      </c>
      <c r="E40" s="324">
        <f t="shared" si="0"/>
        <v>190</v>
      </c>
      <c r="F40" s="462">
        <v>228</v>
      </c>
      <c r="G40" s="325">
        <v>11</v>
      </c>
      <c r="H40" s="462">
        <f t="shared" si="2"/>
        <v>239</v>
      </c>
      <c r="I40" s="513" t="s">
        <v>109</v>
      </c>
      <c r="J40" s="533">
        <v>32</v>
      </c>
      <c r="M40" s="24"/>
      <c r="N40" s="19"/>
    </row>
    <row r="41" spans="1:17" ht="24.95" customHeight="1">
      <c r="A41" s="524">
        <v>33</v>
      </c>
      <c r="B41" s="464" t="s">
        <v>131</v>
      </c>
      <c r="C41" s="465">
        <v>0</v>
      </c>
      <c r="D41" s="148">
        <v>5</v>
      </c>
      <c r="E41" s="141">
        <f t="shared" si="0"/>
        <v>5</v>
      </c>
      <c r="F41" s="466">
        <v>12</v>
      </c>
      <c r="G41" s="137">
        <v>16</v>
      </c>
      <c r="H41" s="466">
        <f t="shared" si="2"/>
        <v>28</v>
      </c>
      <c r="I41" s="444" t="s">
        <v>132</v>
      </c>
      <c r="J41" s="480">
        <v>33</v>
      </c>
      <c r="N41" s="19"/>
    </row>
    <row r="42" spans="1:17" ht="24.95" customHeight="1">
      <c r="A42" s="481">
        <v>34</v>
      </c>
      <c r="B42" s="474" t="s">
        <v>163</v>
      </c>
      <c r="C42" s="475">
        <v>0</v>
      </c>
      <c r="D42" s="329">
        <v>5</v>
      </c>
      <c r="E42" s="330">
        <f>D42</f>
        <v>5</v>
      </c>
      <c r="F42" s="476">
        <v>24</v>
      </c>
      <c r="G42" s="331">
        <v>2</v>
      </c>
      <c r="H42" s="476">
        <f>G42+F42</f>
        <v>26</v>
      </c>
      <c r="I42" s="477" t="s">
        <v>111</v>
      </c>
      <c r="J42" s="481">
        <v>34</v>
      </c>
      <c r="M42" s="19"/>
      <c r="N42" s="19"/>
    </row>
    <row r="43" spans="1:17" ht="20.45" customHeight="1">
      <c r="A43" s="478" t="s">
        <v>24</v>
      </c>
      <c r="B43" s="52"/>
      <c r="C43" s="52"/>
      <c r="D43" s="52"/>
      <c r="E43" s="769" t="s">
        <v>355</v>
      </c>
      <c r="F43" s="769"/>
      <c r="G43" s="769"/>
      <c r="H43" s="771" t="s">
        <v>311</v>
      </c>
      <c r="I43" s="771"/>
      <c r="J43" s="771"/>
      <c r="M43" s="19"/>
      <c r="N43" s="19"/>
    </row>
    <row r="44" spans="1:17">
      <c r="M44" s="19"/>
      <c r="N44" s="19"/>
    </row>
    <row r="45" spans="1:17">
      <c r="M45" s="19"/>
      <c r="N45" s="19"/>
    </row>
    <row r="46" spans="1:17">
      <c r="M46" s="19"/>
      <c r="N46" s="19"/>
    </row>
    <row r="47" spans="1:17">
      <c r="M47" s="172"/>
      <c r="N47" s="19"/>
    </row>
    <row r="48" spans="1:17">
      <c r="M48" s="19"/>
      <c r="N48" s="19"/>
    </row>
    <row r="49" spans="13:14">
      <c r="M49" s="172"/>
      <c r="N49" s="19"/>
    </row>
    <row r="50" spans="13:14">
      <c r="M50" s="19"/>
      <c r="N50" s="19"/>
    </row>
  </sheetData>
  <mergeCells count="19">
    <mergeCell ref="D6:D7"/>
    <mergeCell ref="F6:F7"/>
    <mergeCell ref="G6:G7"/>
    <mergeCell ref="Q3:R3"/>
    <mergeCell ref="E43:G43"/>
    <mergeCell ref="J4:J7"/>
    <mergeCell ref="H43:J43"/>
    <mergeCell ref="A1:J1"/>
    <mergeCell ref="A2:J2"/>
    <mergeCell ref="A3:J3"/>
    <mergeCell ref="A4:A7"/>
    <mergeCell ref="N3:O3"/>
    <mergeCell ref="C5:E5"/>
    <mergeCell ref="F5:H5"/>
    <mergeCell ref="B4:B7"/>
    <mergeCell ref="I4:I7"/>
    <mergeCell ref="F4:H4"/>
    <mergeCell ref="C4:E4"/>
    <mergeCell ref="C6:C7"/>
  </mergeCells>
  <hyperlinks>
    <hyperlink ref="B33" r:id="rId1" location="FNote1" display="FNote1"/>
  </hyperlinks>
  <pageMargins left="0.74803149606299213" right="0.74803149606299213" top="0.62992125984251968" bottom="0.74803149606299213" header="0.31496062992125984" footer="0.31496062992125984"/>
  <pageSetup paperSize="9" scale="71" orientation="portrait" verticalDpi="300" r:id="rId2"/>
  <headerFooter>
    <oddFooter>&amp;L&amp;"Times New Roman,Bold"Afghanistan Statistical Yearbook 2017-18&amp;R&amp;"Times New Roman,Bold"   سالنامۀ احصائیوی / احصا ئيوي کالنی  1396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0"/>
  <sheetViews>
    <sheetView view="pageBreakPreview" zoomScale="110" zoomScaleSheetLayoutView="110" workbookViewId="0">
      <selection sqref="A1:J50"/>
    </sheetView>
  </sheetViews>
  <sheetFormatPr defaultColWidth="9.140625" defaultRowHeight="19.5" customHeight="1"/>
  <cols>
    <col min="1" max="1" width="4.28515625" style="491" customWidth="1"/>
    <col min="2" max="2" width="28.140625" style="36" customWidth="1"/>
    <col min="3" max="3" width="7.7109375" style="36" customWidth="1"/>
    <col min="4" max="4" width="8" style="36" customWidth="1"/>
    <col min="5" max="5" width="8.42578125" style="36" customWidth="1"/>
    <col min="6" max="6" width="6.42578125" style="36" customWidth="1"/>
    <col min="7" max="8" width="6.85546875" style="36" customWidth="1"/>
    <col min="9" max="9" width="27.42578125" style="36" customWidth="1"/>
    <col min="10" max="10" width="4.28515625" style="491" customWidth="1"/>
    <col min="11" max="16384" width="9.140625" style="36"/>
  </cols>
  <sheetData>
    <row r="1" spans="1:13" ht="18.95" customHeight="1">
      <c r="A1" s="798" t="s">
        <v>577</v>
      </c>
      <c r="B1" s="798"/>
      <c r="C1" s="798"/>
      <c r="D1" s="798"/>
      <c r="E1" s="798"/>
      <c r="F1" s="798"/>
      <c r="G1" s="798"/>
      <c r="H1" s="798"/>
      <c r="I1" s="798"/>
      <c r="J1" s="798"/>
    </row>
    <row r="2" spans="1:13" ht="18.95" customHeight="1">
      <c r="A2" s="798" t="s">
        <v>578</v>
      </c>
      <c r="B2" s="798"/>
      <c r="C2" s="798"/>
      <c r="D2" s="798"/>
      <c r="E2" s="798"/>
      <c r="F2" s="798"/>
      <c r="G2" s="798"/>
      <c r="H2" s="798"/>
      <c r="I2" s="798"/>
      <c r="J2" s="798"/>
    </row>
    <row r="3" spans="1:13" ht="18.95" customHeight="1">
      <c r="A3" s="799" t="s">
        <v>579</v>
      </c>
      <c r="B3" s="799"/>
      <c r="C3" s="799"/>
      <c r="D3" s="799"/>
      <c r="E3" s="799"/>
      <c r="F3" s="799"/>
      <c r="G3" s="799"/>
      <c r="H3" s="799"/>
      <c r="I3" s="799"/>
      <c r="J3" s="799"/>
    </row>
    <row r="4" spans="1:13" ht="17.100000000000001" customHeight="1">
      <c r="A4" s="800" t="s">
        <v>633</v>
      </c>
      <c r="B4" s="803" t="s">
        <v>269</v>
      </c>
      <c r="C4" s="803" t="s">
        <v>356</v>
      </c>
      <c r="D4" s="806"/>
      <c r="E4" s="806"/>
      <c r="F4" s="807" t="s">
        <v>313</v>
      </c>
      <c r="G4" s="808"/>
      <c r="H4" s="809"/>
      <c r="I4" s="810" t="s">
        <v>270</v>
      </c>
      <c r="J4" s="800" t="s">
        <v>632</v>
      </c>
    </row>
    <row r="5" spans="1:13" ht="17.100000000000001" customHeight="1">
      <c r="A5" s="801"/>
      <c r="B5" s="804"/>
      <c r="C5" s="805" t="s">
        <v>314</v>
      </c>
      <c r="D5" s="816"/>
      <c r="E5" s="816"/>
      <c r="F5" s="813" t="s">
        <v>312</v>
      </c>
      <c r="G5" s="814"/>
      <c r="H5" s="815"/>
      <c r="I5" s="811"/>
      <c r="J5" s="801"/>
    </row>
    <row r="6" spans="1:13" ht="17.100000000000001" customHeight="1">
      <c r="A6" s="801"/>
      <c r="B6" s="804"/>
      <c r="C6" s="565" t="s">
        <v>271</v>
      </c>
      <c r="D6" s="74" t="s">
        <v>272</v>
      </c>
      <c r="E6" s="569" t="s">
        <v>135</v>
      </c>
      <c r="F6" s="567" t="s">
        <v>273</v>
      </c>
      <c r="G6" s="37" t="s">
        <v>274</v>
      </c>
      <c r="H6" s="568" t="s">
        <v>275</v>
      </c>
      <c r="I6" s="811"/>
      <c r="J6" s="801"/>
      <c r="K6" s="38"/>
    </row>
    <row r="7" spans="1:13" ht="17.100000000000001" customHeight="1">
      <c r="A7" s="801"/>
      <c r="B7" s="804"/>
      <c r="C7" s="76" t="s">
        <v>301</v>
      </c>
      <c r="D7" s="536" t="s">
        <v>302</v>
      </c>
      <c r="E7" s="559" t="s">
        <v>297</v>
      </c>
      <c r="F7" s="76" t="s">
        <v>301</v>
      </c>
      <c r="G7" s="536" t="s">
        <v>302</v>
      </c>
      <c r="H7" s="77" t="s">
        <v>297</v>
      </c>
      <c r="I7" s="811"/>
      <c r="J7" s="801"/>
      <c r="K7" s="38"/>
    </row>
    <row r="8" spans="1:13" ht="17.100000000000001" customHeight="1">
      <c r="A8" s="802"/>
      <c r="B8" s="805"/>
      <c r="C8" s="566" t="s">
        <v>169</v>
      </c>
      <c r="D8" s="75" t="s">
        <v>276</v>
      </c>
      <c r="E8" s="78" t="s">
        <v>211</v>
      </c>
      <c r="F8" s="488" t="s">
        <v>169</v>
      </c>
      <c r="G8" s="489" t="s">
        <v>276</v>
      </c>
      <c r="H8" s="490" t="s">
        <v>68</v>
      </c>
      <c r="I8" s="812"/>
      <c r="J8" s="802"/>
      <c r="K8" s="38"/>
    </row>
    <row r="9" spans="1:13" ht="20.100000000000001" customHeight="1">
      <c r="A9" s="789"/>
      <c r="B9" s="797" t="s">
        <v>211</v>
      </c>
      <c r="C9" s="796">
        <f>C11+C17+C18+C19+C20+C21+C22+C24+C25+C26+C27+C28+C29+C32+C33+C34+C35+C36+C37+C38+C39+C40+C41+C42+C43+C44+C45+C46+C47+C48+C49</f>
        <v>852</v>
      </c>
      <c r="D9" s="793">
        <f>D11+D17+D18+D19+D20+D21+D22+D23+D24+D25+D26+D27+D28+D29+D30+D31+D32+D33+D34+D35+D36+D37+D38+D39+D40+D41+D42+D43+D44+D45+D46+D47+D48+D49</f>
        <v>30272</v>
      </c>
      <c r="E9" s="793">
        <f>E11+E17+E18+E19+E20+E21+E22+E23+E24+E25+E26+E27+E28+E29+E30+E31+E32+E33+E34+E35+E36+E37+E38+E39+E40+E41+E42+E43+E44+E45+E46+E47+E48+E49</f>
        <v>31124</v>
      </c>
      <c r="F9" s="796">
        <f>F11+F17+F18+F19+F20+F21+F22+F23+F24+F25+F26+F27+F28+F29+F30+F31+F32+F33+F34+F35+F36+F37+F38+F39+F40+F41+F42+F43+F44+F45+F46+F47+F48+F49</f>
        <v>34</v>
      </c>
      <c r="G9" s="793">
        <f>G11+G17+G18+G19+G20+G21+G22+G23+G24+G25+G26+G27+G28+G29+G30+G31+G32+G33+G34+G35+G36+G37+G38+G39+G40+G41+G42+G43+G44+G45+G46+G47+G48+G49</f>
        <v>37</v>
      </c>
      <c r="H9" s="793">
        <f>H11+H17+H18+H19+H20+H21+H22+H23+H24+H25+H26+H27+H28+H29+H30+H31+H32+H33+H34+H35+H36+H37+H38+H39+H40+H41+H42+H43+H44+H45+H46+H47+H48+H49</f>
        <v>71</v>
      </c>
      <c r="I9" s="311" t="s">
        <v>62</v>
      </c>
      <c r="J9" s="789"/>
      <c r="K9" s="39"/>
    </row>
    <row r="10" spans="1:13" ht="20.100000000000001" customHeight="1">
      <c r="A10" s="790"/>
      <c r="B10" s="797"/>
      <c r="C10" s="796"/>
      <c r="D10" s="793"/>
      <c r="E10" s="793"/>
      <c r="F10" s="796"/>
      <c r="G10" s="793"/>
      <c r="H10" s="793"/>
      <c r="I10" s="311" t="s">
        <v>297</v>
      </c>
      <c r="J10" s="790"/>
      <c r="K10" s="39"/>
    </row>
    <row r="11" spans="1:13" ht="20.100000000000001" customHeight="1">
      <c r="A11" s="611">
        <v>1</v>
      </c>
      <c r="B11" s="48" t="s">
        <v>69</v>
      </c>
      <c r="C11" s="248">
        <f>C16</f>
        <v>193</v>
      </c>
      <c r="D11" s="247">
        <f>D13+D12+D14</f>
        <v>13820</v>
      </c>
      <c r="E11" s="247">
        <f>E13+E12+E14+E16</f>
        <v>14013</v>
      </c>
      <c r="F11" s="248">
        <f>F16</f>
        <v>1</v>
      </c>
      <c r="G11" s="247">
        <f>G13+G12+G14</f>
        <v>4</v>
      </c>
      <c r="H11" s="247">
        <f>G11+F11</f>
        <v>5</v>
      </c>
      <c r="I11" s="91" t="s">
        <v>70</v>
      </c>
      <c r="J11" s="611">
        <v>1</v>
      </c>
      <c r="K11" s="38"/>
      <c r="L11" s="38"/>
      <c r="M11" s="38"/>
    </row>
    <row r="12" spans="1:13" ht="39.75" customHeight="1">
      <c r="A12" s="612">
        <v>2</v>
      </c>
      <c r="B12" s="570" t="s">
        <v>624</v>
      </c>
      <c r="C12" s="562" t="s">
        <v>35</v>
      </c>
      <c r="D12" s="564">
        <v>12171</v>
      </c>
      <c r="E12" s="564">
        <f>D12</f>
        <v>12171</v>
      </c>
      <c r="F12" s="562" t="s">
        <v>35</v>
      </c>
      <c r="G12" s="564">
        <v>2</v>
      </c>
      <c r="H12" s="563">
        <f>G12</f>
        <v>2</v>
      </c>
      <c r="I12" s="312" t="s">
        <v>594</v>
      </c>
      <c r="J12" s="612">
        <v>2</v>
      </c>
      <c r="K12" s="38"/>
    </row>
    <row r="13" spans="1:13" ht="20.100000000000001" customHeight="1">
      <c r="A13" s="611">
        <v>3</v>
      </c>
      <c r="B13" s="255" t="s">
        <v>622</v>
      </c>
      <c r="C13" s="248" t="s">
        <v>35</v>
      </c>
      <c r="D13" s="247">
        <v>1348</v>
      </c>
      <c r="E13" s="247">
        <f>D13</f>
        <v>1348</v>
      </c>
      <c r="F13" s="248" t="s">
        <v>35</v>
      </c>
      <c r="G13" s="247">
        <v>1</v>
      </c>
      <c r="H13" s="247">
        <f>G13</f>
        <v>1</v>
      </c>
      <c r="I13" s="91" t="s">
        <v>423</v>
      </c>
      <c r="J13" s="611">
        <v>3</v>
      </c>
      <c r="K13" s="38"/>
    </row>
    <row r="14" spans="1:13" ht="20.100000000000001" customHeight="1">
      <c r="A14" s="790">
        <v>4</v>
      </c>
      <c r="B14" s="794" t="s">
        <v>625</v>
      </c>
      <c r="C14" s="796" t="s">
        <v>35</v>
      </c>
      <c r="D14" s="793">
        <v>301</v>
      </c>
      <c r="E14" s="795">
        <f>D14</f>
        <v>301</v>
      </c>
      <c r="F14" s="796" t="s">
        <v>35</v>
      </c>
      <c r="G14" s="793">
        <v>1</v>
      </c>
      <c r="H14" s="795">
        <f>G14</f>
        <v>1</v>
      </c>
      <c r="I14" s="312" t="s">
        <v>422</v>
      </c>
      <c r="J14" s="790">
        <v>4</v>
      </c>
      <c r="K14" s="38"/>
    </row>
    <row r="15" spans="1:13" ht="20.100000000000001" customHeight="1">
      <c r="A15" s="790"/>
      <c r="B15" s="794"/>
      <c r="C15" s="796"/>
      <c r="D15" s="793"/>
      <c r="E15" s="795"/>
      <c r="F15" s="796"/>
      <c r="G15" s="793"/>
      <c r="H15" s="795"/>
      <c r="I15" s="313" t="s">
        <v>359</v>
      </c>
      <c r="J15" s="790"/>
      <c r="K15" s="38"/>
    </row>
    <row r="16" spans="1:13" ht="20.100000000000001" customHeight="1">
      <c r="A16" s="611">
        <v>5</v>
      </c>
      <c r="B16" s="255" t="s">
        <v>623</v>
      </c>
      <c r="C16" s="248">
        <v>193</v>
      </c>
      <c r="D16" s="247" t="s">
        <v>35</v>
      </c>
      <c r="E16" s="246">
        <f>C16</f>
        <v>193</v>
      </c>
      <c r="F16" s="248">
        <v>1</v>
      </c>
      <c r="G16" s="247" t="s">
        <v>35</v>
      </c>
      <c r="H16" s="246">
        <f>F16</f>
        <v>1</v>
      </c>
      <c r="I16" s="80" t="s">
        <v>360</v>
      </c>
      <c r="J16" s="611">
        <v>5</v>
      </c>
      <c r="K16" s="38"/>
    </row>
    <row r="17" spans="1:10" ht="19.5" customHeight="1">
      <c r="A17" s="612">
        <v>6</v>
      </c>
      <c r="B17" s="314" t="s">
        <v>71</v>
      </c>
      <c r="C17" s="562">
        <v>9</v>
      </c>
      <c r="D17" s="564">
        <v>346</v>
      </c>
      <c r="E17" s="564">
        <f>D17+C17</f>
        <v>355</v>
      </c>
      <c r="F17" s="562">
        <v>1</v>
      </c>
      <c r="G17" s="564">
        <v>1</v>
      </c>
      <c r="H17" s="563">
        <f>G17+F17</f>
        <v>2</v>
      </c>
      <c r="I17" s="313" t="s">
        <v>277</v>
      </c>
      <c r="J17" s="612">
        <v>6</v>
      </c>
    </row>
    <row r="18" spans="1:10" ht="19.5" customHeight="1">
      <c r="A18" s="611">
        <v>7</v>
      </c>
      <c r="B18" s="48" t="s">
        <v>73</v>
      </c>
      <c r="C18" s="248">
        <v>23</v>
      </c>
      <c r="D18" s="247">
        <v>470</v>
      </c>
      <c r="E18" s="247">
        <f t="shared" ref="E18:E22" si="0">D18+C18</f>
        <v>493</v>
      </c>
      <c r="F18" s="248">
        <v>1</v>
      </c>
      <c r="G18" s="247">
        <v>1</v>
      </c>
      <c r="H18" s="246">
        <f t="shared" ref="H18:H49" si="1">G18+F18</f>
        <v>2</v>
      </c>
      <c r="I18" s="80" t="s">
        <v>74</v>
      </c>
      <c r="J18" s="611">
        <v>7</v>
      </c>
    </row>
    <row r="19" spans="1:10" ht="19.5" customHeight="1">
      <c r="A19" s="612">
        <v>8</v>
      </c>
      <c r="B19" s="315" t="s">
        <v>451</v>
      </c>
      <c r="C19" s="562">
        <v>16</v>
      </c>
      <c r="D19" s="564">
        <v>317</v>
      </c>
      <c r="E19" s="564">
        <f t="shared" si="0"/>
        <v>333</v>
      </c>
      <c r="F19" s="562">
        <v>1</v>
      </c>
      <c r="G19" s="564">
        <v>1</v>
      </c>
      <c r="H19" s="563">
        <f t="shared" si="1"/>
        <v>2</v>
      </c>
      <c r="I19" s="313" t="s">
        <v>370</v>
      </c>
      <c r="J19" s="612">
        <v>8</v>
      </c>
    </row>
    <row r="20" spans="1:10" ht="19.5" customHeight="1">
      <c r="A20" s="611">
        <v>9</v>
      </c>
      <c r="B20" s="48" t="s">
        <v>116</v>
      </c>
      <c r="C20" s="248">
        <v>1</v>
      </c>
      <c r="D20" s="247">
        <v>131</v>
      </c>
      <c r="E20" s="247">
        <f t="shared" si="0"/>
        <v>132</v>
      </c>
      <c r="F20" s="248">
        <v>1</v>
      </c>
      <c r="G20" s="247">
        <v>1</v>
      </c>
      <c r="H20" s="246">
        <f t="shared" si="1"/>
        <v>2</v>
      </c>
      <c r="I20" s="80" t="s">
        <v>117</v>
      </c>
      <c r="J20" s="611">
        <v>9</v>
      </c>
    </row>
    <row r="21" spans="1:10" ht="19.5" customHeight="1">
      <c r="A21" s="612">
        <v>10</v>
      </c>
      <c r="B21" s="315" t="s">
        <v>77</v>
      </c>
      <c r="C21" s="562">
        <v>39</v>
      </c>
      <c r="D21" s="564">
        <v>1764</v>
      </c>
      <c r="E21" s="564">
        <f t="shared" si="0"/>
        <v>1803</v>
      </c>
      <c r="F21" s="562">
        <v>1</v>
      </c>
      <c r="G21" s="564">
        <v>1</v>
      </c>
      <c r="H21" s="563">
        <f t="shared" si="1"/>
        <v>2</v>
      </c>
      <c r="I21" s="313" t="s">
        <v>78</v>
      </c>
      <c r="J21" s="612">
        <v>10</v>
      </c>
    </row>
    <row r="22" spans="1:10" ht="19.5" customHeight="1">
      <c r="A22" s="611">
        <v>11</v>
      </c>
      <c r="B22" s="48" t="s">
        <v>79</v>
      </c>
      <c r="C22" s="248">
        <v>5</v>
      </c>
      <c r="D22" s="247">
        <v>364</v>
      </c>
      <c r="E22" s="247">
        <f t="shared" si="0"/>
        <v>369</v>
      </c>
      <c r="F22" s="248">
        <v>1</v>
      </c>
      <c r="G22" s="247">
        <v>1</v>
      </c>
      <c r="H22" s="246">
        <f t="shared" si="1"/>
        <v>2</v>
      </c>
      <c r="I22" s="80" t="s">
        <v>80</v>
      </c>
      <c r="J22" s="611">
        <v>11</v>
      </c>
    </row>
    <row r="23" spans="1:10" ht="19.5" customHeight="1">
      <c r="A23" s="612">
        <v>12</v>
      </c>
      <c r="B23" s="314" t="s">
        <v>118</v>
      </c>
      <c r="C23" s="562" t="s">
        <v>35</v>
      </c>
      <c r="D23" s="564">
        <v>141</v>
      </c>
      <c r="E23" s="564">
        <f>D23</f>
        <v>141</v>
      </c>
      <c r="F23" s="562">
        <v>1</v>
      </c>
      <c r="G23" s="564">
        <v>1</v>
      </c>
      <c r="H23" s="563">
        <f t="shared" si="1"/>
        <v>2</v>
      </c>
      <c r="I23" s="313" t="s">
        <v>119</v>
      </c>
      <c r="J23" s="612">
        <v>12</v>
      </c>
    </row>
    <row r="24" spans="1:10" ht="19.5" customHeight="1">
      <c r="A24" s="611">
        <v>13</v>
      </c>
      <c r="B24" s="48" t="s">
        <v>255</v>
      </c>
      <c r="C24" s="248">
        <v>23</v>
      </c>
      <c r="D24" s="247">
        <v>496</v>
      </c>
      <c r="E24" s="247">
        <f>D24+C24</f>
        <v>519</v>
      </c>
      <c r="F24" s="248">
        <v>1</v>
      </c>
      <c r="G24" s="247">
        <v>1</v>
      </c>
      <c r="H24" s="246">
        <f t="shared" si="1"/>
        <v>2</v>
      </c>
      <c r="I24" s="81" t="s">
        <v>82</v>
      </c>
      <c r="J24" s="611">
        <v>13</v>
      </c>
    </row>
    <row r="25" spans="1:10" ht="19.5" customHeight="1">
      <c r="A25" s="612">
        <v>14</v>
      </c>
      <c r="B25" s="314" t="s">
        <v>83</v>
      </c>
      <c r="C25" s="562">
        <v>13</v>
      </c>
      <c r="D25" s="564">
        <v>168</v>
      </c>
      <c r="E25" s="564">
        <f t="shared" ref="E25:E29" si="2">D25+C25</f>
        <v>181</v>
      </c>
      <c r="F25" s="562">
        <v>1</v>
      </c>
      <c r="G25" s="564">
        <v>1</v>
      </c>
      <c r="H25" s="563">
        <f t="shared" si="1"/>
        <v>2</v>
      </c>
      <c r="I25" s="313" t="s">
        <v>84</v>
      </c>
      <c r="J25" s="612">
        <v>14</v>
      </c>
    </row>
    <row r="26" spans="1:10" ht="19.5" customHeight="1">
      <c r="A26" s="611">
        <v>15</v>
      </c>
      <c r="B26" s="48" t="s">
        <v>85</v>
      </c>
      <c r="C26" s="248">
        <v>16</v>
      </c>
      <c r="D26" s="247">
        <v>243</v>
      </c>
      <c r="E26" s="247">
        <f t="shared" si="2"/>
        <v>259</v>
      </c>
      <c r="F26" s="248">
        <v>1</v>
      </c>
      <c r="G26" s="247">
        <v>1</v>
      </c>
      <c r="H26" s="246">
        <f t="shared" si="1"/>
        <v>2</v>
      </c>
      <c r="I26" s="80" t="s">
        <v>232</v>
      </c>
      <c r="J26" s="611">
        <v>15</v>
      </c>
    </row>
    <row r="27" spans="1:10" ht="19.5" customHeight="1">
      <c r="A27" s="612">
        <v>16</v>
      </c>
      <c r="B27" s="314" t="s">
        <v>179</v>
      </c>
      <c r="C27" s="562">
        <v>4</v>
      </c>
      <c r="D27" s="564">
        <v>202</v>
      </c>
      <c r="E27" s="564">
        <f t="shared" si="2"/>
        <v>206</v>
      </c>
      <c r="F27" s="562">
        <v>1</v>
      </c>
      <c r="G27" s="564">
        <v>1</v>
      </c>
      <c r="H27" s="563">
        <f t="shared" si="1"/>
        <v>2</v>
      </c>
      <c r="I27" s="313" t="s">
        <v>180</v>
      </c>
      <c r="J27" s="612">
        <v>16</v>
      </c>
    </row>
    <row r="28" spans="1:10" ht="19.5" customHeight="1">
      <c r="A28" s="611">
        <v>17</v>
      </c>
      <c r="B28" s="48" t="s">
        <v>87</v>
      </c>
      <c r="C28" s="248">
        <v>3</v>
      </c>
      <c r="D28" s="247">
        <v>303</v>
      </c>
      <c r="E28" s="247">
        <f t="shared" si="2"/>
        <v>306</v>
      </c>
      <c r="F28" s="248">
        <v>1</v>
      </c>
      <c r="G28" s="247">
        <v>1</v>
      </c>
      <c r="H28" s="246">
        <f t="shared" si="1"/>
        <v>2</v>
      </c>
      <c r="I28" s="80" t="s">
        <v>88</v>
      </c>
      <c r="J28" s="611">
        <v>17</v>
      </c>
    </row>
    <row r="29" spans="1:10" ht="19.5" customHeight="1">
      <c r="A29" s="612">
        <v>18</v>
      </c>
      <c r="B29" s="315" t="s">
        <v>89</v>
      </c>
      <c r="C29" s="562">
        <v>5</v>
      </c>
      <c r="D29" s="564">
        <v>567</v>
      </c>
      <c r="E29" s="564">
        <f t="shared" si="2"/>
        <v>572</v>
      </c>
      <c r="F29" s="562">
        <v>1</v>
      </c>
      <c r="G29" s="564">
        <v>1</v>
      </c>
      <c r="H29" s="563">
        <f t="shared" si="1"/>
        <v>2</v>
      </c>
      <c r="I29" s="313" t="s">
        <v>90</v>
      </c>
      <c r="J29" s="611">
        <v>18</v>
      </c>
    </row>
    <row r="30" spans="1:10" ht="19.5" customHeight="1">
      <c r="A30" s="611">
        <v>19</v>
      </c>
      <c r="B30" s="48" t="s">
        <v>91</v>
      </c>
      <c r="C30" s="248" t="s">
        <v>35</v>
      </c>
      <c r="D30" s="247">
        <v>209</v>
      </c>
      <c r="E30" s="247">
        <f>D30</f>
        <v>209</v>
      </c>
      <c r="F30" s="248">
        <v>1</v>
      </c>
      <c r="G30" s="247">
        <v>1</v>
      </c>
      <c r="H30" s="246">
        <f t="shared" si="1"/>
        <v>2</v>
      </c>
      <c r="I30" s="517" t="s">
        <v>329</v>
      </c>
      <c r="J30" s="611">
        <v>19</v>
      </c>
    </row>
    <row r="31" spans="1:10" ht="19.5" customHeight="1">
      <c r="A31" s="612">
        <v>20</v>
      </c>
      <c r="B31" s="315" t="s">
        <v>278</v>
      </c>
      <c r="C31" s="562" t="s">
        <v>35</v>
      </c>
      <c r="D31" s="564">
        <v>6</v>
      </c>
      <c r="E31" s="564">
        <f>D31</f>
        <v>6</v>
      </c>
      <c r="F31" s="562">
        <v>1</v>
      </c>
      <c r="G31" s="564">
        <v>1</v>
      </c>
      <c r="H31" s="563">
        <f t="shared" si="1"/>
        <v>2</v>
      </c>
      <c r="I31" s="313" t="s">
        <v>182</v>
      </c>
      <c r="J31" s="612">
        <v>20</v>
      </c>
    </row>
    <row r="32" spans="1:10" ht="19.5" customHeight="1">
      <c r="A32" s="611">
        <v>21</v>
      </c>
      <c r="B32" s="48" t="s">
        <v>92</v>
      </c>
      <c r="C32" s="248">
        <v>21</v>
      </c>
      <c r="D32" s="247">
        <v>340</v>
      </c>
      <c r="E32" s="247">
        <f>D32+C32</f>
        <v>361</v>
      </c>
      <c r="F32" s="248">
        <v>1</v>
      </c>
      <c r="G32" s="247">
        <v>1</v>
      </c>
      <c r="H32" s="246">
        <f t="shared" si="1"/>
        <v>2</v>
      </c>
      <c r="I32" s="80" t="s">
        <v>233</v>
      </c>
      <c r="J32" s="611">
        <v>21</v>
      </c>
    </row>
    <row r="33" spans="1:10" ht="19.5" customHeight="1">
      <c r="A33" s="612">
        <v>22</v>
      </c>
      <c r="B33" s="315" t="s">
        <v>94</v>
      </c>
      <c r="C33" s="562">
        <v>52</v>
      </c>
      <c r="D33" s="564">
        <v>707</v>
      </c>
      <c r="E33" s="564">
        <f t="shared" ref="E33:E48" si="3">D33+C33</f>
        <v>759</v>
      </c>
      <c r="F33" s="562">
        <v>1</v>
      </c>
      <c r="G33" s="564">
        <v>1</v>
      </c>
      <c r="H33" s="563">
        <f t="shared" si="1"/>
        <v>2</v>
      </c>
      <c r="I33" s="313" t="s">
        <v>234</v>
      </c>
      <c r="J33" s="612">
        <v>22</v>
      </c>
    </row>
    <row r="34" spans="1:10" ht="19.5" customHeight="1">
      <c r="A34" s="611">
        <v>23</v>
      </c>
      <c r="B34" s="48" t="s">
        <v>96</v>
      </c>
      <c r="C34" s="248">
        <v>20</v>
      </c>
      <c r="D34" s="247">
        <v>386</v>
      </c>
      <c r="E34" s="247">
        <f t="shared" si="3"/>
        <v>406</v>
      </c>
      <c r="F34" s="248">
        <v>1</v>
      </c>
      <c r="G34" s="247">
        <v>1</v>
      </c>
      <c r="H34" s="246">
        <f t="shared" si="1"/>
        <v>2</v>
      </c>
      <c r="I34" s="81" t="s">
        <v>97</v>
      </c>
      <c r="J34" s="611">
        <v>23</v>
      </c>
    </row>
    <row r="35" spans="1:10" ht="19.5" customHeight="1">
      <c r="A35" s="612">
        <v>24</v>
      </c>
      <c r="B35" s="315" t="s">
        <v>120</v>
      </c>
      <c r="C35" s="562">
        <v>17</v>
      </c>
      <c r="D35" s="564">
        <v>273</v>
      </c>
      <c r="E35" s="564">
        <f t="shared" si="3"/>
        <v>290</v>
      </c>
      <c r="F35" s="562">
        <v>1</v>
      </c>
      <c r="G35" s="564">
        <v>1</v>
      </c>
      <c r="H35" s="563">
        <f t="shared" si="1"/>
        <v>2</v>
      </c>
      <c r="I35" s="312" t="s">
        <v>235</v>
      </c>
      <c r="J35" s="612">
        <v>24</v>
      </c>
    </row>
    <row r="36" spans="1:10" ht="19.5" customHeight="1">
      <c r="A36" s="611">
        <v>25</v>
      </c>
      <c r="B36" s="49" t="s">
        <v>98</v>
      </c>
      <c r="C36" s="248">
        <v>68</v>
      </c>
      <c r="D36" s="247">
        <v>677</v>
      </c>
      <c r="E36" s="247">
        <f t="shared" si="3"/>
        <v>745</v>
      </c>
      <c r="F36" s="248">
        <v>1</v>
      </c>
      <c r="G36" s="247">
        <v>1</v>
      </c>
      <c r="H36" s="246">
        <f t="shared" si="1"/>
        <v>2</v>
      </c>
      <c r="I36" s="81" t="s">
        <v>99</v>
      </c>
      <c r="J36" s="611">
        <v>25</v>
      </c>
    </row>
    <row r="37" spans="1:10" ht="19.5" customHeight="1">
      <c r="A37" s="612">
        <v>26</v>
      </c>
      <c r="B37" s="314" t="s">
        <v>100</v>
      </c>
      <c r="C37" s="562">
        <v>16</v>
      </c>
      <c r="D37" s="564">
        <v>217</v>
      </c>
      <c r="E37" s="564">
        <f t="shared" si="3"/>
        <v>233</v>
      </c>
      <c r="F37" s="562">
        <v>1</v>
      </c>
      <c r="G37" s="564">
        <v>1</v>
      </c>
      <c r="H37" s="563">
        <f t="shared" si="1"/>
        <v>2</v>
      </c>
      <c r="I37" s="312" t="s">
        <v>236</v>
      </c>
      <c r="J37" s="612">
        <v>26</v>
      </c>
    </row>
    <row r="38" spans="1:10" ht="19.5" customHeight="1">
      <c r="A38" s="611">
        <v>27</v>
      </c>
      <c r="B38" s="49" t="s">
        <v>122</v>
      </c>
      <c r="C38" s="248">
        <v>6</v>
      </c>
      <c r="D38" s="247">
        <v>148</v>
      </c>
      <c r="E38" s="247">
        <f t="shared" si="3"/>
        <v>154</v>
      </c>
      <c r="F38" s="248">
        <v>1</v>
      </c>
      <c r="G38" s="247">
        <v>1</v>
      </c>
      <c r="H38" s="246">
        <f t="shared" si="1"/>
        <v>2</v>
      </c>
      <c r="I38" s="80" t="s">
        <v>123</v>
      </c>
      <c r="J38" s="611">
        <v>27</v>
      </c>
    </row>
    <row r="39" spans="1:10" ht="19.5" customHeight="1">
      <c r="A39" s="612">
        <v>28</v>
      </c>
      <c r="B39" s="314" t="s">
        <v>124</v>
      </c>
      <c r="C39" s="562">
        <v>23</v>
      </c>
      <c r="D39" s="564">
        <v>190</v>
      </c>
      <c r="E39" s="564">
        <f t="shared" si="3"/>
        <v>213</v>
      </c>
      <c r="F39" s="562">
        <v>1</v>
      </c>
      <c r="G39" s="564">
        <v>1</v>
      </c>
      <c r="H39" s="563">
        <f t="shared" si="1"/>
        <v>2</v>
      </c>
      <c r="I39" s="313" t="s">
        <v>125</v>
      </c>
      <c r="J39" s="612">
        <v>28</v>
      </c>
    </row>
    <row r="40" spans="1:10" ht="19.5" customHeight="1">
      <c r="A40" s="611">
        <v>29</v>
      </c>
      <c r="B40" s="50" t="s">
        <v>181</v>
      </c>
      <c r="C40" s="248">
        <v>2</v>
      </c>
      <c r="D40" s="247">
        <v>58</v>
      </c>
      <c r="E40" s="247">
        <f t="shared" si="3"/>
        <v>60</v>
      </c>
      <c r="F40" s="248">
        <v>1</v>
      </c>
      <c r="G40" s="247">
        <v>1</v>
      </c>
      <c r="H40" s="246">
        <f t="shared" si="1"/>
        <v>2</v>
      </c>
      <c r="I40" s="80" t="s">
        <v>183</v>
      </c>
      <c r="J40" s="611">
        <v>29</v>
      </c>
    </row>
    <row r="41" spans="1:10" ht="19.5" customHeight="1">
      <c r="A41" s="612">
        <v>30</v>
      </c>
      <c r="B41" s="314" t="s">
        <v>126</v>
      </c>
      <c r="C41" s="562">
        <v>2</v>
      </c>
      <c r="D41" s="564">
        <v>187</v>
      </c>
      <c r="E41" s="564">
        <f t="shared" si="3"/>
        <v>189</v>
      </c>
      <c r="F41" s="562">
        <v>1</v>
      </c>
      <c r="G41" s="564">
        <v>1</v>
      </c>
      <c r="H41" s="563">
        <f t="shared" si="1"/>
        <v>2</v>
      </c>
      <c r="I41" s="313" t="s">
        <v>127</v>
      </c>
      <c r="J41" s="612">
        <v>30</v>
      </c>
    </row>
    <row r="42" spans="1:10" ht="19.5" customHeight="1">
      <c r="A42" s="611">
        <v>31</v>
      </c>
      <c r="B42" s="49" t="s">
        <v>102</v>
      </c>
      <c r="C42" s="248">
        <v>30</v>
      </c>
      <c r="D42" s="247">
        <v>1779</v>
      </c>
      <c r="E42" s="247">
        <f t="shared" si="3"/>
        <v>1809</v>
      </c>
      <c r="F42" s="248">
        <v>1</v>
      </c>
      <c r="G42" s="247">
        <v>1</v>
      </c>
      <c r="H42" s="246">
        <f t="shared" si="1"/>
        <v>2</v>
      </c>
      <c r="I42" s="80" t="s">
        <v>103</v>
      </c>
      <c r="J42" s="611">
        <v>31</v>
      </c>
    </row>
    <row r="43" spans="1:10" ht="19.5" customHeight="1">
      <c r="A43" s="612">
        <v>32</v>
      </c>
      <c r="B43" s="314" t="s">
        <v>128</v>
      </c>
      <c r="C43" s="562">
        <v>29</v>
      </c>
      <c r="D43" s="564">
        <v>743</v>
      </c>
      <c r="E43" s="564">
        <f t="shared" si="3"/>
        <v>772</v>
      </c>
      <c r="F43" s="562">
        <v>1</v>
      </c>
      <c r="G43" s="564">
        <v>1</v>
      </c>
      <c r="H43" s="563">
        <f t="shared" si="1"/>
        <v>2</v>
      </c>
      <c r="I43" s="312" t="s">
        <v>237</v>
      </c>
      <c r="J43" s="611">
        <v>32</v>
      </c>
    </row>
    <row r="44" spans="1:10" ht="19.5" customHeight="1">
      <c r="A44" s="611">
        <v>33</v>
      </c>
      <c r="B44" s="49" t="s">
        <v>104</v>
      </c>
      <c r="C44" s="248">
        <v>24</v>
      </c>
      <c r="D44" s="247">
        <v>434</v>
      </c>
      <c r="E44" s="247">
        <f>D44+C44</f>
        <v>458</v>
      </c>
      <c r="F44" s="248">
        <v>1</v>
      </c>
      <c r="G44" s="247">
        <v>1</v>
      </c>
      <c r="H44" s="246">
        <f t="shared" si="1"/>
        <v>2</v>
      </c>
      <c r="I44" s="81" t="s">
        <v>238</v>
      </c>
      <c r="J44" s="611">
        <v>33</v>
      </c>
    </row>
    <row r="45" spans="1:10" ht="19.5" customHeight="1">
      <c r="A45" s="612">
        <v>34</v>
      </c>
      <c r="B45" s="314" t="s">
        <v>218</v>
      </c>
      <c r="C45" s="562">
        <v>25</v>
      </c>
      <c r="D45" s="564">
        <v>901</v>
      </c>
      <c r="E45" s="564">
        <f t="shared" si="3"/>
        <v>926</v>
      </c>
      <c r="F45" s="562">
        <v>1</v>
      </c>
      <c r="G45" s="564">
        <v>1</v>
      </c>
      <c r="H45" s="563">
        <f t="shared" si="1"/>
        <v>2</v>
      </c>
      <c r="I45" s="313" t="s">
        <v>130</v>
      </c>
      <c r="J45" s="612">
        <v>34</v>
      </c>
    </row>
    <row r="46" spans="1:10" ht="19.5" customHeight="1">
      <c r="A46" s="611">
        <v>35</v>
      </c>
      <c r="B46" s="50" t="s">
        <v>245</v>
      </c>
      <c r="C46" s="248">
        <v>12</v>
      </c>
      <c r="D46" s="247">
        <v>286</v>
      </c>
      <c r="E46" s="247">
        <f t="shared" si="3"/>
        <v>298</v>
      </c>
      <c r="F46" s="248">
        <v>1</v>
      </c>
      <c r="G46" s="247">
        <v>1</v>
      </c>
      <c r="H46" s="246">
        <f t="shared" si="1"/>
        <v>2</v>
      </c>
      <c r="I46" s="80" t="s">
        <v>107</v>
      </c>
      <c r="J46" s="611">
        <v>35</v>
      </c>
    </row>
    <row r="47" spans="1:10" ht="19.5" customHeight="1">
      <c r="A47" s="612">
        <v>36</v>
      </c>
      <c r="B47" s="314" t="s">
        <v>108</v>
      </c>
      <c r="C47" s="562">
        <v>138</v>
      </c>
      <c r="D47" s="564">
        <v>2830</v>
      </c>
      <c r="E47" s="564">
        <f t="shared" si="3"/>
        <v>2968</v>
      </c>
      <c r="F47" s="562">
        <v>1</v>
      </c>
      <c r="G47" s="564">
        <v>1</v>
      </c>
      <c r="H47" s="563">
        <f t="shared" si="1"/>
        <v>2</v>
      </c>
      <c r="I47" s="312" t="s">
        <v>109</v>
      </c>
      <c r="J47" s="612">
        <v>36</v>
      </c>
    </row>
    <row r="48" spans="1:10" ht="19.5" customHeight="1">
      <c r="A48" s="611">
        <v>37</v>
      </c>
      <c r="B48" s="49" t="s">
        <v>131</v>
      </c>
      <c r="C48" s="248">
        <v>8</v>
      </c>
      <c r="D48" s="247">
        <v>264</v>
      </c>
      <c r="E48" s="247">
        <f t="shared" si="3"/>
        <v>272</v>
      </c>
      <c r="F48" s="248">
        <v>1</v>
      </c>
      <c r="G48" s="247">
        <v>1</v>
      </c>
      <c r="H48" s="246">
        <f t="shared" si="1"/>
        <v>2</v>
      </c>
      <c r="I48" s="81" t="s">
        <v>132</v>
      </c>
      <c r="J48" s="611">
        <v>37</v>
      </c>
    </row>
    <row r="49" spans="1:10" ht="19.5" customHeight="1">
      <c r="A49" s="613">
        <v>38</v>
      </c>
      <c r="B49" s="316" t="s">
        <v>110</v>
      </c>
      <c r="C49" s="317">
        <v>9</v>
      </c>
      <c r="D49" s="318">
        <v>305</v>
      </c>
      <c r="E49" s="318">
        <f>D49+C49</f>
        <v>314</v>
      </c>
      <c r="F49" s="317">
        <v>1</v>
      </c>
      <c r="G49" s="318">
        <v>1</v>
      </c>
      <c r="H49" s="319">
        <f t="shared" si="1"/>
        <v>2</v>
      </c>
      <c r="I49" s="320" t="s">
        <v>111</v>
      </c>
      <c r="J49" s="613">
        <v>38</v>
      </c>
    </row>
    <row r="50" spans="1:10" ht="20.100000000000001" customHeight="1">
      <c r="A50" s="791" t="s">
        <v>207</v>
      </c>
      <c r="B50" s="791"/>
      <c r="C50" s="791"/>
      <c r="D50" s="817" t="s">
        <v>306</v>
      </c>
      <c r="E50" s="817"/>
      <c r="F50" s="817"/>
      <c r="G50" s="817"/>
      <c r="H50" s="614"/>
      <c r="I50" s="792" t="s">
        <v>287</v>
      </c>
      <c r="J50" s="792"/>
    </row>
  </sheetData>
  <mergeCells count="32">
    <mergeCell ref="F9:F10"/>
    <mergeCell ref="D50:G50"/>
    <mergeCell ref="H14:H15"/>
    <mergeCell ref="G14:G15"/>
    <mergeCell ref="F14:F15"/>
    <mergeCell ref="A1:J1"/>
    <mergeCell ref="A2:J2"/>
    <mergeCell ref="A3:J3"/>
    <mergeCell ref="A4:A8"/>
    <mergeCell ref="J4:J8"/>
    <mergeCell ref="B4:B8"/>
    <mergeCell ref="C4:E4"/>
    <mergeCell ref="F4:H4"/>
    <mergeCell ref="I4:I8"/>
    <mergeCell ref="F5:H5"/>
    <mergeCell ref="C5:E5"/>
    <mergeCell ref="A9:A10"/>
    <mergeCell ref="J9:J10"/>
    <mergeCell ref="J14:J15"/>
    <mergeCell ref="A14:A15"/>
    <mergeCell ref="A50:C50"/>
    <mergeCell ref="I50:J50"/>
    <mergeCell ref="G9:G10"/>
    <mergeCell ref="H9:H10"/>
    <mergeCell ref="B14:B15"/>
    <mergeCell ref="E14:E15"/>
    <mergeCell ref="D14:D15"/>
    <mergeCell ref="C14:C15"/>
    <mergeCell ref="B9:B10"/>
    <mergeCell ref="C9:C10"/>
    <mergeCell ref="D9:D10"/>
    <mergeCell ref="E9:E10"/>
  </mergeCells>
  <conditionalFormatting sqref="D50">
    <cfRule type="duplicateValues" dxfId="3" priority="5"/>
  </conditionalFormatting>
  <conditionalFormatting sqref="I15">
    <cfRule type="duplicateValues" dxfId="2" priority="2"/>
  </conditionalFormatting>
  <conditionalFormatting sqref="I13">
    <cfRule type="duplicateValues" dxfId="1" priority="6"/>
  </conditionalFormatting>
  <conditionalFormatting sqref="I16:I49 I14 I11:I12">
    <cfRule type="duplicateValues" dxfId="0" priority="7"/>
  </conditionalFormatting>
  <pageMargins left="0.43307086614173229" right="0.43307086614173229" top="0.35433070866141736" bottom="0.74803149606299213" header="0.19685039370078741" footer="0.31496062992125984"/>
  <pageSetup paperSize="9" scale="80" orientation="portrait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فعالیت های فرهنگی4-35-32</vt:lpstr>
      <vt:lpstr>مجلات4-36 </vt:lpstr>
      <vt:lpstr>نشریه37</vt:lpstr>
      <vt:lpstr>شورای ملی4-38</vt:lpstr>
      <vt:lpstr>اتحادیه ها4-39</vt:lpstr>
      <vt:lpstr>جرایم وقعات4-40</vt:lpstr>
      <vt:lpstr>حوادث ترفیکی4-41</vt:lpstr>
      <vt:lpstr>رادیو های وتلویزیون 4-42</vt:lpstr>
      <vt:lpstr>محبوسین4-43</vt:lpstr>
      <vt:lpstr>مراكز تربيت اطفال 4-44</vt:lpstr>
      <vt:lpstr>مساجد 45</vt:lpstr>
      <vt:lpstr>تربیت بدنی 46</vt:lpstr>
      <vt:lpstr>خشونت 47</vt:lpstr>
      <vt:lpstr>ماین پاکی4-48</vt:lpstr>
      <vt:lpstr>'اتحادیه ها4-39'!Print_Area</vt:lpstr>
      <vt:lpstr>'تربیت بدنی 46'!Print_Area</vt:lpstr>
      <vt:lpstr>'جرایم وقعات4-40'!Print_Area</vt:lpstr>
      <vt:lpstr>'حوادث ترفیکی4-41'!Print_Area</vt:lpstr>
      <vt:lpstr>'خشونت 47'!Print_Area</vt:lpstr>
      <vt:lpstr>'رادیو های وتلویزیون 4-42'!Print_Area</vt:lpstr>
      <vt:lpstr>'شورای ملی4-38'!Print_Area</vt:lpstr>
      <vt:lpstr>'فعالیت های فرهنگی4-35-32'!Print_Area</vt:lpstr>
      <vt:lpstr>'ماین پاکی4-48'!Print_Area</vt:lpstr>
      <vt:lpstr>'مجلات4-36 '!Print_Area</vt:lpstr>
      <vt:lpstr>'محبوسین4-43'!Print_Area</vt:lpstr>
      <vt:lpstr>'مراكز تربيت اطفال 4-44'!Print_Area</vt:lpstr>
      <vt:lpstr>'مساجد 45'!Print_Area</vt:lpstr>
      <vt:lpstr>نشریه37!Print_Area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Mohammad</dc:creator>
  <cp:lastModifiedBy>sarwary</cp:lastModifiedBy>
  <cp:lastPrinted>2018-05-12T07:39:31Z</cp:lastPrinted>
  <dcterms:created xsi:type="dcterms:W3CDTF">2011-05-14T17:19:01Z</dcterms:created>
  <dcterms:modified xsi:type="dcterms:W3CDTF">2019-04-06T11:49:40Z</dcterms:modified>
</cp:coreProperties>
</file>